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defaultThemeVersion="164011"/>
  <mc:AlternateContent xmlns:mc="http://schemas.openxmlformats.org/markup-compatibility/2006">
    <mc:Choice Requires="x15">
      <x15ac:absPath xmlns:x15ac="http://schemas.microsoft.com/office/spreadsheetml/2010/11/ac" url="H:\tools\excel.toolbox\excel.fieldwire\Отчёт\"/>
    </mc:Choice>
  </mc:AlternateContent>
  <bookViews>
    <workbookView xWindow="0" yWindow="0" windowWidth="38400" windowHeight="18180" activeTab="1"/>
  </bookViews>
  <sheets>
    <sheet name="raw.data" sheetId="1" r:id="rId1"/>
    <sheet name="Свод" sheetId="3" r:id="rId2"/>
    <sheet name="Справочники" sheetId="2" r:id="rId3"/>
  </sheets>
  <calcPr calcId="162913" calcMode="manual" refMode="R1C1"/>
  <pivotCaches>
    <pivotCache cacheId="13" r:id="rId4"/>
  </pivotCaches>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E5" i="1"/>
  <c r="E6" i="1"/>
  <c r="E7" i="1"/>
  <c r="E8" i="1"/>
  <c r="E9" i="1"/>
  <c r="E10" i="1"/>
  <c r="E12" i="1"/>
  <c r="E14" i="1"/>
  <c r="E79" i="1"/>
  <c r="E80" i="1"/>
  <c r="E81" i="1"/>
  <c r="E82" i="1"/>
  <c r="E86" i="1"/>
  <c r="E87" i="1"/>
  <c r="E88" i="1"/>
  <c r="E89" i="1"/>
  <c r="E90" i="1"/>
  <c r="E91" i="1"/>
  <c r="E92" i="1"/>
  <c r="E93" i="1"/>
  <c r="E117" i="1"/>
  <c r="E118" i="1"/>
  <c r="E119" i="1"/>
  <c r="E120" i="1"/>
  <c r="E121" i="1"/>
  <c r="E122" i="1"/>
  <c r="E123" i="1"/>
  <c r="E124" i="1"/>
  <c r="E125" i="1"/>
  <c r="E126" i="1"/>
  <c r="E127" i="1"/>
  <c r="E128" i="1"/>
  <c r="E129" i="1"/>
  <c r="E130" i="1"/>
  <c r="E131" i="1"/>
  <c r="E132" i="1"/>
  <c r="E134" i="1"/>
  <c r="E135" i="1"/>
  <c r="E136" i="1"/>
  <c r="E137" i="1"/>
  <c r="E138" i="1"/>
  <c r="E139" i="1"/>
  <c r="E140" i="1"/>
  <c r="E141" i="1"/>
  <c r="E142" i="1"/>
  <c r="E143" i="1"/>
  <c r="E144" i="1"/>
  <c r="E145" i="1"/>
  <c r="E146" i="1"/>
  <c r="E147" i="1"/>
  <c r="E148" i="1"/>
  <c r="E149" i="1"/>
  <c r="E150" i="1"/>
  <c r="E151" i="1"/>
  <c r="E152" i="1"/>
  <c r="E153" i="1"/>
  <c r="E157" i="1"/>
  <c r="E158" i="1"/>
  <c r="E159" i="1"/>
  <c r="E160" i="1"/>
  <c r="E161" i="1"/>
  <c r="E162" i="1"/>
  <c r="E163" i="1"/>
  <c r="E164" i="1"/>
  <c r="E165" i="1"/>
  <c r="E166" i="1"/>
  <c r="E167" i="1"/>
  <c r="E168" i="1"/>
  <c r="E169" i="1"/>
  <c r="E170" i="1"/>
  <c r="E171" i="1"/>
  <c r="E172" i="1"/>
  <c r="E173" i="1"/>
  <c r="E174" i="1"/>
  <c r="E175" i="1"/>
  <c r="E176"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5" i="1"/>
  <c r="E306" i="1"/>
  <c r="E310" i="1"/>
  <c r="E311" i="1"/>
  <c r="E312" i="1"/>
  <c r="E313" i="1"/>
  <c r="E314" i="1"/>
  <c r="E315" i="1"/>
  <c r="E316" i="1"/>
  <c r="E317" i="1"/>
  <c r="E318" i="1"/>
  <c r="E323" i="1"/>
  <c r="E324" i="1"/>
  <c r="E325" i="1"/>
  <c r="E326" i="1"/>
  <c r="E327" i="1"/>
  <c r="E328" i="1"/>
  <c r="E329" i="1"/>
  <c r="E330" i="1"/>
  <c r="E331" i="1"/>
  <c r="E332" i="1"/>
  <c r="E333" i="1"/>
  <c r="E334" i="1"/>
  <c r="E335" i="1"/>
  <c r="E336" i="1"/>
  <c r="E337" i="1"/>
  <c r="E33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5" i="1"/>
  <c r="E396" i="1"/>
  <c r="E397" i="1"/>
  <c r="E398" i="1"/>
  <c r="E400" i="1"/>
  <c r="E401" i="1"/>
  <c r="E434" i="1"/>
  <c r="E435" i="1"/>
  <c r="E436" i="1"/>
  <c r="E437" i="1"/>
  <c r="E438" i="1"/>
  <c r="E439" i="1"/>
  <c r="E445" i="1"/>
  <c r="E451" i="1"/>
  <c r="E452" i="1"/>
  <c r="E453" i="1"/>
  <c r="E454" i="1"/>
  <c r="E455" i="1"/>
  <c r="E456" i="1"/>
  <c r="E457" i="1"/>
  <c r="E458" i="1"/>
  <c r="E459" i="1"/>
  <c r="E460" i="1"/>
  <c r="E461" i="1"/>
  <c r="E462" i="1"/>
  <c r="E463" i="1"/>
  <c r="E464" i="1"/>
  <c r="E465"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9" i="1"/>
  <c r="E540" i="1"/>
  <c r="E541" i="1"/>
  <c r="E543" i="1"/>
  <c r="E544" i="1"/>
  <c r="E545" i="1"/>
  <c r="E546" i="1"/>
  <c r="E547" i="1"/>
  <c r="E548" i="1"/>
  <c r="E549" i="1"/>
  <c r="E550"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D5" i="1"/>
  <c r="D6" i="1"/>
  <c r="D7" i="1"/>
  <c r="D8" i="1"/>
  <c r="D9" i="1"/>
  <c r="D10" i="1"/>
  <c r="D11" i="1"/>
  <c r="E11" i="1" s="1"/>
  <c r="D12" i="1"/>
  <c r="D13" i="1"/>
  <c r="E13" i="1" s="1"/>
  <c r="D14" i="1"/>
  <c r="D15" i="1"/>
  <c r="E15" i="1" s="1"/>
  <c r="D16" i="1"/>
  <c r="E16" i="1" s="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D39" i="1"/>
  <c r="E39" i="1" s="1"/>
  <c r="D40" i="1"/>
  <c r="E40" i="1" s="1"/>
  <c r="D41" i="1"/>
  <c r="E41" i="1" s="1"/>
  <c r="D42" i="1"/>
  <c r="E42" i="1" s="1"/>
  <c r="D43" i="1"/>
  <c r="E43" i="1" s="1"/>
  <c r="D44" i="1"/>
  <c r="E44" i="1" s="1"/>
  <c r="D45" i="1"/>
  <c r="E45" i="1" s="1"/>
  <c r="D46" i="1"/>
  <c r="E46" i="1" s="1"/>
  <c r="D47" i="1"/>
  <c r="E47" i="1" s="1"/>
  <c r="D48" i="1"/>
  <c r="E48" i="1" s="1"/>
  <c r="D49" i="1"/>
  <c r="E49" i="1" s="1"/>
  <c r="D50" i="1"/>
  <c r="E50" i="1" s="1"/>
  <c r="D51" i="1"/>
  <c r="E51" i="1" s="1"/>
  <c r="D52" i="1"/>
  <c r="E52" i="1" s="1"/>
  <c r="D53" i="1"/>
  <c r="E53" i="1" s="1"/>
  <c r="D54" i="1"/>
  <c r="E54" i="1" s="1"/>
  <c r="D55" i="1"/>
  <c r="E55" i="1" s="1"/>
  <c r="D56" i="1"/>
  <c r="E56" i="1" s="1"/>
  <c r="D57" i="1"/>
  <c r="E57" i="1" s="1"/>
  <c r="D58" i="1"/>
  <c r="E58" i="1" s="1"/>
  <c r="D59" i="1"/>
  <c r="E59" i="1" s="1"/>
  <c r="D60" i="1"/>
  <c r="E60" i="1" s="1"/>
  <c r="D61" i="1"/>
  <c r="E61" i="1" s="1"/>
  <c r="D62" i="1"/>
  <c r="E62" i="1" s="1"/>
  <c r="D63" i="1"/>
  <c r="E63" i="1" s="1"/>
  <c r="D64" i="1"/>
  <c r="E64" i="1" s="1"/>
  <c r="D65" i="1"/>
  <c r="E65" i="1" s="1"/>
  <c r="D66" i="1"/>
  <c r="E66" i="1" s="1"/>
  <c r="D67" i="1"/>
  <c r="E67" i="1" s="1"/>
  <c r="D68" i="1"/>
  <c r="E68" i="1" s="1"/>
  <c r="D69" i="1"/>
  <c r="E69" i="1" s="1"/>
  <c r="D70" i="1"/>
  <c r="E70" i="1" s="1"/>
  <c r="D71" i="1"/>
  <c r="E71" i="1" s="1"/>
  <c r="D72" i="1"/>
  <c r="E72" i="1" s="1"/>
  <c r="D73" i="1"/>
  <c r="E73" i="1" s="1"/>
  <c r="D74" i="1"/>
  <c r="E74" i="1" s="1"/>
  <c r="D75" i="1"/>
  <c r="E75" i="1" s="1"/>
  <c r="D76" i="1"/>
  <c r="E76" i="1" s="1"/>
  <c r="D77" i="1"/>
  <c r="E77" i="1" s="1"/>
  <c r="D78" i="1"/>
  <c r="E78" i="1" s="1"/>
  <c r="D79" i="1"/>
  <c r="D80" i="1"/>
  <c r="D81" i="1"/>
  <c r="D82" i="1"/>
  <c r="D83" i="1"/>
  <c r="E83" i="1" s="1"/>
  <c r="D84" i="1"/>
  <c r="E84" i="1" s="1"/>
  <c r="D85" i="1"/>
  <c r="E85" i="1" s="1"/>
  <c r="D86" i="1"/>
  <c r="D87" i="1"/>
  <c r="D88" i="1"/>
  <c r="D89" i="1"/>
  <c r="D90" i="1"/>
  <c r="D91" i="1"/>
  <c r="D92" i="1"/>
  <c r="D93" i="1"/>
  <c r="D94" i="1"/>
  <c r="E94" i="1" s="1"/>
  <c r="D95" i="1"/>
  <c r="E95" i="1" s="1"/>
  <c r="D96" i="1"/>
  <c r="E96" i="1" s="1"/>
  <c r="D97" i="1"/>
  <c r="E97" i="1" s="1"/>
  <c r="D98" i="1"/>
  <c r="E98" i="1" s="1"/>
  <c r="D99" i="1"/>
  <c r="E99" i="1" s="1"/>
  <c r="D100" i="1"/>
  <c r="E100" i="1" s="1"/>
  <c r="D101" i="1"/>
  <c r="E101" i="1" s="1"/>
  <c r="D102" i="1"/>
  <c r="E102" i="1" s="1"/>
  <c r="D103" i="1"/>
  <c r="E103" i="1" s="1"/>
  <c r="D104" i="1"/>
  <c r="E104" i="1" s="1"/>
  <c r="D105" i="1"/>
  <c r="E105" i="1" s="1"/>
  <c r="D106" i="1"/>
  <c r="E106" i="1" s="1"/>
  <c r="D107" i="1"/>
  <c r="E107" i="1" s="1"/>
  <c r="D108" i="1"/>
  <c r="E108" i="1" s="1"/>
  <c r="D109" i="1"/>
  <c r="E109" i="1" s="1"/>
  <c r="D110" i="1"/>
  <c r="E110" i="1" s="1"/>
  <c r="D111" i="1"/>
  <c r="E111" i="1" s="1"/>
  <c r="D112" i="1"/>
  <c r="E112" i="1" s="1"/>
  <c r="D113" i="1"/>
  <c r="E113" i="1" s="1"/>
  <c r="D114" i="1"/>
  <c r="E114" i="1" s="1"/>
  <c r="D115" i="1"/>
  <c r="E115" i="1" s="1"/>
  <c r="D116" i="1"/>
  <c r="E116" i="1" s="1"/>
  <c r="D117" i="1"/>
  <c r="D118" i="1"/>
  <c r="D119" i="1"/>
  <c r="D120" i="1"/>
  <c r="D121" i="1"/>
  <c r="D122" i="1"/>
  <c r="D123" i="1"/>
  <c r="D124" i="1"/>
  <c r="D125" i="1"/>
  <c r="D126" i="1"/>
  <c r="D127" i="1"/>
  <c r="D128" i="1"/>
  <c r="D129" i="1"/>
  <c r="D130" i="1"/>
  <c r="D131" i="1"/>
  <c r="D132" i="1"/>
  <c r="D133" i="1"/>
  <c r="E133" i="1" s="1"/>
  <c r="D134" i="1"/>
  <c r="D135" i="1"/>
  <c r="D136" i="1"/>
  <c r="D137" i="1"/>
  <c r="D138" i="1"/>
  <c r="D139" i="1"/>
  <c r="D140" i="1"/>
  <c r="D141" i="1"/>
  <c r="D142" i="1"/>
  <c r="D143" i="1"/>
  <c r="D144" i="1"/>
  <c r="D145" i="1"/>
  <c r="D146" i="1"/>
  <c r="D147" i="1"/>
  <c r="D148" i="1"/>
  <c r="D149" i="1"/>
  <c r="D150" i="1"/>
  <c r="D151" i="1"/>
  <c r="D152" i="1"/>
  <c r="D153" i="1"/>
  <c r="D154" i="1"/>
  <c r="E154" i="1" s="1"/>
  <c r="D155" i="1"/>
  <c r="E155" i="1" s="1"/>
  <c r="D156" i="1"/>
  <c r="E156" i="1" s="1"/>
  <c r="D157" i="1"/>
  <c r="D158" i="1"/>
  <c r="D159" i="1"/>
  <c r="D160" i="1"/>
  <c r="D161" i="1"/>
  <c r="D162" i="1"/>
  <c r="D163" i="1"/>
  <c r="D164" i="1"/>
  <c r="D165" i="1"/>
  <c r="D166" i="1"/>
  <c r="D167" i="1"/>
  <c r="D168" i="1"/>
  <c r="D169" i="1"/>
  <c r="D170" i="1"/>
  <c r="D171" i="1"/>
  <c r="D172" i="1"/>
  <c r="D173" i="1"/>
  <c r="D174" i="1"/>
  <c r="D175" i="1"/>
  <c r="D176" i="1"/>
  <c r="D177" i="1"/>
  <c r="E177" i="1" s="1"/>
  <c r="D178" i="1"/>
  <c r="E178" i="1" s="1"/>
  <c r="D179" i="1"/>
  <c r="E179" i="1" s="1"/>
  <c r="D180" i="1"/>
  <c r="E180" i="1" s="1"/>
  <c r="D181" i="1"/>
  <c r="E181" i="1" s="1"/>
  <c r="D182" i="1"/>
  <c r="E182" i="1" s="1"/>
  <c r="D183" i="1"/>
  <c r="E183" i="1" s="1"/>
  <c r="D184" i="1"/>
  <c r="E184" i="1" s="1"/>
  <c r="D185" i="1"/>
  <c r="E185" i="1" s="1"/>
  <c r="D186" i="1"/>
  <c r="E186" i="1" s="1"/>
  <c r="D187" i="1"/>
  <c r="E187" i="1" s="1"/>
  <c r="D188" i="1"/>
  <c r="E188" i="1" s="1"/>
  <c r="D189" i="1"/>
  <c r="E189" i="1" s="1"/>
  <c r="D190" i="1"/>
  <c r="E190" i="1" s="1"/>
  <c r="D191" i="1"/>
  <c r="E191" i="1" s="1"/>
  <c r="D192" i="1"/>
  <c r="E192" i="1" s="1"/>
  <c r="D193" i="1"/>
  <c r="E193" i="1" s="1"/>
  <c r="D194" i="1"/>
  <c r="E194" i="1" s="1"/>
  <c r="D195" i="1"/>
  <c r="E195" i="1" s="1"/>
  <c r="D196" i="1"/>
  <c r="E196" i="1" s="1"/>
  <c r="D197" i="1"/>
  <c r="E197" i="1" s="1"/>
  <c r="D198" i="1"/>
  <c r="E198" i="1" s="1"/>
  <c r="D199" i="1"/>
  <c r="E199" i="1" s="1"/>
  <c r="D200" i="1"/>
  <c r="E200" i="1" s="1"/>
  <c r="D201" i="1"/>
  <c r="E201" i="1" s="1"/>
  <c r="D202" i="1"/>
  <c r="E202" i="1" s="1"/>
  <c r="D203" i="1"/>
  <c r="E203" i="1" s="1"/>
  <c r="D204" i="1"/>
  <c r="E204" i="1" s="1"/>
  <c r="D205" i="1"/>
  <c r="E205" i="1" s="1"/>
  <c r="D206" i="1"/>
  <c r="E206" i="1" s="1"/>
  <c r="D207" i="1"/>
  <c r="E207" i="1" s="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E274" i="1" s="1"/>
  <c r="D275" i="1"/>
  <c r="E275" i="1" s="1"/>
  <c r="D276" i="1"/>
  <c r="E276" i="1" s="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E302" i="1" s="1"/>
  <c r="D303" i="1"/>
  <c r="E303" i="1" s="1"/>
  <c r="D304" i="1"/>
  <c r="E304" i="1" s="1"/>
  <c r="D305" i="1"/>
  <c r="D306" i="1"/>
  <c r="D307" i="1"/>
  <c r="E307" i="1" s="1"/>
  <c r="D308" i="1"/>
  <c r="E308" i="1" s="1"/>
  <c r="D309" i="1"/>
  <c r="E309" i="1" s="1"/>
  <c r="D310" i="1"/>
  <c r="D311" i="1"/>
  <c r="D312" i="1"/>
  <c r="D313" i="1"/>
  <c r="D314" i="1"/>
  <c r="D315" i="1"/>
  <c r="D316" i="1"/>
  <c r="D317" i="1"/>
  <c r="D318" i="1"/>
  <c r="D319" i="1"/>
  <c r="E319" i="1" s="1"/>
  <c r="D320" i="1"/>
  <c r="E320" i="1" s="1"/>
  <c r="D321" i="1"/>
  <c r="E321" i="1" s="1"/>
  <c r="D322" i="1"/>
  <c r="E322" i="1" s="1"/>
  <c r="D323" i="1"/>
  <c r="D324" i="1"/>
  <c r="D325" i="1"/>
  <c r="D326" i="1"/>
  <c r="D327" i="1"/>
  <c r="D328" i="1"/>
  <c r="D329" i="1"/>
  <c r="D330" i="1"/>
  <c r="D331" i="1"/>
  <c r="D332" i="1"/>
  <c r="D333" i="1"/>
  <c r="D334" i="1"/>
  <c r="D335" i="1"/>
  <c r="D336" i="1"/>
  <c r="D337" i="1"/>
  <c r="D338" i="1"/>
  <c r="D339" i="1"/>
  <c r="E339" i="1" s="1"/>
  <c r="D340" i="1"/>
  <c r="E340" i="1" s="1"/>
  <c r="D341" i="1"/>
  <c r="E341" i="1" s="1"/>
  <c r="D342" i="1"/>
  <c r="E342" i="1" s="1"/>
  <c r="D343" i="1"/>
  <c r="E343" i="1" s="1"/>
  <c r="D344" i="1"/>
  <c r="E344" i="1" s="1"/>
  <c r="D345" i="1"/>
  <c r="E345" i="1" s="1"/>
  <c r="D346" i="1"/>
  <c r="E346" i="1" s="1"/>
  <c r="D347" i="1"/>
  <c r="E347" i="1" s="1"/>
  <c r="D348" i="1"/>
  <c r="E348" i="1" s="1"/>
  <c r="D349" i="1"/>
  <c r="E349" i="1" s="1"/>
  <c r="D350" i="1"/>
  <c r="E350" i="1" s="1"/>
  <c r="D351" i="1"/>
  <c r="E351" i="1" s="1"/>
  <c r="D352" i="1"/>
  <c r="E352" i="1" s="1"/>
  <c r="D353" i="1"/>
  <c r="E353" i="1" s="1"/>
  <c r="D354" i="1"/>
  <c r="E354" i="1" s="1"/>
  <c r="D355" i="1"/>
  <c r="E355" i="1" s="1"/>
  <c r="D356" i="1"/>
  <c r="E356" i="1" s="1"/>
  <c r="D357" i="1"/>
  <c r="E357" i="1" s="1"/>
  <c r="D358" i="1"/>
  <c r="E358" i="1" s="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E394" i="1" s="1"/>
  <c r="D395" i="1"/>
  <c r="D396" i="1"/>
  <c r="D397" i="1"/>
  <c r="D398" i="1"/>
  <c r="D399" i="1"/>
  <c r="E399" i="1" s="1"/>
  <c r="D400" i="1"/>
  <c r="D401" i="1"/>
  <c r="D402" i="1"/>
  <c r="E402" i="1" s="1"/>
  <c r="D403" i="1"/>
  <c r="E403" i="1" s="1"/>
  <c r="D404" i="1"/>
  <c r="E404" i="1" s="1"/>
  <c r="D405" i="1"/>
  <c r="E405" i="1" s="1"/>
  <c r="D406" i="1"/>
  <c r="E406" i="1" s="1"/>
  <c r="D407" i="1"/>
  <c r="E407" i="1" s="1"/>
  <c r="D408" i="1"/>
  <c r="E408" i="1" s="1"/>
  <c r="D409" i="1"/>
  <c r="E409" i="1" s="1"/>
  <c r="D410" i="1"/>
  <c r="E410" i="1" s="1"/>
  <c r="D411" i="1"/>
  <c r="E411" i="1" s="1"/>
  <c r="D412" i="1"/>
  <c r="E412" i="1" s="1"/>
  <c r="D413" i="1"/>
  <c r="E413" i="1" s="1"/>
  <c r="D414" i="1"/>
  <c r="E414" i="1" s="1"/>
  <c r="D415" i="1"/>
  <c r="E415" i="1" s="1"/>
  <c r="D416" i="1"/>
  <c r="E416" i="1" s="1"/>
  <c r="D417" i="1"/>
  <c r="E417" i="1" s="1"/>
  <c r="D418" i="1"/>
  <c r="E418" i="1" s="1"/>
  <c r="D419" i="1"/>
  <c r="E419" i="1" s="1"/>
  <c r="D420" i="1"/>
  <c r="E420" i="1" s="1"/>
  <c r="D421" i="1"/>
  <c r="E421" i="1" s="1"/>
  <c r="D422" i="1"/>
  <c r="E422" i="1" s="1"/>
  <c r="D423" i="1"/>
  <c r="E423" i="1" s="1"/>
  <c r="D424" i="1"/>
  <c r="E424" i="1" s="1"/>
  <c r="D425" i="1"/>
  <c r="E425" i="1" s="1"/>
  <c r="D426" i="1"/>
  <c r="E426" i="1" s="1"/>
  <c r="D427" i="1"/>
  <c r="E427" i="1" s="1"/>
  <c r="D428" i="1"/>
  <c r="E428" i="1" s="1"/>
  <c r="D429" i="1"/>
  <c r="E429" i="1" s="1"/>
  <c r="D430" i="1"/>
  <c r="E430" i="1" s="1"/>
  <c r="D431" i="1"/>
  <c r="E431" i="1" s="1"/>
  <c r="D432" i="1"/>
  <c r="E432" i="1" s="1"/>
  <c r="D433" i="1"/>
  <c r="E433" i="1" s="1"/>
  <c r="D434" i="1"/>
  <c r="D435" i="1"/>
  <c r="D436" i="1"/>
  <c r="D437" i="1"/>
  <c r="D438" i="1"/>
  <c r="D439" i="1"/>
  <c r="D440" i="1"/>
  <c r="E440" i="1" s="1"/>
  <c r="D441" i="1"/>
  <c r="E441" i="1" s="1"/>
  <c r="D442" i="1"/>
  <c r="E442" i="1" s="1"/>
  <c r="D443" i="1"/>
  <c r="E443" i="1" s="1"/>
  <c r="D444" i="1"/>
  <c r="E444" i="1" s="1"/>
  <c r="D445" i="1"/>
  <c r="D446" i="1"/>
  <c r="E446" i="1" s="1"/>
  <c r="D447" i="1"/>
  <c r="E447" i="1" s="1"/>
  <c r="D448" i="1"/>
  <c r="E448" i="1" s="1"/>
  <c r="D449" i="1"/>
  <c r="E449" i="1" s="1"/>
  <c r="D450" i="1"/>
  <c r="E450" i="1" s="1"/>
  <c r="D451" i="1"/>
  <c r="D452" i="1"/>
  <c r="D453" i="1"/>
  <c r="D454" i="1"/>
  <c r="D455" i="1"/>
  <c r="D456" i="1"/>
  <c r="D457" i="1"/>
  <c r="D458" i="1"/>
  <c r="D459" i="1"/>
  <c r="D460" i="1"/>
  <c r="D461" i="1"/>
  <c r="D462" i="1"/>
  <c r="D463" i="1"/>
  <c r="D464" i="1"/>
  <c r="D465" i="1"/>
  <c r="D466" i="1"/>
  <c r="E466" i="1" s="1"/>
  <c r="D467" i="1"/>
  <c r="E467" i="1" s="1"/>
  <c r="D468" i="1"/>
  <c r="E468" i="1" s="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E536" i="1" s="1"/>
  <c r="D537" i="1"/>
  <c r="E537" i="1" s="1"/>
  <c r="D538" i="1"/>
  <c r="E538" i="1" s="1"/>
  <c r="D539" i="1"/>
  <c r="D540" i="1"/>
  <c r="D541" i="1"/>
  <c r="D542" i="1"/>
  <c r="E542" i="1" s="1"/>
  <c r="D543" i="1"/>
  <c r="D544" i="1"/>
  <c r="D545" i="1"/>
  <c r="D546" i="1"/>
  <c r="D547" i="1"/>
  <c r="D548" i="1"/>
  <c r="D549" i="1"/>
  <c r="D550" i="1"/>
  <c r="D551" i="1"/>
  <c r="E551" i="1" s="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E584" i="1" s="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E866" i="1" s="1"/>
  <c r="D867" i="1"/>
  <c r="E867" i="1" s="1"/>
  <c r="D868" i="1"/>
  <c r="E868" i="1" s="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E908" i="1" s="1"/>
  <c r="D909" i="1"/>
  <c r="E909" i="1" s="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EI5" i="1"/>
  <c r="EJ5" i="1"/>
  <c r="EF9" i="1"/>
  <c r="ED11" i="1"/>
  <c r="EE11" i="1"/>
  <c r="EF11" i="1"/>
  <c r="EE12" i="1"/>
  <c r="EE13" i="1"/>
  <c r="EF13" i="1"/>
  <c r="EF14" i="1"/>
  <c r="R15" i="1"/>
  <c r="R16" i="1"/>
  <c r="R17" i="1"/>
  <c r="EC17" i="1"/>
  <c r="R18" i="1"/>
  <c r="R19" i="1"/>
  <c r="EC19" i="1"/>
  <c r="R20" i="1"/>
  <c r="R21" i="1"/>
  <c r="R22" i="1"/>
  <c r="R23" i="1"/>
  <c r="R24" i="1"/>
  <c r="R25" i="1"/>
  <c r="R26" i="1"/>
  <c r="ED26" i="1"/>
  <c r="R27" i="1"/>
  <c r="R28" i="1"/>
  <c r="R29" i="1"/>
  <c r="R30" i="1"/>
  <c r="EC30" i="1"/>
  <c r="R31" i="1"/>
  <c r="R32" i="1"/>
  <c r="R33" i="1"/>
  <c r="R34" i="1"/>
  <c r="R35" i="1"/>
  <c r="EE35" i="1"/>
  <c r="R36" i="1"/>
  <c r="R37" i="1"/>
  <c r="R38" i="1"/>
  <c r="EC38" i="1"/>
  <c r="R39" i="1"/>
  <c r="R40" i="1"/>
  <c r="R41" i="1"/>
  <c r="R42" i="1"/>
  <c r="ED42" i="1"/>
  <c r="R43" i="1"/>
  <c r="R44" i="1"/>
  <c r="R45" i="1"/>
  <c r="R46" i="1"/>
  <c r="R47" i="1"/>
  <c r="EC47" i="1"/>
  <c r="EE47" i="1"/>
  <c r="R48" i="1"/>
  <c r="R49" i="1"/>
  <c r="ED49" i="1"/>
  <c r="R50" i="1"/>
  <c r="ED50" i="1"/>
  <c r="R51" i="1"/>
  <c r="R52" i="1"/>
  <c r="R53" i="1"/>
  <c r="EC53" i="1"/>
  <c r="R54" i="1"/>
  <c r="EC54" i="1"/>
  <c r="R55" i="1"/>
  <c r="R56" i="1"/>
  <c r="R57" i="1"/>
  <c r="ED57" i="1"/>
  <c r="R58" i="1"/>
  <c r="R59" i="1"/>
  <c r="R60" i="1"/>
  <c r="R61" i="1"/>
  <c r="R62" i="1"/>
  <c r="ED62" i="1"/>
  <c r="R63" i="1"/>
  <c r="R64" i="1"/>
  <c r="ED64" i="1"/>
  <c r="R65" i="1"/>
  <c r="R66" i="1"/>
  <c r="ED66" i="1"/>
  <c r="EE66" i="1"/>
  <c r="R67" i="1"/>
  <c r="R68" i="1"/>
  <c r="R69" i="1"/>
  <c r="R70" i="1"/>
  <c r="ED70" i="1"/>
  <c r="R71" i="1"/>
  <c r="R72" i="1"/>
  <c r="R73" i="1"/>
  <c r="R74" i="1"/>
  <c r="R75" i="1"/>
  <c r="R76" i="1"/>
  <c r="R77" i="1"/>
  <c r="R78" i="1"/>
  <c r="ED78" i="1"/>
  <c r="R80" i="1"/>
  <c r="R83" i="1"/>
  <c r="EE83" i="1"/>
  <c r="EF83" i="1"/>
  <c r="EF86" i="1"/>
  <c r="EE88" i="1"/>
  <c r="EF88" i="1"/>
  <c r="EG88" i="1"/>
  <c r="EC89" i="1"/>
  <c r="EC90" i="1"/>
  <c r="ED90" i="1"/>
  <c r="EE90" i="1"/>
  <c r="EF90" i="1"/>
  <c r="EG90" i="1"/>
  <c r="EE91" i="1"/>
  <c r="EF91" i="1"/>
  <c r="EG91" i="1"/>
  <c r="EH91" i="1"/>
  <c r="EE93" i="1"/>
  <c r="EE94" i="1"/>
  <c r="EG94" i="1"/>
  <c r="EI94" i="1"/>
  <c r="EE95" i="1"/>
  <c r="EG95" i="1"/>
  <c r="EI95" i="1"/>
  <c r="EE96" i="1"/>
  <c r="EG96" i="1"/>
  <c r="EI96" i="1"/>
  <c r="EK96" i="1"/>
  <c r="EM96" i="1"/>
  <c r="EE97" i="1"/>
  <c r="EG97" i="1"/>
  <c r="EI97" i="1"/>
  <c r="EK97" i="1"/>
  <c r="EM97" i="1"/>
  <c r="EO97" i="1"/>
  <c r="EQ97" i="1"/>
  <c r="ES97" i="1"/>
  <c r="EE98" i="1"/>
  <c r="EG98" i="1"/>
  <c r="EI98" i="1"/>
  <c r="EK98" i="1"/>
  <c r="EM98" i="1"/>
  <c r="EO98" i="1"/>
  <c r="EE99" i="1"/>
  <c r="EG99" i="1"/>
  <c r="EI99" i="1"/>
  <c r="EK99" i="1"/>
  <c r="EM99" i="1"/>
  <c r="EO99" i="1"/>
  <c r="EE100" i="1"/>
  <c r="EG100" i="1"/>
  <c r="EI100" i="1"/>
  <c r="EK100" i="1"/>
  <c r="EM100" i="1"/>
  <c r="EO100" i="1"/>
  <c r="EP100" i="1"/>
  <c r="EQ100" i="1"/>
  <c r="ES100" i="1"/>
  <c r="R101" i="1"/>
  <c r="EF101" i="1"/>
  <c r="EG101" i="1"/>
  <c r="EH101" i="1"/>
  <c r="EI101" i="1"/>
  <c r="EJ101" i="1"/>
  <c r="EK101" i="1"/>
  <c r="EL101" i="1"/>
  <c r="EM101" i="1"/>
  <c r="EN101" i="1"/>
  <c r="EO101" i="1"/>
  <c r="EP101" i="1"/>
  <c r="EQ101" i="1"/>
  <c r="ER101" i="1"/>
  <c r="ED102" i="1"/>
  <c r="EF102" i="1"/>
  <c r="EI102" i="1"/>
  <c r="EK102" i="1"/>
  <c r="EM102" i="1"/>
  <c r="EO102" i="1"/>
  <c r="EQ102" i="1"/>
  <c r="ES102" i="1"/>
  <c r="EU102" i="1"/>
  <c r="EE103" i="1"/>
  <c r="EG103" i="1"/>
  <c r="EI103" i="1"/>
  <c r="EK103" i="1"/>
  <c r="EM103" i="1"/>
  <c r="EO103" i="1"/>
  <c r="EE104" i="1"/>
  <c r="EG104" i="1"/>
  <c r="EI104" i="1"/>
  <c r="EK104" i="1"/>
  <c r="EM104" i="1"/>
  <c r="EN104" i="1"/>
  <c r="EP104" i="1"/>
  <c r="EE105" i="1"/>
  <c r="EG105" i="1"/>
  <c r="EI105" i="1"/>
  <c r="EE106" i="1"/>
  <c r="EG106" i="1"/>
  <c r="EI106" i="1"/>
  <c r="EJ106" i="1"/>
  <c r="EL106" i="1"/>
  <c r="EN106" i="1"/>
  <c r="EP106" i="1"/>
  <c r="ER106" i="1"/>
  <c r="EE107" i="1"/>
  <c r="EG107" i="1"/>
  <c r="EI107" i="1"/>
  <c r="EK107" i="1"/>
  <c r="EM107" i="1"/>
  <c r="EO107" i="1"/>
  <c r="EQ107" i="1"/>
  <c r="EE108" i="1"/>
  <c r="EG108" i="1"/>
  <c r="EI108" i="1"/>
  <c r="EE109" i="1"/>
  <c r="EG109" i="1"/>
  <c r="EI109" i="1"/>
  <c r="EK109" i="1"/>
  <c r="EE110" i="1"/>
  <c r="EG110" i="1"/>
  <c r="EI110" i="1"/>
  <c r="EJ110" i="1"/>
  <c r="EL110" i="1"/>
  <c r="EN110" i="1"/>
  <c r="ED111" i="1"/>
  <c r="EF111" i="1"/>
  <c r="EH111" i="1"/>
  <c r="EJ111" i="1"/>
  <c r="EL111" i="1"/>
  <c r="EN111" i="1"/>
  <c r="EP111" i="1"/>
  <c r="ER111" i="1"/>
  <c r="EE112" i="1"/>
  <c r="EE113" i="1"/>
  <c r="EG113" i="1"/>
  <c r="EI113" i="1"/>
  <c r="EK113" i="1"/>
  <c r="EM113" i="1"/>
  <c r="R114" i="1"/>
  <c r="ED114" i="1"/>
  <c r="EF114" i="1"/>
  <c r="EH114" i="1"/>
  <c r="EJ114" i="1"/>
  <c r="EL114" i="1"/>
  <c r="EN114" i="1"/>
  <c r="EP114" i="1"/>
  <c r="EQ114" i="1"/>
  <c r="ER114" i="1"/>
  <c r="ET114" i="1"/>
  <c r="EV114" i="1"/>
  <c r="EW114" i="1"/>
  <c r="EY114" i="1"/>
  <c r="EZ114" i="1"/>
  <c r="FB114" i="1"/>
  <c r="FD114" i="1"/>
  <c r="FF114" i="1"/>
  <c r="FH114" i="1"/>
  <c r="FJ114" i="1"/>
  <c r="FL114" i="1"/>
  <c r="FN114" i="1"/>
  <c r="FO114" i="1"/>
  <c r="FQ114" i="1"/>
  <c r="FS114" i="1"/>
  <c r="FU114" i="1"/>
  <c r="FV114" i="1"/>
  <c r="R115" i="1"/>
  <c r="EF115" i="1"/>
  <c r="EG115" i="1"/>
  <c r="EI115" i="1"/>
  <c r="EJ115" i="1"/>
  <c r="EK115" i="1"/>
  <c r="EL115" i="1"/>
  <c r="EO115" i="1"/>
  <c r="EP115" i="1"/>
  <c r="ER115" i="1"/>
  <c r="ET115" i="1"/>
  <c r="EV115" i="1"/>
  <c r="EW115" i="1"/>
  <c r="EX115" i="1"/>
  <c r="EZ115" i="1"/>
  <c r="FB115" i="1"/>
  <c r="FC115" i="1"/>
  <c r="FE115" i="1"/>
  <c r="FG115" i="1"/>
  <c r="FI115" i="1"/>
  <c r="FJ115" i="1"/>
  <c r="FL115" i="1"/>
  <c r="FN115" i="1"/>
  <c r="FP115" i="1"/>
  <c r="FR115" i="1"/>
  <c r="FT115" i="1"/>
  <c r="FU115" i="1"/>
  <c r="FV115" i="1"/>
  <c r="R116" i="1"/>
  <c r="ED116" i="1"/>
  <c r="EF116" i="1"/>
  <c r="EG116" i="1"/>
  <c r="EH116" i="1"/>
  <c r="EI116" i="1"/>
  <c r="EJ116" i="1"/>
  <c r="EK116" i="1"/>
  <c r="EM116" i="1"/>
  <c r="EN116" i="1"/>
  <c r="EP116" i="1"/>
  <c r="ER116" i="1"/>
  <c r="ET116" i="1"/>
  <c r="EU116" i="1"/>
  <c r="EV116" i="1"/>
  <c r="EY116" i="1"/>
  <c r="EZ116" i="1"/>
  <c r="FB116" i="1"/>
  <c r="FC116" i="1"/>
  <c r="FE116" i="1"/>
  <c r="FG116" i="1"/>
  <c r="FI116" i="1"/>
  <c r="FJ116" i="1"/>
  <c r="FL116" i="1"/>
  <c r="FM116" i="1"/>
  <c r="FO116" i="1"/>
  <c r="FQ116" i="1"/>
  <c r="EC117" i="1"/>
  <c r="EF119" i="1"/>
  <c r="EG119" i="1"/>
  <c r="EH119" i="1"/>
  <c r="EI119" i="1"/>
  <c r="EJ119" i="1"/>
  <c r="EK119" i="1"/>
  <c r="EL119" i="1"/>
  <c r="EM119" i="1"/>
  <c r="EN119" i="1"/>
  <c r="R120" i="1"/>
  <c r="EE120" i="1"/>
  <c r="EF120" i="1"/>
  <c r="EG120" i="1"/>
  <c r="EH120" i="1"/>
  <c r="EI120" i="1"/>
  <c r="EJ120" i="1"/>
  <c r="EK120" i="1"/>
  <c r="R121" i="1"/>
  <c r="R122" i="1"/>
  <c r="EI123" i="1"/>
  <c r="EJ123" i="1"/>
  <c r="EE124" i="1"/>
  <c r="EF124" i="1"/>
  <c r="EG124" i="1"/>
  <c r="EH124" i="1"/>
  <c r="EF125" i="1"/>
  <c r="EH126" i="1"/>
  <c r="EI126" i="1"/>
  <c r="EJ126" i="1"/>
  <c r="EK126" i="1"/>
  <c r="EL126" i="1"/>
  <c r="EM126" i="1"/>
  <c r="EN126" i="1"/>
  <c r="EO126" i="1"/>
  <c r="EP126" i="1"/>
  <c r="EQ126" i="1"/>
  <c r="ER126" i="1"/>
  <c r="ES126" i="1"/>
  <c r="ET126" i="1"/>
  <c r="EU126" i="1"/>
  <c r="EV126" i="1"/>
  <c r="EW126" i="1"/>
  <c r="EX126" i="1"/>
  <c r="EY126" i="1"/>
  <c r="EZ126" i="1"/>
  <c r="EH127" i="1"/>
  <c r="EI128" i="1"/>
  <c r="EJ128" i="1"/>
  <c r="EK128" i="1"/>
  <c r="EL128" i="1"/>
  <c r="EM128" i="1"/>
  <c r="EF129" i="1"/>
  <c r="EG129" i="1"/>
  <c r="EH129" i="1"/>
  <c r="EI129" i="1"/>
  <c r="EJ129" i="1"/>
  <c r="EK129" i="1"/>
  <c r="EI130" i="1"/>
  <c r="EH131" i="1"/>
  <c r="R132" i="1"/>
  <c r="EE132" i="1"/>
  <c r="EF132" i="1"/>
  <c r="EG132" i="1"/>
  <c r="R133" i="1"/>
  <c r="EE133" i="1"/>
  <c r="EF133" i="1"/>
  <c r="EG133" i="1"/>
  <c r="EH133" i="1"/>
  <c r="EI133" i="1"/>
  <c r="R134" i="1"/>
  <c r="ED134" i="1"/>
  <c r="EE134" i="1"/>
  <c r="R135" i="1"/>
  <c r="ED135" i="1"/>
  <c r="EE135" i="1"/>
  <c r="R136" i="1"/>
  <c r="R137" i="1"/>
  <c r="ED137" i="1"/>
  <c r="R138" i="1"/>
  <c r="ED138" i="1"/>
  <c r="EE138" i="1"/>
  <c r="EF138" i="1"/>
  <c r="EG138" i="1"/>
  <c r="EH138" i="1"/>
  <c r="EI138" i="1"/>
  <c r="EJ138" i="1"/>
  <c r="EK138" i="1"/>
  <c r="EL138" i="1"/>
  <c r="EM138" i="1"/>
  <c r="EN138" i="1"/>
  <c r="EO138" i="1"/>
  <c r="EP138" i="1"/>
  <c r="ET138" i="1"/>
  <c r="R139" i="1"/>
  <c r="R140" i="1"/>
  <c r="EC140" i="1"/>
  <c r="EN140" i="1"/>
  <c r="R141" i="1"/>
  <c r="ED141" i="1"/>
  <c r="EE141" i="1"/>
  <c r="EF141" i="1"/>
  <c r="R142" i="1"/>
  <c r="ED142" i="1"/>
  <c r="EE142" i="1"/>
  <c r="R143" i="1"/>
  <c r="EE143" i="1"/>
  <c r="R144" i="1"/>
  <c r="R145" i="1"/>
  <c r="R146" i="1"/>
  <c r="ED146" i="1"/>
  <c r="R147" i="1"/>
  <c r="EC147" i="1"/>
  <c r="R148" i="1"/>
  <c r="ED148" i="1"/>
  <c r="EE148" i="1"/>
  <c r="EF148" i="1"/>
  <c r="EG148" i="1"/>
  <c r="R149" i="1"/>
  <c r="EC149" i="1"/>
  <c r="R150" i="1"/>
  <c r="ED150" i="1"/>
  <c r="R151" i="1"/>
  <c r="ED151" i="1"/>
  <c r="EE151" i="1"/>
  <c r="EF151" i="1"/>
  <c r="EK151" i="1"/>
  <c r="R152" i="1"/>
  <c r="R153" i="1"/>
  <c r="ED153" i="1"/>
  <c r="R154" i="1"/>
  <c r="ED154" i="1"/>
  <c r="EE154" i="1"/>
  <c r="R155" i="1"/>
  <c r="EC155" i="1"/>
  <c r="ED155" i="1"/>
  <c r="R156" i="1"/>
  <c r="ED156" i="1"/>
  <c r="EE156" i="1"/>
  <c r="R157" i="1"/>
  <c r="ED157" i="1"/>
  <c r="EI157" i="1"/>
  <c r="R158" i="1"/>
  <c r="EC158" i="1"/>
  <c r="EI158" i="1"/>
  <c r="R159" i="1"/>
  <c r="ED159" i="1"/>
  <c r="ES159" i="1"/>
  <c r="R160" i="1"/>
  <c r="ED160" i="1"/>
  <c r="EK160" i="1"/>
  <c r="R161" i="1"/>
  <c r="ED161" i="1"/>
  <c r="EE161" i="1"/>
  <c r="EF161" i="1"/>
  <c r="ER161" i="1"/>
  <c r="ES161" i="1"/>
  <c r="ET161" i="1"/>
  <c r="EU161" i="1"/>
  <c r="R162" i="1"/>
  <c r="ED162" i="1"/>
  <c r="EE162" i="1"/>
  <c r="EL162" i="1"/>
  <c r="R163" i="1"/>
  <c r="ED163" i="1"/>
  <c r="EE163" i="1"/>
  <c r="EJ163" i="1"/>
  <c r="R164" i="1"/>
  <c r="ED164" i="1"/>
  <c r="EK164" i="1"/>
  <c r="EL164" i="1"/>
  <c r="R165" i="1"/>
  <c r="ED165" i="1"/>
  <c r="EE165" i="1"/>
  <c r="EF165" i="1"/>
  <c r="EN165" i="1"/>
  <c r="EO165" i="1"/>
  <c r="EP165" i="1"/>
  <c r="EQ165" i="1"/>
  <c r="R166" i="1"/>
  <c r="EC166" i="1"/>
  <c r="EH166" i="1"/>
  <c r="R167" i="1"/>
  <c r="ED167" i="1"/>
  <c r="R168" i="1"/>
  <c r="ED168" i="1"/>
  <c r="EL168" i="1"/>
  <c r="R169" i="1"/>
  <c r="ED169" i="1"/>
  <c r="EL169" i="1"/>
  <c r="R170" i="1"/>
  <c r="ED170" i="1"/>
  <c r="EE170" i="1"/>
  <c r="EG170" i="1"/>
  <c r="EM170" i="1"/>
  <c r="R171" i="1"/>
  <c r="EJ171" i="1"/>
  <c r="EN171" i="1"/>
  <c r="R172" i="1"/>
  <c r="ED172" i="1"/>
  <c r="EL172" i="1"/>
  <c r="R173" i="1"/>
  <c r="EC173" i="1"/>
  <c r="EJ173" i="1"/>
  <c r="R174" i="1"/>
  <c r="EC174" i="1"/>
  <c r="ED174" i="1"/>
  <c r="EE174" i="1"/>
  <c r="EP174" i="1"/>
  <c r="EQ174" i="1"/>
  <c r="R175" i="1"/>
  <c r="R176" i="1"/>
  <c r="R177" i="1"/>
  <c r="EC177" i="1"/>
  <c r="ED177" i="1"/>
  <c r="R178" i="1"/>
  <c r="EC178" i="1"/>
  <c r="R179" i="1"/>
  <c r="ED179" i="1"/>
  <c r="R181" i="1"/>
  <c r="EC181" i="1"/>
  <c r="ED181" i="1"/>
  <c r="R182" i="1"/>
  <c r="EC182" i="1"/>
  <c r="R183" i="1"/>
  <c r="ED183" i="1"/>
  <c r="R184" i="1"/>
  <c r="EC184" i="1"/>
  <c r="EE184" i="1"/>
  <c r="EC185" i="1"/>
  <c r="EE185" i="1"/>
  <c r="EG185" i="1"/>
  <c r="EH185" i="1"/>
  <c r="EJ185" i="1"/>
  <c r="EK185" i="1"/>
  <c r="EL185" i="1"/>
  <c r="R186" i="1"/>
  <c r="EC186" i="1"/>
  <c r="ED186" i="1"/>
  <c r="R187" i="1"/>
  <c r="EG187" i="1"/>
  <c r="EH187" i="1"/>
  <c r="EI187" i="1"/>
  <c r="EJ187" i="1"/>
  <c r="EK187" i="1"/>
  <c r="EL187" i="1"/>
  <c r="R188" i="1"/>
  <c r="EC188" i="1"/>
  <c r="ED188" i="1"/>
  <c r="EN188" i="1"/>
  <c r="R189" i="1"/>
  <c r="EC189" i="1"/>
  <c r="ED189" i="1"/>
  <c r="EE189" i="1"/>
  <c r="R190" i="1"/>
  <c r="EC190" i="1"/>
  <c r="R191" i="1"/>
  <c r="EC191" i="1"/>
  <c r="R192" i="1"/>
  <c r="EC192" i="1"/>
  <c r="R193" i="1"/>
  <c r="EC193" i="1"/>
  <c r="R194" i="1"/>
  <c r="R195" i="1"/>
  <c r="EC195" i="1"/>
  <c r="ED195" i="1"/>
  <c r="EE195" i="1"/>
  <c r="EF195" i="1"/>
  <c r="R196" i="1"/>
  <c r="EC196" i="1"/>
  <c r="R197" i="1"/>
  <c r="EC197" i="1"/>
  <c r="ED197" i="1"/>
  <c r="EE197" i="1"/>
  <c r="EF197" i="1"/>
  <c r="R198" i="1"/>
  <c r="ED198" i="1"/>
  <c r="R199" i="1"/>
  <c r="EC199" i="1"/>
  <c r="R200" i="1"/>
  <c r="ED200" i="1"/>
  <c r="EE200" i="1"/>
  <c r="R201" i="1"/>
  <c r="ED201" i="1"/>
  <c r="EE201" i="1"/>
  <c r="EC202" i="1"/>
  <c r="ED202" i="1"/>
  <c r="EE202" i="1"/>
  <c r="EF202" i="1"/>
  <c r="EG202" i="1"/>
  <c r="EH202" i="1"/>
  <c r="EI202" i="1"/>
  <c r="EJ202" i="1"/>
  <c r="R203" i="1"/>
  <c r="ED203" i="1"/>
  <c r="EE203" i="1"/>
  <c r="EF203" i="1"/>
  <c r="R204" i="1"/>
  <c r="EC204" i="1"/>
  <c r="R205" i="1"/>
  <c r="EC205" i="1"/>
  <c r="R206" i="1"/>
  <c r="EC206" i="1"/>
  <c r="ED206" i="1"/>
  <c r="EE206" i="1"/>
  <c r="EF206" i="1"/>
  <c r="EI206" i="1"/>
  <c r="EJ206" i="1"/>
  <c r="EK206" i="1"/>
  <c r="EL206" i="1"/>
  <c r="EW206" i="1"/>
  <c r="EX206" i="1"/>
  <c r="R207" i="1"/>
  <c r="ED207" i="1"/>
  <c r="EM207" i="1"/>
  <c r="R208" i="1"/>
  <c r="EC208" i="1"/>
  <c r="EE208" i="1"/>
  <c r="EF208" i="1"/>
  <c r="EP208" i="1"/>
  <c r="EQ208" i="1"/>
  <c r="R209" i="1"/>
  <c r="EC209" i="1"/>
  <c r="EM209" i="1"/>
  <c r="R210" i="1"/>
  <c r="ED210" i="1"/>
  <c r="EO210" i="1"/>
  <c r="R211" i="1"/>
  <c r="EC211" i="1"/>
  <c r="ED211" i="1"/>
  <c r="EE211" i="1"/>
  <c r="R212" i="1"/>
  <c r="EC212" i="1"/>
  <c r="ED212" i="1"/>
  <c r="EM212" i="1"/>
  <c r="EN212" i="1"/>
  <c r="R213" i="1"/>
  <c r="EC213" i="1"/>
  <c r="EI213" i="1"/>
  <c r="EJ213" i="1"/>
  <c r="R214" i="1"/>
  <c r="EC214" i="1"/>
  <c r="EI214" i="1"/>
  <c r="EJ214" i="1"/>
  <c r="EK214" i="1"/>
  <c r="EL214" i="1"/>
  <c r="R215" i="1"/>
  <c r="ED215" i="1"/>
  <c r="EO215" i="1"/>
  <c r="EP215" i="1"/>
  <c r="EQ215" i="1"/>
  <c r="ER215" i="1"/>
  <c r="ES215" i="1"/>
  <c r="ET215" i="1"/>
  <c r="EU215" i="1"/>
  <c r="EV215" i="1"/>
  <c r="EW215" i="1"/>
  <c r="R216" i="1"/>
  <c r="ED216" i="1"/>
  <c r="EM216" i="1"/>
  <c r="EN216" i="1"/>
  <c r="R217" i="1"/>
  <c r="ED217" i="1"/>
  <c r="EM217" i="1"/>
  <c r="R218" i="1"/>
  <c r="ED218" i="1"/>
  <c r="R220" i="1"/>
  <c r="ED220" i="1"/>
  <c r="EE220" i="1"/>
  <c r="EF220" i="1"/>
  <c r="R221" i="1"/>
  <c r="EC221" i="1"/>
  <c r="ED221" i="1"/>
  <c r="EG221" i="1"/>
  <c r="EH221" i="1"/>
  <c r="EI221" i="1"/>
  <c r="EJ221" i="1"/>
  <c r="EK221" i="1"/>
  <c r="EL221" i="1"/>
  <c r="EM221" i="1"/>
  <c r="EN221" i="1"/>
  <c r="EO221" i="1"/>
  <c r="EP221" i="1"/>
  <c r="EQ221" i="1"/>
  <c r="ER221" i="1"/>
  <c r="ES221" i="1"/>
  <c r="ET221" i="1"/>
  <c r="EU221" i="1"/>
  <c r="EV221" i="1"/>
  <c r="EW221" i="1"/>
  <c r="EX221" i="1"/>
  <c r="FK221" i="1"/>
  <c r="FL221" i="1"/>
  <c r="FM221" i="1"/>
  <c r="FN221" i="1"/>
  <c r="FO221" i="1"/>
  <c r="FP221" i="1"/>
  <c r="FQ221" i="1"/>
  <c r="FR221" i="1"/>
  <c r="FS221" i="1"/>
  <c r="FU221" i="1"/>
  <c r="FV221" i="1"/>
  <c r="FW221" i="1"/>
  <c r="FX221" i="1"/>
  <c r="FY221" i="1"/>
  <c r="FZ221" i="1"/>
  <c r="GA221" i="1"/>
  <c r="GB221" i="1"/>
  <c r="GC221" i="1"/>
  <c r="R222" i="1"/>
  <c r="EC222" i="1"/>
  <c r="EM222" i="1"/>
  <c r="R223" i="1"/>
  <c r="EC223" i="1"/>
  <c r="EP223" i="1"/>
  <c r="R224" i="1"/>
  <c r="EC224" i="1"/>
  <c r="EG224" i="1"/>
  <c r="EH224" i="1"/>
  <c r="R225" i="1"/>
  <c r="EC225" i="1"/>
  <c r="EG225" i="1"/>
  <c r="EH225" i="1"/>
  <c r="R226" i="1"/>
  <c r="ED226" i="1"/>
  <c r="EE226" i="1"/>
  <c r="EH226" i="1"/>
  <c r="EI226" i="1"/>
  <c r="R227" i="1"/>
  <c r="ED227" i="1"/>
  <c r="EG227" i="1"/>
  <c r="EH227" i="1"/>
  <c r="R228" i="1"/>
  <c r="ED228" i="1"/>
  <c r="EG228" i="1"/>
  <c r="EH228" i="1"/>
  <c r="R229" i="1"/>
  <c r="EC229" i="1"/>
  <c r="EJ229" i="1"/>
  <c r="EK229" i="1"/>
  <c r="R230" i="1"/>
  <c r="EC230" i="1"/>
  <c r="ED230" i="1"/>
  <c r="R231" i="1"/>
  <c r="EC231" i="1"/>
  <c r="ED231" i="1"/>
  <c r="EE231" i="1"/>
  <c r="EF231" i="1"/>
  <c r="EG231" i="1"/>
  <c r="EH231" i="1"/>
  <c r="EI231" i="1"/>
  <c r="EJ231" i="1"/>
  <c r="R232" i="1"/>
  <c r="EC232" i="1"/>
  <c r="R233" i="1"/>
  <c r="EC233" i="1"/>
  <c r="R234" i="1"/>
  <c r="EC234" i="1"/>
  <c r="R235" i="1"/>
  <c r="EC235" i="1"/>
  <c r="R236" i="1"/>
  <c r="EC236" i="1"/>
  <c r="EI236" i="1"/>
  <c r="R237" i="1"/>
  <c r="EC237" i="1"/>
  <c r="EI237" i="1"/>
  <c r="R238" i="1"/>
  <c r="EE238" i="1"/>
  <c r="EJ238" i="1"/>
  <c r="EK238" i="1"/>
  <c r="EL238" i="1"/>
  <c r="EM238" i="1"/>
  <c r="R239" i="1"/>
  <c r="EC239" i="1"/>
  <c r="EF239" i="1"/>
  <c r="R240" i="1"/>
  <c r="EC240" i="1"/>
  <c r="EF240" i="1"/>
  <c r="EG240" i="1"/>
  <c r="R241" i="1"/>
  <c r="EJ241" i="1"/>
  <c r="R242" i="1"/>
  <c r="EC242" i="1"/>
  <c r="EF242" i="1"/>
  <c r="EG242" i="1"/>
  <c r="R243" i="1"/>
  <c r="EC243" i="1"/>
  <c r="EJ243" i="1"/>
  <c r="R244" i="1"/>
  <c r="EC244" i="1"/>
  <c r="EI244" i="1"/>
  <c r="R245" i="1"/>
  <c r="EC245" i="1"/>
  <c r="EI245" i="1"/>
  <c r="R246" i="1"/>
  <c r="EC246" i="1"/>
  <c r="EJ246" i="1"/>
  <c r="R247" i="1"/>
  <c r="EC247" i="1"/>
  <c r="EE247" i="1"/>
  <c r="EM247" i="1"/>
  <c r="EN247" i="1"/>
  <c r="R248" i="1"/>
  <c r="EC248" i="1"/>
  <c r="ED248" i="1"/>
  <c r="EG248" i="1"/>
  <c r="R249" i="1"/>
  <c r="EC249" i="1"/>
  <c r="EJ249" i="1"/>
  <c r="R250" i="1"/>
  <c r="EC250" i="1"/>
  <c r="EI250" i="1"/>
  <c r="R251" i="1"/>
  <c r="EC251" i="1"/>
  <c r="EJ251" i="1"/>
  <c r="R252" i="1"/>
  <c r="EC252" i="1"/>
  <c r="ED252" i="1"/>
  <c r="EJ252" i="1"/>
  <c r="EK252" i="1"/>
  <c r="EL252" i="1"/>
  <c r="R253" i="1"/>
  <c r="EC253" i="1"/>
  <c r="EF253" i="1"/>
  <c r="R254" i="1"/>
  <c r="EC254" i="1"/>
  <c r="EF254" i="1"/>
  <c r="R255" i="1"/>
  <c r="ED255" i="1"/>
  <c r="EE255" i="1"/>
  <c r="EF255" i="1"/>
  <c r="EI255" i="1"/>
  <c r="EJ255" i="1"/>
  <c r="EK255" i="1"/>
  <c r="EL255" i="1"/>
  <c r="EN255" i="1"/>
  <c r="R256" i="1"/>
  <c r="EC256" i="1"/>
  <c r="EF256" i="1"/>
  <c r="R257" i="1"/>
  <c r="EC257" i="1"/>
  <c r="EF257" i="1"/>
  <c r="EG257" i="1"/>
  <c r="R258" i="1"/>
  <c r="EC258" i="1"/>
  <c r="EF258" i="1"/>
  <c r="R259" i="1"/>
  <c r="EC259" i="1"/>
  <c r="EF259" i="1"/>
  <c r="R260" i="1"/>
  <c r="ED260" i="1"/>
  <c r="EF260" i="1"/>
  <c r="EG260" i="1"/>
  <c r="R261" i="1"/>
  <c r="EC261" i="1"/>
  <c r="EL261" i="1"/>
  <c r="R262" i="1"/>
  <c r="EC262" i="1"/>
  <c r="EO262" i="1"/>
  <c r="R263" i="1"/>
  <c r="ED263" i="1"/>
  <c r="EI263" i="1"/>
  <c r="R264" i="1"/>
  <c r="ED264" i="1"/>
  <c r="EE264" i="1"/>
  <c r="EJ264" i="1"/>
  <c r="R265" i="1"/>
  <c r="EC265" i="1"/>
  <c r="EN265" i="1"/>
  <c r="R266" i="1"/>
  <c r="EC266" i="1"/>
  <c r="EI266" i="1"/>
  <c r="R267" i="1"/>
  <c r="EC267" i="1"/>
  <c r="R268" i="1"/>
  <c r="EC268" i="1"/>
  <c r="ED268" i="1"/>
  <c r="R269" i="1"/>
  <c r="EC269" i="1"/>
  <c r="R270" i="1"/>
  <c r="EC270" i="1"/>
  <c r="EI270" i="1"/>
  <c r="R271" i="1"/>
  <c r="EC271" i="1"/>
  <c r="EE271" i="1"/>
  <c r="EL271" i="1"/>
  <c r="R272" i="1"/>
  <c r="EK272" i="1"/>
  <c r="R273" i="1"/>
  <c r="EE273" i="1"/>
  <c r="EF273" i="1"/>
  <c r="EG273" i="1"/>
  <c r="EH273" i="1"/>
  <c r="EI273" i="1"/>
  <c r="EP273" i="1"/>
  <c r="EQ273" i="1"/>
  <c r="ER273" i="1"/>
  <c r="R274" i="1"/>
  <c r="EC274" i="1"/>
  <c r="ED274" i="1"/>
  <c r="R275" i="1"/>
  <c r="ED275" i="1"/>
  <c r="EJ275" i="1"/>
  <c r="R276" i="1"/>
  <c r="EE276" i="1"/>
  <c r="R277" i="1"/>
  <c r="EC277" i="1"/>
  <c r="EE277" i="1"/>
  <c r="EG277" i="1"/>
  <c r="FC277" i="1"/>
  <c r="FE277" i="1"/>
  <c r="FS277" i="1"/>
  <c r="FT277" i="1"/>
  <c r="R278" i="1"/>
  <c r="ED278" i="1"/>
  <c r="ER278" i="1"/>
  <c r="EY278" i="1"/>
  <c r="EZ278" i="1"/>
  <c r="FA278" i="1"/>
  <c r="FB278" i="1"/>
  <c r="FH278" i="1"/>
  <c r="R279" i="1"/>
  <c r="ED279" i="1"/>
  <c r="EE279" i="1"/>
  <c r="EF279" i="1"/>
  <c r="EG279" i="1"/>
  <c r="EH279" i="1"/>
  <c r="R280" i="1"/>
  <c r="EO280" i="1"/>
  <c r="EP280" i="1"/>
  <c r="R281" i="1"/>
  <c r="EC281" i="1"/>
  <c r="EO281" i="1"/>
  <c r="R282" i="1"/>
  <c r="EC282" i="1"/>
  <c r="ED282" i="1"/>
  <c r="EO282" i="1"/>
  <c r="ER282" i="1"/>
  <c r="R283" i="1"/>
  <c r="EI283" i="1"/>
  <c r="R284" i="1"/>
  <c r="ED284" i="1"/>
  <c r="EG284" i="1"/>
  <c r="R285" i="1"/>
  <c r="EG285" i="1"/>
  <c r="EM285" i="1"/>
  <c r="EN285" i="1"/>
  <c r="R286" i="1"/>
  <c r="ED286" i="1"/>
  <c r="EF286" i="1"/>
  <c r="R287" i="1"/>
  <c r="ED287" i="1"/>
  <c r="EF287" i="1"/>
  <c r="EK287" i="1"/>
  <c r="EN287" i="1"/>
  <c r="R288" i="1"/>
  <c r="EE288" i="1"/>
  <c r="R289" i="1"/>
  <c r="ED289" i="1"/>
  <c r="EN289" i="1"/>
  <c r="R290" i="1"/>
  <c r="EM290" i="1"/>
  <c r="EN290" i="1"/>
  <c r="R291" i="1"/>
  <c r="ED291" i="1"/>
  <c r="EN291" i="1"/>
  <c r="R292" i="1"/>
  <c r="EC292" i="1"/>
  <c r="R293" i="1"/>
  <c r="ED293" i="1"/>
  <c r="EJ293" i="1"/>
  <c r="R294" i="1"/>
  <c r="EK294" i="1"/>
  <c r="R295" i="1"/>
  <c r="EJ295" i="1"/>
  <c r="R296" i="1"/>
  <c r="ED296" i="1"/>
  <c r="R297" i="1"/>
  <c r="EI297" i="1"/>
  <c r="R298" i="1"/>
  <c r="EC298" i="1"/>
  <c r="EJ298" i="1"/>
  <c r="R299" i="1"/>
  <c r="ED299" i="1"/>
  <c r="EJ299" i="1"/>
  <c r="R300" i="1"/>
  <c r="EI300" i="1"/>
  <c r="R301" i="1"/>
  <c r="ED301" i="1"/>
  <c r="EN301" i="1"/>
  <c r="R302" i="1"/>
  <c r="ED302" i="1"/>
  <c r="EE302" i="1"/>
  <c r="EF302" i="1"/>
  <c r="EG302" i="1"/>
  <c r="EI302" i="1"/>
  <c r="R303" i="1"/>
  <c r="EF303" i="1"/>
  <c r="EG303" i="1"/>
  <c r="EE304" i="1"/>
  <c r="EF304" i="1"/>
  <c r="EG304" i="1"/>
  <c r="R305" i="1"/>
  <c r="ED305" i="1"/>
  <c r="EE305" i="1"/>
  <c r="EF305" i="1"/>
  <c r="EK305" i="1"/>
  <c r="EL305" i="1"/>
  <c r="EM305" i="1"/>
  <c r="R306" i="1"/>
  <c r="EC306" i="1"/>
  <c r="ED306" i="1"/>
  <c r="EE306" i="1"/>
  <c r="EF306" i="1"/>
  <c r="EG306" i="1"/>
  <c r="EH306" i="1"/>
  <c r="EN306" i="1"/>
  <c r="ES306" i="1"/>
  <c r="R307" i="1"/>
  <c r="ED307" i="1"/>
  <c r="EE307" i="1"/>
  <c r="EF307" i="1"/>
  <c r="EG307" i="1"/>
  <c r="R308" i="1"/>
  <c r="ED308" i="1"/>
  <c r="EE308" i="1"/>
  <c r="EF308" i="1"/>
  <c r="EG308" i="1"/>
  <c r="EH308" i="1"/>
  <c r="EI308" i="1"/>
  <c r="EO308" i="1"/>
  <c r="EP308" i="1"/>
  <c r="R310" i="1"/>
  <c r="ED310" i="1"/>
  <c r="EE310" i="1"/>
  <c r="EF310" i="1"/>
  <c r="EG310" i="1"/>
  <c r="EH310" i="1"/>
  <c r="EI310" i="1"/>
  <c r="EJ310" i="1"/>
  <c r="EK310" i="1"/>
  <c r="EL310" i="1"/>
  <c r="EM310" i="1"/>
  <c r="EN310" i="1"/>
  <c r="EO310" i="1"/>
  <c r="EP310" i="1"/>
  <c r="R311" i="1"/>
  <c r="ED311" i="1"/>
  <c r="EE311" i="1"/>
  <c r="EF311" i="1"/>
  <c r="EG311" i="1"/>
  <c r="EH311" i="1"/>
  <c r="EI311" i="1"/>
  <c r="EJ311" i="1"/>
  <c r="EK311" i="1"/>
  <c r="EL311" i="1"/>
  <c r="EM311" i="1"/>
  <c r="EN311" i="1"/>
  <c r="EO311" i="1"/>
  <c r="R312" i="1"/>
  <c r="ED312" i="1"/>
  <c r="EE312" i="1"/>
  <c r="EF312" i="1"/>
  <c r="EG312" i="1"/>
  <c r="EM312" i="1"/>
  <c r="EN312" i="1"/>
  <c r="EO312" i="1"/>
  <c r="EP312" i="1"/>
  <c r="R313" i="1"/>
  <c r="ED313" i="1"/>
  <c r="EE313" i="1"/>
  <c r="EF313" i="1"/>
  <c r="EG313" i="1"/>
  <c r="EH313" i="1"/>
  <c r="EI313" i="1"/>
  <c r="EJ313" i="1"/>
  <c r="EK313" i="1"/>
  <c r="R314" i="1"/>
  <c r="ED314" i="1"/>
  <c r="EE314" i="1"/>
  <c r="EF314" i="1"/>
  <c r="EG314" i="1"/>
  <c r="EH314" i="1"/>
  <c r="EI314" i="1"/>
  <c r="EI315" i="1"/>
  <c r="EG317" i="1"/>
  <c r="EH317" i="1"/>
  <c r="EI317" i="1"/>
  <c r="EJ317" i="1"/>
  <c r="EP317" i="1"/>
  <c r="EQ317" i="1"/>
  <c r="ER317" i="1"/>
  <c r="R318" i="1"/>
  <c r="ED318" i="1"/>
  <c r="EE318" i="1"/>
  <c r="EF318" i="1"/>
  <c r="EG318" i="1"/>
  <c r="EH318" i="1"/>
  <c r="EI318" i="1"/>
  <c r="R319" i="1"/>
  <c r="ED319" i="1"/>
  <c r="EE319" i="1"/>
  <c r="EF319" i="1"/>
  <c r="EG319" i="1"/>
  <c r="EH319" i="1"/>
  <c r="EI319" i="1"/>
  <c r="EH320" i="1"/>
  <c r="EI320" i="1"/>
  <c r="EJ320" i="1"/>
  <c r="EK320" i="1"/>
  <c r="EL320" i="1"/>
  <c r="EM320" i="1"/>
  <c r="EH321" i="1"/>
  <c r="EI321" i="1"/>
  <c r="EJ321" i="1"/>
  <c r="EK321" i="1"/>
  <c r="R322" i="1"/>
  <c r="ED322" i="1"/>
  <c r="EE322" i="1"/>
  <c r="EF322" i="1"/>
  <c r="EG322" i="1"/>
  <c r="EH322" i="1"/>
  <c r="EI322" i="1"/>
  <c r="R323" i="1"/>
  <c r="ED323" i="1"/>
  <c r="EE323" i="1"/>
  <c r="EF323" i="1"/>
  <c r="EG323" i="1"/>
  <c r="EH323" i="1"/>
  <c r="EI323" i="1"/>
  <c r="R324" i="1"/>
  <c r="EE324" i="1"/>
  <c r="EF324" i="1"/>
  <c r="EG324" i="1"/>
  <c r="EH324" i="1"/>
  <c r="EI324" i="1"/>
  <c r="R325" i="1"/>
  <c r="EG325" i="1"/>
  <c r="EH325" i="1"/>
  <c r="EI325" i="1"/>
  <c r="EJ325" i="1"/>
  <c r="R326" i="1"/>
  <c r="EJ326" i="1"/>
  <c r="EK326" i="1"/>
  <c r="EL326" i="1"/>
  <c r="EM326" i="1"/>
  <c r="EN326" i="1"/>
  <c r="EO326" i="1"/>
  <c r="EP326" i="1"/>
  <c r="EQ326" i="1"/>
  <c r="ER326" i="1"/>
  <c r="ES326" i="1"/>
  <c r="ET326" i="1"/>
  <c r="EU326" i="1"/>
  <c r="EV326" i="1"/>
  <c r="EW326" i="1"/>
  <c r="EX326" i="1"/>
  <c r="EY326" i="1"/>
  <c r="EZ326" i="1"/>
  <c r="FA326" i="1"/>
  <c r="FB326" i="1"/>
  <c r="EF327" i="1"/>
  <c r="EG327" i="1"/>
  <c r="EH327" i="1"/>
  <c r="EG328" i="1"/>
  <c r="EH328" i="1"/>
  <c r="EI328" i="1"/>
  <c r="EJ328" i="1"/>
  <c r="EK328" i="1"/>
  <c r="EL328" i="1"/>
  <c r="EM328" i="1"/>
  <c r="EO328" i="1"/>
  <c r="EF332" i="1"/>
  <c r="EG332" i="1"/>
  <c r="EH332" i="1"/>
  <c r="EJ333" i="1"/>
  <c r="EK333" i="1"/>
  <c r="EL333" i="1"/>
  <c r="ED336" i="1"/>
  <c r="EE336" i="1"/>
  <c r="EF336" i="1"/>
  <c r="EH336" i="1"/>
  <c r="EE337" i="1"/>
  <c r="R338" i="1"/>
  <c r="ED338" i="1"/>
  <c r="EE338" i="1"/>
  <c r="EF338" i="1"/>
  <c r="EG338" i="1"/>
  <c r="EH338" i="1"/>
  <c r="EI338" i="1"/>
  <c r="EJ338" i="1"/>
  <c r="R339" i="1"/>
  <c r="ED339" i="1"/>
  <c r="EE339" i="1"/>
  <c r="R340" i="1"/>
  <c r="EF340" i="1"/>
  <c r="EG340" i="1"/>
  <c r="EH340" i="1"/>
  <c r="EI340" i="1"/>
  <c r="R341" i="1"/>
  <c r="EF341" i="1"/>
  <c r="EG341" i="1"/>
  <c r="EH341" i="1"/>
  <c r="EI341" i="1"/>
  <c r="R342" i="1"/>
  <c r="EE342" i="1"/>
  <c r="EF342" i="1"/>
  <c r="EG342" i="1"/>
  <c r="EH342" i="1"/>
  <c r="EI342" i="1"/>
  <c r="EJ342" i="1"/>
  <c r="EK342" i="1"/>
  <c r="EL342" i="1"/>
  <c r="EM342" i="1"/>
  <c r="EN342" i="1"/>
  <c r="EO342" i="1"/>
  <c r="EP342" i="1"/>
  <c r="EQ342" i="1"/>
  <c r="ER342" i="1"/>
  <c r="ES342" i="1"/>
  <c r="ET342" i="1"/>
  <c r="EU342" i="1"/>
  <c r="EV342" i="1"/>
  <c r="R343" i="1"/>
  <c r="ED343" i="1"/>
  <c r="EE343" i="1"/>
  <c r="EF343" i="1"/>
  <c r="EG343" i="1"/>
  <c r="EL343" i="1"/>
  <c r="R344" i="1"/>
  <c r="ED344" i="1"/>
  <c r="EE344" i="1"/>
  <c r="EF344" i="1"/>
  <c r="EG344" i="1"/>
  <c r="EH344" i="1"/>
  <c r="EI344" i="1"/>
  <c r="EJ344" i="1"/>
  <c r="EK344" i="1"/>
  <c r="EL344" i="1"/>
  <c r="EM344" i="1"/>
  <c r="EN344" i="1"/>
  <c r="EO344" i="1"/>
  <c r="EG345" i="1"/>
  <c r="EH345" i="1"/>
  <c r="EI345" i="1"/>
  <c r="R346" i="1"/>
  <c r="EC348" i="1"/>
  <c r="ED348" i="1"/>
  <c r="EE348" i="1"/>
  <c r="R349" i="1"/>
  <c r="ED349" i="1"/>
  <c r="EE349" i="1"/>
  <c r="EJ349" i="1"/>
  <c r="EK349" i="1"/>
  <c r="EN349" i="1"/>
  <c r="R350" i="1"/>
  <c r="ED350" i="1"/>
  <c r="EE350" i="1"/>
  <c r="EF350" i="1"/>
  <c r="EG350" i="1"/>
  <c r="EH350" i="1"/>
  <c r="R351" i="1"/>
  <c r="ED351" i="1"/>
  <c r="EE351" i="1"/>
  <c r="EF351" i="1"/>
  <c r="EG351" i="1"/>
  <c r="EH351" i="1"/>
  <c r="EI351" i="1"/>
  <c r="EJ351" i="1"/>
  <c r="EK351" i="1"/>
  <c r="EL351" i="1"/>
  <c r="EN351" i="1"/>
  <c r="R352" i="1"/>
  <c r="ED352" i="1"/>
  <c r="EE352" i="1"/>
  <c r="EF352" i="1"/>
  <c r="EG352" i="1"/>
  <c r="EL352" i="1"/>
  <c r="R353" i="1"/>
  <c r="ED353" i="1"/>
  <c r="EE353" i="1"/>
  <c r="EF353" i="1"/>
  <c r="EG353" i="1"/>
  <c r="EL353" i="1"/>
  <c r="R354" i="1"/>
  <c r="EH354" i="1"/>
  <c r="EI354" i="1"/>
  <c r="EJ354" i="1"/>
  <c r="EK354" i="1"/>
  <c r="EL354" i="1"/>
  <c r="EM354" i="1"/>
  <c r="EN354" i="1"/>
  <c r="EO354" i="1"/>
  <c r="EP354" i="1"/>
  <c r="R355" i="1"/>
  <c r="EC355" i="1"/>
  <c r="ED355" i="1"/>
  <c r="EE355" i="1"/>
  <c r="EF355" i="1"/>
  <c r="EG355" i="1"/>
  <c r="R356" i="1"/>
  <c r="ED356" i="1"/>
  <c r="EE356" i="1"/>
  <c r="EF356" i="1"/>
  <c r="EG356" i="1"/>
  <c r="R357" i="1"/>
  <c r="ED357" i="1"/>
  <c r="EE357" i="1"/>
  <c r="EF357" i="1"/>
  <c r="EG357" i="1"/>
  <c r="EH357" i="1"/>
  <c r="EI357" i="1"/>
  <c r="EJ357" i="1"/>
  <c r="EK357" i="1"/>
  <c r="EL357" i="1"/>
  <c r="EM357" i="1"/>
  <c r="EN357" i="1"/>
  <c r="EO357" i="1"/>
  <c r="R358" i="1"/>
  <c r="ED358" i="1"/>
  <c r="EE358" i="1"/>
  <c r="EF358" i="1"/>
  <c r="EG358" i="1"/>
  <c r="R359" i="1"/>
  <c r="ED359" i="1"/>
  <c r="EE359" i="1"/>
  <c r="EF359" i="1"/>
  <c r="EG359" i="1"/>
  <c r="EH359" i="1"/>
  <c r="EN359" i="1"/>
  <c r="R360" i="1"/>
  <c r="ED360" i="1"/>
  <c r="EE360" i="1"/>
  <c r="EF360" i="1"/>
  <c r="EG360" i="1"/>
  <c r="EL360" i="1"/>
  <c r="EM360" i="1"/>
  <c r="EJ361" i="1"/>
  <c r="EK361" i="1"/>
  <c r="EL361" i="1"/>
  <c r="EM361" i="1"/>
  <c r="EN361" i="1"/>
  <c r="EO361" i="1"/>
  <c r="EP361" i="1"/>
  <c r="R362" i="1"/>
  <c r="ED362" i="1"/>
  <c r="EE362" i="1"/>
  <c r="R363" i="1"/>
  <c r="ED363" i="1"/>
  <c r="EE363" i="1"/>
  <c r="EK363" i="1"/>
  <c r="R364" i="1"/>
  <c r="ED364" i="1"/>
  <c r="EE364" i="1"/>
  <c r="EF364" i="1"/>
  <c r="EK364" i="1"/>
  <c r="R365" i="1"/>
  <c r="ED365" i="1"/>
  <c r="EE365" i="1"/>
  <c r="EF365" i="1"/>
  <c r="EG365" i="1"/>
  <c r="EH365" i="1"/>
  <c r="EM365" i="1"/>
  <c r="R366" i="1"/>
  <c r="ED366" i="1"/>
  <c r="EE366" i="1"/>
  <c r="EF366" i="1"/>
  <c r="EG366" i="1"/>
  <c r="EH366" i="1"/>
  <c r="EI366" i="1"/>
  <c r="EJ366" i="1"/>
  <c r="EK366" i="1"/>
  <c r="EL366" i="1"/>
  <c r="EU366" i="1"/>
  <c r="EV366" i="1"/>
  <c r="R367" i="1"/>
  <c r="R368" i="1"/>
  <c r="EH368" i="1"/>
  <c r="R369" i="1"/>
  <c r="R370" i="1"/>
  <c r="R371" i="1"/>
  <c r="R372" i="1"/>
  <c r="R373" i="1"/>
  <c r="R376" i="1"/>
  <c r="ED376" i="1"/>
  <c r="EE376" i="1"/>
  <c r="EF376" i="1"/>
  <c r="EG376" i="1"/>
  <c r="EH376" i="1"/>
  <c r="EI376" i="1"/>
  <c r="EP376" i="1"/>
  <c r="EJ377" i="1"/>
  <c r="EK377" i="1"/>
  <c r="EL377" i="1"/>
  <c r="EM377" i="1"/>
  <c r="EN377" i="1"/>
  <c r="EO377" i="1"/>
  <c r="EH378" i="1"/>
  <c r="EI378" i="1"/>
  <c r="EJ378" i="1"/>
  <c r="EK378" i="1"/>
  <c r="R379" i="1"/>
  <c r="EE379" i="1"/>
  <c r="EF379" i="1"/>
  <c r="EG379" i="1"/>
  <c r="EC380" i="1"/>
  <c r="ED380" i="1"/>
  <c r="EE380" i="1"/>
  <c r="EF380" i="1"/>
  <c r="EG380" i="1"/>
  <c r="EH380" i="1"/>
  <c r="EI380" i="1"/>
  <c r="EJ380" i="1"/>
  <c r="R381" i="1"/>
  <c r="EE381" i="1"/>
  <c r="EF381" i="1"/>
  <c r="EG381" i="1"/>
  <c r="R382" i="1"/>
  <c r="EF382" i="1"/>
  <c r="EG382" i="1"/>
  <c r="EH382" i="1"/>
  <c r="R383" i="1"/>
  <c r="ED383" i="1"/>
  <c r="EE383" i="1"/>
  <c r="EF383" i="1"/>
  <c r="EG383" i="1"/>
  <c r="EH383" i="1"/>
  <c r="EI383" i="1"/>
  <c r="EO383" i="1"/>
  <c r="EP383" i="1"/>
  <c r="EQ383" i="1"/>
  <c r="ER383" i="1"/>
  <c r="EU383" i="1"/>
  <c r="R384" i="1"/>
  <c r="ED384" i="1"/>
  <c r="EE384" i="1"/>
  <c r="EF384" i="1"/>
  <c r="EG384" i="1"/>
  <c r="EH384" i="1"/>
  <c r="EI384" i="1"/>
  <c r="R385" i="1"/>
  <c r="ED385" i="1"/>
  <c r="EE385" i="1"/>
  <c r="EF385" i="1"/>
  <c r="EG385" i="1"/>
  <c r="EH385" i="1"/>
  <c r="EI385" i="1"/>
  <c r="EJ385" i="1"/>
  <c r="EK385" i="1"/>
  <c r="EL385" i="1"/>
  <c r="EM385" i="1"/>
  <c r="ER385" i="1"/>
  <c r="ES385" i="1"/>
  <c r="ET385" i="1"/>
  <c r="R386" i="1"/>
  <c r="ED386" i="1"/>
  <c r="EE386" i="1"/>
  <c r="EF386" i="1"/>
  <c r="EG386" i="1"/>
  <c r="EL386" i="1"/>
  <c r="ES386" i="1"/>
  <c r="ED387" i="1"/>
  <c r="EE387" i="1"/>
  <c r="EE388" i="1"/>
  <c r="EI388" i="1"/>
  <c r="R389" i="1"/>
  <c r="ED389" i="1"/>
  <c r="EE389" i="1"/>
  <c r="EF389" i="1"/>
  <c r="EG389" i="1"/>
  <c r="EH389" i="1"/>
  <c r="EI389" i="1"/>
  <c r="EJ389" i="1"/>
  <c r="EK389" i="1"/>
  <c r="EL389" i="1"/>
  <c r="ES389" i="1"/>
  <c r="R390" i="1"/>
  <c r="ED390" i="1"/>
  <c r="EE390" i="1"/>
  <c r="EK390" i="1"/>
  <c r="R391" i="1"/>
  <c r="ED391" i="1"/>
  <c r="EE391" i="1"/>
  <c r="EF391" i="1"/>
  <c r="EG391" i="1"/>
  <c r="EH391" i="1"/>
  <c r="R392" i="1"/>
  <c r="EG392" i="1"/>
  <c r="EH392" i="1"/>
  <c r="EL392" i="1"/>
  <c r="EM392" i="1"/>
  <c r="R393" i="1"/>
  <c r="ED393" i="1"/>
  <c r="EE393" i="1"/>
  <c r="EF393" i="1"/>
  <c r="EG393" i="1"/>
  <c r="EH393" i="1"/>
  <c r="EL393" i="1"/>
  <c r="EM393" i="1"/>
  <c r="EN393" i="1"/>
  <c r="R394" i="1"/>
  <c r="ED394" i="1"/>
  <c r="EE394" i="1"/>
  <c r="EF394" i="1"/>
  <c r="EG394" i="1"/>
  <c r="R397" i="1"/>
  <c r="ED397" i="1"/>
  <c r="EE397" i="1"/>
  <c r="EF397" i="1"/>
  <c r="EG397" i="1"/>
  <c r="EL397" i="1"/>
  <c r="R398" i="1"/>
  <c r="ED398" i="1"/>
  <c r="EE398" i="1"/>
  <c r="EF398" i="1"/>
  <c r="EG398" i="1"/>
  <c r="EH398" i="1"/>
  <c r="EM398" i="1"/>
  <c r="R399" i="1"/>
  <c r="R400" i="1"/>
  <c r="EE400" i="1"/>
  <c r="EF400" i="1"/>
  <c r="EG400" i="1"/>
  <c r="R401" i="1"/>
  <c r="R402" i="1"/>
  <c r="R405" i="1"/>
  <c r="EE405" i="1"/>
  <c r="EF405" i="1"/>
  <c r="EG405" i="1"/>
  <c r="R406" i="1"/>
  <c r="EH406" i="1"/>
  <c r="EI406" i="1"/>
  <c r="EJ406" i="1"/>
  <c r="EK406" i="1"/>
  <c r="EL406" i="1"/>
  <c r="EM406" i="1"/>
  <c r="EN406" i="1"/>
  <c r="EO406" i="1"/>
  <c r="EP406" i="1"/>
  <c r="EE407" i="1"/>
  <c r="EF407" i="1"/>
  <c r="EH423" i="1"/>
  <c r="EI423" i="1"/>
  <c r="EP423" i="1"/>
  <c r="EG425" i="1"/>
  <c r="EH425" i="1"/>
  <c r="EE426" i="1"/>
  <c r="EF426" i="1"/>
  <c r="EG426" i="1"/>
  <c r="EE427" i="1"/>
  <c r="EE428" i="1"/>
  <c r="EF428" i="1"/>
  <c r="EG428" i="1"/>
  <c r="EF429" i="1"/>
  <c r="EL429" i="1"/>
  <c r="EH430" i="1"/>
  <c r="EG431" i="1"/>
  <c r="EH431" i="1"/>
  <c r="EI431" i="1"/>
  <c r="EE432" i="1"/>
  <c r="EF432" i="1"/>
  <c r="EG432" i="1"/>
  <c r="EH432" i="1"/>
  <c r="EI432" i="1"/>
  <c r="EJ432" i="1"/>
  <c r="EK432" i="1"/>
  <c r="EL432" i="1"/>
  <c r="EM432" i="1"/>
  <c r="ET432" i="1"/>
  <c r="EU432" i="1"/>
  <c r="EW432" i="1"/>
  <c r="EF433" i="1"/>
  <c r="EG433" i="1"/>
  <c r="EH433" i="1"/>
  <c r="EI433" i="1"/>
  <c r="EK433" i="1"/>
  <c r="EL433" i="1"/>
  <c r="EM433" i="1"/>
  <c r="EN433" i="1"/>
  <c r="EO433" i="1"/>
  <c r="R434" i="1"/>
  <c r="EL434" i="1"/>
  <c r="EM434" i="1"/>
  <c r="EI435" i="1"/>
  <c r="EJ435" i="1"/>
  <c r="EK435" i="1"/>
  <c r="EN436" i="1"/>
  <c r="EO436" i="1"/>
  <c r="EF437" i="1"/>
  <c r="EG437" i="1"/>
  <c r="EH437" i="1"/>
  <c r="R439" i="1"/>
  <c r="ED439" i="1"/>
  <c r="EL439" i="1"/>
  <c r="R440" i="1"/>
  <c r="ED440" i="1"/>
  <c r="EE440" i="1"/>
  <c r="R441" i="1"/>
  <c r="R442" i="1"/>
  <c r="ED442" i="1"/>
  <c r="R443" i="1"/>
  <c r="EF443" i="1"/>
  <c r="EG443" i="1"/>
  <c r="EH443" i="1"/>
  <c r="EI443" i="1"/>
  <c r="EJ443" i="1"/>
  <c r="EK443" i="1"/>
  <c r="R444" i="1"/>
  <c r="EE444" i="1"/>
  <c r="EF444" i="1"/>
  <c r="EG444" i="1"/>
  <c r="R445" i="1"/>
  <c r="ED445" i="1"/>
  <c r="EK445" i="1"/>
  <c r="R446" i="1"/>
  <c r="EJ446" i="1"/>
  <c r="EK446" i="1"/>
  <c r="EL446" i="1"/>
  <c r="EM446" i="1"/>
  <c r="EQ446" i="1"/>
  <c r="EW446" i="1"/>
  <c r="R447" i="1"/>
  <c r="ED447" i="1"/>
  <c r="R449" i="1"/>
  <c r="EC449" i="1"/>
  <c r="ED449" i="1"/>
  <c r="EE449" i="1"/>
  <c r="EF449" i="1"/>
  <c r="R450" i="1"/>
  <c r="EG450" i="1"/>
  <c r="EH450" i="1"/>
  <c r="EI450" i="1"/>
  <c r="EJ450" i="1"/>
  <c r="EK450" i="1"/>
  <c r="EL450" i="1"/>
  <c r="R451" i="1"/>
  <c r="ED451" i="1"/>
  <c r="EI451" i="1"/>
  <c r="R452" i="1"/>
  <c r="EE452" i="1"/>
  <c r="EI452" i="1"/>
  <c r="EJ452" i="1"/>
  <c r="R453" i="1"/>
  <c r="EF453" i="1"/>
  <c r="EH453" i="1"/>
  <c r="R454" i="1"/>
  <c r="ED454" i="1"/>
  <c r="EE454" i="1"/>
  <c r="EK454" i="1"/>
  <c r="EL454" i="1"/>
  <c r="R455" i="1"/>
  <c r="EF455" i="1"/>
  <c r="EG455" i="1"/>
  <c r="EJ455" i="1"/>
  <c r="R456" i="1"/>
  <c r="EF456" i="1"/>
  <c r="EG456" i="1"/>
  <c r="EH456" i="1"/>
  <c r="EN456" i="1"/>
  <c r="EO456" i="1"/>
  <c r="R457" i="1"/>
  <c r="ED457" i="1"/>
  <c r="EJ457" i="1"/>
  <c r="R458" i="1"/>
  <c r="EG458" i="1"/>
  <c r="EK458" i="1"/>
  <c r="EL458" i="1"/>
  <c r="EM458" i="1"/>
  <c r="EN458" i="1"/>
  <c r="R459" i="1"/>
  <c r="EF459" i="1"/>
  <c r="EJ459" i="1"/>
  <c r="R460" i="1"/>
  <c r="ED460" i="1"/>
  <c r="EJ460" i="1"/>
  <c r="R461" i="1"/>
  <c r="ED461" i="1"/>
  <c r="EJ461" i="1"/>
  <c r="R462" i="1"/>
  <c r="EF462" i="1"/>
  <c r="EJ462" i="1"/>
  <c r="R463" i="1"/>
  <c r="ED463" i="1"/>
  <c r="EJ463" i="1"/>
  <c r="R464" i="1"/>
  <c r="ED464" i="1"/>
  <c r="EG464" i="1"/>
  <c r="EJ464" i="1"/>
  <c r="EJ465" i="1"/>
  <c r="EK465" i="1"/>
  <c r="EL465" i="1"/>
  <c r="EM465" i="1"/>
  <c r="EN465" i="1"/>
  <c r="EO465" i="1"/>
  <c r="EP465" i="1"/>
  <c r="EQ465" i="1"/>
  <c r="ER465" i="1"/>
  <c r="ES465" i="1"/>
  <c r="ET465" i="1"/>
  <c r="EU465" i="1"/>
  <c r="EV465" i="1"/>
  <c r="EW465" i="1"/>
  <c r="EX465" i="1"/>
  <c r="EY465" i="1"/>
  <c r="EZ465" i="1"/>
  <c r="EE466" i="1"/>
  <c r="R467" i="1"/>
  <c r="R468" i="1"/>
  <c r="EC468" i="1"/>
  <c r="R469" i="1"/>
  <c r="EG469" i="1"/>
  <c r="EH469" i="1"/>
  <c r="EI469" i="1"/>
  <c r="R470" i="1"/>
  <c r="EC470" i="1"/>
  <c r="ED470" i="1"/>
  <c r="EE470" i="1"/>
  <c r="EF470" i="1"/>
  <c r="EG470" i="1"/>
  <c r="EI470" i="1"/>
  <c r="EP470" i="1"/>
  <c r="EG472" i="1"/>
  <c r="EH472" i="1"/>
  <c r="EE473" i="1"/>
  <c r="EF473" i="1"/>
  <c r="EG473" i="1"/>
  <c r="EE474" i="1"/>
  <c r="EG475" i="1"/>
  <c r="EH475" i="1"/>
  <c r="EH476" i="1"/>
  <c r="EI476" i="1"/>
  <c r="EJ476" i="1"/>
  <c r="EK476" i="1"/>
  <c r="R477" i="1"/>
  <c r="ED477" i="1"/>
  <c r="EE477" i="1"/>
  <c r="EF477" i="1"/>
  <c r="EG477" i="1"/>
  <c r="ED478" i="1"/>
  <c r="EE478" i="1"/>
  <c r="EF478" i="1"/>
  <c r="EG478" i="1"/>
  <c r="EH478" i="1"/>
  <c r="EJ478" i="1"/>
  <c r="EF479" i="1"/>
  <c r="EG479" i="1"/>
  <c r="EH479" i="1"/>
  <c r="EF480" i="1"/>
  <c r="EG480" i="1"/>
  <c r="EF481" i="1"/>
  <c r="EG481" i="1"/>
  <c r="EH481" i="1"/>
  <c r="EI481" i="1"/>
  <c r="EJ481" i="1"/>
  <c r="EL481" i="1"/>
  <c r="EM481" i="1"/>
  <c r="EN481" i="1"/>
  <c r="EO481" i="1"/>
  <c r="EP481" i="1"/>
  <c r="EQ481" i="1"/>
  <c r="EE483" i="1"/>
  <c r="EF483" i="1"/>
  <c r="EG483" i="1"/>
  <c r="EF484" i="1"/>
  <c r="EG484" i="1"/>
  <c r="EH484" i="1"/>
  <c r="EI484" i="1"/>
  <c r="EF485" i="1"/>
  <c r="EG485" i="1"/>
  <c r="EH485" i="1"/>
  <c r="EI485" i="1"/>
  <c r="EJ485" i="1"/>
  <c r="EM485" i="1"/>
  <c r="EI486" i="1"/>
  <c r="EJ486" i="1"/>
  <c r="EK486" i="1"/>
  <c r="EL486" i="1"/>
  <c r="EM486" i="1"/>
  <c r="EN486" i="1"/>
  <c r="EO486" i="1"/>
  <c r="EF487" i="1"/>
  <c r="EG487" i="1"/>
  <c r="EH487" i="1"/>
  <c r="EG488" i="1"/>
  <c r="EH488" i="1"/>
  <c r="EI488" i="1"/>
  <c r="EK488" i="1"/>
  <c r="EL488" i="1"/>
  <c r="EG489" i="1"/>
  <c r="EH489" i="1"/>
  <c r="EI489" i="1"/>
  <c r="EJ489" i="1"/>
  <c r="EK489" i="1"/>
  <c r="EL489" i="1"/>
  <c r="EM489" i="1"/>
  <c r="ED490" i="1"/>
  <c r="EE490" i="1"/>
  <c r="EG490" i="1"/>
  <c r="EH490" i="1"/>
  <c r="EI490" i="1"/>
  <c r="EF491" i="1"/>
  <c r="EG491" i="1"/>
  <c r="EH491" i="1"/>
  <c r="EI491" i="1"/>
  <c r="EJ491" i="1"/>
  <c r="EI492" i="1"/>
  <c r="EJ492" i="1"/>
  <c r="EK492" i="1"/>
  <c r="EL492" i="1"/>
  <c r="EM492" i="1"/>
  <c r="EF493" i="1"/>
  <c r="EG493" i="1"/>
  <c r="EH493" i="1"/>
  <c r="EI493" i="1"/>
  <c r="ED494" i="1"/>
  <c r="EE494" i="1"/>
  <c r="EG494" i="1"/>
  <c r="EH494" i="1"/>
  <c r="EI494" i="1"/>
  <c r="EF495" i="1"/>
  <c r="EG495" i="1"/>
  <c r="EH495" i="1"/>
  <c r="EI495" i="1"/>
  <c r="EJ495" i="1"/>
  <c r="EK495" i="1"/>
  <c r="EM495" i="1"/>
  <c r="EN495" i="1"/>
  <c r="EF496" i="1"/>
  <c r="EG496" i="1"/>
  <c r="EH496" i="1"/>
  <c r="EI496" i="1"/>
  <c r="ED497" i="1"/>
  <c r="EE497" i="1"/>
  <c r="EF497" i="1"/>
  <c r="EG497" i="1"/>
  <c r="EH497" i="1"/>
  <c r="EI497" i="1"/>
  <c r="EJ497" i="1"/>
  <c r="EF498" i="1"/>
  <c r="EG498" i="1"/>
  <c r="EH498" i="1"/>
  <c r="EI498" i="1"/>
  <c r="EJ498" i="1"/>
  <c r="EK498" i="1"/>
  <c r="EL498" i="1"/>
  <c r="EF499" i="1"/>
  <c r="EG499" i="1"/>
  <c r="EH499" i="1"/>
  <c r="EF500" i="1"/>
  <c r="EG500" i="1"/>
  <c r="EH500" i="1"/>
  <c r="EI500" i="1"/>
  <c r="EJ500" i="1"/>
  <c r="EG501" i="1"/>
  <c r="EH501" i="1"/>
  <c r="EI501" i="1"/>
  <c r="EJ501" i="1"/>
  <c r="EK501" i="1"/>
  <c r="EL501" i="1"/>
  <c r="EM501" i="1"/>
  <c r="EN501" i="1"/>
  <c r="EO501" i="1"/>
  <c r="EP501" i="1"/>
  <c r="EQ501" i="1"/>
  <c r="ER501" i="1"/>
  <c r="ES501" i="1"/>
  <c r="ET501" i="1"/>
  <c r="EU501" i="1"/>
  <c r="EV501" i="1"/>
  <c r="EF502" i="1"/>
  <c r="EG502" i="1"/>
  <c r="EH502" i="1"/>
  <c r="EI502" i="1"/>
  <c r="EJ502" i="1"/>
  <c r="EK502" i="1"/>
  <c r="EL502" i="1"/>
  <c r="EM502" i="1"/>
  <c r="ED503" i="1"/>
  <c r="EE503" i="1"/>
  <c r="EF503" i="1"/>
  <c r="EG503" i="1"/>
  <c r="EH503" i="1"/>
  <c r="EG504" i="1"/>
  <c r="EH504" i="1"/>
  <c r="EI504" i="1"/>
  <c r="EJ504" i="1"/>
  <c r="EK504" i="1"/>
  <c r="EL504" i="1"/>
  <c r="EM504" i="1"/>
  <c r="EN504" i="1"/>
  <c r="EO504" i="1"/>
  <c r="EP504" i="1"/>
  <c r="ED505" i="1"/>
  <c r="EE505" i="1"/>
  <c r="EF505" i="1"/>
  <c r="EG505" i="1"/>
  <c r="EH505" i="1"/>
  <c r="EI505" i="1"/>
  <c r="EJ505" i="1"/>
  <c r="EK505" i="1"/>
  <c r="EL505" i="1"/>
  <c r="EO505" i="1"/>
  <c r="EP505" i="1"/>
  <c r="EQ505" i="1"/>
  <c r="ER505" i="1"/>
  <c r="EF506" i="1"/>
  <c r="EG506" i="1"/>
  <c r="EH506" i="1"/>
  <c r="EI506" i="1"/>
  <c r="EJ506" i="1"/>
  <c r="EF507" i="1"/>
  <c r="EG507" i="1"/>
  <c r="EH507" i="1"/>
  <c r="EI507" i="1"/>
  <c r="EF508" i="1"/>
  <c r="EG508" i="1"/>
  <c r="EH508" i="1"/>
  <c r="EI508" i="1"/>
  <c r="EJ508" i="1"/>
  <c r="EK508" i="1"/>
  <c r="ED509" i="1"/>
  <c r="EE509" i="1"/>
  <c r="EF509" i="1"/>
  <c r="EG509" i="1"/>
  <c r="EH509" i="1"/>
  <c r="EL509" i="1"/>
  <c r="EM509" i="1"/>
  <c r="EN509" i="1"/>
  <c r="EO509" i="1"/>
  <c r="EP509" i="1"/>
  <c r="EQ509" i="1"/>
  <c r="ER509" i="1"/>
  <c r="EF510" i="1"/>
  <c r="EG510" i="1"/>
  <c r="EH510" i="1"/>
  <c r="EI510" i="1"/>
  <c r="EJ510" i="1"/>
  <c r="EF511" i="1"/>
  <c r="EG511" i="1"/>
  <c r="EH511" i="1"/>
  <c r="EI511" i="1"/>
  <c r="EE512" i="1"/>
  <c r="EF512" i="1"/>
  <c r="EG512" i="1"/>
  <c r="EH512" i="1"/>
  <c r="EI512" i="1"/>
  <c r="EJ512" i="1"/>
  <c r="ED513" i="1"/>
  <c r="EE513" i="1"/>
  <c r="EF513" i="1"/>
  <c r="EG513" i="1"/>
  <c r="EH513" i="1"/>
  <c r="EI513" i="1"/>
  <c r="EJ513" i="1"/>
  <c r="ED514" i="1"/>
  <c r="EE514" i="1"/>
  <c r="EF514" i="1"/>
  <c r="EG514" i="1"/>
  <c r="ED515" i="1"/>
  <c r="EE515" i="1"/>
  <c r="EF515" i="1"/>
  <c r="EG515" i="1"/>
  <c r="EH515" i="1"/>
  <c r="EI515" i="1"/>
  <c r="EJ515" i="1"/>
  <c r="EK515" i="1"/>
  <c r="EL515" i="1"/>
  <c r="EM515" i="1"/>
  <c r="EN515" i="1"/>
  <c r="EO515" i="1"/>
  <c r="ED516" i="1"/>
  <c r="EE516" i="1"/>
  <c r="EF517" i="1"/>
  <c r="EG517" i="1"/>
  <c r="EH517" i="1"/>
  <c r="EI517" i="1"/>
  <c r="EJ517" i="1"/>
  <c r="EK517" i="1"/>
  <c r="EL517" i="1"/>
  <c r="EM517" i="1"/>
  <c r="EN517" i="1"/>
  <c r="ED518" i="1"/>
  <c r="EE518" i="1"/>
  <c r="EF518" i="1"/>
  <c r="EG518" i="1"/>
  <c r="EH518" i="1"/>
  <c r="EI518" i="1"/>
  <c r="EJ518" i="1"/>
  <c r="EK518" i="1"/>
  <c r="EE519" i="1"/>
  <c r="EF519" i="1"/>
  <c r="EG519" i="1"/>
  <c r="EH519" i="1"/>
  <c r="EI519" i="1"/>
  <c r="R520" i="1"/>
  <c r="R521" i="1"/>
  <c r="R522" i="1"/>
  <c r="R523" i="1"/>
  <c r="R524" i="1"/>
  <c r="R525" i="1"/>
  <c r="R526" i="1"/>
  <c r="R527" i="1"/>
  <c r="R528" i="1"/>
  <c r="R529" i="1"/>
  <c r="EF530" i="1"/>
  <c r="EF531" i="1"/>
  <c r="EG531" i="1"/>
  <c r="EG532" i="1"/>
  <c r="EH532" i="1"/>
  <c r="EF533" i="1"/>
  <c r="R534" i="1"/>
  <c r="EH535" i="1"/>
  <c r="R536" i="1"/>
  <c r="ED536" i="1"/>
  <c r="EE536" i="1"/>
  <c r="EF536" i="1"/>
  <c r="EG536" i="1"/>
  <c r="EH536" i="1"/>
  <c r="EI536" i="1"/>
  <c r="EJ536" i="1"/>
  <c r="EK536" i="1"/>
  <c r="EL536" i="1"/>
  <c r="R537" i="1"/>
  <c r="ED537" i="1"/>
  <c r="EE537" i="1"/>
  <c r="EF537" i="1"/>
  <c r="R538" i="1"/>
  <c r="EI539" i="1"/>
  <c r="EJ539" i="1"/>
  <c r="ED540" i="1"/>
  <c r="EE540" i="1"/>
  <c r="EF540" i="1"/>
  <c r="ED541" i="1"/>
  <c r="EE541" i="1"/>
  <c r="R542" i="1"/>
  <c r="ED542" i="1"/>
  <c r="EE542" i="1"/>
  <c r="EF542" i="1"/>
  <c r="EG542" i="1"/>
  <c r="EH542" i="1"/>
  <c r="EI542" i="1"/>
  <c r="EJ542" i="1"/>
  <c r="EK542" i="1"/>
  <c r="EL542" i="1"/>
  <c r="EM542" i="1"/>
  <c r="EN542" i="1"/>
  <c r="EO542" i="1"/>
  <c r="EP542" i="1"/>
  <c r="EQ542" i="1"/>
  <c r="ER542" i="1"/>
  <c r="ES542" i="1"/>
  <c r="ET542" i="1"/>
  <c r="EY542" i="1"/>
  <c r="EZ542" i="1"/>
  <c r="FA542" i="1"/>
  <c r="FB542" i="1"/>
  <c r="FC542" i="1"/>
  <c r="FE542" i="1"/>
  <c r="FG542" i="1"/>
  <c r="R543" i="1"/>
  <c r="ED543" i="1"/>
  <c r="EE543" i="1"/>
  <c r="EF543" i="1"/>
  <c r="EG543" i="1"/>
  <c r="EH543" i="1"/>
  <c r="EI543" i="1"/>
  <c r="EJ543" i="1"/>
  <c r="EK543" i="1"/>
  <c r="EL543" i="1"/>
  <c r="EM543" i="1"/>
  <c r="EN543" i="1"/>
  <c r="EO543" i="1"/>
  <c r="EP543" i="1"/>
  <c r="EQ543" i="1"/>
  <c r="ER543" i="1"/>
  <c r="ES543" i="1"/>
  <c r="ET543" i="1"/>
  <c r="EU543" i="1"/>
  <c r="R544" i="1"/>
  <c r="ED544" i="1"/>
  <c r="EE544" i="1"/>
  <c r="EF544" i="1"/>
  <c r="EG544" i="1"/>
  <c r="R545" i="1"/>
  <c r="ED545" i="1"/>
  <c r="EE545" i="1"/>
  <c r="EF545" i="1"/>
  <c r="EG545" i="1"/>
  <c r="EH545" i="1"/>
  <c r="EI545" i="1"/>
  <c r="R546" i="1"/>
  <c r="ED546" i="1"/>
  <c r="EE546" i="1"/>
  <c r="EF546" i="1"/>
  <c r="EG546" i="1"/>
  <c r="R547" i="1"/>
  <c r="ED547" i="1"/>
  <c r="EE547" i="1"/>
  <c r="EF547" i="1"/>
  <c r="R548" i="1"/>
  <c r="ED548" i="1"/>
  <c r="EE548" i="1"/>
  <c r="EF548" i="1"/>
  <c r="ED549" i="1"/>
  <c r="EF549" i="1"/>
  <c r="EG549" i="1"/>
  <c r="ED550" i="1"/>
  <c r="EE550" i="1"/>
  <c r="EF550" i="1"/>
  <c r="EG550" i="1"/>
  <c r="EH550" i="1"/>
  <c r="R551" i="1"/>
  <c r="ED551" i="1"/>
  <c r="EE551" i="1"/>
  <c r="EF551" i="1"/>
  <c r="EG551" i="1"/>
  <c r="EH551" i="1"/>
  <c r="EI551" i="1"/>
  <c r="EJ551" i="1"/>
  <c r="EK551" i="1"/>
  <c r="R552" i="1"/>
  <c r="ED552" i="1"/>
  <c r="EE552" i="1"/>
  <c r="EF552" i="1"/>
  <c r="R553" i="1"/>
  <c r="ED553" i="1"/>
  <c r="EE553" i="1"/>
  <c r="EF553" i="1"/>
  <c r="EG553" i="1"/>
  <c r="R554" i="1"/>
  <c r="ED554" i="1"/>
  <c r="EE554" i="1"/>
  <c r="EF554" i="1"/>
  <c r="EG554" i="1"/>
  <c r="EH554" i="1"/>
  <c r="EI554" i="1"/>
  <c r="EJ554" i="1"/>
  <c r="EK554" i="1"/>
  <c r="EL554" i="1"/>
  <c r="EM554" i="1"/>
  <c r="EN554" i="1"/>
  <c r="EO554" i="1"/>
  <c r="EP554" i="1"/>
  <c r="EQ554" i="1"/>
  <c r="R555" i="1"/>
  <c r="ED555" i="1"/>
  <c r="EE555" i="1"/>
  <c r="EF555" i="1"/>
  <c r="EG555" i="1"/>
  <c r="EH555" i="1"/>
  <c r="EI555" i="1"/>
  <c r="EJ555" i="1"/>
  <c r="EK555" i="1"/>
  <c r="EL555" i="1"/>
  <c r="R556" i="1"/>
  <c r="ED556" i="1"/>
  <c r="EE556" i="1"/>
  <c r="EF556" i="1"/>
  <c r="EG556" i="1"/>
  <c r="EH556" i="1"/>
  <c r="EI556" i="1"/>
  <c r="EJ556" i="1"/>
  <c r="EK556" i="1"/>
  <c r="EL556" i="1"/>
  <c r="EM556" i="1"/>
  <c r="EN556" i="1"/>
  <c r="EO556" i="1"/>
  <c r="EP556" i="1"/>
  <c r="EQ556" i="1"/>
  <c r="ER556" i="1"/>
  <c r="ES556" i="1"/>
  <c r="ET556" i="1"/>
  <c r="EU556" i="1"/>
  <c r="R557" i="1"/>
  <c r="ED557" i="1"/>
  <c r="EE557" i="1"/>
  <c r="EF557" i="1"/>
  <c r="EG557" i="1"/>
  <c r="EH557" i="1"/>
  <c r="EI557" i="1"/>
  <c r="EN557" i="1"/>
  <c r="EO557" i="1"/>
  <c r="EP557" i="1"/>
  <c r="R558" i="1"/>
  <c r="ED558" i="1"/>
  <c r="EE558" i="1"/>
  <c r="EF558" i="1"/>
  <c r="EG558" i="1"/>
  <c r="EH558" i="1"/>
  <c r="EI558" i="1"/>
  <c r="R559" i="1"/>
  <c r="ED559" i="1"/>
  <c r="EE559" i="1"/>
  <c r="EF559" i="1"/>
  <c r="EG559" i="1"/>
  <c r="EH559" i="1"/>
  <c r="R560" i="1"/>
  <c r="ED560" i="1"/>
  <c r="EE560" i="1"/>
  <c r="EF560" i="1"/>
  <c r="EG560" i="1"/>
  <c r="EH560" i="1"/>
  <c r="EI560" i="1"/>
  <c r="EJ560" i="1"/>
  <c r="R561" i="1"/>
  <c r="ED561" i="1"/>
  <c r="EE561" i="1"/>
  <c r="EF561" i="1"/>
  <c r="EG561" i="1"/>
  <c r="EH561" i="1"/>
  <c r="EI561" i="1"/>
  <c r="EE562" i="1"/>
  <c r="EF562" i="1"/>
  <c r="EF563" i="1"/>
  <c r="R564" i="1"/>
  <c r="ED564" i="1"/>
  <c r="EE564" i="1"/>
  <c r="EF564" i="1"/>
  <c r="EG564" i="1"/>
  <c r="EH564" i="1"/>
  <c r="EM564" i="1"/>
  <c r="R565" i="1"/>
  <c r="ED565" i="1"/>
  <c r="EE565" i="1"/>
  <c r="EF565" i="1"/>
  <c r="EG565" i="1"/>
  <c r="EH565" i="1"/>
  <c r="EI565" i="1"/>
  <c r="R566" i="1"/>
  <c r="ED566" i="1"/>
  <c r="EE566" i="1"/>
  <c r="EF566" i="1"/>
  <c r="EG566" i="1"/>
  <c r="EH566" i="1"/>
  <c r="EI566" i="1"/>
  <c r="R567" i="1"/>
  <c r="ED567" i="1"/>
  <c r="EE567" i="1"/>
  <c r="EF567" i="1"/>
  <c r="R568" i="1"/>
  <c r="ED568" i="1"/>
  <c r="EE568" i="1"/>
  <c r="EF568" i="1"/>
  <c r="EH570" i="1"/>
  <c r="EI570" i="1"/>
  <c r="EI571" i="1"/>
  <c r="EH572" i="1"/>
  <c r="EI572" i="1"/>
  <c r="EF573" i="1"/>
  <c r="EG573" i="1"/>
  <c r="EH573" i="1"/>
  <c r="EH574" i="1"/>
  <c r="EI574" i="1"/>
  <c r="EH575" i="1"/>
  <c r="EI575" i="1"/>
  <c r="EJ575" i="1"/>
  <c r="EK575" i="1"/>
  <c r="EL575" i="1"/>
  <c r="EM575" i="1"/>
  <c r="EN575" i="1"/>
  <c r="EO575" i="1"/>
  <c r="EP575" i="1"/>
  <c r="EQ575" i="1"/>
  <c r="ER575" i="1"/>
  <c r="ES575" i="1"/>
  <c r="ET575" i="1"/>
  <c r="EU575" i="1"/>
  <c r="EV575" i="1"/>
  <c r="EW575" i="1"/>
  <c r="EX575" i="1"/>
  <c r="EY575" i="1"/>
  <c r="EZ575" i="1"/>
  <c r="FA575" i="1"/>
  <c r="FB575" i="1"/>
  <c r="FC575" i="1"/>
  <c r="FD575" i="1"/>
  <c r="FE575" i="1"/>
  <c r="FF575" i="1"/>
  <c r="FG575" i="1"/>
  <c r="FH575" i="1"/>
  <c r="FI575" i="1"/>
  <c r="EH576" i="1"/>
  <c r="EI576" i="1"/>
  <c r="EJ576" i="1"/>
  <c r="EK576" i="1"/>
  <c r="EL576" i="1"/>
  <c r="EM576" i="1"/>
  <c r="EN576" i="1"/>
  <c r="EO576" i="1"/>
  <c r="EP576" i="1"/>
  <c r="EQ576" i="1"/>
  <c r="ER576" i="1"/>
  <c r="ES576" i="1"/>
  <c r="ET576" i="1"/>
  <c r="EU576" i="1"/>
  <c r="EV576" i="1"/>
  <c r="EI577" i="1"/>
  <c r="EJ577" i="1"/>
  <c r="EK577" i="1"/>
  <c r="EG578" i="1"/>
  <c r="EH578" i="1"/>
  <c r="EI578" i="1"/>
  <c r="EJ578" i="1"/>
  <c r="EF579" i="1"/>
  <c r="EG579" i="1"/>
  <c r="EH579" i="1"/>
  <c r="R580" i="1"/>
  <c r="ED580" i="1"/>
  <c r="EE580" i="1"/>
  <c r="EF580" i="1"/>
  <c r="EG580" i="1"/>
  <c r="EH580" i="1"/>
  <c r="EI581" i="1"/>
  <c r="EJ581" i="1"/>
  <c r="EK581" i="1"/>
  <c r="EE582" i="1"/>
  <c r="EF582" i="1"/>
  <c r="EG582" i="1"/>
  <c r="EH582" i="1"/>
  <c r="EE583" i="1"/>
  <c r="EF583" i="1"/>
  <c r="EG583" i="1"/>
  <c r="EH583" i="1"/>
  <c r="EG600" i="1"/>
  <c r="EH600" i="1"/>
  <c r="EI600" i="1"/>
  <c r="EJ600" i="1"/>
  <c r="EK600" i="1"/>
  <c r="EL600" i="1"/>
  <c r="EE601" i="1"/>
  <c r="EF601" i="1"/>
  <c r="EG601" i="1"/>
  <c r="EH601" i="1"/>
  <c r="EI601" i="1"/>
  <c r="EJ601" i="1"/>
  <c r="EK601" i="1"/>
  <c r="EL601" i="1"/>
  <c r="EM601" i="1"/>
  <c r="EN601" i="1"/>
  <c r="EO601" i="1"/>
  <c r="EP601" i="1"/>
  <c r="R602" i="1"/>
  <c r="R603" i="1"/>
  <c r="EF605" i="1"/>
  <c r="EF606" i="1"/>
  <c r="EG606" i="1"/>
  <c r="EH606" i="1"/>
  <c r="EF607" i="1"/>
  <c r="EG607" i="1"/>
  <c r="EH607" i="1"/>
  <c r="EI607" i="1"/>
  <c r="EJ607" i="1"/>
  <c r="EK607" i="1"/>
  <c r="EL607" i="1"/>
  <c r="EM607" i="1"/>
  <c r="EN607" i="1"/>
  <c r="EO607" i="1"/>
  <c r="EP607" i="1"/>
  <c r="EQ607" i="1"/>
  <c r="ER607" i="1"/>
  <c r="EF608" i="1"/>
  <c r="EH612" i="1"/>
  <c r="EI612" i="1"/>
  <c r="EJ612" i="1"/>
  <c r="EH613" i="1"/>
  <c r="EI613" i="1"/>
  <c r="EK614" i="1"/>
  <c r="EL614" i="1"/>
  <c r="EH615" i="1"/>
  <c r="EI615" i="1"/>
  <c r="EJ615" i="1"/>
  <c r="EG616" i="1"/>
  <c r="EH616" i="1"/>
  <c r="EG617" i="1"/>
  <c r="EH617" i="1"/>
  <c r="EI617" i="1"/>
  <c r="R618" i="1"/>
  <c r="EI618" i="1"/>
  <c r="R619" i="1"/>
  <c r="EI619" i="1"/>
  <c r="R620" i="1"/>
  <c r="EG620" i="1"/>
  <c r="EG621" i="1"/>
  <c r="EH623" i="1"/>
  <c r="EG624" i="1"/>
  <c r="EH624" i="1"/>
  <c r="EI624" i="1"/>
  <c r="EJ624" i="1"/>
  <c r="EH626" i="1"/>
  <c r="EK626" i="1"/>
  <c r="EF628" i="1"/>
  <c r="R630" i="1"/>
  <c r="ED630" i="1"/>
  <c r="EE630" i="1"/>
  <c r="EF630" i="1"/>
  <c r="R631" i="1"/>
  <c r="ED631" i="1"/>
  <c r="EE631" i="1"/>
  <c r="EF631" i="1"/>
  <c r="R632" i="1"/>
  <c r="ED632" i="1"/>
  <c r="EE632" i="1"/>
  <c r="EF632" i="1"/>
  <c r="EG632" i="1"/>
  <c r="EH632" i="1"/>
  <c r="EH633" i="1"/>
  <c r="EI633" i="1"/>
  <c r="EJ633" i="1"/>
  <c r="EK633" i="1"/>
  <c r="EG634" i="1"/>
  <c r="EH634" i="1"/>
  <c r="EI634" i="1"/>
  <c r="EJ634" i="1"/>
  <c r="EK634" i="1"/>
  <c r="EL634" i="1"/>
  <c r="EM634" i="1"/>
  <c r="EN634" i="1"/>
  <c r="EO634" i="1"/>
  <c r="EF635" i="1"/>
  <c r="EG635" i="1"/>
  <c r="EH635" i="1"/>
  <c r="EI635" i="1"/>
  <c r="EJ635" i="1"/>
  <c r="EF636" i="1"/>
  <c r="EG636" i="1"/>
  <c r="EH636" i="1"/>
  <c r="EI636" i="1"/>
  <c r="EJ636" i="1"/>
  <c r="EK636" i="1"/>
  <c r="EL636" i="1"/>
  <c r="EF637" i="1"/>
  <c r="EG637" i="1"/>
  <c r="EH637" i="1"/>
  <c r="EI637" i="1"/>
  <c r="EE638" i="1"/>
  <c r="EF638" i="1"/>
  <c r="EG638" i="1"/>
  <c r="EH638" i="1"/>
  <c r="EL638" i="1"/>
  <c r="EF639" i="1"/>
  <c r="EG639" i="1"/>
  <c r="EF640" i="1"/>
  <c r="EG640" i="1"/>
  <c r="ED641" i="1"/>
  <c r="EE641" i="1"/>
  <c r="EF641" i="1"/>
  <c r="EG641" i="1"/>
  <c r="EH641" i="1"/>
  <c r="ED642" i="1"/>
  <c r="EE642" i="1"/>
  <c r="EF642" i="1"/>
  <c r="EG642" i="1"/>
  <c r="EF643" i="1"/>
  <c r="EG643" i="1"/>
  <c r="EH643" i="1"/>
  <c r="EI643" i="1"/>
  <c r="EJ643" i="1"/>
  <c r="EK643" i="1"/>
  <c r="EL643" i="1"/>
  <c r="EF644" i="1"/>
  <c r="EG644" i="1"/>
  <c r="EH644" i="1"/>
  <c r="EI644" i="1"/>
  <c r="EJ644" i="1"/>
  <c r="EK644" i="1"/>
  <c r="EL644" i="1"/>
  <c r="EM644" i="1"/>
  <c r="EG645" i="1"/>
  <c r="EH645" i="1"/>
  <c r="EI645" i="1"/>
  <c r="EJ645" i="1"/>
  <c r="EK645" i="1"/>
  <c r="EL645" i="1"/>
  <c r="EM645" i="1"/>
  <c r="EG646" i="1"/>
  <c r="EH646" i="1"/>
  <c r="EI646" i="1"/>
  <c r="EJ646" i="1"/>
  <c r="EK646" i="1"/>
  <c r="EH647" i="1"/>
  <c r="EI647" i="1"/>
  <c r="EJ647" i="1"/>
  <c r="EK647" i="1"/>
  <c r="EL647" i="1"/>
  <c r="EM647" i="1"/>
  <c r="EN647" i="1"/>
  <c r="EE650" i="1"/>
  <c r="EF650" i="1"/>
  <c r="EG650" i="1"/>
  <c r="EH650" i="1"/>
  <c r="EI650" i="1"/>
  <c r="EJ650" i="1"/>
  <c r="EK650" i="1"/>
  <c r="EF651" i="1"/>
  <c r="EG651" i="1"/>
  <c r="EH651" i="1"/>
  <c r="EI651" i="1"/>
  <c r="EJ651" i="1"/>
  <c r="EK651" i="1"/>
  <c r="EL651" i="1"/>
  <c r="EM651" i="1"/>
  <c r="EG656" i="1"/>
  <c r="EH656" i="1"/>
  <c r="EI656" i="1"/>
  <c r="EJ656" i="1"/>
  <c r="EK656" i="1"/>
  <c r="EL656" i="1"/>
  <c r="EE660" i="1"/>
  <c r="EF660" i="1"/>
  <c r="EG660" i="1"/>
  <c r="EH660" i="1"/>
  <c r="EI660" i="1"/>
  <c r="EJ660" i="1"/>
  <c r="EK660" i="1"/>
  <c r="EL660" i="1"/>
  <c r="EM660" i="1"/>
  <c r="EF661" i="1"/>
  <c r="EG661" i="1"/>
  <c r="EH661" i="1"/>
  <c r="EI661" i="1"/>
  <c r="EG662" i="1"/>
  <c r="EH662" i="1"/>
  <c r="EI662" i="1"/>
  <c r="EJ662" i="1"/>
  <c r="EK662" i="1"/>
  <c r="EL662" i="1"/>
  <c r="EM662" i="1"/>
  <c r="EN662" i="1"/>
  <c r="EO662" i="1"/>
  <c r="EF663" i="1"/>
  <c r="EG663" i="1"/>
  <c r="EH663" i="1"/>
  <c r="EI663" i="1"/>
  <c r="EJ663" i="1"/>
  <c r="EK663" i="1"/>
  <c r="EL663" i="1"/>
  <c r="EM663" i="1"/>
  <c r="EN663" i="1"/>
  <c r="EO663" i="1"/>
  <c r="EF664" i="1"/>
  <c r="EG664" i="1"/>
  <c r="EH664" i="1"/>
  <c r="EI664" i="1"/>
  <c r="EJ664" i="1"/>
  <c r="EK664" i="1"/>
  <c r="EL664" i="1"/>
  <c r="EM664" i="1"/>
  <c r="R666" i="1"/>
  <c r="ED667" i="1"/>
  <c r="EE667" i="1"/>
  <c r="EF667" i="1"/>
  <c r="EG667" i="1"/>
  <c r="EH667" i="1"/>
  <c r="EI667" i="1"/>
  <c r="ED668" i="1"/>
  <c r="EE668" i="1"/>
  <c r="EF668" i="1"/>
  <c r="EG668" i="1"/>
  <c r="ED669" i="1"/>
  <c r="EE669" i="1"/>
  <c r="EF669" i="1"/>
  <c r="EG669" i="1"/>
  <c r="EH669" i="1"/>
  <c r="EI669" i="1"/>
  <c r="EJ669" i="1"/>
  <c r="EF670" i="1"/>
  <c r="EG670" i="1"/>
  <c r="EH670" i="1"/>
  <c r="EI670" i="1"/>
  <c r="EJ670" i="1"/>
  <c r="EK670" i="1"/>
  <c r="EF671" i="1"/>
  <c r="EG671" i="1"/>
  <c r="EH671" i="1"/>
  <c r="EI671" i="1"/>
  <c r="EJ671" i="1"/>
  <c r="EF672" i="1"/>
  <c r="EG672" i="1"/>
  <c r="EH672" i="1"/>
  <c r="EI672" i="1"/>
  <c r="EJ672" i="1"/>
  <c r="EK672" i="1"/>
  <c r="EL672" i="1"/>
  <c r="EM672" i="1"/>
  <c r="EN672" i="1"/>
  <c r="EO672" i="1"/>
  <c r="EP672" i="1"/>
  <c r="EQ672" i="1"/>
  <c r="ER672" i="1"/>
  <c r="ES672" i="1"/>
  <c r="ED673" i="1"/>
  <c r="EE673" i="1"/>
  <c r="EF673" i="1"/>
  <c r="EG673" i="1"/>
  <c r="ED674" i="1"/>
  <c r="EE674" i="1"/>
  <c r="EF674" i="1"/>
  <c r="EG674" i="1"/>
  <c r="EH674" i="1"/>
  <c r="EJ674" i="1"/>
  <c r="EK674" i="1"/>
  <c r="EL674" i="1"/>
  <c r="EM674" i="1"/>
  <c r="EN674" i="1"/>
  <c r="ER674" i="1"/>
  <c r="ES674" i="1"/>
  <c r="R675" i="1"/>
  <c r="EM675" i="1"/>
  <c r="EN675" i="1"/>
  <c r="EO675" i="1"/>
  <c r="EP675" i="1"/>
  <c r="ER675" i="1"/>
  <c r="ES675" i="1"/>
  <c r="ET675" i="1"/>
  <c r="EF676" i="1"/>
  <c r="EG676" i="1"/>
  <c r="EH676" i="1"/>
  <c r="EI676" i="1"/>
  <c r="EJ676" i="1"/>
  <c r="EK676" i="1"/>
  <c r="EF677" i="1"/>
  <c r="EG677" i="1"/>
  <c r="EH677" i="1"/>
  <c r="EI677" i="1"/>
  <c r="EJ677" i="1"/>
  <c r="EK677" i="1"/>
  <c r="EF678" i="1"/>
  <c r="EG678" i="1"/>
  <c r="EH678" i="1"/>
  <c r="EI678" i="1"/>
  <c r="EJ678" i="1"/>
  <c r="EK678" i="1"/>
  <c r="EG679" i="1"/>
  <c r="EH679" i="1"/>
  <c r="EI679" i="1"/>
  <c r="EJ679" i="1"/>
  <c r="EK679" i="1"/>
  <c r="EP679" i="1"/>
  <c r="EQ679" i="1"/>
  <c r="ER679" i="1"/>
  <c r="EE680" i="1"/>
  <c r="EF680" i="1"/>
  <c r="EG680" i="1"/>
  <c r="EH680" i="1"/>
  <c r="EI680" i="1"/>
  <c r="EJ680" i="1"/>
  <c r="EK680" i="1"/>
  <c r="EL680" i="1"/>
  <c r="EF681" i="1"/>
  <c r="EG681" i="1"/>
  <c r="EH681" i="1"/>
  <c r="EI681" i="1"/>
  <c r="EK681" i="1"/>
  <c r="EF682" i="1"/>
  <c r="EG682" i="1"/>
  <c r="EH682" i="1"/>
  <c r="EI682" i="1"/>
  <c r="EJ682" i="1"/>
  <c r="EK682" i="1"/>
  <c r="EM682" i="1"/>
  <c r="EN682" i="1"/>
  <c r="EO682" i="1"/>
  <c r="EG683" i="1"/>
  <c r="EH683" i="1"/>
  <c r="EI683" i="1"/>
  <c r="EJ683" i="1"/>
  <c r="EK683" i="1"/>
  <c r="EL683" i="1"/>
  <c r="EM683" i="1"/>
  <c r="EO683" i="1"/>
  <c r="EP683" i="1"/>
  <c r="EQ683" i="1"/>
  <c r="ER683" i="1"/>
  <c r="ES683" i="1"/>
  <c r="EG684" i="1"/>
  <c r="EH684" i="1"/>
  <c r="EI684" i="1"/>
  <c r="EJ684" i="1"/>
  <c r="EK684" i="1"/>
  <c r="EL684" i="1"/>
  <c r="EM684" i="1"/>
  <c r="EN684" i="1"/>
  <c r="EO684" i="1"/>
  <c r="EP684" i="1"/>
  <c r="EQ684" i="1"/>
  <c r="ED685" i="1"/>
  <c r="EE685" i="1"/>
  <c r="EF685" i="1"/>
  <c r="EG685" i="1"/>
  <c r="EH685" i="1"/>
  <c r="EF686" i="1"/>
  <c r="EG686" i="1"/>
  <c r="EH686" i="1"/>
  <c r="EI686" i="1"/>
  <c r="EJ686" i="1"/>
  <c r="EK686" i="1"/>
  <c r="EL686" i="1"/>
  <c r="EF687" i="1"/>
  <c r="EG687" i="1"/>
  <c r="EH687" i="1"/>
  <c r="EI687" i="1"/>
  <c r="EJ687" i="1"/>
  <c r="EK687" i="1"/>
  <c r="EL687" i="1"/>
  <c r="EF688" i="1"/>
  <c r="EG688" i="1"/>
  <c r="EH688" i="1"/>
  <c r="EI688" i="1"/>
  <c r="EJ688" i="1"/>
  <c r="EG689" i="1"/>
  <c r="EH689" i="1"/>
  <c r="EI689" i="1"/>
  <c r="EJ689" i="1"/>
  <c r="EK689" i="1"/>
  <c r="EL689" i="1"/>
  <c r="EO689" i="1"/>
  <c r="EE690" i="1"/>
  <c r="EF690" i="1"/>
  <c r="EG690" i="1"/>
  <c r="EH690" i="1"/>
  <c r="EI690" i="1"/>
  <c r="EG691" i="1"/>
  <c r="EH691" i="1"/>
  <c r="EI691" i="1"/>
  <c r="EJ691" i="1"/>
  <c r="EK691" i="1"/>
  <c r="EL691" i="1"/>
  <c r="EM691" i="1"/>
  <c r="EN691" i="1"/>
  <c r="EO691" i="1"/>
  <c r="EF693" i="1"/>
  <c r="EG693" i="1"/>
  <c r="EH693" i="1"/>
  <c r="EI693" i="1"/>
  <c r="EJ693" i="1"/>
  <c r="EK693" i="1"/>
  <c r="EF694" i="1"/>
  <c r="EG694" i="1"/>
  <c r="EH694" i="1"/>
  <c r="EI694" i="1"/>
  <c r="EE695" i="1"/>
  <c r="EF695" i="1"/>
  <c r="EG695" i="1"/>
  <c r="EH695" i="1"/>
  <c r="EI695" i="1"/>
  <c r="EF696" i="1"/>
  <c r="EG696" i="1"/>
  <c r="EH696" i="1"/>
  <c r="EI696" i="1"/>
  <c r="EJ696" i="1"/>
  <c r="EK696" i="1"/>
  <c r="EL696" i="1"/>
  <c r="EM696" i="1"/>
  <c r="EN696" i="1"/>
  <c r="EO696" i="1"/>
  <c r="EP696" i="1"/>
  <c r="ED697" i="1"/>
  <c r="EE697" i="1"/>
  <c r="EF697" i="1"/>
  <c r="EG697" i="1"/>
  <c r="EF698" i="1"/>
  <c r="EG698" i="1"/>
  <c r="EH698" i="1"/>
  <c r="EI698" i="1"/>
  <c r="EJ698" i="1"/>
  <c r="EH699" i="1"/>
  <c r="EI699" i="1"/>
  <c r="EJ699" i="1"/>
  <c r="EK699" i="1"/>
  <c r="EL699" i="1"/>
  <c r="EM699" i="1"/>
  <c r="EN699" i="1"/>
  <c r="ED700" i="1"/>
  <c r="EE700" i="1"/>
  <c r="EF700" i="1"/>
  <c r="EG700" i="1"/>
  <c r="EH700" i="1"/>
  <c r="EF701" i="1"/>
  <c r="EG701" i="1"/>
  <c r="EH701" i="1"/>
  <c r="EI701" i="1"/>
  <c r="EE702" i="1"/>
  <c r="EF702" i="1"/>
  <c r="EG702" i="1"/>
  <c r="EH702" i="1"/>
  <c r="EI702" i="1"/>
  <c r="EJ702" i="1"/>
  <c r="EK702" i="1"/>
  <c r="EL702" i="1"/>
  <c r="EN702" i="1"/>
  <c r="EO702" i="1"/>
  <c r="EE703" i="1"/>
  <c r="EF703" i="1"/>
  <c r="EG703" i="1"/>
  <c r="EH703" i="1"/>
  <c r="EI703" i="1"/>
  <c r="EJ703" i="1"/>
  <c r="EK703" i="1"/>
  <c r="EF704" i="1"/>
  <c r="EG704" i="1"/>
  <c r="EH704" i="1"/>
  <c r="EI704" i="1"/>
  <c r="EJ704" i="1"/>
  <c r="EF705" i="1"/>
  <c r="EG705" i="1"/>
  <c r="EE706" i="1"/>
  <c r="EF706" i="1"/>
  <c r="EG706" i="1"/>
  <c r="EH706" i="1"/>
  <c r="EF707" i="1"/>
  <c r="EG707" i="1"/>
  <c r="EH707" i="1"/>
  <c r="EI707" i="1"/>
  <c r="EJ707" i="1"/>
  <c r="EK707" i="1"/>
  <c r="EL707" i="1"/>
  <c r="EM707" i="1"/>
  <c r="EN707" i="1"/>
  <c r="EO707" i="1"/>
  <c r="EP707" i="1"/>
  <c r="EF709" i="1"/>
  <c r="EG709" i="1"/>
  <c r="EF711" i="1"/>
  <c r="EG711" i="1"/>
  <c r="EH711" i="1"/>
  <c r="EI711" i="1"/>
  <c r="ED712" i="1"/>
  <c r="EE712" i="1"/>
  <c r="EF712" i="1"/>
  <c r="EG712" i="1"/>
  <c r="EH712" i="1"/>
  <c r="EI712" i="1"/>
  <c r="EJ712" i="1"/>
  <c r="EK712" i="1"/>
  <c r="EL712" i="1"/>
  <c r="ED713" i="1"/>
  <c r="EE713" i="1"/>
  <c r="EF713" i="1"/>
  <c r="EG713" i="1"/>
  <c r="EH713" i="1"/>
  <c r="EI713" i="1"/>
  <c r="EJ713" i="1"/>
  <c r="EK713" i="1"/>
  <c r="EF714" i="1"/>
  <c r="EG714" i="1"/>
  <c r="EH714" i="1"/>
  <c r="EI714" i="1"/>
  <c r="EJ714" i="1"/>
  <c r="EK714" i="1"/>
  <c r="EL714" i="1"/>
  <c r="EM714" i="1"/>
  <c r="EN714" i="1"/>
  <c r="EG715" i="1"/>
  <c r="EH715" i="1"/>
  <c r="EI715" i="1"/>
  <c r="EJ715" i="1"/>
  <c r="EF716" i="1"/>
  <c r="EG716" i="1"/>
  <c r="EH716" i="1"/>
  <c r="EI716" i="1"/>
  <c r="EJ716" i="1"/>
  <c r="EK716" i="1"/>
  <c r="EL716" i="1"/>
  <c r="EM716" i="1"/>
  <c r="EF717" i="1"/>
  <c r="EG717" i="1"/>
  <c r="EH717" i="1"/>
  <c r="EI717" i="1"/>
  <c r="EJ717" i="1"/>
  <c r="EK717" i="1"/>
  <c r="EL717" i="1"/>
  <c r="EM717" i="1"/>
  <c r="EF718" i="1"/>
  <c r="EG718" i="1"/>
  <c r="EH718" i="1"/>
  <c r="EI718" i="1"/>
  <c r="EJ718" i="1"/>
  <c r="EK718" i="1"/>
  <c r="EL718" i="1"/>
  <c r="EM718" i="1"/>
  <c r="EN718" i="1"/>
  <c r="ED719" i="1"/>
  <c r="EE719" i="1"/>
  <c r="EF719" i="1"/>
  <c r="EG719" i="1"/>
  <c r="EH719" i="1"/>
  <c r="EI719" i="1"/>
  <c r="EJ719" i="1"/>
  <c r="EE720" i="1"/>
  <c r="EF720" i="1"/>
  <c r="EG720" i="1"/>
  <c r="EH720" i="1"/>
  <c r="EI720" i="1"/>
  <c r="EJ720" i="1"/>
  <c r="ED721" i="1"/>
  <c r="EE721" i="1"/>
  <c r="EF721" i="1"/>
  <c r="EG721" i="1"/>
  <c r="EK721" i="1"/>
  <c r="EL721" i="1"/>
  <c r="ED722" i="1"/>
  <c r="EE722" i="1"/>
  <c r="EF722" i="1"/>
  <c r="EG722" i="1"/>
  <c r="EH722" i="1"/>
  <c r="ED723" i="1"/>
  <c r="EE723" i="1"/>
  <c r="EF723" i="1"/>
  <c r="EG723" i="1"/>
  <c r="EH723" i="1"/>
  <c r="EI723" i="1"/>
  <c r="EJ723" i="1"/>
  <c r="EK723" i="1"/>
  <c r="EL723" i="1"/>
  <c r="EM723" i="1"/>
  <c r="ED724" i="1"/>
  <c r="EE724" i="1"/>
  <c r="EF724" i="1"/>
  <c r="EG724" i="1"/>
  <c r="EH724" i="1"/>
  <c r="EI724" i="1"/>
  <c r="EF725" i="1"/>
  <c r="EG725" i="1"/>
  <c r="EH725" i="1"/>
  <c r="EI725" i="1"/>
  <c r="EF726" i="1"/>
  <c r="EG726" i="1"/>
  <c r="EH726" i="1"/>
  <c r="EI726" i="1"/>
  <c r="EJ726" i="1"/>
  <c r="EK726" i="1"/>
  <c r="EL726" i="1"/>
  <c r="EM726" i="1"/>
  <c r="EN726" i="1"/>
  <c r="EF727" i="1"/>
  <c r="EG727" i="1"/>
  <c r="EH727" i="1"/>
  <c r="EI727" i="1"/>
  <c r="EJ727" i="1"/>
  <c r="EK727" i="1"/>
  <c r="EL727" i="1"/>
  <c r="EF729" i="1"/>
  <c r="EG729" i="1"/>
  <c r="EH729" i="1"/>
  <c r="EI729" i="1"/>
  <c r="EJ729" i="1"/>
  <c r="EK729" i="1"/>
  <c r="EF730" i="1"/>
  <c r="EG730" i="1"/>
  <c r="EH730" i="1"/>
  <c r="EI730" i="1"/>
  <c r="EJ730" i="1"/>
  <c r="EK730" i="1"/>
  <c r="EL730" i="1"/>
  <c r="EM730" i="1"/>
  <c r="EF731" i="1"/>
  <c r="EG731" i="1"/>
  <c r="EH731" i="1"/>
  <c r="EI731" i="1"/>
  <c r="EJ731" i="1"/>
  <c r="EK731" i="1"/>
  <c r="ED732" i="1"/>
  <c r="EE732" i="1"/>
  <c r="EF732" i="1"/>
  <c r="EG732" i="1"/>
  <c r="EH732" i="1"/>
  <c r="EI732" i="1"/>
  <c r="ED733" i="1"/>
  <c r="EE733" i="1"/>
  <c r="EF733" i="1"/>
  <c r="EG733" i="1"/>
  <c r="EH733" i="1"/>
  <c r="EI733" i="1"/>
  <c r="EJ733" i="1"/>
  <c r="EK733" i="1"/>
  <c r="ED734" i="1"/>
  <c r="EE734" i="1"/>
  <c r="EF734" i="1"/>
  <c r="EG734" i="1"/>
  <c r="EH734" i="1"/>
  <c r="EG735" i="1"/>
  <c r="EH735" i="1"/>
  <c r="EI735" i="1"/>
  <c r="EJ735" i="1"/>
  <c r="EK735" i="1"/>
  <c r="ED736" i="1"/>
  <c r="EE736" i="1"/>
  <c r="EF736" i="1"/>
  <c r="EG736" i="1"/>
  <c r="EH736" i="1"/>
  <c r="EI736" i="1"/>
  <c r="ED737" i="1"/>
  <c r="EE737" i="1"/>
  <c r="EF737" i="1"/>
  <c r="EG737" i="1"/>
  <c r="EH737" i="1"/>
  <c r="EJ737" i="1"/>
  <c r="EK737" i="1"/>
  <c r="EL737" i="1"/>
  <c r="EF738" i="1"/>
  <c r="EG738" i="1"/>
  <c r="EH738" i="1"/>
  <c r="EI738" i="1"/>
  <c r="EJ738" i="1"/>
  <c r="EK738" i="1"/>
  <c r="ED739" i="1"/>
  <c r="EE739" i="1"/>
  <c r="EF739" i="1"/>
  <c r="EG739" i="1"/>
  <c r="EH739" i="1"/>
  <c r="EM739" i="1"/>
  <c r="EN739" i="1"/>
  <c r="EF740" i="1"/>
  <c r="EG740" i="1"/>
  <c r="EH740" i="1"/>
  <c r="EI740" i="1"/>
  <c r="EJ740" i="1"/>
  <c r="EK740" i="1"/>
  <c r="EL740" i="1"/>
  <c r="EM740" i="1"/>
  <c r="EN740" i="1"/>
  <c r="EO740" i="1"/>
  <c r="EF741" i="1"/>
  <c r="EG741" i="1"/>
  <c r="EH741" i="1"/>
  <c r="EI741" i="1"/>
  <c r="EJ741" i="1"/>
  <c r="EK741" i="1"/>
  <c r="EL741" i="1"/>
  <c r="EM741" i="1"/>
  <c r="EG742" i="1"/>
  <c r="EH742" i="1"/>
  <c r="EI742" i="1"/>
  <c r="EJ742" i="1"/>
  <c r="EK742" i="1"/>
  <c r="EL742" i="1"/>
  <c r="EM742" i="1"/>
  <c r="ED743" i="1"/>
  <c r="EE743" i="1"/>
  <c r="EF743" i="1"/>
  <c r="EG743" i="1"/>
  <c r="EH743" i="1"/>
  <c r="EI743" i="1"/>
  <c r="EJ743" i="1"/>
  <c r="EK743" i="1"/>
  <c r="EL743" i="1"/>
  <c r="EE744" i="1"/>
  <c r="EF744" i="1"/>
  <c r="EG744" i="1"/>
  <c r="EH744" i="1"/>
  <c r="EI744" i="1"/>
  <c r="ED745" i="1"/>
  <c r="EE745" i="1"/>
  <c r="EF745" i="1"/>
  <c r="EG745" i="1"/>
  <c r="EH745" i="1"/>
  <c r="R750" i="1"/>
  <c r="R752" i="1"/>
  <c r="R762" i="1"/>
  <c r="EG762" i="1"/>
  <c r="EF768" i="1"/>
  <c r="EG768" i="1"/>
  <c r="R778" i="1"/>
  <c r="R815" i="1"/>
  <c r="EE815" i="1"/>
  <c r="EF815" i="1"/>
  <c r="R816" i="1"/>
  <c r="EM816" i="1"/>
  <c r="EN816" i="1"/>
  <c r="EO816" i="1"/>
  <c r="EP816" i="1"/>
  <c r="EF817" i="1"/>
  <c r="R818" i="1"/>
  <c r="EG818" i="1"/>
  <c r="EH818" i="1"/>
  <c r="EI818" i="1"/>
  <c r="EJ818" i="1"/>
  <c r="ED819" i="1"/>
  <c r="EE819" i="1"/>
  <c r="EF819" i="1"/>
  <c r="R820" i="1"/>
  <c r="EI820" i="1"/>
  <c r="EJ820" i="1"/>
  <c r="EK820" i="1"/>
  <c r="EL820" i="1"/>
  <c r="EM820" i="1"/>
  <c r="EN820" i="1"/>
  <c r="EO820" i="1"/>
  <c r="EP820" i="1"/>
  <c r="EQ820" i="1"/>
  <c r="ER820" i="1"/>
  <c r="ES820" i="1"/>
  <c r="ET820" i="1"/>
  <c r="EU820" i="1"/>
  <c r="EV820" i="1"/>
  <c r="EW820" i="1"/>
  <c r="EX820" i="1"/>
  <c r="EY820" i="1"/>
  <c r="EZ820" i="1"/>
  <c r="R821" i="1"/>
  <c r="EC821" i="1"/>
  <c r="ED821" i="1"/>
  <c r="EE821" i="1"/>
  <c r="EF821" i="1"/>
  <c r="EG821" i="1"/>
  <c r="EH821" i="1"/>
  <c r="EG822" i="1"/>
  <c r="EG823" i="1"/>
  <c r="R825" i="1"/>
  <c r="ED825" i="1"/>
  <c r="EE825" i="1"/>
  <c r="EF825" i="1"/>
  <c r="R826" i="1"/>
  <c r="ED826" i="1"/>
  <c r="EE826" i="1"/>
  <c r="EF826" i="1"/>
  <c r="EG826" i="1"/>
  <c r="EH826" i="1"/>
  <c r="EI826" i="1"/>
  <c r="EJ826" i="1"/>
  <c r="EK826" i="1"/>
  <c r="EL826" i="1"/>
  <c r="EM826" i="1"/>
  <c r="EN826" i="1"/>
  <c r="EO826" i="1"/>
  <c r="EP826" i="1"/>
  <c r="EQ826" i="1"/>
  <c r="ER826" i="1"/>
  <c r="ES826" i="1"/>
  <c r="ET826" i="1"/>
  <c r="EU826" i="1"/>
  <c r="EV826" i="1"/>
  <c r="EW826" i="1"/>
  <c r="R827" i="1"/>
  <c r="EG827" i="1"/>
  <c r="EH827" i="1"/>
  <c r="EI827" i="1"/>
  <c r="EJ827" i="1"/>
  <c r="EK827" i="1"/>
  <c r="EL827" i="1"/>
  <c r="EM827" i="1"/>
  <c r="EN827" i="1"/>
  <c r="EO827" i="1"/>
  <c r="EP827" i="1"/>
  <c r="EQ827" i="1"/>
  <c r="ER827" i="1"/>
  <c r="ES827" i="1"/>
  <c r="ET827" i="1"/>
  <c r="EG828" i="1"/>
  <c r="EH828" i="1"/>
  <c r="ED829" i="1"/>
  <c r="EE829" i="1"/>
  <c r="EE830" i="1"/>
  <c r="EF830" i="1"/>
  <c r="EG830" i="1"/>
  <c r="EH830" i="1"/>
  <c r="EI830" i="1"/>
  <c r="EK830" i="1"/>
  <c r="R831" i="1"/>
  <c r="ED831" i="1"/>
  <c r="EE831" i="1"/>
  <c r="EF831" i="1"/>
  <c r="EG831" i="1"/>
  <c r="EH831" i="1"/>
  <c r="EI831" i="1"/>
  <c r="EJ831" i="1"/>
  <c r="EK831" i="1"/>
  <c r="EL831" i="1"/>
  <c r="EM831" i="1"/>
  <c r="EN831" i="1"/>
  <c r="EO831" i="1"/>
  <c r="EP831" i="1"/>
  <c r="R832" i="1"/>
  <c r="ED832" i="1"/>
  <c r="EE832" i="1"/>
  <c r="EF832" i="1"/>
  <c r="EG832" i="1"/>
  <c r="EH832" i="1"/>
  <c r="EI832" i="1"/>
  <c r="ED833" i="1"/>
  <c r="ED834" i="1"/>
  <c r="R835" i="1"/>
  <c r="ED835" i="1"/>
  <c r="EE835" i="1"/>
  <c r="EF835" i="1"/>
  <c r="EG835" i="1"/>
  <c r="EH835" i="1"/>
  <c r="EI835" i="1"/>
  <c r="R836" i="1"/>
  <c r="ED836" i="1"/>
  <c r="EE836" i="1"/>
  <c r="EF836" i="1"/>
  <c r="EG836" i="1"/>
  <c r="EH836" i="1"/>
  <c r="R837" i="1"/>
  <c r="ED837" i="1"/>
  <c r="EE837" i="1"/>
  <c r="EF837" i="1"/>
  <c r="EG837" i="1"/>
  <c r="EC838" i="1"/>
  <c r="ED838" i="1"/>
  <c r="EE838" i="1"/>
  <c r="R839" i="1"/>
  <c r="ED839" i="1"/>
  <c r="EE839" i="1"/>
  <c r="EF839" i="1"/>
  <c r="EG839" i="1"/>
  <c r="EH839" i="1"/>
  <c r="EI839" i="1"/>
  <c r="EJ839" i="1"/>
  <c r="EK839" i="1"/>
  <c r="EL839" i="1"/>
  <c r="R842" i="1"/>
  <c r="ED842" i="1"/>
  <c r="EE842" i="1"/>
  <c r="EF842" i="1"/>
  <c r="EL842" i="1"/>
  <c r="EM842" i="1"/>
  <c r="EN842" i="1"/>
  <c r="EO842" i="1"/>
  <c r="EP842" i="1"/>
  <c r="EQ842" i="1"/>
  <c r="R843" i="1"/>
  <c r="R844" i="1"/>
  <c r="R845" i="1"/>
  <c r="EG845" i="1"/>
  <c r="R846" i="1"/>
  <c r="EJ846" i="1"/>
  <c r="EK846" i="1"/>
  <c r="EL846" i="1"/>
  <c r="EM846" i="1"/>
  <c r="EN846" i="1"/>
  <c r="R847" i="1"/>
  <c r="EC847" i="1"/>
  <c r="ED847" i="1"/>
  <c r="EK847" i="1"/>
  <c r="R848" i="1"/>
  <c r="EH848" i="1"/>
  <c r="EI848" i="1"/>
  <c r="EJ848" i="1"/>
  <c r="R849" i="1"/>
  <c r="EH849" i="1"/>
  <c r="EI849" i="1"/>
  <c r="R850" i="1"/>
  <c r="EG850" i="1"/>
  <c r="EH850" i="1"/>
  <c r="EI850" i="1"/>
  <c r="EJ850" i="1"/>
  <c r="R851" i="1"/>
  <c r="EG851" i="1"/>
  <c r="EH851" i="1"/>
  <c r="EI851" i="1"/>
  <c r="R852" i="1"/>
  <c r="EF852" i="1"/>
  <c r="EG852" i="1"/>
  <c r="EH852" i="1"/>
  <c r="R853" i="1"/>
  <c r="EG853" i="1"/>
  <c r="EI853" i="1"/>
  <c r="EJ853" i="1"/>
  <c r="R854" i="1"/>
  <c r="EG854" i="1"/>
  <c r="EI855" i="1"/>
  <c r="EJ855" i="1"/>
  <c r="EK855" i="1"/>
  <c r="EL855" i="1"/>
  <c r="EM855" i="1"/>
  <c r="EN855" i="1"/>
  <c r="EO855" i="1"/>
  <c r="R856" i="1"/>
  <c r="EJ856" i="1"/>
  <c r="EK856" i="1"/>
  <c r="EL856" i="1"/>
  <c r="EM856" i="1"/>
  <c r="EN856" i="1"/>
  <c r="R857" i="1"/>
  <c r="R858" i="1"/>
  <c r="EG859" i="1"/>
  <c r="ED860" i="1"/>
  <c r="ED861" i="1"/>
  <c r="EE861" i="1"/>
  <c r="EF861" i="1"/>
  <c r="ED862" i="1"/>
  <c r="EE862" i="1"/>
  <c r="ED863" i="1"/>
  <c r="EE863" i="1"/>
  <c r="EF863" i="1"/>
  <c r="EG863" i="1"/>
  <c r="ED864" i="1"/>
  <c r="EE864" i="1"/>
  <c r="EF864" i="1"/>
  <c r="EG864" i="1"/>
  <c r="ED865" i="1"/>
  <c r="EH865" i="1"/>
  <c r="R867" i="1"/>
  <c r="EE867" i="1"/>
  <c r="EF867" i="1"/>
  <c r="R875" i="1"/>
  <c r="R885" i="1"/>
  <c r="R886" i="1"/>
  <c r="EF886" i="1"/>
  <c r="R888" i="1"/>
  <c r="EG888" i="1"/>
  <c r="R889" i="1"/>
  <c r="R890" i="1"/>
  <c r="EE890" i="1"/>
  <c r="R891" i="1"/>
  <c r="EE891" i="1"/>
  <c r="R892" i="1"/>
  <c r="R893" i="1"/>
  <c r="R894" i="1"/>
  <c r="EG894" i="1"/>
  <c r="R895" i="1"/>
  <c r="R896" i="1"/>
  <c r="EG896" i="1"/>
  <c r="R897" i="1"/>
  <c r="EH897" i="1"/>
  <c r="EG899" i="1"/>
  <c r="R900" i="1"/>
  <c r="R901" i="1"/>
  <c r="R903" i="1"/>
  <c r="EE903" i="1"/>
  <c r="EG903" i="1"/>
  <c r="EH903" i="1"/>
  <c r="EI903" i="1"/>
  <c r="EJ903" i="1"/>
  <c r="EK903" i="1"/>
  <c r="R905" i="1"/>
  <c r="R906" i="1"/>
  <c r="ED908" i="1"/>
  <c r="EE908" i="1"/>
  <c r="EF908" i="1"/>
  <c r="EF909" i="1"/>
  <c r="EG909" i="1"/>
  <c r="EJ909" i="1"/>
  <c r="EK909" i="1"/>
  <c r="R910" i="1"/>
  <c r="ED910" i="1"/>
  <c r="EE910" i="1"/>
  <c r="EF910" i="1"/>
  <c r="R911" i="1"/>
  <c r="ED911" i="1"/>
  <c r="EE911" i="1"/>
  <c r="EF911" i="1"/>
  <c r="EG911" i="1"/>
  <c r="EH911" i="1"/>
  <c r="EI911" i="1"/>
  <c r="R912" i="1"/>
  <c r="ED912" i="1"/>
  <c r="EE912" i="1"/>
  <c r="EF912" i="1"/>
  <c r="EG912" i="1"/>
  <c r="R913" i="1"/>
  <c r="ED913" i="1"/>
  <c r="EE913" i="1"/>
  <c r="EF913" i="1"/>
  <c r="EG913" i="1"/>
  <c r="EH913" i="1"/>
  <c r="EI913" i="1"/>
  <c r="EJ913" i="1"/>
  <c r="EK913" i="1"/>
  <c r="R914" i="1"/>
  <c r="ED914" i="1"/>
  <c r="EE914" i="1"/>
  <c r="EF914" i="1"/>
  <c r="R915" i="1"/>
  <c r="ED915" i="1"/>
  <c r="EE915" i="1"/>
  <c r="EF915" i="1"/>
  <c r="EG915" i="1"/>
  <c r="EH915" i="1"/>
  <c r="EI915" i="1"/>
  <c r="EJ915" i="1"/>
  <c r="R916" i="1"/>
  <c r="ED916" i="1"/>
  <c r="EE916" i="1"/>
  <c r="EF916" i="1"/>
  <c r="EG916" i="1"/>
  <c r="EH916" i="1"/>
  <c r="ED917" i="1"/>
  <c r="EE917" i="1"/>
  <c r="EK917" i="1"/>
  <c r="EL917" i="1"/>
  <c r="ED918" i="1"/>
  <c r="EE918" i="1"/>
  <c r="EF918" i="1"/>
  <c r="EG918" i="1"/>
  <c r="EM918" i="1"/>
  <c r="R919" i="1"/>
  <c r="ED919" i="1"/>
  <c r="EE919" i="1"/>
  <c r="EF919" i="1"/>
  <c r="EG919" i="1"/>
  <c r="EH919" i="1"/>
  <c r="R920" i="1"/>
  <c r="ED920" i="1"/>
  <c r="EE920" i="1"/>
  <c r="EF920" i="1"/>
  <c r="EG920" i="1"/>
  <c r="EH920" i="1"/>
  <c r="EI920" i="1"/>
  <c r="EJ920" i="1"/>
  <c r="EK920" i="1"/>
  <c r="EL920" i="1"/>
  <c r="EM920" i="1"/>
  <c r="R921" i="1"/>
  <c r="EF921" i="1"/>
  <c r="EG921" i="1"/>
  <c r="EH921" i="1"/>
  <c r="EI921" i="1"/>
  <c r="EJ921" i="1"/>
  <c r="EK921" i="1"/>
  <c r="EL921" i="1"/>
  <c r="EM921" i="1"/>
  <c r="EN921" i="1"/>
  <c r="R922" i="1"/>
  <c r="ED922" i="1"/>
  <c r="EE922" i="1"/>
  <c r="EF922" i="1"/>
  <c r="EG922" i="1"/>
  <c r="EH922" i="1"/>
  <c r="EI922" i="1"/>
  <c r="EJ922" i="1"/>
  <c r="EK922" i="1"/>
  <c r="EL922" i="1"/>
  <c r="EM922" i="1"/>
  <c r="EN922" i="1"/>
  <c r="EO922" i="1"/>
  <c r="EP922" i="1"/>
  <c r="EQ922" i="1"/>
  <c r="ER922" i="1"/>
  <c r="ES922" i="1"/>
  <c r="ET922" i="1"/>
  <c r="R923" i="1"/>
  <c r="ED923" i="1"/>
  <c r="EE923" i="1"/>
  <c r="EF923" i="1"/>
  <c r="EG923" i="1"/>
  <c r="EH923" i="1"/>
  <c r="EI923" i="1"/>
  <c r="EJ923" i="1"/>
  <c r="EK923" i="1"/>
  <c r="EL923" i="1"/>
  <c r="EM923" i="1"/>
  <c r="EN923" i="1"/>
  <c r="R924" i="1"/>
  <c r="ED924" i="1"/>
  <c r="EE924" i="1"/>
  <c r="EF924" i="1"/>
  <c r="R925" i="1"/>
  <c r="ED925" i="1"/>
  <c r="EE925" i="1"/>
  <c r="EF925" i="1"/>
  <c r="EG925" i="1"/>
  <c r="EH925" i="1"/>
  <c r="EI925" i="1"/>
  <c r="EJ925" i="1"/>
  <c r="EK925" i="1"/>
  <c r="ED926" i="1"/>
  <c r="EE926" i="1"/>
  <c r="EF926" i="1"/>
  <c r="R927" i="1"/>
  <c r="ED927" i="1"/>
  <c r="EE927" i="1"/>
  <c r="EF927" i="1"/>
  <c r="EG927" i="1"/>
  <c r="EH927" i="1"/>
  <c r="R928" i="1"/>
  <c r="ED928" i="1"/>
  <c r="EE928" i="1"/>
  <c r="EF928" i="1"/>
  <c r="EG928" i="1"/>
  <c r="EH928" i="1"/>
  <c r="R929" i="1"/>
  <c r="ED929" i="1"/>
  <c r="EE929" i="1"/>
  <c r="EF929" i="1"/>
  <c r="EG929" i="1"/>
  <c r="EH929" i="1"/>
  <c r="EI929" i="1"/>
  <c r="EJ929" i="1"/>
  <c r="R930" i="1"/>
  <c r="ED930" i="1"/>
  <c r="EE930" i="1"/>
  <c r="EF930" i="1"/>
  <c r="EG930" i="1"/>
  <c r="EH930" i="1"/>
  <c r="EI930" i="1"/>
  <c r="EJ930" i="1"/>
  <c r="R931" i="1"/>
  <c r="EC931" i="1"/>
  <c r="ED931" i="1"/>
  <c r="ED932" i="1"/>
  <c r="EE932" i="1"/>
  <c r="EF932" i="1"/>
  <c r="ED933" i="1"/>
  <c r="EE933" i="1"/>
  <c r="EF933" i="1"/>
  <c r="R934" i="1"/>
  <c r="ED934" i="1"/>
  <c r="EE934" i="1"/>
  <c r="EF934" i="1"/>
  <c r="R935" i="1"/>
  <c r="ED935" i="1"/>
  <c r="EE935" i="1"/>
  <c r="EF935" i="1"/>
  <c r="EG935" i="1"/>
  <c r="R936" i="1"/>
  <c r="ED936" i="1"/>
  <c r="EE936" i="1"/>
  <c r="R937" i="1"/>
  <c r="ED937" i="1"/>
  <c r="EE937" i="1"/>
  <c r="EF937" i="1"/>
  <c r="EG937" i="1"/>
  <c r="EH937" i="1"/>
  <c r="EI937" i="1"/>
  <c r="R938" i="1"/>
  <c r="ED938" i="1"/>
  <c r="EE938" i="1"/>
  <c r="EF938" i="1"/>
  <c r="EG938" i="1"/>
  <c r="EH938" i="1"/>
  <c r="EI938" i="1"/>
  <c r="EJ938" i="1"/>
  <c r="EK938" i="1"/>
  <c r="R939" i="1"/>
  <c r="ED939" i="1"/>
  <c r="EE939" i="1"/>
  <c r="EF939" i="1"/>
  <c r="EG939" i="1"/>
  <c r="ED940" i="1"/>
  <c r="R941" i="1"/>
  <c r="ED941" i="1"/>
  <c r="EE941" i="1"/>
  <c r="EF941" i="1"/>
  <c r="EG941" i="1"/>
  <c r="EH941" i="1"/>
  <c r="EI941" i="1"/>
  <c r="EJ941" i="1"/>
  <c r="EK941" i="1"/>
  <c r="EL941" i="1"/>
  <c r="EQ941" i="1"/>
  <c r="ER941" i="1"/>
  <c r="ES941" i="1"/>
  <c r="ET941" i="1"/>
  <c r="EU941" i="1"/>
  <c r="EV941" i="1"/>
  <c r="EW941" i="1"/>
  <c r="EX941" i="1"/>
  <c r="EY941" i="1"/>
  <c r="EZ941" i="1"/>
  <c r="FA941" i="1"/>
  <c r="ED942" i="1"/>
  <c r="EE942" i="1"/>
  <c r="EF942" i="1"/>
  <c r="R944" i="1"/>
  <c r="ED944" i="1"/>
  <c r="EE944" i="1"/>
  <c r="EF944" i="1"/>
  <c r="R945" i="1"/>
  <c r="ED945" i="1"/>
  <c r="EE945" i="1"/>
  <c r="EF945" i="1"/>
  <c r="EE946" i="1"/>
  <c r="EF946" i="1"/>
  <c r="EH946" i="1"/>
  <c r="EJ946" i="1"/>
  <c r="EU946" i="1"/>
  <c r="EI947" i="1"/>
  <c r="EJ947" i="1"/>
  <c r="EK947" i="1"/>
  <c r="EL947" i="1"/>
  <c r="EM947" i="1"/>
  <c r="EN947" i="1"/>
  <c r="EO947" i="1"/>
  <c r="EP947" i="1"/>
  <c r="EJ948" i="1"/>
  <c r="EK948" i="1"/>
  <c r="EL948" i="1"/>
  <c r="EM948" i="1"/>
  <c r="EN948" i="1"/>
  <c r="EO948" i="1"/>
  <c r="EL950" i="1"/>
  <c r="EM950" i="1"/>
  <c r="EN950" i="1"/>
  <c r="EF951" i="1"/>
  <c r="EG953" i="1"/>
  <c r="EF954" i="1"/>
  <c r="EG954" i="1"/>
  <c r="EH954" i="1"/>
  <c r="EI954" i="1"/>
  <c r="EE957" i="1"/>
  <c r="EF957" i="1"/>
  <c r="EF958" i="1"/>
  <c r="EG958" i="1"/>
  <c r="EH958" i="1"/>
  <c r="EI958" i="1"/>
  <c r="EJ958" i="1"/>
  <c r="EK958" i="1"/>
  <c r="EL958" i="1"/>
  <c r="EM958" i="1"/>
  <c r="EN958" i="1"/>
  <c r="EO958" i="1"/>
  <c r="EH962" i="1"/>
  <c r="EI962" i="1"/>
  <c r="EJ962" i="1"/>
  <c r="EK962" i="1"/>
  <c r="EL962" i="1"/>
  <c r="EM962" i="1"/>
  <c r="EI964" i="1"/>
  <c r="EG965" i="1"/>
  <c r="EH965" i="1"/>
  <c r="EG966" i="1"/>
  <c r="EH966" i="1"/>
  <c r="EH967" i="1"/>
  <c r="EI967" i="1"/>
  <c r="EJ967" i="1"/>
  <c r="EK967" i="1"/>
  <c r="EL967" i="1"/>
  <c r="EM967" i="1"/>
  <c r="EH969" i="1"/>
  <c r="EE970" i="1"/>
  <c r="EF970" i="1"/>
  <c r="EG970" i="1"/>
  <c r="EH970" i="1"/>
  <c r="EI970" i="1"/>
  <c r="EG972" i="1"/>
  <c r="EI974" i="1"/>
  <c r="EJ974" i="1"/>
  <c r="EK974" i="1"/>
  <c r="EL974" i="1"/>
  <c r="EM974" i="1"/>
  <c r="EH978" i="1"/>
  <c r="EI978" i="1"/>
  <c r="EG982" i="1"/>
  <c r="EI982" i="1"/>
  <c r="EJ982" i="1"/>
  <c r="EK982" i="1"/>
  <c r="EN982" i="1"/>
  <c r="EO982" i="1"/>
  <c r="EP982" i="1"/>
  <c r="EG983" i="1"/>
  <c r="EH983" i="1"/>
  <c r="EI983" i="1"/>
  <c r="EJ983" i="1"/>
  <c r="EI984" i="1"/>
  <c r="EJ984" i="1"/>
  <c r="EK984" i="1"/>
  <c r="EL984" i="1"/>
  <c r="EM984" i="1"/>
  <c r="EN984" i="1"/>
  <c r="EH985" i="1"/>
  <c r="EI985" i="1"/>
  <c r="EH986" i="1"/>
  <c r="EI986" i="1"/>
  <c r="EH987" i="1"/>
  <c r="EH989" i="1"/>
  <c r="EI989" i="1"/>
  <c r="EJ989" i="1"/>
  <c r="EK989" i="1"/>
  <c r="EL989" i="1"/>
  <c r="EH990" i="1"/>
  <c r="EG991" i="1"/>
  <c r="EH991" i="1"/>
  <c r="EI991" i="1"/>
  <c r="EJ991" i="1"/>
  <c r="EK991" i="1"/>
  <c r="EL991" i="1"/>
  <c r="EM991" i="1"/>
  <c r="EI992" i="1"/>
  <c r="EG993" i="1"/>
  <c r="EH993" i="1"/>
  <c r="EI993" i="1"/>
  <c r="EJ993" i="1"/>
  <c r="EK993" i="1"/>
  <c r="EL993" i="1"/>
  <c r="EG994" i="1"/>
  <c r="EF995" i="1"/>
  <c r="EG995" i="1"/>
  <c r="EG996" i="1"/>
  <c r="EH996" i="1"/>
  <c r="EG997" i="1"/>
  <c r="EH997" i="1"/>
  <c r="EI997" i="1"/>
  <c r="EF998" i="1"/>
  <c r="EG998" i="1"/>
  <c r="EH998" i="1"/>
  <c r="EH1000" i="1"/>
  <c r="EG1002" i="1"/>
  <c r="EH1002" i="1"/>
  <c r="EI1002" i="1"/>
  <c r="EJ1002" i="1"/>
  <c r="EK1002" i="1"/>
  <c r="EL1002" i="1"/>
  <c r="EI1003" i="1"/>
  <c r="EJ1003" i="1"/>
  <c r="EK1003" i="1"/>
  <c r="EL1003" i="1"/>
  <c r="EM1003" i="1"/>
  <c r="EN1003" i="1"/>
  <c r="EO1003" i="1"/>
  <c r="EP1003" i="1"/>
  <c r="EQ1003" i="1"/>
  <c r="ER1003" i="1"/>
  <c r="ES1003" i="1"/>
  <c r="ET1003" i="1"/>
  <c r="EU1003" i="1"/>
  <c r="EG1004" i="1"/>
  <c r="EG1006" i="1"/>
  <c r="EK1009" i="1"/>
  <c r="EL1009" i="1"/>
  <c r="EM1009" i="1"/>
  <c r="EN1009" i="1"/>
  <c r="EO1009" i="1"/>
  <c r="EP1009" i="1"/>
  <c r="EQ1009" i="1"/>
  <c r="ER1009" i="1"/>
  <c r="ES1009" i="1"/>
  <c r="ET1009" i="1"/>
  <c r="EU1009" i="1"/>
  <c r="EF1010" i="1"/>
  <c r="EF1011" i="1"/>
  <c r="EG1011" i="1"/>
  <c r="EH1011" i="1"/>
  <c r="EI1011" i="1"/>
  <c r="EM1011" i="1"/>
  <c r="EF1012" i="1"/>
  <c r="EG1012" i="1"/>
  <c r="EH1012" i="1"/>
  <c r="EI1012" i="1"/>
  <c r="EJ1012" i="1"/>
  <c r="EG1014" i="1"/>
  <c r="EH1014" i="1"/>
  <c r="EI1017" i="1"/>
  <c r="EJ1017" i="1"/>
  <c r="EK1017" i="1"/>
  <c r="EN1017" i="1"/>
  <c r="EO1017" i="1"/>
  <c r="EJ1019" i="1"/>
  <c r="EH1022" i="1"/>
  <c r="EI1022" i="1"/>
  <c r="EJ1022" i="1"/>
  <c r="EK1022" i="1"/>
  <c r="EL1022" i="1"/>
  <c r="EM1022" i="1"/>
  <c r="EN1022" i="1"/>
  <c r="EO1022" i="1"/>
  <c r="EP1022" i="1"/>
  <c r="EQ1022" i="1"/>
  <c r="ER1022" i="1"/>
  <c r="EE1023" i="1"/>
  <c r="EF1023" i="1"/>
  <c r="EG1023" i="1"/>
  <c r="EH1023" i="1"/>
  <c r="EI1023" i="1"/>
  <c r="EM1023" i="1"/>
  <c r="EF1024" i="1"/>
  <c r="EG1024" i="1"/>
  <c r="EH1024" i="1"/>
  <c r="EI1024" i="1"/>
  <c r="EJ1024" i="1"/>
  <c r="EK1024" i="1"/>
  <c r="EL1024" i="1"/>
  <c r="EM1024" i="1"/>
  <c r="EG1025" i="1"/>
  <c r="EH1025" i="1"/>
  <c r="EI1025" i="1"/>
  <c r="EJ1025" i="1"/>
  <c r="EK1025" i="1"/>
  <c r="EG1026" i="1"/>
  <c r="EH1026" i="1"/>
  <c r="EI1026" i="1"/>
  <c r="EG1027" i="1"/>
  <c r="EH1027" i="1"/>
  <c r="EI1027" i="1"/>
  <c r="EJ1027" i="1"/>
  <c r="EI1029" i="1"/>
  <c r="EJ1029" i="1"/>
  <c r="EI1030" i="1"/>
  <c r="EJ1030" i="1"/>
  <c r="EK1030" i="1"/>
  <c r="EL1030" i="1"/>
  <c r="EM1030" i="1"/>
  <c r="EN1030" i="1"/>
  <c r="EO1030" i="1"/>
  <c r="EP1030" i="1"/>
  <c r="EQ1030" i="1"/>
  <c r="EI1031" i="1"/>
  <c r="EJ1031" i="1"/>
  <c r="EK1031" i="1"/>
  <c r="EK1032" i="1"/>
  <c r="EL1032" i="1"/>
  <c r="EM1032" i="1"/>
  <c r="EN1032" i="1"/>
  <c r="EO1032" i="1"/>
  <c r="EH1033" i="1"/>
  <c r="EI1033" i="1"/>
  <c r="EH1034" i="1"/>
  <c r="EI1034" i="1"/>
  <c r="EJ1034" i="1"/>
  <c r="EH1035" i="1"/>
  <c r="EI1035" i="1"/>
  <c r="EJ1035" i="1"/>
  <c r="EI1036" i="1"/>
  <c r="EJ1036" i="1"/>
  <c r="EK1036" i="1"/>
  <c r="EM1036" i="1"/>
  <c r="EK1038" i="1"/>
  <c r="R1039" i="1"/>
  <c r="EL1039" i="1"/>
  <c r="EM1039" i="1"/>
  <c r="EN1039" i="1"/>
  <c r="EO1039" i="1"/>
  <c r="EP1039" i="1"/>
  <c r="EG1040" i="1"/>
  <c r="EH1040" i="1"/>
  <c r="EC1041" i="1"/>
  <c r="ED1041" i="1"/>
  <c r="EE1041" i="1"/>
  <c r="EF1041" i="1"/>
  <c r="EG1041" i="1"/>
  <c r="EK1041" i="1"/>
  <c r="EE1042" i="1"/>
  <c r="ED1043" i="1"/>
  <c r="ED1044" i="1"/>
  <c r="EE1046" i="1"/>
  <c r="ED1054" i="1"/>
  <c r="ED1057" i="1"/>
  <c r="EC1059" i="1"/>
  <c r="ED1060" i="1"/>
  <c r="EC1067" i="1"/>
  <c r="EC1068" i="1"/>
  <c r="EC1069" i="1"/>
  <c r="EF1070" i="1"/>
  <c r="ED1071" i="1"/>
  <c r="ED1075" i="1"/>
  <c r="EE1075" i="1"/>
  <c r="EF1075" i="1"/>
  <c r="EG1075" i="1"/>
  <c r="EH1075" i="1"/>
  <c r="EC1077" i="1"/>
  <c r="ED1077" i="1"/>
  <c r="EE1077" i="1"/>
  <c r="EC1078" i="1"/>
  <c r="EE1080" i="1"/>
  <c r="EE1081" i="1"/>
  <c r="EF1082" i="1"/>
  <c r="ED1083" i="1"/>
</calcChain>
</file>

<file path=xl/sharedStrings.xml><?xml version="1.0" encoding="utf-8"?>
<sst xmlns="http://schemas.openxmlformats.org/spreadsheetml/2006/main" count="16691" uniqueCount="8370">
  <si>
    <t>Создано с помощью www.fieldwire.com</t>
  </si>
  <si>
    <t>Комплекс зданий и сооружений ПАО «Газпром» г. Санкт-Петербург</t>
  </si>
  <si>
    <t>ID</t>
  </si>
  <si>
    <t>Заголовок</t>
  </si>
  <si>
    <t>Приоритет</t>
  </si>
  <si>
    <t>Категория</t>
  </si>
  <si>
    <t>Отвественный</t>
  </si>
  <si>
    <t>Дата начала</t>
  </si>
  <si>
    <t>Дата завершения</t>
  </si>
  <si>
    <t>План</t>
  </si>
  <si>
    <t>Поз. X (%)</t>
  </si>
  <si>
    <t>Поз. Y (%)</t>
  </si>
  <si>
    <t>Местоположение</t>
  </si>
  <si>
    <t>Рабочая сила</t>
  </si>
  <si>
    <t>Стоимость</t>
  </si>
  <si>
    <t>Плановая папка</t>
  </si>
  <si>
    <t>Ссылка на план</t>
  </si>
  <si>
    <t>Созданный</t>
  </si>
  <si>
    <t>Завершенные</t>
  </si>
  <si>
    <t>Проверенные</t>
  </si>
  <si>
    <t>Удалено</t>
  </si>
  <si>
    <t>Последнее обновление</t>
  </si>
  <si>
    <t>Тег 1</t>
  </si>
  <si>
    <t>Тег 2</t>
  </si>
  <si>
    <t>Тег 3</t>
  </si>
  <si>
    <t>Связанное задание 1</t>
  </si>
  <si>
    <t>Связанное задание 2</t>
  </si>
  <si>
    <t>Связанное задание 3</t>
  </si>
  <si>
    <t>Связанное задание 4</t>
  </si>
  <si>
    <t>Связанное задание 5</t>
  </si>
  <si>
    <t>Связанное задание 6</t>
  </si>
  <si>
    <t>Связанное задание 7</t>
  </si>
  <si>
    <t>Контрольный список 1</t>
  </si>
  <si>
    <t>Контрольный список 2</t>
  </si>
  <si>
    <t>Контрольный список 3</t>
  </si>
  <si>
    <t>Контрольный список 4</t>
  </si>
  <si>
    <t>Контрольный список 5</t>
  </si>
  <si>
    <t>Контрольный список 6</t>
  </si>
  <si>
    <t>Контрольный список 7</t>
  </si>
  <si>
    <t>Контрольный список 8</t>
  </si>
  <si>
    <t>Контрольный список 9</t>
  </si>
  <si>
    <t>Контрольный список 10</t>
  </si>
  <si>
    <t>Контрольный список 11</t>
  </si>
  <si>
    <t>Контрольный список 12</t>
  </si>
  <si>
    <t>Контрольный список 13</t>
  </si>
  <si>
    <t>Контрольный список 14</t>
  </si>
  <si>
    <t>Контрольный список 15</t>
  </si>
  <si>
    <t>Контрольный список 16</t>
  </si>
  <si>
    <t>Контрольный список 17</t>
  </si>
  <si>
    <t>Контрольный список 18</t>
  </si>
  <si>
    <t>Контрольный список 19</t>
  </si>
  <si>
    <t>Контрольный список 20</t>
  </si>
  <si>
    <t>Контрольный список 21</t>
  </si>
  <si>
    <t>Контрольный список 22</t>
  </si>
  <si>
    <t>Контрольный список 23</t>
  </si>
  <si>
    <t>Контрольный список 24</t>
  </si>
  <si>
    <t>Контрольный список 25</t>
  </si>
  <si>
    <t>Контрольный список 26</t>
  </si>
  <si>
    <t>Контрольный список 27</t>
  </si>
  <si>
    <t>Контрольный список 28</t>
  </si>
  <si>
    <t>Контрольный список 29</t>
  </si>
  <si>
    <t>Контрольный список 30</t>
  </si>
  <si>
    <t>Контрольный список 31</t>
  </si>
  <si>
    <t>Контрольный список 32</t>
  </si>
  <si>
    <t>Контрольный список 33</t>
  </si>
  <si>
    <t>Контрольный список 34</t>
  </si>
  <si>
    <t>Контрольный список 35</t>
  </si>
  <si>
    <t>Контрольный список 36</t>
  </si>
  <si>
    <t>Контрольный список 37</t>
  </si>
  <si>
    <t>Контрольный список 38</t>
  </si>
  <si>
    <t>Контрольный список 39</t>
  </si>
  <si>
    <t>Контрольный список 40</t>
  </si>
  <si>
    <t>Контрольный список 41</t>
  </si>
  <si>
    <t>Контрольный список 42</t>
  </si>
  <si>
    <t>Контрольный список 43</t>
  </si>
  <si>
    <t>Контрольный список 44</t>
  </si>
  <si>
    <t>Контрольный список 45</t>
  </si>
  <si>
    <t>Контрольный список 46</t>
  </si>
  <si>
    <t>Контрольный список 47</t>
  </si>
  <si>
    <t>Контрольный список 48</t>
  </si>
  <si>
    <t>Контрольный список 49</t>
  </si>
  <si>
    <t>Контрольный список 50</t>
  </si>
  <si>
    <t>Контрольный список 51</t>
  </si>
  <si>
    <t>Контрольный список 52</t>
  </si>
  <si>
    <t>Контрольный список 53</t>
  </si>
  <si>
    <t>Контрольный список 54</t>
  </si>
  <si>
    <t>Контрольный список 55</t>
  </si>
  <si>
    <t>Контрольный список 56</t>
  </si>
  <si>
    <t>Контрольный список 57</t>
  </si>
  <si>
    <t>Контрольный список 58</t>
  </si>
  <si>
    <t>Контрольный список 59</t>
  </si>
  <si>
    <t>Контрольный список 60</t>
  </si>
  <si>
    <t>Контрольный список 61</t>
  </si>
  <si>
    <t>Контрольный список 62</t>
  </si>
  <si>
    <t>Контрольный список 63</t>
  </si>
  <si>
    <t>Контрольный список 64</t>
  </si>
  <si>
    <t>Контрольный список 65</t>
  </si>
  <si>
    <t>Контрольный список 66</t>
  </si>
  <si>
    <t>Контрольный список 67</t>
  </si>
  <si>
    <t>Контрольный список 68</t>
  </si>
  <si>
    <t>Контрольный список 69</t>
  </si>
  <si>
    <t>Контрольный список 70</t>
  </si>
  <si>
    <t>Контрольный список 71</t>
  </si>
  <si>
    <t>Контрольный список 72</t>
  </si>
  <si>
    <t>Контрольный список 73</t>
  </si>
  <si>
    <t>Контрольный список 74</t>
  </si>
  <si>
    <t>Контрольный список 75</t>
  </si>
  <si>
    <t>Контрольный список 76</t>
  </si>
  <si>
    <t>Контрольный список 77</t>
  </si>
  <si>
    <t>Контрольный список 78</t>
  </si>
  <si>
    <t>Контрольный список 79</t>
  </si>
  <si>
    <t>Контрольный список 80</t>
  </si>
  <si>
    <t>Контрольный список 81</t>
  </si>
  <si>
    <t>Контрольный список 82</t>
  </si>
  <si>
    <t>Контрольный список 83</t>
  </si>
  <si>
    <t>Контрольный список 84</t>
  </si>
  <si>
    <t>Контрольный список 85</t>
  </si>
  <si>
    <t>Контрольный список 86</t>
  </si>
  <si>
    <t>Контрольный список 87</t>
  </si>
  <si>
    <t>Контрольный список 88</t>
  </si>
  <si>
    <t>Контрольный список 89</t>
  </si>
  <si>
    <t>Контрольный список 90</t>
  </si>
  <si>
    <t>Контрольный список 91</t>
  </si>
  <si>
    <t>Контрольный список 92</t>
  </si>
  <si>
    <t>Контрольный список 93</t>
  </si>
  <si>
    <t>Контрольный список 94</t>
  </si>
  <si>
    <t>Контрольный список 95</t>
  </si>
  <si>
    <t>Контрольный список 96</t>
  </si>
  <si>
    <t>Контрольный список 97</t>
  </si>
  <si>
    <t>Контрольный список 98</t>
  </si>
  <si>
    <t>Контрольный список 99</t>
  </si>
  <si>
    <t>Сообщение 1</t>
  </si>
  <si>
    <t>Сообщение 2</t>
  </si>
  <si>
    <t>Сообщение 3</t>
  </si>
  <si>
    <t>Сообщение 4</t>
  </si>
  <si>
    <t>Сообщение 5</t>
  </si>
  <si>
    <t>Сообщение 6</t>
  </si>
  <si>
    <t>Сообщение 7</t>
  </si>
  <si>
    <t>Сообщение 8</t>
  </si>
  <si>
    <t>Сообщение 9</t>
  </si>
  <si>
    <t>Сообщение 10</t>
  </si>
  <si>
    <t>Сообщение 11</t>
  </si>
  <si>
    <t>Сообщение 12</t>
  </si>
  <si>
    <t>Сообщение 13</t>
  </si>
  <si>
    <t>Сообщение 14</t>
  </si>
  <si>
    <t>Сообщение 15</t>
  </si>
  <si>
    <t>Сообщение 16</t>
  </si>
  <si>
    <t>Сообщение 17</t>
  </si>
  <si>
    <t>Сообщение 18</t>
  </si>
  <si>
    <t>Сообщение 19</t>
  </si>
  <si>
    <t>Сообщение 20</t>
  </si>
  <si>
    <t>Сообщение 21</t>
  </si>
  <si>
    <t>Сообщение 22</t>
  </si>
  <si>
    <t>Сообщение 23</t>
  </si>
  <si>
    <t>Сообщение 24</t>
  </si>
  <si>
    <t>Сообщение 25</t>
  </si>
  <si>
    <t>Сообщение 26</t>
  </si>
  <si>
    <t>Сообщение 27</t>
  </si>
  <si>
    <t>Сообщение 28</t>
  </si>
  <si>
    <t>Сообщение 29</t>
  </si>
  <si>
    <t>Сообщение 30</t>
  </si>
  <si>
    <t>Сообщение 31</t>
  </si>
  <si>
    <t>Сообщение 32</t>
  </si>
  <si>
    <t>Сообщение 33</t>
  </si>
  <si>
    <t>Сообщение 34</t>
  </si>
  <si>
    <t>Сообщение 35</t>
  </si>
  <si>
    <t>Сообщение 36</t>
  </si>
  <si>
    <t>Сообщение 37</t>
  </si>
  <si>
    <t>Сообщение 38</t>
  </si>
  <si>
    <t>Сообщение 39</t>
  </si>
  <si>
    <t>Сообщение 40</t>
  </si>
  <si>
    <t>Сообщение 41</t>
  </si>
  <si>
    <t>Сообщение 42</t>
  </si>
  <si>
    <t>Сообщение 43</t>
  </si>
  <si>
    <t>Сообщение 44</t>
  </si>
  <si>
    <t>Сообщение 45</t>
  </si>
  <si>
    <t>Сообщение 46</t>
  </si>
  <si>
    <t>Сообщение 47</t>
  </si>
  <si>
    <t>Сообщение 48</t>
  </si>
  <si>
    <t>Сообщение 49</t>
  </si>
  <si>
    <t>Сообщение 50</t>
  </si>
  <si>
    <t>Сообщение 51</t>
  </si>
  <si>
    <t>Сообщение 52</t>
  </si>
  <si>
    <t>Сообщение 53</t>
  </si>
  <si>
    <t>Сообщение 54</t>
  </si>
  <si>
    <t>Сообщение 55</t>
  </si>
  <si>
    <t>Сообщение 56</t>
  </si>
  <si>
    <t>Сообщение 57</t>
  </si>
  <si>
    <t>Проверка натяжения ВПБ узлов ферм ETFE, узлы №253,257,270,272,288+1</t>
  </si>
  <si>
    <t>oluferov@spgr.ru</t>
  </si>
  <si>
    <t>L4_Блок 3_A3</t>
  </si>
  <si>
    <t>п5.1_монтаж металлических конструкций</t>
  </si>
  <si>
    <t>N/A: 2.1 Отклонения отметок опорных поверхностей колонн и опор от проектных не более 5 мм., опорных узлов не более 10 мм. (АОЛ) - 2020-02-09</t>
  </si>
  <si>
    <t>N/A: 2.2 Смещение осей колонн и опор относительно разбивочных осей в опорном сечении не более 5 мм. (АОЛ) - 2020-02-09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</si>
  <si>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- 2020-02-09</t>
  </si>
  <si>
    <t>Yes: 2.4 Стрела прогиба (кривизна) конструкции между точками закрепления не более 15 мм (АОЛ) - 2020-02-09</t>
  </si>
  <si>
    <t>Yes: 2.5 Смещение ферм, балок ригелей от осей на оголовках колонн из плоскости рамы не более 15 мм. (АОЛ) - 2020-02-09</t>
  </si>
  <si>
    <t>N/A: 2.6 Отклонений расстояний между прогонами не более 5 мм. от проектных (АОЛ) - 2020-02-09</t>
  </si>
  <si>
    <t>Yes: 3.1 Момент затяжки обычных и высокопрочных болтов соответствует проекту. Зазоры в месте стыков отсутствуют (АОЛ) - 2020-02-09</t>
  </si>
  <si>
    <t>No: 3.2 Заводское покрытие элементов конструкций восстановлено (при повреждении в процессе монтажа) (АОЛ) - 2020-02-09</t>
  </si>
  <si>
    <t>No: 3.3 Выполнена окраска всех болтов и стыков в соответствии с проектом (АОЛ) - 2020-02-09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</si>
  <si>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- 2020-02-09</t>
  </si>
  <si>
    <t>No: 5,1 Наличие записи в журнале производства работ (АОЛ) - 2020-02-09</t>
  </si>
  <si>
    <t>Yes: 5,2 Наличие записи в журнале выполнения монтажных соединений на болтах с контролируемым натяжением (АОЛ) - 2020-02-09</t>
  </si>
  <si>
    <t>N/A: 5,3 Наличие записи в журнале сварочных работ (АОЛ) - 2020-02-09</t>
  </si>
  <si>
    <t>N/A: 5,4 Наличие записи в журнале работ по монтажу строительных конструкций (АОЛ) - 2020-02-09</t>
  </si>
  <si>
    <t>No: 5,5 Наличие акта освидетельствования скрытых работ (АОЛ) - 2020-02-09</t>
  </si>
  <si>
    <t>No: 5,6 Наличие акта освидетельствования ответственных конструкций (АОЛ) - 2020-02-09</t>
  </si>
  <si>
    <t>Yes: 5,7 Наличие исполнительной геодезической схемы положения конструкций (АОЛ) - 2020-02-09</t>
  </si>
  <si>
    <t>N/A: 5,8 Наличие документа о контроле качества сварных соединений (АОЛ) - 2020-02-09</t>
  </si>
  <si>
    <t>Александр Олуферов: Заголовок изменен на Затяжка узлов с</t>
  </si>
  <si>
    <t>Александр Олуферов: Заголовок изменен на Проверка натяжения ВПБ узлов ферм ETFE, узлы №253,257,270,272,288+1</t>
  </si>
  <si>
    <t>Александр Олуферов: Проверенное задание</t>
  </si>
  <si>
    <t>Александр Олуферов: Изменена дата начала на 02.02.2020</t>
  </si>
  <si>
    <t>Александр Олуферов: Местоположение изменено на B1_Блок 3</t>
  </si>
  <si>
    <t>Александр Олуферов: Местоположение изменено на L4_Блок 3_A3</t>
  </si>
  <si>
    <t>Пожарная отсечка ( оц. Лист, крепёж) в\о 21-29/13Б +8.400 Блок И2 Установка минеральной ваты горизонтальной противопожарной отсечки светового фонаря 10/1÷12/1 / 3÷5 Блок А2 +8,400м.</t>
  </si>
  <si>
    <t>fedorov@spgr.ru</t>
  </si>
  <si>
    <t>Антон Федоров: Проверенное задание</t>
  </si>
  <si>
    <t>Антон Федоров: Изменена дата начала на 01.02.2020</t>
  </si>
  <si>
    <t>Антон Федоров: Заголовок изменен на Пожарная отсечка ( оц. Лист, крепёж)</t>
  </si>
  <si>
    <t>Антон Федоров: Заголовок изменен на Пожарная отсечка ( оц. Лист, крепёж) в\о 21-30/13Б</t>
  </si>
  <si>
    <t>Антон Федоров: Заголовок изменен на Пожарная отсечка ( оц. Лист, крепёж) в\о 21-29/13Б +8.400 Блок И2</t>
  </si>
  <si>
    <t>Антон Федоров: Заголовок изменен на Пожарная отсечка ( оц. Лист, крепёж) в\о 21-29/13Б +8.400 Блок И2 Установка минеральной ваты горизонтальной противопожарной отсечки светового фонаря</t>
  </si>
  <si>
    <t>Антон Федоров: Заголовок изменен на Пожарная отсечка ( оц. Лист, крепёж) в\о 21-29/13Б +8.400 Блок И2 Установка минеральной ваты горизонтальной противопожарной отсечки светового фонаря 10/1÷12/1 / 3÷5 Блок А2</t>
  </si>
  <si>
    <t>Антон Федоров: Заголовок изменен на Пожарная отсечка ( оц. Лист, крепёж) в\о 21-29/13Б +8.400 Блок И2 Установка минеральной ваты горизонтальной противопожарной отсечки светового фонаря 10/1÷12/1 / 3÷5 Блок А2 +8,400м.</t>
  </si>
  <si>
    <t>Установка верхнего оцинкованного листа в\о 16-17//Р отм. +12,600 блок В1 Установка минеральной ваты горизонтальной противопожарной отсечки тёплой зоны в\о Ш÷Ш/2 / 1 Блок 1 +12,600м.</t>
  </si>
  <si>
    <t>Антон Федоров: Изменена дата начала на 02.02.2020</t>
  </si>
  <si>
    <t>Антон Федоров: Заголовок изменен на Установка верхнего оцинкованного листа в\о</t>
  </si>
  <si>
    <t>Антон Федоров: Заголовок изменен на Установка верхнего оцинкованного листа в\о 16-17//Р отм. +12,600 блок В1</t>
  </si>
  <si>
    <t>Антон Федоров: Заголовок изменен на Установка верхнего оцинкованного листа в\о 16-17//Р отм. +12,600 блок В1 Установка минеральной ваты горизонтальной противопожарной отсечки тёплой зоны</t>
  </si>
  <si>
    <t>Антон Федоров: Заголовок изменен на Установка верхнего оцинкованного листа в\о 16-17//Р отм. +12,600 блок В1 Установка минеральной ваты горизонтальной противопожарной отсечки тёплой зоны в\о Ш÷Ш/2 / 1 Блок 1 +12,600м.</t>
  </si>
  <si>
    <t>Монтаж панелей в\о 18-19//Д отм. +25,200м. Блок В1</t>
  </si>
  <si>
    <t>Антон Федоров: Заголовок изменен на Монтаж панелеей</t>
  </si>
  <si>
    <t>Антон Федоров: Заголовок изменен на Монтаж панелей в\о 18-19//Д отм. +25,200м. Блок В1</t>
  </si>
  <si>
    <t>Укладка плитки ( стены, пол) пом. 05.l2.2.133, 11.l2.2.040</t>
  </si>
  <si>
    <t>Антон Федоров: Изменена дата начала на 08.01.2020</t>
  </si>
  <si>
    <t>Антон Федоров: Заголовок изменен на Укладка плитки ( стены, пол) пом. 05.l2.2.133, 11.l2.2.040</t>
  </si>
  <si>
    <t>Затяжка высокопрочных болтов Блок 1 Кровля Узлы № 595,600,589,584,577,571,572,191</t>
  </si>
  <si>
    <t>Yes: 2.1 Отклонения отметок опорных поверхностей колонн и опор от проектных не более 5 мм., опорных узлов не более 10 мм. (АФЕ) - 2020-02-07</t>
  </si>
  <si>
    <t>Yes: 2.2 Смещение осей колонн и опор относительно разбивочных осей в опорном сечении не более 5 мм. (АФЕ) - 2020-02-07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</si>
  <si>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(АФЕ) - 2020-02-07</t>
  </si>
  <si>
    <t>N/A: 2.4 Стрела прогиба (кривизна) конструкции между точками закрепления не более 15 мм (АФЕ) - 2020-02-07</t>
  </si>
  <si>
    <t>N/A: 2.5 Смещение ферм, балок ригелей от осей на оголовках колонн из плоскости рамы не более 15 мм. (АФЕ) - 2020-02-07</t>
  </si>
  <si>
    <t>N/A: 2.6 Отклонений расстояний между прогонами не более 5 мм. от проектных (АФЕ) - 2020-02-07</t>
  </si>
  <si>
    <t>Yes: 3.1 Момент затяжки обычных и высокопрочных болтов соответствует проекту. Зазоры в месте стыков отсутствуют (АФЕ) - 2020-02-07</t>
  </si>
  <si>
    <t>N/A: 3.2 Заводское покрытие элементов конструкций восстановлено (при повреждении в процессе монтажа) (АФЕ) - 2020-02-07</t>
  </si>
  <si>
    <t>N/A: 3.3 Выполнена окраска всех болтов и стыков в соответствии с проектом (АФЕ) - 2020-02-07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</si>
  <si>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- 2020-02-07</t>
  </si>
  <si>
    <t>Yes: 5,1 Наличие записи в журнале производства работ (АФЕ) - 2020-02-07</t>
  </si>
  <si>
    <t>Yes: 5,2 Наличие записи в журнале выполнения монтажных соединений на болтах с контролируемым натяжением (АФЕ) - 2020-02-07</t>
  </si>
  <si>
    <t>N/A: 5,3 Наличие записи в журнале сварочных работ (АФЕ) - 2020-02-07</t>
  </si>
  <si>
    <t>N/A: 5,4 Наличие записи в журнале работ по монтажу строительных конструкций (АФЕ) - 2020-02-07</t>
  </si>
  <si>
    <t>Not set: 5,5 Наличие акта освидетельствования скрытых работ (АФЕ) - 2020-02-07</t>
  </si>
  <si>
    <t>Not set: 5,6 Наличие акта освидетельствования ответственных конструкций (АФЕ) - 2020-02-07</t>
  </si>
  <si>
    <t>Yes: 5,7 Наличие исполнительной геодезической схемы положения конструкций (АФЕ) - 2020-02-07</t>
  </si>
  <si>
    <t>Not set: 5,8 Наличие документа о контроле качества сварных соединений (АФЕ) - 2020-02-07</t>
  </si>
  <si>
    <t>Антон Федоров: Заголовок изменен на Затяжка высокопрочных болтов Блок 1 Кровля Узлы № 595,600,589,584,577,571,572,191</t>
  </si>
  <si>
    <t>Антон Федоров: Изменена дата начала на 07.02.2020</t>
  </si>
  <si>
    <t>Монтаж Металлоконструкций</t>
  </si>
  <si>
    <t>sorokin.v@spgr.ru</t>
  </si>
  <si>
    <t>Вячеслав Сорокин: Заголовок изменен на Монтаж Металлоконструкций</t>
  </si>
  <si>
    <t>Устройство  теплоизоляции</t>
  </si>
  <si>
    <t>Вячеслав Сорокин: Заголовок изменен на Вата</t>
  </si>
  <si>
    <t>Вячеслав Сорокин: Заголовок изменен на Вата колодцы</t>
  </si>
  <si>
    <t>Вячеслав Сорокин: Проверенное задание</t>
  </si>
  <si>
    <t>Вячеслав Сорокин: Заголовок изменен на Устройство  теплоизоляции</t>
  </si>
  <si>
    <t>Вячеслав Сорокин: Изменена дата начала на 25.01.2020</t>
  </si>
  <si>
    <t>Пароизоляция</t>
  </si>
  <si>
    <t>rc_km@rencons.com</t>
  </si>
  <si>
    <t>Вячеслав Сорокин: Заголовок изменен на Пароизоляция</t>
  </si>
  <si>
    <t>Вячеслав Сорокин: Сменить уполномоченное лицо на КМ Renaissance</t>
  </si>
  <si>
    <t xml:space="preserve">Металлоконструкции </t>
  </si>
  <si>
    <t xml:space="preserve">Вячеслав Сорокин: Заголовок изменен на Металлоконструкции </t>
  </si>
  <si>
    <t>Вячеслав Сорокин: Дата начала изменена на 5 февраля 2020 г.</t>
  </si>
  <si>
    <t>КМ Renaissance: Завершенное задание</t>
  </si>
  <si>
    <t xml:space="preserve">Не актуально. Мин 2500 </t>
  </si>
  <si>
    <t>vasenkov@spgr.ru</t>
  </si>
  <si>
    <t>B01_M4.200</t>
  </si>
  <si>
    <t>Высоты потолков</t>
  </si>
  <si>
    <t xml:space="preserve">Кирилл Васенков: Не актуально. Мин 2500 </t>
  </si>
  <si>
    <t xml:space="preserve">Мин 2000 </t>
  </si>
  <si>
    <t xml:space="preserve">Кирилл Васенков: Мин 2000 </t>
  </si>
  <si>
    <t xml:space="preserve">Не актуально. Мин 2400 </t>
  </si>
  <si>
    <t xml:space="preserve">Кирилл Васенков: Изменен комментарий с Не актуально. Мин 2400  на Не актуально. Мин 2500 </t>
  </si>
  <si>
    <t>Yes: Мин 2400 (КВА) - 2019-12-23</t>
  </si>
  <si>
    <t xml:space="preserve">Не актуально. Мин 2500  </t>
  </si>
  <si>
    <t xml:space="preserve">Кирилл Васенков: Не актуально. Мин 2500  </t>
  </si>
  <si>
    <t xml:space="preserve">Не актуально. Мин 2200 </t>
  </si>
  <si>
    <t xml:space="preserve">Кирилл Васенков: Не актуально. Мин 2200 </t>
  </si>
  <si>
    <t xml:space="preserve">Не актуально. Мин 2200  </t>
  </si>
  <si>
    <t>Кирилл Васенков: Не актуально. Мин 2200. Поднять можно мах на 100мм.</t>
  </si>
  <si>
    <t>Кирилл Васенков: Изменен комментарий с Не актуально. Мин 2200   на Не актуально. Мин 2200. Поднять можно мах на 100мм.</t>
  </si>
  <si>
    <t xml:space="preserve">Кирилл Васенков: Не актуально. Мин 2200  </t>
  </si>
  <si>
    <t>Не влазит ручка на 30 мм. Можно переставить ручки вверх, подвинув слегка водопровод.</t>
  </si>
  <si>
    <t>Кирилл Васенков: Не влазит ручка на 30 мм. Можно переставить ручки вверх, подвинув слегка водопровод.</t>
  </si>
  <si>
    <t>Не актуально. Мин 2200</t>
  </si>
  <si>
    <t>Кирилл Васенков: Не актуально. Мин 2200</t>
  </si>
  <si>
    <t xml:space="preserve">Не актуально. Мин 2300 </t>
  </si>
  <si>
    <t xml:space="preserve">Кирилл Васенков: Не актуально. Мин 2300 </t>
  </si>
  <si>
    <t xml:space="preserve">Не актуально. Мин 2300  </t>
  </si>
  <si>
    <t xml:space="preserve">Кирилл Васенков: Не актуально. Мин 2300  </t>
  </si>
  <si>
    <t>Кирилл Васенков: Не актуально. Мин 2200. Поднять можно на 100 мм</t>
  </si>
  <si>
    <t>Кирилл Васенков: Изменен комментарий с Не актуально. Мин 2200   на Не актуально. Мин 2200. Поднять можно на 100 мм</t>
  </si>
  <si>
    <t xml:space="preserve">Не актуально. Мин 2400. Поднять можно. </t>
  </si>
  <si>
    <t xml:space="preserve">Кирилл Васенков: Не актуально. Мин 2400. Поднять можно. </t>
  </si>
  <si>
    <t xml:space="preserve">Не актуально. Мин 2400  </t>
  </si>
  <si>
    <t xml:space="preserve">Кирилл Васенков: Не актуально. Мин 2400  </t>
  </si>
  <si>
    <t>не актуально</t>
  </si>
  <si>
    <t>Кирилл Васенков: не актуально</t>
  </si>
  <si>
    <t>Не актуально. Мин 2150</t>
  </si>
  <si>
    <t>Кирилл Васенков: Не актуально. Мин 2150</t>
  </si>
  <si>
    <t>Не актуально. Мин 2200. Местами не входят на 10-20мм. Поднять можно.</t>
  </si>
  <si>
    <t>Кирилл Васенков: Не актуально. Мин 2200. Местами не входят на 10-20мм. Поднять можно.</t>
  </si>
  <si>
    <t>Поднять можно примерно на 100 мм.</t>
  </si>
  <si>
    <t>Not set: Актуально. Мин 2050 (КВА) - 2019-12-23</t>
  </si>
  <si>
    <t>Кирилл Васенков: Поднять можно примерно на 100 мм.</t>
  </si>
  <si>
    <t xml:space="preserve">Не актуально. Мин 2450 </t>
  </si>
  <si>
    <t xml:space="preserve">Кирилл Васенков: Не актуально. Мин 2450 </t>
  </si>
  <si>
    <t>Не актуально. Мин 2400. Поднять можно.</t>
  </si>
  <si>
    <t>Кирилл Васенков: Не актуально. Мин 2400. Поднять можно.</t>
  </si>
  <si>
    <t>Кирилл Васенков: Не актуально. Мин 2300. Поднять можно, перевернув консоли.</t>
  </si>
  <si>
    <t>Кирилл Васенков: Изменен комментарий с Не актуально. Мин 2300   на Не актуально. Мин 2300. Поднять можно, перевернув консоли.</t>
  </si>
  <si>
    <t>Не актуально. Мин 2500</t>
  </si>
  <si>
    <t>Кирилл Васенков: Не актуально. Мин 2500</t>
  </si>
  <si>
    <t>Not set: Не актуально. Мин 2400 (КВА) - 2019-12-23</t>
  </si>
  <si>
    <t>Не актуально. Мин 2450</t>
  </si>
  <si>
    <t>Кирилл Васенков: Не актуально. Мин 2450</t>
  </si>
  <si>
    <t>Мин 2200</t>
  </si>
  <si>
    <t>Кирилл Васенков: Мин 2200</t>
  </si>
  <si>
    <t xml:space="preserve">Не актуально. Мин 2 700 </t>
  </si>
  <si>
    <t>20191219_Plan_L8</t>
  </si>
  <si>
    <t xml:space="preserve">Кирилл Васенков: Не актуально. Мин 2 700 </t>
  </si>
  <si>
    <t>Не актуально. Можно поднять.</t>
  </si>
  <si>
    <t>20191128_Plan_L4</t>
  </si>
  <si>
    <t>Кирилл Васенков: Не актуально. Можно поднять.</t>
  </si>
  <si>
    <t xml:space="preserve">Кирилл Васенков: Изменен комментарий с Не актуально. Мин 2200  на Не актуально. Мин 2400  </t>
  </si>
  <si>
    <t>Не актуально. Мин 2 800</t>
  </si>
  <si>
    <t>Кирилл Васенков: Не актуально. Мин 2 800</t>
  </si>
  <si>
    <t>Не актуально.мин 2800</t>
  </si>
  <si>
    <t>Кирилл Васенков: Не актуально.мин 2800</t>
  </si>
  <si>
    <t xml:space="preserve">Не актуально. Мин 2 800 </t>
  </si>
  <si>
    <t xml:space="preserve">Кирилл Васенков: Не актуально. Мин 2 800 </t>
  </si>
  <si>
    <t>Истина.</t>
  </si>
  <si>
    <t>Кирилл Васенков: Истина.</t>
  </si>
  <si>
    <t>Не критично. Венткамера.</t>
  </si>
  <si>
    <t>20191205_Plan_L5</t>
  </si>
  <si>
    <t>Кирилл Васенков: Не критично. Венткамера.</t>
  </si>
  <si>
    <t xml:space="preserve">Истина. </t>
  </si>
  <si>
    <t xml:space="preserve">Кирилл Васенков: Истина. </t>
  </si>
  <si>
    <t>Не актуально. Мин 2 700</t>
  </si>
  <si>
    <t>Кирилл Васенков: Не актуально. Мин 2 700</t>
  </si>
  <si>
    <t xml:space="preserve">Не актуально. Можно поднять. </t>
  </si>
  <si>
    <t xml:space="preserve">Кирилл Васенков: Не актуально. Можно поднять. </t>
  </si>
  <si>
    <t>Не актуально. Мин 6000</t>
  </si>
  <si>
    <t>20191214_Plan_L6</t>
  </si>
  <si>
    <t>Кирилл Васенков: Не актуально. Мин 6000</t>
  </si>
  <si>
    <t>Не актуально.высота самого помещения 8000</t>
  </si>
  <si>
    <t>Кирилл Васенков: Не актуально.высота самого помещения 8000</t>
  </si>
  <si>
    <t xml:space="preserve">Не актуально. Мин 6000 </t>
  </si>
  <si>
    <t xml:space="preserve">Кирилл Васенков: Не актуально. Мин 6000 </t>
  </si>
  <si>
    <t>На актуально. Исправить можно.</t>
  </si>
  <si>
    <t>Кирилл Васенков: На актуально. Исправить можно.</t>
  </si>
  <si>
    <t>Не актуально. Мин 2700</t>
  </si>
  <si>
    <t>Кирилл Васенков: Не актуально. Мин 2700</t>
  </si>
  <si>
    <t>Не актуально. Мин 3000</t>
  </si>
  <si>
    <t>Кирилл Васенков: Не актуально. Мин 3000</t>
  </si>
  <si>
    <t>Не актуально.мин 2700</t>
  </si>
  <si>
    <t>Кирилл Васенков: Не актуально.мин 2700</t>
  </si>
  <si>
    <t xml:space="preserve">воздуховода замена. </t>
  </si>
  <si>
    <t>РК-РД-2-ОВ4.1.03-02.00-02</t>
  </si>
  <si>
    <t>L top Вентиляция</t>
  </si>
  <si>
    <t>изоляция</t>
  </si>
  <si>
    <t xml:space="preserve">Кирилл Васенков: #изоляция воздуховода замена. </t>
  </si>
  <si>
    <t xml:space="preserve">воздуховода </t>
  </si>
  <si>
    <t>Кирилл Васенков: #изоляция воздуховода замена</t>
  </si>
  <si>
    <t>Кирилл Васенков: Редактированный комментарий - "#изоляция воздуховод..."</t>
  </si>
  <si>
    <t>Тип шкафа не по РД.  Шкаф не в проектной отметки.</t>
  </si>
  <si>
    <t>РК-РД-2-ПТ4.1.03-10.06-05</t>
  </si>
  <si>
    <t>L top АУПТ</t>
  </si>
  <si>
    <t>Кирилл Васенков: Тип шкафа не по РД.  Шкаф не в проектной отметки.</t>
  </si>
  <si>
    <t>Шкаф не в проектной отметки.</t>
  </si>
  <si>
    <t>РК-РД-2-ПТ4.1.03-12.06-04</t>
  </si>
  <si>
    <t>Кирилл Васенков: Шкаф не в проектной отметки.</t>
  </si>
  <si>
    <t>ПНР П5-3.2</t>
  </si>
  <si>
    <t>#пнр</t>
  </si>
  <si>
    <t>Yes: 2,3. Выполнен весь комплекс пусконалодочных работ (КВА) - 2020-01-20</t>
  </si>
  <si>
    <t>Yes: 3,1. Места размещения  оборудования соответствуют проекту (КВА) - 2020-01-20</t>
  </si>
  <si>
    <t>Yes: 2,1. Произведен монтаж оборудования, успешно прошедшего входной контроль (КВА) - 2020-01-22</t>
  </si>
  <si>
    <t>Yes: 2,2. Закрепление оборудования выполнено в соответствии с проектом и рекомендациями производителя (КВА) - 2020-01-22</t>
  </si>
  <si>
    <t>Кирилл Васенков: ПНР П5-3.2</t>
  </si>
  <si>
    <t>Кирилл Васенков: Присутствует шум на распределительных устройствах</t>
  </si>
  <si>
    <t>Кирилл Васенков: Завершенное задание</t>
  </si>
  <si>
    <t>Кирилл Васенков: Дата начала изменена на янв. 20, 2020</t>
  </si>
  <si>
    <t>Кирилл Васенков: Проверенное задание</t>
  </si>
  <si>
    <t>#гпт. Направление 33. Трубопроводы.</t>
  </si>
  <si>
    <t>РК-РД-2-ПТ4.2.01-08-01</t>
  </si>
  <si>
    <t>Ltop ГПТ</t>
  </si>
  <si>
    <t>#гпт</t>
  </si>
  <si>
    <t>#гпт._трубопроводы.</t>
  </si>
  <si>
    <t>гпт.</t>
  </si>
  <si>
    <t>#гпт. Направление 33. Испытания трубопроводов</t>
  </si>
  <si>
    <t>Yes: Диаметр трубопроводов соответствует РД (КВА) - 2020-01-21</t>
  </si>
  <si>
    <t>Yes: Трассировка трубопроводов соответствует РД (КВА) - 2020-01-21</t>
  </si>
  <si>
    <t>Yes: Крепления установлены в соответствии с НТД и РД. (КВА) - 2020-01-21</t>
  </si>
  <si>
    <t>Yes: Все изменения внесены в ИД и согласованы. (КВА) - 2020-01-21</t>
  </si>
  <si>
    <t>Yes: Тип креплений соответствует РД. (КВА) - 2020-01-21</t>
  </si>
  <si>
    <t>Yes: Сварные соединения соответствует ГОСТу (КВА) - 2020-01-21</t>
  </si>
  <si>
    <t>Кирилл Васенков: #гпт. Направление 33</t>
  </si>
  <si>
    <t>Кирилл Васенков: Отмеченный пункт изменен с "Все изменения внесены в ИД." на "Все изменения внесены в ИД и согласованы."</t>
  </si>
  <si>
    <t>Кирилл Васенков: Заголовок изменен на #гпт. Направление 33. Трубопроводы.</t>
  </si>
  <si>
    <t>Кирилл Васенков: Изменена дата начала на 21.01.2020</t>
  </si>
  <si>
    <t>ПНР. П5-3.5</t>
  </si>
  <si>
    <t>Yes: 2,3. Выполнен весь комплекс пусконалодочных работ (КВА) - 2020-01-22</t>
  </si>
  <si>
    <t>Yes: 3,1. Места размещения  оборудования соответствуют проекту (КВА) - 2020-01-22</t>
  </si>
  <si>
    <t>Кирилл Васенков: Заголовок изменен на ПНР. П5-3.5</t>
  </si>
  <si>
    <t>Кирилл Васенков: Присутствует шум в сети воздуховодов</t>
  </si>
  <si>
    <t>ПНР. П5-1.5</t>
  </si>
  <si>
    <t>Кирилл Васенков: Заголовок изменен на ПНР. П5-1.5</t>
  </si>
  <si>
    <t>#пш. ВПВ L4.05</t>
  </si>
  <si>
    <t>rc_cool_heat@rencons.com</t>
  </si>
  <si>
    <t>РК-РД-2-ПТ4.1.03-08.10-05</t>
  </si>
  <si>
    <t>Кирилл Васенков: Заголовок изменен на #пш. ВПВ L4.05</t>
  </si>
  <si>
    <t xml:space="preserve">Кирилл Васенков: Шкаф не в проектной отметки. </t>
  </si>
  <si>
    <t>Кирилл Васенков: Ответственное лицо замещено QA-QC Renaissance</t>
  </si>
  <si>
    <t>QA-QC Renaissance: Сменить ответственное лицо на Отопление и Кондиционирование Renaissance</t>
  </si>
  <si>
    <t>prasolov@spgr.ru</t>
  </si>
  <si>
    <t>Монтаж Системы СОФ1 Блока В2 В Осях 10/Б-11/Б/ 21-31</t>
  </si>
  <si>
    <t>Юрий Прасолов: Проверенное задание</t>
  </si>
  <si>
    <t>Юрий Прасолов: Приоритет изменен на P2</t>
  </si>
  <si>
    <t>Юрий Прасолов: Заголовок изменен на Монтаж Системы СОФ1 Блока В2 В Осях 10/Б-11/Б/ 21-31</t>
  </si>
  <si>
    <t>Примыкание Вертикальных Участков К СВГ Крм-3 участок 18</t>
  </si>
  <si>
    <t>п8.13_оклеечная_гидроизоляция</t>
  </si>
  <si>
    <t>Yes: 2,1. При производстве работ использован материал, прошедший входной контроль (ЮПР) - 2020-01-29</t>
  </si>
  <si>
    <t>Yes: 2,2. Сопряжение смежных полотнищ выполнено с нахлесткой не менее 100 мм; торцевой нахлест полотнищ составляет не менее 150 мм (ЮПР) - 2020-01-29</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</si>
  <si>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(ЮПР) - 2020-01-29</t>
  </si>
  <si>
    <t>Yes: 2,4. Отсутствуют расслоения в местах швов.
При применении шлицевой отвертки инструмент не
проникает между полотнищами в местах швов (ЮПР) - 2020-01-29</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</si>
  <si>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(ЮПР) - 2020-01-29</t>
  </si>
  <si>
    <t>Yes: 2,6. Углы конструкций примыкания сглаженные и
ровные, с отсутствием острых углов (ЮПР) - 2020-01-29</t>
  </si>
  <si>
    <t>Not set: 3,1. Наличие исполнительной документации, акта освидетельствования скрытых работ (ЮПР) - 2020-01-29</t>
  </si>
  <si>
    <t>Yes: 3,2. Наличие записи в журнале производства работ (ЮПР) - 2020-01-29</t>
  </si>
  <si>
    <t>Yes: Нормативная документация: СП 71.13330.2017 «Изоляционные и отделочные покрытия» (ЮПР) - 2020-01-29</t>
  </si>
  <si>
    <t>Юрий Прасолов: Заголовок изменен на Примыкание Вертикальных Участков К СВГ Крм-3 участок 18</t>
  </si>
  <si>
    <t>Армирование Подпорной Стены Пс-10 в/о В-Д/1. На Отм. -6.650</t>
  </si>
  <si>
    <t>о3.2_армирование_монолитных_жб_конструкций</t>
  </si>
  <si>
    <t>Yes: 1.1 Вертикальный и горизонтальный шаг арматуры соответствует проекту. Отклонение между рядами арматуры не более 10 мм (ЮПР) - 2020-01-30</t>
  </si>
  <si>
    <t>Yes: 1.2 Длина арматурных элементов соответствуют проекту. Длины нахлестов/анкеровки арматуры составляют не менее 5% длины арматуры (ГОСТ 10922-2012) (ЮПР) - 2020-01-30</t>
  </si>
  <si>
    <t>Yes: 1.3 Отклонение толщины защитного слоя бетона от проектной не более 15 мм и не менее 5 мм при толщине бетона более 300 мм (ЮПР) - 2020-01-30</t>
  </si>
  <si>
    <t>Not set: 1.4 Сварные соединения соответствуют проекту и требованиям ГОСТ 14098—2014 (ЮПР) - 2020-01-30</t>
  </si>
  <si>
    <t>N/A: 1.5 Закладные элементы , в том числе приспособления для устройства гидроизоляции швов, установлены в соответствии с проектом и закреплены (ЮПР) - 2020-01-30</t>
  </si>
  <si>
    <t>Not set: 2.1 Наличие записи в общем журнале работ (ЮПР) - 2020-01-30</t>
  </si>
  <si>
    <t>Yes: 3.1 Разрешается проведение последующих работ по устройству опалубки  или бетонированию конструкции (ЮПР) - 2020-01-30</t>
  </si>
  <si>
    <t>Юрий Прасолов: Заголовок изменен на Армирование Подпорной Стены Пс-10 в/о В-Д/1. На Отм. -6.650</t>
  </si>
  <si>
    <t>Гидроизоляция Крм-9</t>
  </si>
  <si>
    <t>Юрий Прасолов: Заголовок изменен на Гидроизоляция Крм-9</t>
  </si>
  <si>
    <t>Устройство щебеночного основания под фундаментную плиту КПП</t>
  </si>
  <si>
    <t>Юрий Прасолов: Заголовок изменен на Устройство щебеночного основания под фундаментную плиту КПП</t>
  </si>
  <si>
    <t>Юрий Прасолов: Завершенное задание</t>
  </si>
  <si>
    <t>Устройство Гидроизоляции Стен тоннеля ГОЧС с отм. -4.550 до отм. -6.550 м</t>
  </si>
  <si>
    <t>Юрий Прасолов: Заголовок изменен на Устройство Гидроизоляции Стен тоннеля ГОЧС с отм. -4.550 до отм. -6.550 м</t>
  </si>
  <si>
    <t>Устройство первого Слоя Гидроизоляции Кровли ЭПП в/о 10Б-13</t>
  </si>
  <si>
    <t>о8.13_оклеечная_гидроизоляция</t>
  </si>
  <si>
    <t>Yes: 1.1 Работы выполняются на основе утвержденного ППР (ЮПР) - 2020-01-21</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</si>
  <si>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(ЮПР) - 2020-01-21</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</si>
  <si>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(ЮПР) - 2020-01-21</t>
  </si>
  <si>
    <t>Yes: 1.4 Укладка рулонных материалов  выполняется в направлении «на себя» (ЮПР) - 2020-01-21</t>
  </si>
  <si>
    <t>N/A: 1.5 Оклеечная гидроизоляция на мастике наклеивается сразу после ее нанесения (ЮПР) - 2020-01-21</t>
  </si>
  <si>
    <t>N/A: 1.6 Толщина слоя мастики соответствует нормативным требованиям (ЮПР) - 2020-01-21</t>
  </si>
  <si>
    <t>Yes: 1.7 Сопряжение смежных полотнищ выполняется с нахлесткой не менее 100 мм; торцевой нахлест полотнищ составляет не менее 150 мм (ЮПР) - 2020-01-21</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</si>
  <si>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(ЮПР) - 2020-01-21</t>
  </si>
  <si>
    <t>Yes: 1.9 При наплавлении рулонных материалов вяжущее вещество из-под боковой кромки материала вытекает на 5-15 мм (ЮПР) - 2020-01-21</t>
  </si>
  <si>
    <t>No: 1.10 Наличие записи в журнале производства работ (ЮПР) - 2020-01-21</t>
  </si>
  <si>
    <t>Yes: Нормативная документация: СП 71.13330.2017 «Изоляционные и отделочные покрытия» (ЮПР) - 2020-01-21</t>
  </si>
  <si>
    <t>Юрий Прасолов: Заголовок изменен на Устройство первого Слоя Гидроизоляции Кровли ЭПП в/о 10Б-13</t>
  </si>
  <si>
    <t>Приёмка Сборки Фермы внутреннего Двора В/О 8/3-10/ Ш-Ф</t>
  </si>
  <si>
    <t>Юрий Прасолов: Заголовок изменен на Приёмка Сборки Фермы внутреннего Двора В/О 8/3-10/ Ш-Ф</t>
  </si>
  <si>
    <t>13.B1.1.026</t>
  </si>
  <si>
    <t>Fit Out</t>
  </si>
  <si>
    <t>rc_otdelka@rencons.com</t>
  </si>
  <si>
    <t>13.B1.1.026_Тр.5-1</t>
  </si>
  <si>
    <t>Владимир Собченко: Заголовок изменен на 13.B1.1.026</t>
  </si>
  <si>
    <t>Владимир Собченко: Дата начала изменена на 31 января 2020 г.</t>
  </si>
  <si>
    <t>Владимир Собченко: 1. Рельсы покрасить</t>
  </si>
  <si>
    <t>Владимир Собченко: 2. Закладные трубки системы СКУД за щитами</t>
  </si>
  <si>
    <t>Владимир Собченко: 3. Датчик установлен некорректно, выпадает из коробки ворот. Необходимо либо выполнить корректный монтаж, либо заменить тип датчика</t>
  </si>
  <si>
    <t>Владимир Собченко: Редактированный комментарий - "3. Датчик установлен..."</t>
  </si>
  <si>
    <t>Владимир Собченко: Приоритет изменен на 1</t>
  </si>
  <si>
    <t>Владимир Собченко: Изменена дата начала на 31.01.2020</t>
  </si>
  <si>
    <t>Владимир Собченко: Сменить ответственное лицо на Отделка Renaissance Construction</t>
  </si>
  <si>
    <t>13.B1.1.003</t>
  </si>
  <si>
    <t>13.B1.1.003_Тр.3-1</t>
  </si>
  <si>
    <t>Владимир Собченко: Заголовок изменен на 13.B1.1.003</t>
  </si>
  <si>
    <t>Владимир Собченко: 1. Покрасить рельсы</t>
  </si>
  <si>
    <t>Владимир Собченко: 2. Заглушки в воротах другого цвета, заменить</t>
  </si>
  <si>
    <t>Владимир Собченко: 3. Закладная трубка под систему СКУД расположено в неправильном месте. Требуется перенос</t>
  </si>
  <si>
    <t>13.B1.1.017</t>
  </si>
  <si>
    <t>13.B1.1.017_Тр.2-2</t>
  </si>
  <si>
    <t>Владимир Собченко: Заголовок изменен на 13.B1.1.017</t>
  </si>
  <si>
    <t>Владимир Собченко: 1. Заглушки не того цвета. Покрасит рельсы</t>
  </si>
  <si>
    <t>Владимир Собченко: 2. Нет закладных СКУД</t>
  </si>
  <si>
    <t>Владимир Собченко: 3. Временная трубка и кабель не удалены</t>
  </si>
  <si>
    <t>Владимир Собченко: 4. Противопожарная решетка не смонтирована полностью, не плотно прилегает к полотну, нет решетки МЕР</t>
  </si>
  <si>
    <t>Владимир Собченко: 5. Диск противопожарный выровнять плотно к кабелю
Удалить временные кабели из стены (2 места)
Выровнять металлическое крепление кабельной гофротрубки</t>
  </si>
  <si>
    <t>Владимир Собченко: Редактированный комментарий - "4. Противопожарная р..."</t>
  </si>
  <si>
    <t>Владимир Собченко: Редактированный комментарий - "5. Диск противопожар..."</t>
  </si>
  <si>
    <t>13.B1.1.030</t>
  </si>
  <si>
    <t>13.B1.1.030_ТП-3</t>
  </si>
  <si>
    <t>Владимир Собченко: Заголовок изменен на 13.B1.1.030</t>
  </si>
  <si>
    <t>Владимир Собченко: 1. Установить клипсу кабельной трубки</t>
  </si>
  <si>
    <t>Владимир Собченко: 2. Закрепить эл.магнитный привод АУГПТ</t>
  </si>
  <si>
    <t>Владимир Собченко: 3. Оборудование в пленке</t>
  </si>
  <si>
    <t>Владимир Собченко: 4. Потолок имеет следы ремонта</t>
  </si>
  <si>
    <t>Владимир Собченко: 5. Порог отремонтировать, установить заглушки</t>
  </si>
  <si>
    <t>Владимир Собченко: 6. Доводчики не установлены</t>
  </si>
  <si>
    <t>Владимир Собченко: 7. Герметик с наружной стороны двери отсутствует</t>
  </si>
  <si>
    <t>Владимир Собченко: 8. Отверстие в плитке - заделка по цвету не согласована Заказчикам</t>
  </si>
  <si>
    <t>13.B1.1.033</t>
  </si>
  <si>
    <t>13.B1.1.033_РП-1 секция 1</t>
  </si>
  <si>
    <t>Владимир Собченко: Заголовок изменен на 13.B1.1.033</t>
  </si>
  <si>
    <t>Владимир Собченко: Помещение не предъявляется (работы не готовы)</t>
  </si>
  <si>
    <t>Владимир Собченко: 1. Полы, примыкания к двери и плинтус не закончен</t>
  </si>
  <si>
    <t>Владимир Собченко: 2. Узел ввода КЛ 20кВ не закончено примыкание к полу</t>
  </si>
  <si>
    <t>Владимир Собченко: 2. Работы по СМР электрики не завершены</t>
  </si>
  <si>
    <t>Владимир Собченко: 3. Работы не завершены</t>
  </si>
  <si>
    <t>Владимир Собченко: 4. Не установлены закладные</t>
  </si>
  <si>
    <t>Владимир Собченко: Удаленное изображение</t>
  </si>
  <si>
    <t>Владимир Собченко: Редактированный комментарий - "2. Узел ввода КЛ 20к..."</t>
  </si>
  <si>
    <t>13.B1.1.016</t>
  </si>
  <si>
    <t>13.B1.1.016_Тр.6-1</t>
  </si>
  <si>
    <t>Владимир Собченко: Заголовок изменен на 13.B1.1.016</t>
  </si>
  <si>
    <t>Владимир Собченко: 1. Противопожарные решетки не закреплены, не установлены МЕР решетки</t>
  </si>
  <si>
    <t>Владимир Собченко: 2. Заглушки неправильного цвета</t>
  </si>
  <si>
    <t>Владимир Собченко: 3. Покрасить рельсы</t>
  </si>
  <si>
    <t>Владимир Собченко: 4. Закладные под скуд не установлены</t>
  </si>
  <si>
    <t>Владимир Собченко: 5. Дефект монтажа датчика ( наружная часть выпадает из основания)</t>
  </si>
  <si>
    <t>Владимир Собченко: 6. Отсутствует наличник</t>
  </si>
  <si>
    <t>13.B1.1.024</t>
  </si>
  <si>
    <t>13.B1.1.024_ТП-1</t>
  </si>
  <si>
    <t>Владимир Собченко: Заголовок изменен на 13.B1.1.024</t>
  </si>
  <si>
    <t>Владимир Собченко: 1. Покрасить порог, установить заглушки</t>
  </si>
  <si>
    <t>Владимир Собченко: 2. Вентрешетка деформирована</t>
  </si>
  <si>
    <t>Владимир Собченко: 3. Отверстие в плитки - заделка не согласована Заказчиком по цвету</t>
  </si>
  <si>
    <t>Владимир Собченко: 4. Отверстия в потолке - не выполнен ремонт</t>
  </si>
  <si>
    <t>Владимир Собченко: 5. Подкрасить стену</t>
  </si>
  <si>
    <t>Владимир Собченко: 6. Временные кабели, ввод за щитом, перемычка между щитами</t>
  </si>
  <si>
    <t>Владимир Собченко: 7. Отверстие в плитке - цвет заделки не согласован Заказчиком</t>
  </si>
  <si>
    <t>Владимир Собченко: Редактированный комментарий - "5. Подкрасит стену"</t>
  </si>
  <si>
    <t>Владимир Собченко: Удаленный комментарий - "6. Выполнить ремонт ..."</t>
  </si>
  <si>
    <t>Владимир Собченко: Редактированный комментарий - "7. Временные кабели,..."</t>
  </si>
  <si>
    <t>Владимир Собченко: Редактированный комментарий - "8. Отверстие в плитк..."</t>
  </si>
  <si>
    <t>13.B1.1.031</t>
  </si>
  <si>
    <t>B1_Приемка помещений</t>
  </si>
  <si>
    <t>13.B1.1.031_Тр.3-2</t>
  </si>
  <si>
    <t>Приемка помещений</t>
  </si>
  <si>
    <t>Владимир Собченко: Приоритет изменен на лриоритет  1</t>
  </si>
  <si>
    <t>Владимир Собченко: Заголовок изменен на 13.B1.1.031</t>
  </si>
  <si>
    <t>Владимир Собченко: 1. Устранить дефект монтажа датчика ТР 3_2_TRM</t>
  </si>
  <si>
    <t>Владимир Собченко: Приоритет изменен на лриоритет  2</t>
  </si>
  <si>
    <t>Владимир Собченко: 2. Установить клипсу крепления трубки кабеля</t>
  </si>
  <si>
    <t>Владимир Собченко: 3. Произвести очистку светильников, разветвительный коробки от пыли, обеспылить и очистить помещение</t>
  </si>
  <si>
    <t>Владимир Собченко: 4. Произвести окраску рельсов, уголков</t>
  </si>
  <si>
    <t>Владимир Собченко: 5.  Геркон (эл.магнитный датчик) в коробке ворот выполнен некачественно (неплотно установлен в коробке, видны защелки).</t>
  </si>
  <si>
    <t>Владимир Собченко: Редактированный комментарий - "5.  Геркон (эл.магни..."</t>
  </si>
  <si>
    <t>Владимир Собченко: 6.  Выровнять крепление полосы заземления.</t>
  </si>
  <si>
    <t>Владимир Собченко: 7. Оборудование в защитной пленке (перед сдачей удалить, очистить и обеспылить оборудование)</t>
  </si>
  <si>
    <t>Владимир Собченко: 8. Доводчики не установлены</t>
  </si>
  <si>
    <t>Владимир Собченко: 9. Закладные для системы СКУД не установлены</t>
  </si>
  <si>
    <t>Владимир Собченко: 10. Не установлена решетка изнутри поверхности ворот (МЕР)</t>
  </si>
  <si>
    <t>Валерий Семиков: План изменен на B1_Приемка помещений</t>
  </si>
  <si>
    <t>13.B1.1.021</t>
  </si>
  <si>
    <t>13.B1.1.021_ТП-4</t>
  </si>
  <si>
    <t>Владимир Собченко: 1. Отремонтировать пороги, установить заглушки.</t>
  </si>
  <si>
    <t>Владимир Собченко: 2. Ремонт ЛКП полотна двери</t>
  </si>
  <si>
    <t>Владимир Собченко: Не установлены закладные под кабель СКУД</t>
  </si>
  <si>
    <t>Владимир Собченко: 3. Временные сети подключены к эл.щиту.</t>
  </si>
  <si>
    <t>Владимир Собченко: 4. Оборудование в пленке</t>
  </si>
  <si>
    <t>Владимир Собченко: 5. Отверстие в плитки пола - заделка не согласована по цвету с Заказчиком</t>
  </si>
  <si>
    <t>Владимир Собченко: 6. Шпильки крепления вентиляции не подрезаны</t>
  </si>
  <si>
    <t>Владимир Собченко: 7. Доводчики не установлены</t>
  </si>
  <si>
    <t>Владимир Собченко: 8. Выполнить очистку и обеспыливание</t>
  </si>
  <si>
    <t>Владимир Собченко: 9. Диск проходки не вплотную к кабелю, исправит</t>
  </si>
  <si>
    <t>Владимир Собченко: Заголовок изменен на 1. Отремонтировать пороги, установить заглуш</t>
  </si>
  <si>
    <t>Владимир Собченко: Заголовок изменен на 13.B1.1.021</t>
  </si>
  <si>
    <t>13.B1.1.019</t>
  </si>
  <si>
    <t>13.B1.1.019_Тр.2-1</t>
  </si>
  <si>
    <t>Владимир Собченко: Заголовок изменен на 13.B1.1.019</t>
  </si>
  <si>
    <t>Владимир Собченко: 1. Диск кабельной проходки неплотно примыкает к кабелю</t>
  </si>
  <si>
    <t>Владимир Собченко: 2. Отсутствует клипса крепления кабельной трубки</t>
  </si>
  <si>
    <t>Владимир Собченко: 3. Рельсы покрасить</t>
  </si>
  <si>
    <t>Владимир Собченко: 4. Заглушки другого цвета, закладные для системы СКУД (переход на полотно) не установлены</t>
  </si>
  <si>
    <t>Владимир Собченко: 5. Откосы ворот не закончены</t>
  </si>
  <si>
    <t>Владимир Собченко: 6. Трубка без заделки</t>
  </si>
  <si>
    <t>Владимир Собченко: Редактированный комментарий - "4. Заглушки другого ..."</t>
  </si>
  <si>
    <t>13.B1.1.018</t>
  </si>
  <si>
    <t>13.B1.1.018_ТП-2</t>
  </si>
  <si>
    <t>Владимир Собченко: Заголовок изменен на 13.B1.1.018</t>
  </si>
  <si>
    <t>Владимир Собченко: 1. Пороги отремонтировать, отсутствуют заглушки</t>
  </si>
  <si>
    <t>Владимир Собченко: 2. Отверстие в плитке, заделка по цвету не согласована</t>
  </si>
  <si>
    <t>Владимир Собченко: Отверстие в плитке</t>
  </si>
  <si>
    <t>Владимир Собченко: 3. Изоляция воздуховодов - исправит</t>
  </si>
  <si>
    <t>Владимир Собченко: 4. Угол на каб. трубки отсутствует</t>
  </si>
  <si>
    <t>Владимир Собченко: 5. Временный кабель подключён к щиту</t>
  </si>
  <si>
    <t>13.B1.1.027</t>
  </si>
  <si>
    <t>13.B1.1.027_ТП-5</t>
  </si>
  <si>
    <t>Владимир Собченко: Заголовок изменен на 13.B1.1.027</t>
  </si>
  <si>
    <t>Владимир Собченко: 1. Закрепить электромагнитный привод АУГПТ</t>
  </si>
  <si>
    <t>Владимир Собченко: 2. Кабель (временный?) перемычка между щитами. Монтаж не завершен</t>
  </si>
  <si>
    <t>Владимир Собченко: 3. Кабели временные за щитом</t>
  </si>
  <si>
    <t>13.B1.1.013</t>
  </si>
  <si>
    <t>13.B1.1.013_РП-1 секция 2</t>
  </si>
  <si>
    <t>Владимир Собченко: Заголовок изменен на 13.B1.1.013</t>
  </si>
  <si>
    <t>Владимир Собченко: 1. Помещение не предъявляется</t>
  </si>
  <si>
    <t>Владимир Собченко: 2. Выполнить ремонт проходки</t>
  </si>
  <si>
    <t>Владимир Собченко: 3. Отверстия в полу не отремонтированы</t>
  </si>
  <si>
    <t>Владимир Собченко: 4. Облагородить примыкание кабельной проходки</t>
  </si>
  <si>
    <t>Владимир Собченко: 5. ИБП блок установлен на полу помещения, в пыли</t>
  </si>
  <si>
    <t>Владимир Собченко: 6. Закладные не установлены</t>
  </si>
  <si>
    <t>Владимир Собченко: 7. Отремонтировать порог</t>
  </si>
  <si>
    <t>Владимир Собченко: Редактированный комментарий - "5. Системный блок ус..."</t>
  </si>
  <si>
    <t>13.B1.1.022</t>
  </si>
  <si>
    <t>13.B1.1.022_Тр.4-1</t>
  </si>
  <si>
    <t>Владимир Собченко: Заголовок изменен на 13.B1.1.022</t>
  </si>
  <si>
    <t>Владимир Собченко: 1. Окраска рельс, завершить</t>
  </si>
  <si>
    <t>Владимир Собченко: 2. Оборудование во временной защите</t>
  </si>
  <si>
    <t>Владимир Собченко: 3. Очистить оборудование от пыли.</t>
  </si>
  <si>
    <t>Владимир Собченко: 4. Внутренняя решетка МЕР отсутствует на воротах</t>
  </si>
  <si>
    <t>Владимир Собченко: 5. Доводчики отсутствуют.</t>
  </si>
  <si>
    <t>Владимир Собченко: 6. Отремонтировать пороги ворот</t>
  </si>
  <si>
    <t>Владимир Собченко: 7. Не установлены закладные под замки СКУД</t>
  </si>
  <si>
    <t>13.B1.1.025</t>
  </si>
  <si>
    <t>13.B1.1.025_Тр.1-2</t>
  </si>
  <si>
    <t>Владимир Собченко: Заголовок изменен на 13.B1.1.025</t>
  </si>
  <si>
    <t>Владимир Собченко: 2. Закладная СКУД за щитом</t>
  </si>
  <si>
    <t>Владимир Собченко: 3. Отсутствует затвор ворот</t>
  </si>
  <si>
    <t>13.B1.1.014</t>
  </si>
  <si>
    <t>13.B1.1.014_Тр.6-2</t>
  </si>
  <si>
    <t>Владимир Собченко: Заголовок изменен на 1.B1.1.014</t>
  </si>
  <si>
    <t>Владимир Собченко: 1. Временный кабель демонтировать</t>
  </si>
  <si>
    <t>Владимир Собченко: 2. Датчик неправильно смонтирован</t>
  </si>
  <si>
    <t>Владимир Собченко: 3. Покраска рельсов</t>
  </si>
  <si>
    <t>Владимир Собченко: 4. Вентрешетка противопожарная - нет заглушек, не установлена МЕР решетка</t>
  </si>
  <si>
    <t>Владимир Собченко: Заголовок изменен на 13.B1.1.014</t>
  </si>
  <si>
    <t>13.B1.1.015</t>
  </si>
  <si>
    <t>13.B1.1.015_ТП-6</t>
  </si>
  <si>
    <t>Владимир Собченко: Заголовок изменен на 13.B1.1.015</t>
  </si>
  <si>
    <t>Владимир Собченко: 1. Порог двери отремонтировать, нет заглушек</t>
  </si>
  <si>
    <t>Владимир Собченко: 2. Отверстие в плитки - заделка не согласована Заказчиком</t>
  </si>
  <si>
    <t>Владимир Собченко: 3. Временная перемычка кабельная между щитами</t>
  </si>
  <si>
    <t>Владимир Собченко: 4. Диски удалить, стену покрасит</t>
  </si>
  <si>
    <t>Владимир Собченко: 5. Монтаж кабеля автоматики АУГПТ - одиночные жилы без внешней изоляции - защитить.</t>
  </si>
  <si>
    <t>Владимир Собченко: Редактированный комментарий - "5. Монтаж кабеля авт..."</t>
  </si>
  <si>
    <t>13.B1.1.020</t>
  </si>
  <si>
    <t>13.B1.1.020_Тр.4-2</t>
  </si>
  <si>
    <t>Владимир Собченко: Заголовок изменен на 13.B1.1.020</t>
  </si>
  <si>
    <t>Владимир Собченко: 1. Повреждение изоляции воздуховодов</t>
  </si>
  <si>
    <t>Владимир Собченко: 2. Пленка на оборудовании и шинопроводе</t>
  </si>
  <si>
    <t>Владимир Собченко: 3. Покрасит рельсы и пороги</t>
  </si>
  <si>
    <t>Владимир Собченко: 4. Датчик наружная часть неплотно прилегает к основанию из-за монтажа кабеля</t>
  </si>
  <si>
    <t>Владимир Собченко: 5. Доводчики не установлены</t>
  </si>
  <si>
    <t>Владимир Собченко: 6. Закладные СКУД не установлены в воротах</t>
  </si>
  <si>
    <t>Владимир Собченко: 7. С внутренней стороны ворот не установлены решетки</t>
  </si>
  <si>
    <t>Владимир Собченко: 8. Обеспылить, очистить помещение</t>
  </si>
  <si>
    <t>13.B1.1.028</t>
  </si>
  <si>
    <t>13.B1.1.028_Тр.5-2</t>
  </si>
  <si>
    <t>Владимир Собченко: Заголовок изменен на 13.B1.1.028</t>
  </si>
  <si>
    <t>Владимир Собченко: 1. Датчик неправильно установлен</t>
  </si>
  <si>
    <t>13.B1.1.023</t>
  </si>
  <si>
    <t>13.B1.1.023_Тр.1-1</t>
  </si>
  <si>
    <t>Владимир Собченко: Заголовок изменен на 1.B1.1.023</t>
  </si>
  <si>
    <t>Владимир Собченко: 1. Нет заглушек в противопожарных решётках, установлены изнутри МЕР решетки.</t>
  </si>
  <si>
    <t>Владимир Собченко: 4. Нет закладных СКУД</t>
  </si>
  <si>
    <t>Владимир Собченко: 5. Не установлены доводчики</t>
  </si>
  <si>
    <t>Владимир Собченко: Редактированный комментарий - "1. Нет заглушке в пр..."</t>
  </si>
  <si>
    <t>Владимир Собченко: Редактированный комментарий - "1. Нет заглушек в пр..."</t>
  </si>
  <si>
    <t>Владимир Собченко: Редактированный комментарий - "3. Покрасит рельсы"</t>
  </si>
  <si>
    <t>Владимир Собченко: Заголовок изменен на 13.B1.1.023</t>
  </si>
  <si>
    <t>13.В1.1.031</t>
  </si>
  <si>
    <t>Александр Светашов: 1</t>
  </si>
  <si>
    <t>Александр Светашов: Подкраска сколов лкп на дверях</t>
  </si>
  <si>
    <t>Александр Светашов: Повреждения, замятие дверей. Ответная часть  замка дверей</t>
  </si>
  <si>
    <t>Александр Светашов: Отверстия в потолок дверей в месте решетки</t>
  </si>
  <si>
    <t>Александр Светашов: Повреждение ЛКП дверей</t>
  </si>
  <si>
    <t>Александр Светашов: Очистить дверную коробку</t>
  </si>
  <si>
    <t>Александр Светашов: Затирка швов плиточного плинтуса</t>
  </si>
  <si>
    <t>Александр Светашов: Окраска порогов двери, направляющих рельсов пола</t>
  </si>
  <si>
    <t>Александр Светашов: Затирка плитки пола</t>
  </si>
  <si>
    <t>Александр Светашов: Очистить пол от пыли, грязи, остатков отделочных материалов</t>
  </si>
  <si>
    <t>Александр Светашов: Закрепить гофрированный кабель канал</t>
  </si>
  <si>
    <t>Александр Светашов: Выполнить полосу заземления</t>
  </si>
  <si>
    <t>Александр Светашов: Очистить плинтус от краски</t>
  </si>
  <si>
    <t>Александр Светашов: Очистить герметик плинтуса от пыли</t>
  </si>
  <si>
    <t>Александр Светашов: Устранить зазоры примыкания вентрешеток</t>
  </si>
  <si>
    <t>Александр Светашов: Очистить вентрешетки от остатков герметика</t>
  </si>
  <si>
    <t>Александр Светашов: Скрыть крепление громкоговорителя</t>
  </si>
  <si>
    <t>Александр Светашов: Убрать пыль, грязь с щитов и оборудования</t>
  </si>
  <si>
    <t>Александр Светашов: Закрепить крышку блока</t>
  </si>
  <si>
    <t>Александр Светашов: Завершить монтаж систем</t>
  </si>
  <si>
    <t>Александр Светашов: Дата начала изменена на янв. 30, 2020</t>
  </si>
  <si>
    <t>Александр Светашов: Заголовок изменен на 13.В1.1.031</t>
  </si>
  <si>
    <t>Александр Светашов: Ответственное лицо замещено Отделка Renaissance Construction</t>
  </si>
  <si>
    <t>13.В1.1.003</t>
  </si>
  <si>
    <t>Александр Светашов: 3</t>
  </si>
  <si>
    <t>Александр Светашов: Название категории изменено на Fit Out</t>
  </si>
  <si>
    <t>Александр Светашов: Установить наличник дверей</t>
  </si>
  <si>
    <t>Александр Светашов: Установить фурнитуру, декоративные заглушки, оборудование скуд</t>
  </si>
  <si>
    <t>Александр Светашов: Изменен комментарий с Установить фурнитуру, декоративные заглушки, оборудование сккд на Установить фурнитуру, декоративные заглушки, оборудование скуд</t>
  </si>
  <si>
    <t>Александр Светашов: Подкрасить пороги, направляющие рельсы пола</t>
  </si>
  <si>
    <t>Александр Светашов: Поправить примыкание гофрированного кабель канала. Выполнить примыкание противопожарного диска к кабелю</t>
  </si>
  <si>
    <t>Александр Светашов: Подкрасить сколы лкп дверей</t>
  </si>
  <si>
    <t>Александр Светашов: Поправить крепление полосы заземления</t>
  </si>
  <si>
    <t>Александр Светашов: Убрать пыль, мусор со шкафов оборудования</t>
  </si>
  <si>
    <t>Александр Светашов: Закрепить кабель канал</t>
  </si>
  <si>
    <t>Александр Светашов: Восстановить разрыв гофрированного канала</t>
  </si>
  <si>
    <t>Александр Светашов: Убрать пленку с оборудования</t>
  </si>
  <si>
    <t>Александр Светашов: Разобраться с назначением отвода гофры в труднодоступном месте, за шкафом оборудования</t>
  </si>
  <si>
    <t>Александр Светашов: Зачем?</t>
  </si>
  <si>
    <t>Александр Светашов: Снять защитные колпаки</t>
  </si>
  <si>
    <t>Александр Светашов: Очистить плитку пола от пятен</t>
  </si>
  <si>
    <t>Александр Светашов: Примыкание дверных ручек не плотное</t>
  </si>
  <si>
    <t>Александр Светашов: Заголовок изменен на 13.В1.1.003</t>
  </si>
  <si>
    <t>13.В1.1.030</t>
  </si>
  <si>
    <t>Александр Светашов: 2</t>
  </si>
  <si>
    <t>Александр Светашов: Закрепить порог двери, поставить декоративную накладку</t>
  </si>
  <si>
    <t>Александр Светашов: Подкрасить сколы, удалить грязь, пыль, остатки малярного скотча</t>
  </si>
  <si>
    <t>Александр Светашов: Завершить монтаж оборудования скуд</t>
  </si>
  <si>
    <t>Александр Светашов: Выполнить монтаж противопожарных дисков с плотным сопряжения с кабелем</t>
  </si>
  <si>
    <t>Александр Светашов: Декоративный нащельник стена/перекрытие очистить от краски, устранить отверстия, обеспечить плотное примыкание.</t>
  </si>
  <si>
    <t>Александр Светашов: Изменен комментарий с Декоративный нащельник стена/перекрытие очистить от краски, устранить отверстия, обеспечитьтплотноеипримыкание на Декоративный нащельник стена/перекрытие очистить от краски, устранить отверстия, обеспечить плотное примыкание.</t>
  </si>
  <si>
    <t>Александр Светашов: Согласовать заделку отверстий в плитке пола силиконом с Техническим Заказчиком</t>
  </si>
  <si>
    <t>Александр Светашов: Убрать пыль с оборудования</t>
  </si>
  <si>
    <t>Александр Светашов: Устранить щели зазоры примыкания вентрешеток</t>
  </si>
  <si>
    <t>Александр Светашов: Подрезать шпильки</t>
  </si>
  <si>
    <t>Александр Светашов: Закрепить элементы оборудования</t>
  </si>
  <si>
    <t>Александр Светашов: Снять защитные колпаки с датчиков</t>
  </si>
  <si>
    <t>Александр Светашов: Очистить</t>
  </si>
  <si>
    <t>Александр Светашов: Убрать пленку</t>
  </si>
  <si>
    <t>Александр Светашов: Заголовок изменен на 13.В1.1.030</t>
  </si>
  <si>
    <t>Входной контроль металлоконструкций (Б-193, Б243, Б208, Б-242, Б-207, Б-241) среднего уровня, в осях 1\В /10-14</t>
  </si>
  <si>
    <t>Входной контроль</t>
  </si>
  <si>
    <t>в5.1_конструкции металлические на площадке</t>
  </si>
  <si>
    <t>Yes: 2,1 Наличие необходимых сопроводительных документов о качестве на каждую партию по ГОСТ 23118-2012, ГОСТ 1759.0-87. (АОЛ) - 2019-11-25</t>
  </si>
  <si>
    <t>Yes: 2,2 Наличие необходимой информации в документах о качестве на стальные строительные конструкции ГОСТ 23118-2012 п. 8.2, приложение В (Реквизиты завода-изготовителя, номер заказа, реквизиты заказчика, дата изготовления, марка и вес металла, тип защиты от коррозии, отметки службы тех. контроля изготовителя и т.п.) (АОЛ) - 2019-11-25</t>
  </si>
  <si>
    <t>N/A: 2,3 Наличие необходимой информации в документах о качестве на крепежные изделия по ГОСТ 1759.0-87 п. 3.2 (Реквизиты завода-изготовителя, вес партии, тип противокоррозийной защиты) (АОЛ) - 2019-11-25</t>
  </si>
  <si>
    <t>Yes: 2,4 Геометрические параметры конструкций соответствуют проекту (АОЛ) - 2019-11-25</t>
  </si>
  <si>
    <t>Yes: 2,5 На конструкциях отсутствуют следы коррозии и другие дефекты, ухудшающие параметры металлоконструкции (АОЛ) - 2019-11-25</t>
  </si>
  <si>
    <t>Yes: 2,6 Качество антикоррозионных покрытий соответствует СП 70.13330.2012 п. 6.8.5. Отверстия и фурнитура ответственных конструкций покрыты специальной заводской смазкой. (АОЛ) - 2019-11-25</t>
  </si>
  <si>
    <t>Yes: 2,7 Качество, количество и положение отверстий под крепежные изделия и соединения соответствуют проектным требованиям (АОЛ) - 2019-11-25</t>
  </si>
  <si>
    <t>Yes: 2,8 При хранении обеспечено устойчивое положение конструкций, пакетов и ящичных поддонов, исключено соприкосновение их с грунтом, а также предусмотрены меры против скапливания атмосферной влаги на конструкциях или внутри них по ГОСТ 23118-2012 п.7.9. (АОЛ) - 2019-11-25</t>
  </si>
  <si>
    <t>Yes: 2,9 Наличие записи в "Журнале входного учета и контроля качества получаемых деталей, материалов, конструкций и оборудования". (АОЛ) - 2019-11-25</t>
  </si>
  <si>
    <t>Yes: 3,1 Допускается к производству работ. (АОЛ) - 2019-11-25</t>
  </si>
  <si>
    <t>Александр Олуферов: Изменена дата начала на 24.11.2019</t>
  </si>
  <si>
    <t>Александр Олуферов: Заголовок изменен на Входной контроль металлоконструкций</t>
  </si>
  <si>
    <t>Александр Олуферов: Заголовок изменен на Входной контроль металлоконструкций (Б-193, Б243,</t>
  </si>
  <si>
    <t>Александр Олуферов: Заголовок изменен на Входной контроль металлоконструкций (Б-193, Б243, Б208, Б-242, Б-207</t>
  </si>
  <si>
    <t>Александр Олуферов: Заголовок изменен на Входной контроль металлоконструкций (Б-193, Б243, Б208, Б-242, Б-207, Б-241</t>
  </si>
  <si>
    <t>Александр Олуферов: Заголовок изменен на Входной контроль металлоконструкций (Б-193, Б243, Б208, Б-242, Б-207, Б-241) среднего уровня, в осях 1\В</t>
  </si>
  <si>
    <t>Александр Олуферов: Заголовок изменен на Входной контроль металлоконструкций (Б-193, Б243, Б208, Б-242, Б-207, Б-241) среднего уровня, в осях 1\В /10-14</t>
  </si>
  <si>
    <t>Чистота Б-762-1, Б-75-3, Б762-2.  Блок 2,1. Фасад</t>
  </si>
  <si>
    <t>Yes: 2,1 Наличие необходимых сопроводительных документов о качестве на каждую партию по ГОСТ 23118-2012, ГОСТ 1759.0-87. (АОЛ) - 2019-12-01</t>
  </si>
  <si>
    <t>Yes: 2,2 Наличие необходимой информации в документах о качестве на стальные строительные конструкции ГОСТ 23118-2012 п. 8.2, приложение В (Реквизиты завода-изготовителя, номер заказа, реквизиты заказчика, дата изготовления, марка и вес металла, тип защиты от коррозии, отметки службы тех. контроля изготовителя и т.п.) (АОЛ) - 2019-12-01</t>
  </si>
  <si>
    <t>Yes: 2,3 Наличие необходимой информации в документах о качестве на крепежные изделия по ГОСТ 1759.0-87 п. 3.2 (Реквизиты завода-изготовителя, вес партии, тип противокоррозийной защиты) (АОЛ) - 2019-12-01</t>
  </si>
  <si>
    <t>Yes: 2,4 Геометрические параметры конструкций соответствуют проекту (АОЛ) - 2019-12-01</t>
  </si>
  <si>
    <t>Yes: 2,5 На конструкциях отсутствуют следы коррозии и другие дефекты, ухудшающие параметры металлоконструкции (АОЛ) - 2019-12-01</t>
  </si>
  <si>
    <t>Yes: 2,6 Качество антикоррозионных покрытий соответствует СП 70.13330.2012 п. 6.8.5. Отверстия и фурнитура ответственных конструкций покрыты специальной заводской смазкой. (АОЛ) - 2019-12-01</t>
  </si>
  <si>
    <t>Yes: 2,7 Качество, количество и положение отверстий под крепежные изделия и соединения соответствуют проектным требованиям (АОЛ) - 2019-12-01</t>
  </si>
  <si>
    <t>Yes: 2,8 При хранении обеспечено устойчивое положение конструкций, пакетов и ящичных поддонов, исключено соприкосновение их с грунтом, а также предусмотрены меры против скапливания атмосферной влаги на конструкциях или внутри них по ГОСТ 23118-2012 п.7.9. (АОЛ) - 2019-12-01</t>
  </si>
  <si>
    <t>Yes: 2,9 Наличие записи в "Журнале входного учета и контроля качества получаемых деталей, материалов, конструкций и оборудования". (АОЛ) - 2019-12-01</t>
  </si>
  <si>
    <t>Yes: 3,1 Допускается к производству работ. (АОЛ) - 2019-12-01</t>
  </si>
  <si>
    <t>Александр Олуферов: Название категории изменено на Входной контроль</t>
  </si>
  <si>
    <t>Александр Олуферов: Заголовок изменен на Чистота Б-762-1, Б-75-3, Б762-2.  Блок 2,1. Фасад</t>
  </si>
  <si>
    <t>Александр Олуферов: Изменена дата начала на 30.11.2019</t>
  </si>
  <si>
    <t>Фермы подконструкций кровли ETFE. Оси У-Ф/13-14.</t>
  </si>
  <si>
    <t>Yes: 2,1 Наличие необходимых сопроводительных документов о качестве на каждую партию по ГОСТ 23118-2012, ГОСТ 1759.0-87. (АОЛ) - 2019-12-08</t>
  </si>
  <si>
    <t>Yes: 2,2 Наличие необходимой информации в документах о качестве на стальные строительные конструкции ГОСТ 23118-2012 п. 8.2, приложение В (Реквизиты завода-изготовителя, номер заказа, реквизиты заказчика, дата изготовления, марка и вес металла, тип защиты от коррозии, отметки службы тех. контроля изготовителя и т.п.) (АОЛ) - 2019-12-08</t>
  </si>
  <si>
    <t>Yes: 2,3 Наличие необходимой информации в документах о качестве на крепежные изделия по ГОСТ 1759.0-87 п. 3.2 (Реквизиты завода-изготовителя, вес партии, тип противокоррозийной защиты) (АОЛ) - 2019-12-08</t>
  </si>
  <si>
    <t>Yes: 2,4 Геометрические параметры конструкций соответствуют проекту (АОЛ) - 2019-12-08</t>
  </si>
  <si>
    <t>Yes: 2,5 На конструкциях отсутствуют следы коррозии и другие дефекты, ухудшающие параметры металлоконструкции (АОЛ) - 2019-12-08</t>
  </si>
  <si>
    <t>Yes: 2,6 Качество антикоррозионных покрытий соответствует СП 70.13330.2012 п. 6.8.5. Отверстия и фурнитура ответственных конструкций покрыты специальной заводской смазкой. (АОЛ) - 2019-12-08</t>
  </si>
  <si>
    <t>Yes: 2,7 Качество, количество и положение отверстий под крепежные изделия и соединения соответствуют проектным требованиям (АОЛ) - 2019-12-08</t>
  </si>
  <si>
    <t>Yes: 2,8 При хранении обеспечено устойчивое положение конструкций, пакетов и ящичных поддонов, исключено соприкосновение их с грунтом, а также предусмотрены меры против скапливания атмосферной влаги на конструкциях или внутри них по ГОСТ 23118-2012 п.7.9. (АОЛ) - 2019-12-08</t>
  </si>
  <si>
    <t>Yes: 2,9 Наличие записи в "Журнале входного учета и контроля качества получаемых деталей, материалов, конструкций и оборудования". (АОЛ) - 2019-12-08</t>
  </si>
  <si>
    <t>Yes: 3,1 Допускается к производству работ. (АОЛ) - 2019-12-08</t>
  </si>
  <si>
    <t>Александр Олуферов: Заголовок изменен на Фермы подконструкций кровли ETFE. Оси У-Ф/13-14.</t>
  </si>
  <si>
    <t>Александр Олуферов: ФОТО ДО И ПОСЛЕ</t>
  </si>
  <si>
    <t>Александр Олуферов: Изменена дата начала на 07.12.2019</t>
  </si>
  <si>
    <t>Александр Олуферов: Изменена дата завершения на 08.12.2019</t>
  </si>
  <si>
    <t xml:space="preserve">Устройство пароизоляция стыков лотков ферм ETFE, 1 этап, в осях 24-26/С-У, узлы 9-12.  </t>
  </si>
  <si>
    <t>svetashov@spgr.ru</t>
  </si>
  <si>
    <t>_1RTDJ~B</t>
  </si>
  <si>
    <t>АР общие планы</t>
  </si>
  <si>
    <t>Александр Светашов: Устройство пароизоляция стыков лотков ферм ETFE, 1 этап, в осях 24-26/С-У.</t>
  </si>
  <si>
    <t>Александр Светашов: Изменен комментарий с Устройство пароизоляция стыков лотков ферм ETFE, 1 этап, в осях 24-26/С-У, узлы 9-12.   на Устройство пароизоляция стыков лотков ферм ETFE, 1 этап, в осях 24-26/С-У.</t>
  </si>
  <si>
    <t>Александр Светашов: Название категории изменено на Входной контроль</t>
  </si>
  <si>
    <t>Александр Светашов: Дата начала изменена на дек. 20, 2019</t>
  </si>
  <si>
    <t>Александр Светашов: Проверенное задание</t>
  </si>
  <si>
    <t>Входной контроль решетчатого настила А1-А2 №31,32</t>
  </si>
  <si>
    <t>А1-А2 фрагмент 6</t>
  </si>
  <si>
    <t>Решетчатый настил</t>
  </si>
  <si>
    <t>Вячеслав Сорокин: Название категории изменено на Входной контроль</t>
  </si>
  <si>
    <t>Вячеслав Сорокин: Изменена дата начала на 19.11.2019</t>
  </si>
  <si>
    <t>Вячеслав Сорокин: Завершенное задание</t>
  </si>
  <si>
    <t>Входной контроль решетчатого настила №25</t>
  </si>
  <si>
    <t>А1 фрагмент 4</t>
  </si>
  <si>
    <t>Вячеслав Сорокин: Сменить ответственное лицо на КМ Renaissance</t>
  </si>
  <si>
    <t>Вячеслав Сорокин: Приоритет изменен на 2</t>
  </si>
  <si>
    <t>Осмотр стеклопакетов перед монтажем</t>
  </si>
  <si>
    <t>groholskii@spgr.ru</t>
  </si>
  <si>
    <t>Святослав Грохольский: Проверенное задание</t>
  </si>
  <si>
    <t>Святослав Грохольский: Название категории изменено на Входной контроль</t>
  </si>
  <si>
    <t>Святослав Грохольский: Изменена дата начала на 23.01.2020</t>
  </si>
  <si>
    <t>Святослав Грохольский: Изменена дата завершения на 24.01.2020</t>
  </si>
  <si>
    <t>Святослав Грохольский: Заголовок изменен на Осмотр стеклопакетов перед монтажем</t>
  </si>
  <si>
    <t>Святослав Грохольский: Замечаний нет</t>
  </si>
  <si>
    <t>Святослав Грохольский: Изменена дата начала на 11.01.2020</t>
  </si>
  <si>
    <t>Святослав Грохольский: Изменена дата начала на 28.11.2019</t>
  </si>
  <si>
    <t>Святослав Грохольский: Удалено фото</t>
  </si>
  <si>
    <t>Святослав Грохольский: Завершенное задание</t>
  </si>
  <si>
    <t>Святослав Грохольский: Удаленное изображение</t>
  </si>
  <si>
    <t>Лотки кровли ETFE</t>
  </si>
  <si>
    <t>При контрольном осмотре конструкций выявлены следующие дефекты: Сварочные швы имеют непровары в труднодоступных местах. Плохо очищен металл от сварочных брызг. Стенки лотка имеют встречный наклон, из-за сварочной деформации, по 3 мм. с каждой стороны. В ц</t>
  </si>
  <si>
    <t>Yes: 2,1 Наличие необходимых сопроводительных документов о качестве на каждую партию по ГОСТ 23118-2012, ГОСТ 1759.0-87. (СГР) - 2019-11-02</t>
  </si>
  <si>
    <t>Yes: 2,2 Наличие необходимой информации в документах о качестве на стальные строительные конструкции ГОСТ 23118-2012 п. 8.2, приложение В (Реквизиты завода-изготовителя, номер заказа, реквизиты заказчика, дата изготовления, марка и вес металла, тип защиты от коррозии, отметки службы тех. контроля изготовителя и т.п.) (СГР) - 2019-11-02</t>
  </si>
  <si>
    <t>Yes: 2,3 Наличие необходимой информации в документах о качестве на крепежные изделия по ГОСТ 1759.0-87 п. 3.2 (Реквизиты завода-изготовителя, вес партии, тип противокоррозийной защиты) (СГР) - 2019-11-02</t>
  </si>
  <si>
    <t>No: 2,4 Геометрические параметры конструкций соответствуют проекту (СГР) - 2019-11-02</t>
  </si>
  <si>
    <t>No: 2,5 На конструкциях отсутствуют следы коррозии и другие дефекты, ухудшающие параметры металлоконструкции (СГР) - 2019-11-02</t>
  </si>
  <si>
    <t>No: 2,6 Качество антикоррозионных покрытий соответствует СП 70.13330.2012 п. 6.8.5. Отверстия и фурнитура ответственных конструкций покрыты специальной заводской смазкой. (СГР) - 2019-11-02</t>
  </si>
  <si>
    <t>Yes: 2,7 Качество, количество и положение отверстий под крепежные изделия и соединения соответствуют проектным требованиям (СГР) - 2019-11-02</t>
  </si>
  <si>
    <t>Yes: 2,8 При хранении обеспечено устойчивое положение конструкций, пакетов и ящичных поддонов, исключено соприкосновение их с грунтом, а также предусмотрены меры против скапливания атмосферной влаги на конструкциях или внутри них по ГОСТ 23118-2012 п.7.9. (СГР) - 2019-11-02</t>
  </si>
  <si>
    <t>Yes: 2,9 Наличие записи в "Журнале входного учета и контроля качества получаемых деталей, материалов, конструкций и оборудования". (СГР) - 2019-11-02</t>
  </si>
  <si>
    <t>No: 3,1 Допускается к производству работ. (СГР) - 2019-11-02</t>
  </si>
  <si>
    <t>Святослав Грохольский: Изменена дата начала на 02.11.2019</t>
  </si>
  <si>
    <t>Святослав Грохольский: При контрольном осмотре конструкций выявлены следующие дефекты: Сварочные швы имеют непровары в труднодоступных местах. Плохо очищен металл от сварочных брызг. Стенки лотка имеют встречный наклон, из-за сварочной деформации, по 3 мм. с каждой стороны. В цинковом покрытии имеется несколько мест со следами ржавых подтеков. На ЛКП заметны следы полосования, шагрень и поры.</t>
  </si>
  <si>
    <t>Святослав Грохольский: Редактированный комментарий - "При контрольном осмо..."</t>
  </si>
  <si>
    <t>Святослав Грохольский: Приоритет изменен на 3</t>
  </si>
  <si>
    <t>Святослав Грохольский: Приоритет изменен на 2</t>
  </si>
  <si>
    <t>Святослав Грохольский: Заголовок изменен на Лотки кровли ETFE</t>
  </si>
  <si>
    <t>Владимир Собченко: Проверенное задание</t>
  </si>
  <si>
    <t>Святослав Грохольский: Изменена дата начала на 30.12.2019</t>
  </si>
  <si>
    <t xml:space="preserve">Святослав Грохольский: 14 стеклопакетов </t>
  </si>
  <si>
    <t>Осмотр стеклопакетов перед монтажом</t>
  </si>
  <si>
    <t>Святослав Грохольский: Изменена дата начала на 13.11.2019</t>
  </si>
  <si>
    <t>Святослав Грохольский: Заголовок изменен на Осмотр стеклопакетов перед монтажом</t>
  </si>
  <si>
    <t>Святослав Грохольский: "AYGUN" 10 стеклопакетов.  "ЭРБАЙ" 92 стеклопакета.</t>
  </si>
  <si>
    <t>Осмотр стеклопакетов</t>
  </si>
  <si>
    <t>Святослав Грохольский: Заголовок изменен на Осмотр стеклопакетов</t>
  </si>
  <si>
    <t>Святослав Грохольский: Дата начала изменена на янв. 4, 2020</t>
  </si>
  <si>
    <t xml:space="preserve">Святослав Грохольский: В процессе входного контроля на стеклопакете треугольной формы, № 6-01-373-90-7ХХ, обнаружен боковой скол (фото прилагается). </t>
  </si>
  <si>
    <t>Святослав Грохольский: Изменена дата начала на 04.01.2020</t>
  </si>
  <si>
    <t>Святослав Грохольский: Изменена дата начала на 07.02.2020</t>
  </si>
  <si>
    <t>Святослав Грохольский: Изменена дата завершения на 08.02.2020</t>
  </si>
  <si>
    <t>Святослав Грохольский: Замечаний нет.</t>
  </si>
  <si>
    <t>Осмотр стеклопакетов перед монтажом.</t>
  </si>
  <si>
    <t>Святослав Грохольский: Заголовок изменен на Осмотр стеклопакетов перед монтажом.</t>
  </si>
  <si>
    <t>Святослав Грохольский: Изменена дата начала на 22.01.2020</t>
  </si>
  <si>
    <t>Святослав Грохольский: Изменена дата завершения на 23.01.2020</t>
  </si>
  <si>
    <t>Панели блок 2(С) в/о И/10-13/1 ( 20шт.) отм.-0,250</t>
  </si>
  <si>
    <t>rc_facades@rencons.com</t>
  </si>
  <si>
    <t>РК-РД-2-АР09.2-04.26-03</t>
  </si>
  <si>
    <t>АР09.2-Фасады-Панели</t>
  </si>
  <si>
    <t>Вячеслав Сорокин: Заголовок изменен на Панель</t>
  </si>
  <si>
    <t>Вячеслав Сорокин: Сменить ответственное лицо на QA-QC Renaissance</t>
  </si>
  <si>
    <t>Вячеслав Сорокин: План изменен на РК-РД-2-АР09.2-04.26-03</t>
  </si>
  <si>
    <t>Вячеслав Сорокин: Изменена дата начала на 24.11.2019</t>
  </si>
  <si>
    <t>Вячеслав Сорокин: Заголовок изменен на Панели блок 2(С) в/о И/10-13/1 ( 20шт.) отм.-0,250</t>
  </si>
  <si>
    <t>QA-QC Renaissance: Сменить ответственное лицо на Фасад Renaissance</t>
  </si>
  <si>
    <t>Баки БВ 0,9 для  хранения питьевой воды  ГОЧC</t>
  </si>
  <si>
    <t>Замечание механические системы</t>
  </si>
  <si>
    <t>rc_vk@rencons.com</t>
  </si>
  <si>
    <t>РК-РД-1-ВК4.1.01-02.01-08</t>
  </si>
  <si>
    <t>Водоснабжение и канализация</t>
  </si>
  <si>
    <t>водоснабжение</t>
  </si>
  <si>
    <t>Stanislav Veresov: #водоснабжение ГОЧС</t>
  </si>
  <si>
    <t xml:space="preserve">Stanislav Veresov: В ходе инспекционного контроля водоснабжения ГОЧС (баки для хранения питьевой воды) выявлено, что внутренне покрытие баков БВ 0,9 не соответствует требованиям, а так же имеется брак грунтовочного покрытия. </t>
  </si>
  <si>
    <t>Stanislav Veresov: Приоритет изменен на P1</t>
  </si>
  <si>
    <t>Stanislav Veresov: Ответственное лицо замещено RC VK</t>
  </si>
  <si>
    <t>Stanislav Veresov: Название категории изменено на Замечание механические системы</t>
  </si>
  <si>
    <t>Stanislav Veresov: Дата начала изменена на янв. 10, 2020</t>
  </si>
  <si>
    <t>Stanislav Veresov: Дата окончания изменена на янв. 24, 2020</t>
  </si>
  <si>
    <t>Stanislav Veresov: Заголовок изменен на Баки 0,9 для  хранения питьевой воды  ГОЧC</t>
  </si>
  <si>
    <t>Stanislav Veresov: Редактированный комментарий - "#водоснабжение ГОЧ"</t>
  </si>
  <si>
    <t>Stanislav Veresov: Заголовок изменен на Баки БВ 0,9 для  хранения питьевой воды  ГОЧC</t>
  </si>
  <si>
    <t xml:space="preserve">на дренажных насосах кабель для подключения насосов находится в воде. </t>
  </si>
  <si>
    <t>РК-РД-1-ВК4.1.01-03.06-08</t>
  </si>
  <si>
    <t>водоотведение</t>
  </si>
  <si>
    <t xml:space="preserve">Stanislav Veresov: #водоотведение на дренажных насосах кабель для подключения насосов находится в воде. </t>
  </si>
  <si>
    <t>Stanislav Veresov: Сгруппировать измененные атрибуты задания</t>
  </si>
  <si>
    <t>RC VK: Замечание исправили, добавить фотографию не получается</t>
  </si>
  <si>
    <t>RC VK: Завершенное задание</t>
  </si>
  <si>
    <t>Stanislav Veresov: Проверенное задание</t>
  </si>
  <si>
    <t xml:space="preserve">на отводах установить усиленные хомуты. </t>
  </si>
  <si>
    <t>РК-РД-1-ВК4.1.01-03.04-08</t>
  </si>
  <si>
    <t xml:space="preserve">Stanislav Veresov: #водоотведение на отводах установить усиленные хомуты. </t>
  </si>
  <si>
    <t>#Водоснабжение. Протечка фекального бака.</t>
  </si>
  <si>
    <t>Stanislav Veresov: Заголовок изменен на #Водоснабжение. Протечка</t>
  </si>
  <si>
    <t>Stanislav Veresov: Заголовок изменен на #Водоснабжение. Протечка фекального бака.</t>
  </si>
  <si>
    <t>Stanislav Veresov: Сменить ответственное лицо на VK RC</t>
  </si>
  <si>
    <t>Stanislav Veresov: Изменена дата начала на 22.11.2019</t>
  </si>
  <si>
    <t>Stanislav Veresov: Изменена дата завершения на 29.11.2019</t>
  </si>
  <si>
    <t>Т3 в створе стены шахты.</t>
  </si>
  <si>
    <t>РК-РД-1-ВК4.1.01-04.05-08</t>
  </si>
  <si>
    <t>водоснабжение.</t>
  </si>
  <si>
    <t>Stanislav Veresov: #водоснабжение. Т3 в створе стены шахты</t>
  </si>
  <si>
    <t>Stanislav Veresov: Сменить ответственное лицо на Водоснабжение Канализация Renaissance</t>
  </si>
  <si>
    <t>Stanislav Veresov: Редактированный комментарий - "#водоснабжение. Т3 в..."</t>
  </si>
  <si>
    <t>Stanislav Veresov: Заголовок изменен на Т3 в створе стены шахты.</t>
  </si>
  <si>
    <t>Stanislav Veresov: Завершенное задание</t>
  </si>
  <si>
    <t>Неравномерно затянуты хомуты. Хомут находится в теле стены. Отводы на канализации смонтированы не в соответствии с СТО Pam Global.</t>
  </si>
  <si>
    <t>РК-РД-1-ВК4.1.01-05.02-08</t>
  </si>
  <si>
    <t>#Водоотведение.</t>
  </si>
  <si>
    <t xml:space="preserve">Stanislav Veresov: #водоотведение Не равномерно затянуты хомуты. </t>
  </si>
  <si>
    <t>Stanislav Veresov: Заголовок изменен на Неравномерно затянуты хомуты.</t>
  </si>
  <si>
    <t>Stanislav Veresov: Заголовок изменен на Неравномерно затянуты хомуты. Хомут находится в теле стены. Отводы на канализации смонтированы не в соответствии с СТО Pam Global.</t>
  </si>
  <si>
    <t>Владимир Собченко: Изменена дата начала на 29.11.2019</t>
  </si>
  <si>
    <t>Владимир Собченко: Изменена дата завершения на 13.12.2019</t>
  </si>
  <si>
    <t>RC VK: Приоритет изменен на 1</t>
  </si>
  <si>
    <t>Кирилл Васенков: Изменена дата завершения на 30.12.2019</t>
  </si>
  <si>
    <t>#Водоотведение КПП-2. Отсутствует прочистка на системе К14. Фактически выполненные работы не соответствует проекту. В проекте прокладка канализации осуществляется в плите чугунной трубой.</t>
  </si>
  <si>
    <t>РК-РД-2-ВК4.1.02-38.2-03 (1)</t>
  </si>
  <si>
    <t>Stanislav Veresov: Заголовок изменен на #Водоотведение КПП-2. Отсутствует прочистка на системе К14. Фактически выполненные работы не соответствует проекту. В проекте прокладка канализации осуществляется в плите чугунной трубой.</t>
  </si>
  <si>
    <t>Stanislav Veresov: Приоритет изменен на 1</t>
  </si>
  <si>
    <t>Stanislav Veresov: Сменить ответственное лицо на RC VK</t>
  </si>
  <si>
    <t>Stanislav Veresov: Изменена дата начала на 11.12.2019</t>
  </si>
  <si>
    <t>Stanislav Veresov: Изменена дата завершения на 20.12.2019</t>
  </si>
  <si>
    <t>Stanislav Veresov: КПП-2. Отсутствует прочистка на системе К14. Фактически выполненные работы не соответствует проекту. В проекте прокладка канализации осуществляется в плите чугунной трубой.</t>
  </si>
  <si>
    <t>Stanislav Veresov: Редактированный комментарий - "КПП-2. Отсутствует п..."</t>
  </si>
  <si>
    <t>RC VK: По проекту отметки труб ниже фундамента, труба Корсис SN8  в Рд будет отображена. Прочистка добавлена.</t>
  </si>
  <si>
    <t xml:space="preserve">Отсутствует подвес, трубопровод провис. </t>
  </si>
  <si>
    <t>РК-РД-1-ВК4.1.01-02.00-04</t>
  </si>
  <si>
    <t xml:space="preserve">Кирилл Васенков: #водоснабжение. Отсутствует подвес, трубопровод провис. </t>
  </si>
  <si>
    <t>Кирилл Васенков: Название категории изменено на Замечания механические системы</t>
  </si>
  <si>
    <t>Кирилл Васенков: Сменить ответственное лицо на QA-QC Renaissance</t>
  </si>
  <si>
    <t>Кирилл Васенков: Изменена дата начала на 08.11.2019</t>
  </si>
  <si>
    <t>Кирилл Васенков: Изменена дата завершения на 15.11.2019</t>
  </si>
  <si>
    <t>Кирилл Васенков: Изменена дата завершения на 30.11.2019</t>
  </si>
  <si>
    <t>Отопление и Кондиционирование Renaissance: Сменить ответственное лицо на RC VK</t>
  </si>
  <si>
    <t>RC VK: Удалено фото</t>
  </si>
  <si>
    <t>труба смонтирована криво</t>
  </si>
  <si>
    <t>-8.400_B02_Panels Model</t>
  </si>
  <si>
    <t>01.B1.2.007_Комната ожидания</t>
  </si>
  <si>
    <t>ЭМ_Щиты_сводные планы</t>
  </si>
  <si>
    <t>Stanislav Veresov: #водоотведение труба смонтирована не соосно</t>
  </si>
  <si>
    <t>Stanislav Veresov: Редактированный комментарий - "#водоотведение труба..."</t>
  </si>
  <si>
    <t>RC VK: Местоположение изменено на 01.B1.2.001_Мойка автомобилей (блок служебных помещений)</t>
  </si>
  <si>
    <t>RC VK: Местоположение изменено на 01.B1.2.007_Комната ожидания</t>
  </si>
  <si>
    <t>RC VK: План изменен на -8.400_B02_Panels Model</t>
  </si>
  <si>
    <t>RC VK: План изменен на -4.200_B01_Panels Model</t>
  </si>
  <si>
    <t>RC VK: План изменен на 1</t>
  </si>
  <si>
    <t>RC VK: можете фото высылать заново ? я наверно удалил по ошибке.</t>
  </si>
  <si>
    <t>Stanislav Veresov: План изменен на -8.400_B02_Panels Model</t>
  </si>
  <si>
    <t xml:space="preserve">на дренажных насосах кабель находится в воде. </t>
  </si>
  <si>
    <t xml:space="preserve">Stanislav Veresov: #водоотведение на дренажных насосах кабель находится в воде. </t>
  </si>
  <si>
    <t>RC VK: Замечание исправили добавить фотографию не получается.</t>
  </si>
  <si>
    <t>установить усиленный хомут</t>
  </si>
  <si>
    <t>РК-РД-1-ВК4.1.01-03.03-08</t>
  </si>
  <si>
    <t xml:space="preserve">Stanislav Veresov: #водоотведение установить усиленный замуж. </t>
  </si>
  <si>
    <t>Stanislav Veresov: Заголовок изменен на установить усиленный хамут.</t>
  </si>
  <si>
    <t>Stanislav Veresov: Заголовок изменен на установить усиленный хомут</t>
  </si>
  <si>
    <t>veresov@spgr.ru</t>
  </si>
  <si>
    <t>Stanislav Veresov: Заголовок изменен на #Водоотведение.</t>
  </si>
  <si>
    <t>Stanislav Veresov: Изменена дата начала на 13.12.2019</t>
  </si>
  <si>
    <t>Stanislav Veresov: Изменена дата начала на 05.12.2019</t>
  </si>
  <si>
    <t>Stanislav Veresov: Изменена дата начала на 29.11.2019</t>
  </si>
  <si>
    <t>Stanislav Veresov: Изменена дата завершения на 13.12.2019</t>
  </si>
  <si>
    <t>П5-1,4 закрепить воздуховод</t>
  </si>
  <si>
    <t>Вентиляция B1_РК-РД-1-ОВ4.1.01-03.00-03</t>
  </si>
  <si>
    <t>ОВ_Отопление и вентиляция</t>
  </si>
  <si>
    <t>вентиляция</t>
  </si>
  <si>
    <t>Stanislav Veresov: #вентиляция П5-1,4 закрепить воздуховод</t>
  </si>
  <si>
    <t>Stanislav Veresov: Название категории изменено на Замечание стройконтроля</t>
  </si>
  <si>
    <t>Safety AECOM: Изменена дата завершения на 08.11.2019</t>
  </si>
  <si>
    <t>П5-1,4 шток дроссельного клапана упирается в воздуховод</t>
  </si>
  <si>
    <t>Stanislav Veresov: #вентиляция П5-1,4 шток дроссельного клапана упирается в воздуховод</t>
  </si>
  <si>
    <t>П5-1,4 пересечка с электрикой</t>
  </si>
  <si>
    <t>Stanislav Veresov: #вентиляция П5-1,4 пересечка с электрикой</t>
  </si>
  <si>
    <t>П5-1,4 выровнять воздуховод</t>
  </si>
  <si>
    <t>Stanislav Veresov: #вентиляция П5-1,4 выровнять воздуховод</t>
  </si>
  <si>
    <t>Алексей Бирюков: Приоритет изменен на 3</t>
  </si>
  <si>
    <t>Алексей Бирюков: Приоритет изменен на 2</t>
  </si>
  <si>
    <t>Кирилл Васенков: Изменена дата начала на 01.11.2019</t>
  </si>
  <si>
    <t>заменить подвес</t>
  </si>
  <si>
    <t>Stanislav Veresov: #вентиляция заменить подвес</t>
  </si>
  <si>
    <t xml:space="preserve">Предоставить узел прохода через конструкцию. </t>
  </si>
  <si>
    <t>РК-РД-2-ОВ4.1.03-03.05-02</t>
  </si>
  <si>
    <t xml:space="preserve">Stanislav Veresov: #вентиляция Предоставить узел прохода через конструкцию. </t>
  </si>
  <si>
    <t>Stanislav Veresov: Сменить ответственное лицо на Вентиляция Renaissance</t>
  </si>
  <si>
    <t>Stanislav Veresov: Изменена дата начала на 09.12.2019</t>
  </si>
  <si>
    <t>Вентиляция Renaissance: Узел прохода во вложении. Информация по замечанию передана архитекторам. Прошу сменить ответственных лиц на АР.</t>
  </si>
  <si>
    <t>Вентиляция Renaissance: Completed task</t>
  </si>
  <si>
    <t>Stanislav Veresov: Сменить ответственное лицо на Отделка Renaissance Construction</t>
  </si>
  <si>
    <t>Stanislav Veresov: Приоритет изменен на 3</t>
  </si>
  <si>
    <t>Отделка Renaissance Construction: Сменить ответственное лицо на Станислав Вересов</t>
  </si>
  <si>
    <t>П1-9-1 В1-10-1 Пересечка ЭЛ</t>
  </si>
  <si>
    <t>РК-РД-2-ОВ4.1.03-02.10-02</t>
  </si>
  <si>
    <t>Stanislav Veresov: #вентиляция П1-9-1 В1-10-1 Пересечка ЭЛ</t>
  </si>
  <si>
    <t>Кирилл Васенков: Изменена дата начала на 07.11.2019</t>
  </si>
  <si>
    <t>Кирилл Васенков: Приоритет изменен на P2</t>
  </si>
  <si>
    <t>Кирилл Васенков: Удалено комментарий - "Призавершении задачи необходимо прикладывать соответствующую фотографию. "</t>
  </si>
  <si>
    <t>Вентиляция. ПД 5-10</t>
  </si>
  <si>
    <t>rc_vent@rencons.com</t>
  </si>
  <si>
    <t>РК-РД-1-ОВ4.1.01-02.07-04</t>
  </si>
  <si>
    <t>В1-В2 Вентиляция</t>
  </si>
  <si>
    <t>вентиляция.</t>
  </si>
  <si>
    <t>Кирилл Васенков: ОЗК не обнаружен. Полностью скрыт противопожарной проходкой. нет возможности обслуживать, нет возможности визуально определить статус состояния</t>
  </si>
  <si>
    <t>Кирилл Васенков: Заголовок изменен на Вентиляция. ПД 5-10</t>
  </si>
  <si>
    <t>Кирилл Васенков: Название категории изменено на Замечание механические системы</t>
  </si>
  <si>
    <t>Кирилл Васенков: Изменена дата начала на 1/31/20</t>
  </si>
  <si>
    <t>Кирилл Васенков: Изменена дата завершения на 1/7/20</t>
  </si>
  <si>
    <t>Кирилл Васенков: Изменена дата завершения на 2/6/20</t>
  </si>
  <si>
    <t>QA-QC Renaissance: Сменить ответственное лицо на Вентиляция Renaissance</t>
  </si>
  <si>
    <t>#Вентиляция. помещение 13.L5.1.005.</t>
  </si>
  <si>
    <t>РК-РД-2-ОВ4.1.03-06.05-03</t>
  </si>
  <si>
    <t>Кирилл Васенков: Заголовок изменен на #Вентиляция. помещение</t>
  </si>
  <si>
    <t>Кирилл Васенков: Заголовок изменен на #Вентиляция. помещение 13.L5.1.005.</t>
  </si>
  <si>
    <t xml:space="preserve">Кирилл Васенков: Воздуховод проходит в гипрочной зашивке балки вдоль. Согласно РД и Бим модели, такого быть не должно.
</t>
  </si>
  <si>
    <t>Кирилл Васенков: Изменена дата начала на 07.02.2020</t>
  </si>
  <si>
    <t>Кирилл Васенков: Изменена дата завершения на 14.02.2020</t>
  </si>
  <si>
    <t>#Вентиляция. Изоляция Воздуховодов</t>
  </si>
  <si>
    <t>РК-РД-2-ОВ4.1.03-04.00-02</t>
  </si>
  <si>
    <t>Кирилл Васенков: Изоляция воздуховодов делается при отрицательных температурах!</t>
  </si>
  <si>
    <t>Кирилл Васенков: Заголовок изменен на #Вентиляция. Изоляция Воздуховодов</t>
  </si>
  <si>
    <t>Кирилл Васенков: Дата начала изменена на февр. 7, 2020</t>
  </si>
  <si>
    <t>Воздуховод находится в непосредственной близости к ВБ и мешает обслуживанию ВБ кондиционирования.</t>
  </si>
  <si>
    <t>РК-РД-2-ОВ4.1.03-04.02-02</t>
  </si>
  <si>
    <t>Кирилл Васенков: Воздуховод находится в непосредственной близости к ВБ и мешает обслуживанию ВБ кондиционирования.</t>
  </si>
  <si>
    <t>Кирилл Васенков: Сменить ответственное лицо на Вентиляция Renaissance</t>
  </si>
  <si>
    <t>Кирилл Васенков: Изменена дата начала на 25.11.2019</t>
  </si>
  <si>
    <t>Кирилл Васенков: Изменена дата завершения на 29.11.2019</t>
  </si>
  <si>
    <t>Вентиляция Renaissance: Исправили.</t>
  </si>
  <si>
    <t>#Вентиляция. Выпуск для S&amp;C пересекается с системой ТРВ.</t>
  </si>
  <si>
    <t>РК-РД-2-ОВ4.1.03-10.05-02</t>
  </si>
  <si>
    <t xml:space="preserve">Stanislav Veresov: #вентиляция </t>
  </si>
  <si>
    <t>Stanislav Veresov: Заголовок изменен на #</t>
  </si>
  <si>
    <t>Stanislav Veresov: Заголовок изменен на #Вентиляция. Выпуск для S&amp;amp;C пересекается с системой ТРВ.</t>
  </si>
  <si>
    <t>Вентиляция Renaissance: Исправили</t>
  </si>
  <si>
    <t>Вентиляция Renaissance: Завершенное задание</t>
  </si>
  <si>
    <t>П5-1,4 развернуть дроссельный клапан</t>
  </si>
  <si>
    <t>Stanislav Veresov: #вентиляция П5-1,4 развернуть дроссельный клапан</t>
  </si>
  <si>
    <t>Stanislav Veresov: Название категории изменено на Приемочный контроль</t>
  </si>
  <si>
    <t>Stanislav Veresov: Название категории изменено на Операционный контроль</t>
  </si>
  <si>
    <t>Stanislav Veresov: Дата начала изменена на нояб. 1, 2019</t>
  </si>
  <si>
    <t>Stanislav Veresov: Дата окончания изменена на нояб. 5, 2019</t>
  </si>
  <si>
    <t xml:space="preserve">Stanislav Veresov: Ответственное лицо замещено rc_vent </t>
  </si>
  <si>
    <t>Вентиляция Renaissance: Замечания исправили.</t>
  </si>
  <si>
    <t>Вентиляция Renaissance: Изменена дата завершения на 18.11.2019</t>
  </si>
  <si>
    <t>Вентиляция Renaissance: Рабочая сила изменена на 0 man-hours</t>
  </si>
  <si>
    <t>Вентиляция Renaissance: Стоимость изменена на 0 ALL</t>
  </si>
  <si>
    <t>П4-2.3 выровнять  вентилятор ркшетки</t>
  </si>
  <si>
    <t>РК-РД-1-ОВ4.1.01-03.00-03</t>
  </si>
  <si>
    <t>Stanislav Veresov: #вентиляция П4-2.3 выровнять  вентилятор ркшетки</t>
  </si>
  <si>
    <t>Вентиляция Renaissance: Замечания исправили,
невозможно добавить фотографию.</t>
  </si>
  <si>
    <t xml:space="preserve">ПД5-10 повреждена изоляция. </t>
  </si>
  <si>
    <t>РК-РД-1-ОВ4.1.01-02.00-03</t>
  </si>
  <si>
    <t xml:space="preserve">Stanislav Veresov: #вентиляция ПД5-10 повреждена изоляция. </t>
  </si>
  <si>
    <t>Stanislav Veresov: Требуется повторное предъявление.</t>
  </si>
  <si>
    <t>Вентиляция Renaissance: В настоящее время проводить ремонт не целесообразно. Ремонт изоляции будет выполнен после монтажа  подконструкции для фальшпола.</t>
  </si>
  <si>
    <t>Stanislav Veresov: Приоритет изменен на 2</t>
  </si>
  <si>
    <t>Stanislav Veresov: Изменена дата завершения на 16.12.2019</t>
  </si>
  <si>
    <t>Владимир Собченко: Изменена дата начала на 01.11.2019</t>
  </si>
  <si>
    <t xml:space="preserve">ПД4-8 следы коррозии на сетке. 
</t>
  </si>
  <si>
    <t xml:space="preserve">Stanislav Veresov: #вентиляция ПД4-8 следы коррозии на сетке. 
</t>
  </si>
  <si>
    <t xml:space="preserve">П2-1.4 регулировка клапана не возможна. </t>
  </si>
  <si>
    <t xml:space="preserve">Stanislav Veresov: #вентиляция П2-1.4 регулировка клапана не возможна. </t>
  </si>
  <si>
    <t>Вентиляция Renaissance: Фото добавили.</t>
  </si>
  <si>
    <t>П4-2.3 пересечка с канализацией</t>
  </si>
  <si>
    <t>Stanislav Veresov: #вентиляция П4-2.3 пересечка с канализацией</t>
  </si>
  <si>
    <t>П5-1,4 внутри воздуховода следы корозии</t>
  </si>
  <si>
    <t>Stanislav Veresov: #вентиляция П5-1,4 внутри воздуховода следы корозии</t>
  </si>
  <si>
    <t>Вентиляция Renaissance: невозможно добавить фотографию</t>
  </si>
  <si>
    <t>Приток мешает дальнейшей разводки вытяжной вентиляции.</t>
  </si>
  <si>
    <t>Кирилл Васенков: #Вентиляция. Приток мешает дальнейшей разводки вытяжной вентиляции.</t>
  </si>
  <si>
    <t>Кирилл Васенков: Изменена дата начала на 05.12.2019</t>
  </si>
  <si>
    <t>Кирилл Васенков: Изменена дата завершения на 09.12.2019</t>
  </si>
  <si>
    <t xml:space="preserve">Вентиляция Renaissance: Исправили </t>
  </si>
  <si>
    <t>Венткамера.</t>
  </si>
  <si>
    <t>РК-РД-2-ОВ4.3.04-02.14-01</t>
  </si>
  <si>
    <t>L top Венткамеры</t>
  </si>
  <si>
    <t>Вентиляция. Венткамера 13.L5.3.001</t>
  </si>
  <si>
    <t>Кирилл Васенков: Заголовок изменен на Венткамера.</t>
  </si>
  <si>
    <t>Кирилл Васенков: Изменена дата начала на 29.01.2020</t>
  </si>
  <si>
    <t>Кирилл Васенков: Изменена дата завершения на 07.02.2020</t>
  </si>
  <si>
    <t xml:space="preserve">Кирилл Васенков: участок не смонтирован
</t>
  </si>
  <si>
    <t>Кирилл Васенков: не соблюдены минимальные расстояния между смежными сетями: электрика, трубопроводы ХС и ТС</t>
  </si>
  <si>
    <t>К1-1-6 выпуск поправить</t>
  </si>
  <si>
    <t>РК-РД-2-ОВ4.1.03-07.09-03</t>
  </si>
  <si>
    <t>Stanislav Veresov: #вентиляция К1-1-6 выпуск поправить</t>
  </si>
  <si>
    <t>Владимир Собченко: Сменить ответственное лицо на Отопление и Кондиционирование Renaissance</t>
  </si>
  <si>
    <t>Отопление и Кондиционирование Renaissance: Сменить ответственное лицо на Вентиляция Renaissance</t>
  </si>
  <si>
    <t>П2-1.1 Пересечка  с ЭМ</t>
  </si>
  <si>
    <t>РК-РД-2-ОВ4.1.03-02.02-03</t>
  </si>
  <si>
    <t>Stanislav Veresov: #вентиляция П2-1.1 Пересечка  с ЭМ</t>
  </si>
  <si>
    <t>Stanislav Veresov: Ответственное лицо замещено Вентиляция Renaissance</t>
  </si>
  <si>
    <t>Выполнение врезки в вент машины не соответствуют исполнительной документации .</t>
  </si>
  <si>
    <t>РК-РД-2-ОВ4.1.03-05.01-02</t>
  </si>
  <si>
    <t>Stanislav Veresov: #вентиляция. Выполнение врезки в вент машины не соответствуют исполнительной документации.</t>
  </si>
  <si>
    <t>Stanislav Veresov: Заголовок изменен на Выполнение врезки в вент машины не соответствуют проекту.</t>
  </si>
  <si>
    <t>Stanislav Veresov: Заголовок изменен на Выполнение врезки в вент машины не соответствуют исполнительной .</t>
  </si>
  <si>
    <t>Stanislav Veresov: Заголовок изменен на Выполнение врезки в вент машины не соответствуют исполнительной документации .</t>
  </si>
  <si>
    <t>Stanislav Veresov: Редактированный комментарий - "#вентиляция. Выполне..."</t>
  </si>
  <si>
    <t>Вентиляция Renaissance: Исправили  план.</t>
  </si>
  <si>
    <t>Отсутствуют отметки высот на исполнительной, выполнено не по проекту.</t>
  </si>
  <si>
    <t>РК-РД-2-ОВ4.1.03-07.05-03</t>
  </si>
  <si>
    <t>Stanislav Veresov: #Вентиляция. Отсутствуют отметки высот на исполнительной, выполнено не по проекту.</t>
  </si>
  <si>
    <t>Stanislav Veresov: Дата начала изменена на дек. 11, 2019</t>
  </si>
  <si>
    <t>Stanislav Veresov: Дата окончания изменена на дек. 20, 2019</t>
  </si>
  <si>
    <t>Stanislav Veresov: Заголовок изменен на Отсутствуют отметки высот на исполнительной, выполнено не по проекту.</t>
  </si>
  <si>
    <t>Stanislav Veresov: Редактированный комментарий - "#Вентиляция. Отсутст..."</t>
  </si>
  <si>
    <t>Вентиляция Renaissance: Схема добавили.</t>
  </si>
  <si>
    <t>В1-9-2 Пересечка с ХС</t>
  </si>
  <si>
    <t>РК-РД-2-ОВ4.1.03-02.06-02</t>
  </si>
  <si>
    <t>Stanislav Veresov: #вентиляция В1-9-2 Пересечка с ХС</t>
  </si>
  <si>
    <t>Врезка и ДК находятся близко к ВБ кондиционера, мешая обслуживанию ВБ</t>
  </si>
  <si>
    <t>РК-РД-2-ОВ4.2.03-18.02-05</t>
  </si>
  <si>
    <t>L top Отопление и холод</t>
  </si>
  <si>
    <t>Кирилл Васенков: Врезка и ДК находятся близко к ВБ кондиционера, мешая обслуживанию ВБ</t>
  </si>
  <si>
    <t>Вентиляция. Узел стыковочный для дымососа не закреплён должным образом. Уплотнения оторваны от дверц.</t>
  </si>
  <si>
    <t>РК-РД-1-ОВ4.1.01-03.01-04</t>
  </si>
  <si>
    <t>Кирилл Васенков: Вентиляция. Узел стыковочный для дымососа не закреплён должным образом. Уплотнения оторваны от дверц.  Необходимо предъявить узлы после исправления.</t>
  </si>
  <si>
    <t>Кирилл Васенков: Удалено отметить пункт - "Вентиляция. Узел стыковочный для дымососа не закреплён должным образом. Уплотнения оторваны от дверц."</t>
  </si>
  <si>
    <t>Кирилл Васенков: Приоритет изменен на P1</t>
  </si>
  <si>
    <t>Кирилл Васенков: Дата начала изменена на янв. 9, 2020</t>
  </si>
  <si>
    <t>Кирилл Васенков: Дата окончания изменена на янв. 15, 2020</t>
  </si>
  <si>
    <t>Кирилл Васенков: Изменен комментарий с Вентиляция. Узел стыковочный для дымососа не закреплён должным образом. Уплотнения оторваны от дверц. на Вентиляция. Узел стыковочный для дымососа не закреплён должным образом. Уплотнения оторваны от дверц.  Необходимо предъявить узлы после исправления.</t>
  </si>
  <si>
    <t xml:space="preserve">Вентиляция Renaissance: Заменили и закрепили </t>
  </si>
  <si>
    <t>Кирилл Васенков: Необходимо предъявить строительному контролю узлы на площадке</t>
  </si>
  <si>
    <t>Кирилл Васенков: Предъявлено. Не принято.</t>
  </si>
  <si>
    <t>Кирилл Васенков: Приоритет изменен на 2</t>
  </si>
  <si>
    <t>Кирилл Васенков: Изменена дата завершения на 28.01.2020</t>
  </si>
  <si>
    <t>Гидравлические испытания трубопроводов ВПВ В2.07.</t>
  </si>
  <si>
    <t>РК-РД-1-ПТ4.1.01-10.08-06</t>
  </si>
  <si>
    <t>В1-В2 АГПТ</t>
  </si>
  <si>
    <t>Yes: гидравлические испытания произведены согласно СТО 08578307-001-2018 успешно. (КВА) - 2020-01-09</t>
  </si>
  <si>
    <t>Кирилл Васенков: Заголовок изменен на Гидравлические испытания трубопроводов ВПВ В2.07</t>
  </si>
  <si>
    <t>Кирилл Васенков: Заголовок изменен на Гидравлические испытания трубопроводов ВПВ В2.07.</t>
  </si>
  <si>
    <t>Кирилл Васенков: Изменена дата начала на 20.01.2020</t>
  </si>
  <si>
    <t>Не актуально. Мин 2400</t>
  </si>
  <si>
    <t>Кирилл Васенков: Не актуально. Мин 2400</t>
  </si>
  <si>
    <t>Владимир Собченко: Завершенное задание</t>
  </si>
  <si>
    <t xml:space="preserve">Деформация корпуса. </t>
  </si>
  <si>
    <t>РК-РД-1-ОВ4.2.01-03.00-04</t>
  </si>
  <si>
    <t>В1-В2 Отопление и холод</t>
  </si>
  <si>
    <t>кондиционирование.</t>
  </si>
  <si>
    <t xml:space="preserve">Кирилл Васенков: #кондиционирование. Деформация корпуса. </t>
  </si>
  <si>
    <t>Кирилл Васенков: Ответственное лицо замещено Отопление и Кондиционирование Renaissance</t>
  </si>
  <si>
    <t>Кирилл Васенков: Дата начала изменена на нояб. 15, 2019</t>
  </si>
  <si>
    <t>Кирилл Васенков: Дата окончания изменена на нояб. 18, 2019</t>
  </si>
  <si>
    <t>Кирилл Васенков: Изменена дата завершения на 22.11.2019</t>
  </si>
  <si>
    <t>Отопление и Кондиционирование Renaissance: Удаленный комментарий - "ОRE: Замечание устра..."</t>
  </si>
  <si>
    <t>Отопление и Кондиционирование Renaissance: Завершенное задание</t>
  </si>
  <si>
    <t>Отопление и Кондиционирование Renaissance: Приоритет изменен на лриоритет  2</t>
  </si>
  <si>
    <t>Отопление и Кондиционирование Renaissance: Приоритет изменен на лриоритет  1</t>
  </si>
  <si>
    <t>VRV. блоки.</t>
  </si>
  <si>
    <t>РК-РД-2-ОВ4.2.03-18.01-05</t>
  </si>
  <si>
    <t>#vrv.</t>
  </si>
  <si>
    <t>холодоснабжение</t>
  </si>
  <si>
    <t>Кирилл Васенков: Привязки не соответствует. Высота установки блока ниже 2.500. Поднять можно.</t>
  </si>
  <si>
    <t>Кирилл Васенков: Заголовок изменен на ВРВ.</t>
  </si>
  <si>
    <t>Кирилл Васенков: Заголовок изменен на VRV. блоки.</t>
  </si>
  <si>
    <t>РК-РД-2-ОВ4.2.03-19.09-05</t>
  </si>
  <si>
    <t>Кирилл Васенков: Отклонения от РД не согласованы.  Высотная отметка не соответствует РД</t>
  </si>
  <si>
    <t>Кирилл Васенков: Заголовок изменен на ВРВ</t>
  </si>
  <si>
    <t>Кирилл Васенков: Редактированный комментарий - "Отклонения от РД не ..."</t>
  </si>
  <si>
    <t>Венткамера 13.L5.3.001. Нарушена последовательность этапов работ. В полу отсутствуют трубопроводы отопления согласно проекта РК-РД-2-ОВ4.2. "Горизонтальная поэтажная разводка систем отопления выполняется трубопроводами РЕХ из сшитого полиэтилена в констру</t>
  </si>
  <si>
    <t>Администратор Fieldwire: Венткамера 13.L5.3.001. Нарушена последовательность этапов работ. В полу отсутствуют трубопроводы отопления согласно проекта РК-РД-2-ОВ4.2. "Горизонтальная поэтажная разводка систем отопления выполняется трубопроводами РЕХ из сшитого полиэтилена в конструкции пола". Финишное покрытие пола сделано.</t>
  </si>
  <si>
    <t>Администратор Fieldwire: Замечание Латиста 1362</t>
  </si>
  <si>
    <t>Владимир Собченко: Сменить ответственное лицо на QA-QC Renaissance</t>
  </si>
  <si>
    <t>Владимир Собченко: Название категории изменено на Замечание механические системы</t>
  </si>
  <si>
    <t>Кирилл Васенков: Необходимо фото для подтверждения исправления замечания.</t>
  </si>
  <si>
    <t>Владимир Собченко: Изменена дата завершения на 16.12.2019</t>
  </si>
  <si>
    <t xml:space="preserve">Дефект корпуса. Spt 36.  Наружные блоки. </t>
  </si>
  <si>
    <t xml:space="preserve">Кирилл Васенков: #кондиционирование. Дефект корпуса. Spt 36.  Наружные блоки. </t>
  </si>
  <si>
    <t>Кирилл Васенков: Название категории изменено на Операционный контроль</t>
  </si>
  <si>
    <t>Кирилл Васенков: Изменена дата начала на 06.11.2019</t>
  </si>
  <si>
    <t xml:space="preserve">Отклонение от оси. </t>
  </si>
  <si>
    <t xml:space="preserve">Кирилл Васенков: #кондиционирование. Отклонение от оси. </t>
  </si>
  <si>
    <t>Внутренние блоки над электрооборудованием</t>
  </si>
  <si>
    <t>01.B1.2.006_Тамбур при санузле</t>
  </si>
  <si>
    <t>Кирилл Васенков: #кондиционирование. Внутренние блоки над электрооборудованием</t>
  </si>
  <si>
    <t>Кирилл Васенков: Дата начала изменена на нояб. 6, 2019</t>
  </si>
  <si>
    <t>Кирилл Васенков: Изменена дата завершения на 12.11.2019</t>
  </si>
  <si>
    <t>Кирилл Васенков: Изменена дата начала на 05.11.2019</t>
  </si>
  <si>
    <t>Владимир Собченко: Изменена дата завершения на 30.12.2019</t>
  </si>
  <si>
    <t>Отопление и Кондиционирование Renaissance: Изменена дата завершения на 29.02.2020</t>
  </si>
  <si>
    <t>Отопление и Кондиционирование Renaissance: Местоположение изменено на 01.B1.2.006_Тамбур при санузле</t>
  </si>
  <si>
    <t xml:space="preserve">Отклонение от вертикали. </t>
  </si>
  <si>
    <t xml:space="preserve">Кирилл Васенков: #кондиционирование. Отклонение от вертикали. </t>
  </si>
  <si>
    <t xml:space="preserve">Кирилл Васенков: #кондиционирование. Наружный блок упирается в изоляцию воздуховода. </t>
  </si>
  <si>
    <t xml:space="preserve">Кирилл Васенков: Монтаж трубопроводов с незакрывающейся крышкой. </t>
  </si>
  <si>
    <t xml:space="preserve">Кирилл Васенков: #кондиционирование. Не однотипно произведён монтаж трубопроводов. </t>
  </si>
  <si>
    <t xml:space="preserve">Кирилл Васенков: #кондиционирование. Гильзы на дренаж не соответствующего диаметра. </t>
  </si>
  <si>
    <t>Кирилл Васенков: Необходимо фотоподтверждение каждого замечания.</t>
  </si>
  <si>
    <t xml:space="preserve">Деформация корпуса обоих блоков. </t>
  </si>
  <si>
    <t>РК-РД-1-ОВ4.2.01-02.00-04</t>
  </si>
  <si>
    <t xml:space="preserve">Кирилл Васенков: #кондиционирование. Деформация корпуса обоих блоков. </t>
  </si>
  <si>
    <t>Над эл.щитами смонтированы блоки кондиционирования</t>
  </si>
  <si>
    <t>-4.200_B01_Panels Model</t>
  </si>
  <si>
    <t>Not set: Над эл.щитами смонтированы блоки кондиционирования (СДА) - 2019-11-06</t>
  </si>
  <si>
    <t>Сергей Давыдов: Название категории изменено на Операционный контроль</t>
  </si>
  <si>
    <t>Сергей Давыдов: Заголовок изменен на Над эл.щитами смонтированы блоки кондиционирования</t>
  </si>
  <si>
    <t>Сергей Давыдов: В помещениях 13.В1.2.046, 13.В1.2.011, 13.В1.2.012, 13.В1.2.030 над эл. щитами смонтированы блоки кондиционирования.</t>
  </si>
  <si>
    <t>Сергей Давыдов: Редактированный комментарий - "В помещениях 13.В1.2..."</t>
  </si>
  <si>
    <t>Сергей Давыдов: Изменена дата начала на 06.11.2019</t>
  </si>
  <si>
    <t>Сергей Давыдов: Изменена дата завершения на 14.11.2019</t>
  </si>
  <si>
    <t>Сергей Давыдов: Сменить ответственное лицо на Силовое оборудование Renaissance</t>
  </si>
  <si>
    <t>Сергей Давыдов: Название категории изменено на Замечание стройконтроля</t>
  </si>
  <si>
    <t>Валерий Семиков: Название категории изменено на Замечания электрические и СС системы</t>
  </si>
  <si>
    <t>Силовое оборудование Renaissance: Сменить ответственное лицо на Отопление и Кондиционирование Renaissance</t>
  </si>
  <si>
    <t>Силовое оборудование Renaissance: План изменен на -4.200_B01_Panels Model</t>
  </si>
  <si>
    <t>Силовое оборудование Renaissance: План изменен на -8.400_B02_Panels Model</t>
  </si>
  <si>
    <t>Силовое оборудование Renaissance: План изменен на 1</t>
  </si>
  <si>
    <t>Силовое оборудование Renaissance: План изменен на 2</t>
  </si>
  <si>
    <t>Александр Светашов: Редактированный комментарий - "В помещениях 13.В1.2..."</t>
  </si>
  <si>
    <t>Отопление и Кондиционирование Renaissance: План изменен на -4.200_B01_Panels Model</t>
  </si>
  <si>
    <t xml:space="preserve">Отклонения от РД не согласованы АН. </t>
  </si>
  <si>
    <t xml:space="preserve">Кирилл Васенков: #кондиционирование. Отклонения от РД не согласованы АН. </t>
  </si>
  <si>
    <t xml:space="preserve">Отопление и Кондиционирование Renaissance:   Перемонтировали согласно рд 
</t>
  </si>
  <si>
    <t xml:space="preserve">Отклонение по вертикали, горизонтали, деформация корпуса. </t>
  </si>
  <si>
    <t xml:space="preserve">Кирилл Васенков: #кондиционирование. Отклонение по вертикали, горизонтали, деформация корпуса. </t>
  </si>
  <si>
    <t>Кирилл Васенков: Сгруппировать измененные атрибуты задания</t>
  </si>
  <si>
    <t xml:space="preserve">Отклонение по горизонтали. </t>
  </si>
  <si>
    <t xml:space="preserve">Кирилл Васенков: #кондиционирование. Отклонение по горизонтали. </t>
  </si>
  <si>
    <t xml:space="preserve">НБ установлены на разных уровнях. </t>
  </si>
  <si>
    <t xml:space="preserve">Кирилл Васенков: #кондиционирование. НБ установлены на разных уровнях. </t>
  </si>
  <si>
    <t xml:space="preserve">Лотки в непосредственной близости от НБ. </t>
  </si>
  <si>
    <t xml:space="preserve">Кирилл Васенков: #кондиционирование. Лотки в непосредственной близости от НБ. </t>
  </si>
  <si>
    <t xml:space="preserve">НБ висят на разных консолях. На разных высотных отметках. </t>
  </si>
  <si>
    <t>НБ висят на разных консолях. На разных высотных отметках.</t>
  </si>
  <si>
    <t xml:space="preserve">Кирилл Васенков: #кондиционирование. НБ висят на разных консолях. На разных высотных отметках. </t>
  </si>
  <si>
    <t>кондиционирование</t>
  </si>
  <si>
    <t>Кирилл Васенков: Сменить ответственное лицо на Отопление и Кондиционирование Renaissance</t>
  </si>
  <si>
    <t>Кирилл Васенков: Изменена дата начала на 12.11.2019</t>
  </si>
  <si>
    <t>Кирилл Васенков: Сменить ответственное лицо на Кирилл Васенков</t>
  </si>
  <si>
    <t xml:space="preserve">НБ дефформированы, воздуховоды находятся в зоне выброса воздуха. </t>
  </si>
  <si>
    <t xml:space="preserve">Кирилл Васенков: #кондиционирование. НБ дефформированы, воздуховоды находятся в зоне выброса воздуха. </t>
  </si>
  <si>
    <t xml:space="preserve">Отопление и Кондиционирование Renaissance: Замечание устраненю </t>
  </si>
  <si>
    <t xml:space="preserve">ВБ висят над электрооборудованием. </t>
  </si>
  <si>
    <t xml:space="preserve">Кирилл Васенков: #кондиционирование. ВБ висят над электрооборудованием. </t>
  </si>
  <si>
    <t>Владимир Собченко: Изменена дата завершения на 31.12.2019</t>
  </si>
  <si>
    <t xml:space="preserve">НБ поцарапан. </t>
  </si>
  <si>
    <t xml:space="preserve">Кирилл Васенков: #кондиционирование. НБ поцарапан. </t>
  </si>
  <si>
    <t>#VRV. Монтаж внутренних блоков.</t>
  </si>
  <si>
    <t>РК-РД-2-ОВ4.2.03-17.05-07</t>
  </si>
  <si>
    <t>Кирилл Васенков: Заголовок изменен на #VRV. ВБ Не Открывается. Мешает Светильник</t>
  </si>
  <si>
    <t xml:space="preserve">Кирилл Васенков: ВБ находится близко к светильнику. Невозможно открыть крышку для обслуживания ВБ. </t>
  </si>
  <si>
    <t>Кирилл Васенков: Заголовок изменен на #VRV. Монтаж внутренних блоков.</t>
  </si>
  <si>
    <t>Кирилл Васенков: Изменена дата начала на 06.02.2020</t>
  </si>
  <si>
    <t>Кирилл Васенков: Заголовок изменен на #VRV. ВБ Не По рД</t>
  </si>
  <si>
    <t>Кирилл Васенков: Внутренний блок по высоте ниже 2500. Поднять можно.</t>
  </si>
  <si>
    <t>Кирилл Васенков: Удаленный комментарий - "Реальная 2420"</t>
  </si>
  <si>
    <t>#ГПТ. Направление 44. Трубопроводы</t>
  </si>
  <si>
    <t>РК-РД-2-ПТ4.2.01-19-01</t>
  </si>
  <si>
    <t>#гпт. Направление 44. Трубопроводы.</t>
  </si>
  <si>
    <t>Кирилл Васенков: Заголовок изменен на #ГПТ. Направление 44. Трубопроводы</t>
  </si>
  <si>
    <t xml:space="preserve">Кирилл Васенков: Трубопроводы проложены не по РД. Трубопроводы по РД проходят сквозь балку. Согласно бим модели отверстие в балке присутствует. </t>
  </si>
  <si>
    <t>Кирилл Васенков: Изменена дата начала на 05.02.2020</t>
  </si>
  <si>
    <t>Кирилл Васенков: Заголовок изменен на #VRV. Не По РД.</t>
  </si>
  <si>
    <t>Кирилл Васенков: Высота установки ВБ не согласована.</t>
  </si>
  <si>
    <t>PROMAT</t>
  </si>
  <si>
    <t>Кирилл Васенков: Заголовок изменен на PROMAT</t>
  </si>
  <si>
    <t>Кирилл Васенков: При монтаже Promat, рабочие отрезают выполненную изоляцию и окожушивание трубопроводов. Такое исполнение недопустимо.</t>
  </si>
  <si>
    <t>#VRV. Монтаж внутренних блоков</t>
  </si>
  <si>
    <t>РК-РД-2-ОВ4.2.03-17.09-07</t>
  </si>
  <si>
    <t>Кирилл Васенков: Заголовок изменен на #VRV. В Не По Рд</t>
  </si>
  <si>
    <t>Кирилл Васенков: Заголовок изменен на #VRV. Монтаж внутренних блоков</t>
  </si>
  <si>
    <t>Кирилл Васенков: Удаленный комментарий - "Не на той стене."</t>
  </si>
  <si>
    <t>Кирилл Васенков: Удаленный комментарий - "Перекрывает Вент реш..."</t>
  </si>
  <si>
    <t>Кирилл Васенков: внутренний блок перекрывает сечение решётки воздуховода.</t>
  </si>
  <si>
    <t xml:space="preserve">ВБ отклонения не согласованы. </t>
  </si>
  <si>
    <t xml:space="preserve">Кирилл Васенков: #кондиционирование. ВБ отклонения не согласованы. </t>
  </si>
  <si>
    <t>Отопление и Кондиционирование Renaissance: отклонение согласовано АН</t>
  </si>
  <si>
    <t>Кирилл Васенков: необходимо приложить лист с согласованным решением АН.</t>
  </si>
  <si>
    <t xml:space="preserve">Отклонения от РД не согласованы. </t>
  </si>
  <si>
    <t xml:space="preserve">Кирилл Васенков: #кондиционирование. Отклонения от РД не согласованы. </t>
  </si>
  <si>
    <t xml:space="preserve">Консоли не hilti. Большое расстояние от стены. Очень близко к воздуховоду и освещению. </t>
  </si>
  <si>
    <t xml:space="preserve">Кирилл Васенков: #кондиционирование. Консоли не hilti. Большое расстояние от стены. Очень близко к воздуховоду и освещению. </t>
  </si>
  <si>
    <t xml:space="preserve">Кирилл Васенков: #кондиционирование. Нужно ли снимать верхнюю крышку. </t>
  </si>
  <si>
    <t xml:space="preserve">Кирилл Васенков: #кондиционирование. Отклонение по вертикали. </t>
  </si>
  <si>
    <t>Отопление и Кондиционирование Renaissance: Приоритет изменен на лриоритет  3</t>
  </si>
  <si>
    <t>Кирилл Васенков: Данное замечание необходимо предъявить на площадке с исправленными замечаниями по установке оборудования.</t>
  </si>
  <si>
    <t>Количество конвекторов в луче не по РД. Тип размеры конвекторов не по РД.</t>
  </si>
  <si>
    <t>РК-РД-2-ОВ4.2.03-04.03-04</t>
  </si>
  <si>
    <t>отопление.</t>
  </si>
  <si>
    <t>Кирилл Васенков: #отопление. Количество конвекторов в луче не по РД. Тип размеры конвекторов не по РД.</t>
  </si>
  <si>
    <t>Кирилл Васенков: Изменена дата начала на 17.12.2019</t>
  </si>
  <si>
    <t>Отопление и Кондиционирование Renaissance:  Замечания устранены. Акт подписан.</t>
  </si>
  <si>
    <t xml:space="preserve">Кирилл Васенков: Не устранено! в последней ревизии РД Количество конвекторов отличается от количества на фото. </t>
  </si>
  <si>
    <t xml:space="preserve">Трубопровод в зоне выброса воздуха НБ. </t>
  </si>
  <si>
    <t xml:space="preserve">Кирилл Васенков: #кондиционирование. Трубопровод в зоне выброса воздуха НБ. </t>
  </si>
  <si>
    <t xml:space="preserve">Кирилл Васенков: #кондиционирование. НБ на разной высоте. Консоль мешает выполнению изоляции и кожуха на трубопроводе. </t>
  </si>
  <si>
    <t xml:space="preserve">Нет возможности проверить серийный номер. Профиль фанкойла упирается в ВБ. </t>
  </si>
  <si>
    <t>РК-РД-2-ОВ4.2.03-17.02-06</t>
  </si>
  <si>
    <t xml:space="preserve">Кирилл Васенков: #кондиционирование. Нет возможности проверить серийный номер. Профиль фанкойла упирается в ВБ. </t>
  </si>
  <si>
    <t>Кирилл Васенков: Изменена дата начала на 14.11.2019</t>
  </si>
  <si>
    <t>Кирилл Васенков: Изменена дата завершения на 18.11.2019</t>
  </si>
  <si>
    <t>В2-3.6.2 нет возможности подключения S&amp;C</t>
  </si>
  <si>
    <t>Stanislav Veresov: #вентиляция В2-3.6.2 нет возможности подключения S&amp;C</t>
  </si>
  <si>
    <t>Вентиляция Renaissance: Сменить ответственное лицо на Отопление и Кондиционирование Renaissance</t>
  </si>
  <si>
    <t xml:space="preserve">Установка ВБ не соответствует РД. </t>
  </si>
  <si>
    <t xml:space="preserve">Кирилл Васенков: #кондиционирование. Установка ВБ не соответствует РД. </t>
  </si>
  <si>
    <t>Предоставить документы подтверждающие возможности использование данного материала на системах отопления.</t>
  </si>
  <si>
    <t>Кирилл Васенков: Предоставить документы подтверждающие возможности использование данного материала на системах отопления.</t>
  </si>
  <si>
    <t>Отопление и Кондиционирование Renaissance: изменено со лен</t>
  </si>
  <si>
    <t xml:space="preserve">Задвижки в зоне противопожарной проходки. </t>
  </si>
  <si>
    <t>РК-РД-2-ОВ4.2.03-06.00-02</t>
  </si>
  <si>
    <t xml:space="preserve">Кирилл Васенков: #кондиционирование. Задвижки в зоне противопожарной проходки. </t>
  </si>
  <si>
    <t>Кирилл Васенков: Изменена дата начала на 29.11.2019</t>
  </si>
  <si>
    <t>Кирилл Васенков: Изменена дата завершения на 06.12.2019</t>
  </si>
  <si>
    <t>Отопление и Кондиционирование Renaissance: Completed task</t>
  </si>
  <si>
    <t xml:space="preserve">Крепление трубопроводов в зоне стены. </t>
  </si>
  <si>
    <t xml:space="preserve">Кирилл Васенков: #кондиционирование. Крепление трубопроводов в зоне стены. </t>
  </si>
  <si>
    <t xml:space="preserve">Предоставить узел крепления в районе компенсатора. </t>
  </si>
  <si>
    <t>РК-РД-2-ОВ4.2.03-05.00-02</t>
  </si>
  <si>
    <t xml:space="preserve">Кирилл Васенков: #отопление. Предоставить узел крепления в районе компенсатора. </t>
  </si>
  <si>
    <t>Отопление и Кондиционирование Renaissance: Стойка СТВ-4-1но полностью выполнен</t>
  </si>
  <si>
    <t xml:space="preserve">Кирилл Васенков: Прошу предоставить фото данного узла выполненного на объекте. </t>
  </si>
  <si>
    <t>VRV. блоки</t>
  </si>
  <si>
    <t>РК-РД-2-ОВ4.2.03-18.05-06</t>
  </si>
  <si>
    <t>Кирилл Васенков: Расположение блока не по РД.</t>
  </si>
  <si>
    <t>Кирилл Васенков: Заголовок изменен на VRV. блоки</t>
  </si>
  <si>
    <t>Кирилл Васенков: Устранено</t>
  </si>
  <si>
    <t>РК-РД-2-ОВ4.2.03-18.09-05</t>
  </si>
  <si>
    <t>Кирилл Васенков: Опустить от проходки.</t>
  </si>
  <si>
    <t>Кирилл Васенков: устранено</t>
  </si>
  <si>
    <t>Кирилл Васенков: Расположение блоков не по РД.</t>
  </si>
  <si>
    <t>Монтаж компенсаторов выполнен не в соответствии с паспортом на изделие.</t>
  </si>
  <si>
    <t>B2_Блок 3</t>
  </si>
  <si>
    <t>Администратор Fieldwire: Монтаж компенсаторов выполнен не в соответствии с паспортом на изделие.</t>
  </si>
  <si>
    <t>Администратор Fieldwire: Местоположение изменено на B2_Блок 3</t>
  </si>
  <si>
    <t>Администратор Fieldwire: Удаленный комментарий - "Замечание Латиста 13..."</t>
  </si>
  <si>
    <t>Администратор Fieldwire: Замечание Латиста 1353</t>
  </si>
  <si>
    <t>Крепление установлены с нарушением</t>
  </si>
  <si>
    <t>РК-РД-1-ОВ4.4.02-03-05</t>
  </si>
  <si>
    <t>13.B1.1.052_Холодильный центр</t>
  </si>
  <si>
    <t>Холодильный центр</t>
  </si>
  <si>
    <t>Крепления не отцентрованы, не затянуты</t>
  </si>
  <si>
    <t>Кирилл Васенков: Крепление установлены с нарушением</t>
  </si>
  <si>
    <t>Кирилл Васенков: Дата начала изменена на нояб. 5, 2019</t>
  </si>
  <si>
    <t>Кирилл Васенков: Дата окончания изменена на нояб. 7, 2019</t>
  </si>
  <si>
    <t>Кирилл Васенков: Название категории изменено на Замечание стройконтроля</t>
  </si>
  <si>
    <t>Холодильный Центр</t>
  </si>
  <si>
    <t>холодильный</t>
  </si>
  <si>
    <t xml:space="preserve">Кирилл Васенков: #холодильный центр. </t>
  </si>
  <si>
    <t>Кирилл Васенков: Не достаточно креплений</t>
  </si>
  <si>
    <t xml:space="preserve">Кирилл Васенков: Сварные швы не соответствуют ГОСТ. Порезы, поры. </t>
  </si>
  <si>
    <t xml:space="preserve">Кирилл Васенков: Крепления не отцентрованы, не затянуты, установлены криво. </t>
  </si>
  <si>
    <t xml:space="preserve">Кирилл Васенков: Крепления установлены на сварные швы. </t>
  </si>
  <si>
    <t>Кирилл Васенков: Заголовок изменен на Холодильный Центр</t>
  </si>
  <si>
    <t>Отопление и Кондиционирование Renaissance: Deleted photo</t>
  </si>
  <si>
    <t>Отопление и Кондиционирование Renaissance: все дефекты исправлены</t>
  </si>
  <si>
    <t>Отопление и Кондиционирование Renaissance: Изменена дата начала на 15.11.2019</t>
  </si>
  <si>
    <t>Деформация корпуса</t>
  </si>
  <si>
    <t>Кирилл Васенков: #кондиционирование. Деформация корпуса</t>
  </si>
  <si>
    <t>Кирилл Васенков: Изменена дата завершения на 11.11.2019</t>
  </si>
  <si>
    <t>Отопление и Кондиционирование Renaissance: Удаленное изображение</t>
  </si>
  <si>
    <t>Узел не соответствует РД.</t>
  </si>
  <si>
    <t>РК-РД-1-ОВ4.2.01-03.12-09</t>
  </si>
  <si>
    <t>теплоснабжение.</t>
  </si>
  <si>
    <t>Узел 2 не соответствует РД. Насос не по РД. Комбинированный балансировочный клапан не по РД.</t>
  </si>
  <si>
    <t>Кирилл Васенков: #теплоснабжение. Узел не соответствует РД.</t>
  </si>
  <si>
    <t>Отопление и Кондиционирование Renaissance: Спецификация обновлена, согласованно в аконекс</t>
  </si>
  <si>
    <t>РК-РД-1-ОВ4.2.01-03.10-09</t>
  </si>
  <si>
    <t>Узлы не соответствует РД</t>
  </si>
  <si>
    <t>Кирилл Васенков: #теплоснабжение. Узлы не соответствует РД</t>
  </si>
  <si>
    <t>РК-РД-1-ОВ4.2.01-03.05-10</t>
  </si>
  <si>
    <t>РК-РД-1-ОВ4.2.01-03.03-09</t>
  </si>
  <si>
    <t>РК-РД-1-ОВ4.2.01-03.01-09</t>
  </si>
  <si>
    <t>Кирилл Васенков: #теплоснабжение. Узел 2 не соответствует РД. Насос не по РД. Комбинированный балансировочный клапан не по РД.</t>
  </si>
  <si>
    <t>Кирилл Васенков: Изменена дата начала на 11.12.2019</t>
  </si>
  <si>
    <t>Кирилл Васенков: Изменена дата завершения на 16.12.2019</t>
  </si>
  <si>
    <t>Кирилл Васенков: Крепления не отцентрованы, не затянуты</t>
  </si>
  <si>
    <t>Кирилл Васенков: Местоположение изменено на 13.B1.1.052_Холодильный центр</t>
  </si>
  <si>
    <t>Кирилл Васенков: Изменена дата завершения на 07.11.2019</t>
  </si>
  <si>
    <t>Отклонение от вертикали spt 63</t>
  </si>
  <si>
    <t>Кирилл Васенков: #кондиционирование. Отклонение от вертикали spt 63</t>
  </si>
  <si>
    <t>Отопление и Кондиционирование Renaissance: Исправлено и сдана</t>
  </si>
  <si>
    <t xml:space="preserve">Отклонение ВБ по горизонтали. </t>
  </si>
  <si>
    <t xml:space="preserve">Кирилл Васенков: #кондиционирование. Отклонение ВБ по горизонтали. </t>
  </si>
  <si>
    <t xml:space="preserve">ВБ на разных уровнях. </t>
  </si>
  <si>
    <t xml:space="preserve">Кирилл Васенков: #кондиционирование. ВБ на разных уровнях. </t>
  </si>
  <si>
    <t xml:space="preserve">Резьба в шахте. </t>
  </si>
  <si>
    <t>РК-РД-2-ОВ4.2.03-17.03-05</t>
  </si>
  <si>
    <t>холодоснабжение.</t>
  </si>
  <si>
    <t xml:space="preserve">Кирилл Васенков: #холодоснабжение. Резьба в шахте. </t>
  </si>
  <si>
    <t>Кирилл Васенков: Изменена дата начала на 13.12.2019</t>
  </si>
  <si>
    <t>Кирилл Васенков: Изменена дата завершения на 17.12.2019</t>
  </si>
  <si>
    <t>Отопление и Кондиционирование Renaissance: Резьба изменили с сварные стыков</t>
  </si>
  <si>
    <t xml:space="preserve">Трубопровод СХБ 3-3 проходит в зоне стены коллекторного шкафа. </t>
  </si>
  <si>
    <t xml:space="preserve">Кирилл Васенков: #Холодоснабжение. Трубопровод СХБ 3-3 проходит в зоне стены коллекторного шкафа. </t>
  </si>
  <si>
    <t>Отопление и Кондиционирование Renaissance: Трассировка трубопроводов изменили</t>
  </si>
  <si>
    <t xml:space="preserve">Обработка сварных стыков срезает толщину трубопровода более 30%. Сварные стыки необходимо переварить. </t>
  </si>
  <si>
    <t>РК-РД-2-ОВ4.2.03-20.03-05</t>
  </si>
  <si>
    <t>Кирилл Васенков: #холодоснабжение. Обработка сварных стыков. Срезается толщина стенки трубопровода в околошовной зоне более 30%. Сварные стыки необходимо полностью переварить.</t>
  </si>
  <si>
    <t>Кирилл Васенков: Редактированный комментарий - "#холодоснабжение. Об..."</t>
  </si>
  <si>
    <t>Отопление и Кондиционирование Renaissance: Сварных швов исправил</t>
  </si>
  <si>
    <t xml:space="preserve">Установить байпас с краном. </t>
  </si>
  <si>
    <t>РК-РД-2-ОВ4.2.03-02.00-02</t>
  </si>
  <si>
    <t xml:space="preserve">Кирилл Васенков: #кондиционирование. Установить байпас с краном. </t>
  </si>
  <si>
    <t xml:space="preserve">Предоставить схемы трубопроводов с расстановкой креплений. </t>
  </si>
  <si>
    <t xml:space="preserve">Кирилл Васенков: #отопление. #кондиционирование. Предоставить схемы трубопроводов с расстановкой креплений. </t>
  </si>
  <si>
    <t>Отопление и Кондиционирование Renaissance: Дополнительные крепление смонтировали</t>
  </si>
  <si>
    <t>Кирилл Васенков: Не предоставлены схемы расстановки креплений на трубопроводах.</t>
  </si>
  <si>
    <t xml:space="preserve">центр. Согласовать отклонения трассировки трубопроводов. Указать все изменения в ИД. </t>
  </si>
  <si>
    <t xml:space="preserve">Кирилл Васенков: #холодильный центр. Согласовать отклонения трассировки трубопроводов. Указать все изменения в ИД. </t>
  </si>
  <si>
    <t>Кирилл Васенков: Изменена дата начала на 13.11.2019</t>
  </si>
  <si>
    <t>Отопление и Кондиционирование Renaissance: Трассировка трубы изменили в ИД, проверено ЛИМБ</t>
  </si>
  <si>
    <t xml:space="preserve">центр. Добавить крепления трубопроводов вакуумной диарации. </t>
  </si>
  <si>
    <t>РК-РД-1-ОВ4.4.02-10-03</t>
  </si>
  <si>
    <t xml:space="preserve">Кирилл Васенков: #холодильный центр. Добавить крепления трубопроводов вакуумной диарации. </t>
  </si>
  <si>
    <t xml:space="preserve">Консоль не закреплена к перекрытия. </t>
  </si>
  <si>
    <t>РК-РД-2-ОВ4.2.03-15.00-02</t>
  </si>
  <si>
    <t>отопление</t>
  </si>
  <si>
    <t>Кирилл Васенков: #отопление. Консоль не закреплена к перекрытию.</t>
  </si>
  <si>
    <t>Кирилл Васенков: Редактированный комментарий - "#отопление. Консоль ..."</t>
  </si>
  <si>
    <t>Неподвижной опоры в РД нет.</t>
  </si>
  <si>
    <t>РК-РД-2-ОВ4.2.03-09.00-02</t>
  </si>
  <si>
    <t>Кирилл Васенков: #отопление. Неподвижной опоры в РД нет.</t>
  </si>
  <si>
    <t>Отопление и Кондиционирование Renaissance: Неподвижной опоры убрали</t>
  </si>
  <si>
    <t>Криво установлена консоль.</t>
  </si>
  <si>
    <t>РК-РД-2-ОВ4.2.03-12.09-04</t>
  </si>
  <si>
    <t>Кирилл Васенков: #отопление. Криво установлена консоль.</t>
  </si>
  <si>
    <t>Воздухоотводч</t>
  </si>
  <si>
    <t>Кирилл Васенков: #отопление. Воздухоотводчик в зоне шахты</t>
  </si>
  <si>
    <t>Кирилл Васенков: Редактированный комментарий - "#отопление. Воздухоо..."</t>
  </si>
  <si>
    <t>Скользящие опоры не отцентрованы.</t>
  </si>
  <si>
    <t>РК-РД-2-ОВ4.2.03-10.09-05</t>
  </si>
  <si>
    <t>Кирилл Васенков: #отопление. Скользящие опоры не отцентрованы.</t>
  </si>
  <si>
    <t>Кирилл Васенков: #отопление. На аксонометрических схемах системы отопления не указаны высотные отметки, врезок, неподвижных опор, компенсаторов.</t>
  </si>
  <si>
    <t>Кирилл Васенков: Приоритет изменен на 1</t>
  </si>
  <si>
    <t>Кирилл Васенков: Редактированный комментарий - "#отопление. На аксан..."</t>
  </si>
  <si>
    <t>Отопление и Кондиционирование Renaissance: Неподвижной опоры выполнен по согласованным ИД</t>
  </si>
  <si>
    <t xml:space="preserve">центр. Добавить крепления на трубопроводы вакуумной диарации. </t>
  </si>
  <si>
    <t>РК-РД-1-ОВ4.4.02-06-05</t>
  </si>
  <si>
    <t xml:space="preserve">Кирилл Васенков: #холодильный центр. Добавить крепления на трубопроводы вакуумной диарации. </t>
  </si>
  <si>
    <t xml:space="preserve">Воздушники в зоне шахты. </t>
  </si>
  <si>
    <t xml:space="preserve">Кирилл Васенков: #отопление. Воздушники в зоне шахты. </t>
  </si>
  <si>
    <t xml:space="preserve">Кирилл Васенков: #отопление. Отсечные краны в зоне противопожарной проходки. </t>
  </si>
  <si>
    <t>Пересечка с вентиляцией.</t>
  </si>
  <si>
    <t>РК-РД-2-ОВ4.2.03-11.09-04</t>
  </si>
  <si>
    <t>Кирилл Васенков: #отопление.  Пересечка с вентиляцией.</t>
  </si>
  <si>
    <t>Не лицензирована скользящая опора.</t>
  </si>
  <si>
    <t>Кирилл Васенков: #отопление. Не отцентрована скользящая опора.</t>
  </si>
  <si>
    <t>Кирилл Васенков: Редактированный комментарий - "#отопление. Не лицен..."</t>
  </si>
  <si>
    <t>Скользящая опора не отцентрована.</t>
  </si>
  <si>
    <t>Кирилл Васенков: #отопление. Скользящая опора не отцентрована.</t>
  </si>
  <si>
    <t xml:space="preserve">Добавить крепления на отходящий трубопровод. </t>
  </si>
  <si>
    <t xml:space="preserve">Кирилл Васенков: #кондиционирование. Добавить крепления на отходящий трубопровод. </t>
  </si>
  <si>
    <t>Отопление и Кондиционирование Renaissance: Крепление установили</t>
  </si>
  <si>
    <t xml:space="preserve">Нет возможности сделать изоляцию трубопровода. </t>
  </si>
  <si>
    <t xml:space="preserve">Кирилл Васенков: #кондиционирование. Нет возможности сделать изоляцию трубопровода. </t>
  </si>
  <si>
    <t xml:space="preserve">Не указаны не подвижные опоры на схеме. </t>
  </si>
  <si>
    <t xml:space="preserve">Кирилл Васенков: #кондиционирование. Не указаны не подвижные опоры на схеме. </t>
  </si>
  <si>
    <t>Отопление и Кондиционирование Renaissance: Неподвижной опоры установили по проектам Хилти</t>
  </si>
  <si>
    <t>Кирилл Васенков: В РД не указаны.</t>
  </si>
  <si>
    <t xml:space="preserve">Нет возможности открыть задвижки. </t>
  </si>
  <si>
    <t>РК-РД-2-ОВ4.2.03-19.05-05</t>
  </si>
  <si>
    <t xml:space="preserve">Кирилл Васенков: #кондиционирование. Нет возможности открыть задвижки. </t>
  </si>
  <si>
    <t xml:space="preserve">Задвижки установлены в зоне противопожарной проходки. </t>
  </si>
  <si>
    <t>РК-РД-2-ОВ4.2.03-20.05-05</t>
  </si>
  <si>
    <t xml:space="preserve">Кирилл Васенков: #кондиционирование. Задвижки установлены в зоне противопожарной проходки. </t>
  </si>
  <si>
    <t xml:space="preserve">Нет возможности открыть задвижку. </t>
  </si>
  <si>
    <t xml:space="preserve">Кирилл Васенков: #кондиционирование. Нет возможности открыть задвижку. </t>
  </si>
  <si>
    <t xml:space="preserve">Нет возможности заизолировать трубопровод. </t>
  </si>
  <si>
    <t xml:space="preserve">Кирилл Васенков: #кондиционирование. Нет возможности заизолировать трубопровод. </t>
  </si>
  <si>
    <t xml:space="preserve">Задвижки находятся в зоне противопожарной проходки. </t>
  </si>
  <si>
    <t>РК-РД-2-ОВ4.2.03-21.05-04</t>
  </si>
  <si>
    <t xml:space="preserve">Кирилл Васенков: #кондиционирование. Задвижки находятся в зоне противопожарной проходки. </t>
  </si>
  <si>
    <t xml:space="preserve">Пересечка ВБ с электрикой. </t>
  </si>
  <si>
    <t xml:space="preserve">Кирилл Васенков: #кондиционирование. Пересечка ВБ с электрикой. </t>
  </si>
  <si>
    <t>Отопление и Кондиционирование Renaissance: исправлено, сдано</t>
  </si>
  <si>
    <t xml:space="preserve">ВБ в. Зоне противопожарной проходки. От светильника до блока 40 мм. </t>
  </si>
  <si>
    <t xml:space="preserve">Кирилл Васенков: #кондиционирование. ВБ в. Зоне противопожарной проходки. От светильника до блока 40 мм. </t>
  </si>
  <si>
    <t>Кирилл Васенков: Необходимо фотоподтверждение замечания.</t>
  </si>
  <si>
    <t xml:space="preserve">Отсутствуют виброизоляторы. </t>
  </si>
  <si>
    <t>РК-РД-2-ОВ4.2.03-19.03-05</t>
  </si>
  <si>
    <t xml:space="preserve">Кирилл Васенков: #кондиционирование. Отсутствуют виброизоляторы. </t>
  </si>
  <si>
    <t>Кирилл Васенков: Исправлено</t>
  </si>
  <si>
    <t xml:space="preserve">Не установлены виброизоляторы. </t>
  </si>
  <si>
    <t>РК-РД-2-ОВ4.2.03-19.04-05</t>
  </si>
  <si>
    <t xml:space="preserve">Кирилл Васенков: #кондиционирование. Не установлены виброизоляторы. </t>
  </si>
  <si>
    <t xml:space="preserve">ВБ находится в зоне противопожарной проходки. </t>
  </si>
  <si>
    <t>01.B1.2.009_Преддушевая</t>
  </si>
  <si>
    <t xml:space="preserve">Кирилл Васенков: #кондиционирование. ВБ находится в зоне противопожарной проходки. </t>
  </si>
  <si>
    <t>Отопление и Кондиционирование Renaissance: Opustili na 100mm</t>
  </si>
  <si>
    <t xml:space="preserve">Не соответствует мощность блока. </t>
  </si>
  <si>
    <t>РК-РД-2-ОВ4.2.03-17.02-05</t>
  </si>
  <si>
    <t xml:space="preserve">Кирилл Васенков: #кондиционирование. Не соответствует мощность блока. </t>
  </si>
  <si>
    <t>Кирилл Васенков: Внутренний блок заменен.</t>
  </si>
  <si>
    <t xml:space="preserve">Привязки ВБ не соответствуют РД. </t>
  </si>
  <si>
    <t>РК-РД-1-ОВ4.2.01-02.05-11</t>
  </si>
  <si>
    <t xml:space="preserve">Кирилл Васенков: #кондиционирование. Привязки ВБ не соответствуют РД. </t>
  </si>
  <si>
    <t xml:space="preserve">ВБ висят на разных уровнях. </t>
  </si>
  <si>
    <t>РК-РД-1-ОВ4.2.01-02.06-12</t>
  </si>
  <si>
    <t>Кирилл Васенков: #кондиционирование. ВБ висят на разных уровнях. По РД на одной.</t>
  </si>
  <si>
    <t>Кирилл Васенков: Изменен комментарий с #кондиционирование. ВБ висят на разных уровнях.  на #кондиционирование. ВБ висят на разных уровнях. По РД на одной.</t>
  </si>
  <si>
    <t>Отопление и Кондиционирование Renaissance: система сдана</t>
  </si>
  <si>
    <t>Кирилл Васенков: Необходимо приложить подписанный чек лист</t>
  </si>
  <si>
    <t xml:space="preserve">Укосины консолей к верху? </t>
  </si>
  <si>
    <t xml:space="preserve">Кирилл Васенков: #кондиционирование. Укосины консолей к верху? </t>
  </si>
  <si>
    <t>Кирилл Васенков: Установка консолей согласована с АЙКОМ.</t>
  </si>
  <si>
    <t xml:space="preserve">Отклонение от РД не согласовано. ВБ установлен в зоне противопожарной проходки. </t>
  </si>
  <si>
    <t xml:space="preserve">Кирилл Васенков: #кондиционирование. Отклонение от РД не согласовано. ВБ установлен в зоне противопожарной проходки. </t>
  </si>
  <si>
    <t xml:space="preserve">Вопрос по пересечка с фанкойлом. </t>
  </si>
  <si>
    <t xml:space="preserve">Кирилл Васенков: #кондиционирование.  Вопрос по пересечка с фанкойлом. </t>
  </si>
  <si>
    <t>Кирилл Васенков: Дата начала изменена на нояб. 18, 2019</t>
  </si>
  <si>
    <t>Трубопроводы Теплоснабжения и Холодоснабжения</t>
  </si>
  <si>
    <t>РК-РД-2-ОВ4.2.03-20.04-05</t>
  </si>
  <si>
    <t>теплоснабжение</t>
  </si>
  <si>
    <t>Участок Трубопроводов СТВ 3-1 И СХВ3-1</t>
  </si>
  <si>
    <t>Кирилл Васенков: Заголовок изменен на Трубопроводы Теплоснабжения и Холодоснабжения</t>
  </si>
  <si>
    <t>Кирилл Васенков: Изменена дата начала на 16.01.2020</t>
  </si>
  <si>
    <t>Кирилл Васенков: Изменена дата завершения на 23.01.2020</t>
  </si>
  <si>
    <t>Кирилл Васенков: Изменена дата завершения на 24.01.2020</t>
  </si>
  <si>
    <t>Кирилл Васенков: Высота прохождения трубопроводов ниже высоты потолков в данной зоне согласно Техническому заданию на высоты потолков.</t>
  </si>
  <si>
    <t>Отопление и Кондиционирование Renaissance: Трассировка трубопроводов подняли</t>
  </si>
  <si>
    <t>Трубопроводы Теплоснабжение и Холодоснабжение.</t>
  </si>
  <si>
    <t>Кирилл Васенков: # Теплоснабжение. 
# Холодоснабжение.</t>
  </si>
  <si>
    <t>Кирилл Васенков: Заголовок изменен на Трубопроводы Теплоснабжение и Холодоснабжение.</t>
  </si>
  <si>
    <t>Кирилл Васенков: Обработка околошовной зоны выполнена с утоньшением толщины стенки трубопровода.</t>
  </si>
  <si>
    <t>Кирилл Васенков: Прошу предъявить данное замечание на площадке.</t>
  </si>
  <si>
    <t>Кирилл Васенков: Изменена дата завершения на 30.01.2020</t>
  </si>
  <si>
    <t xml:space="preserve">Дверь не открывается на положенные градус. </t>
  </si>
  <si>
    <t>rc_fire@rencons.com</t>
  </si>
  <si>
    <t>РК-РД-2-ПТ4.1.03-10.02-05</t>
  </si>
  <si>
    <t>пш.</t>
  </si>
  <si>
    <t xml:space="preserve">Кирилл Васенков: #пш. Дверь не открывается на положенные градус. </t>
  </si>
  <si>
    <t xml:space="preserve">Пожарные системы Renaissance: Замечание направлено в центральный офис. Решается вопрос об изменении местоположения шкафов. </t>
  </si>
  <si>
    <t>Пожарные системы Renaissance: Приоритет изменен на лриоритет  1</t>
  </si>
  <si>
    <t>Пожарные системы Renaissance: Приоритет изменен на лриоритет  3</t>
  </si>
  <si>
    <t>Пожарные системы Renaissance: Приоритет изменен на лриоритет  2</t>
  </si>
  <si>
    <t>Пожарные системы Renaissance: Завершенное задание</t>
  </si>
  <si>
    <t>Пожарные системы Renaissance: Данные пожарные шкафы переставят в проектное положение, когда уберут электрический шкаф (эл. шкаф находится там временно). Сейчас они смещены ближе к стене, из-за чего не открываются до 160 градусов</t>
  </si>
  <si>
    <t>Пожарные системы Renaissance: Редактированный комментарий - "Данные пожарные шкаф..."</t>
  </si>
  <si>
    <t>Кирилл Васенков: данное замечание закроется при предъявлении исправлений.</t>
  </si>
  <si>
    <t>Дверь не открывается на положенный градус.</t>
  </si>
  <si>
    <t>РК-РД-2-ПТ4.1.03-12.05-04</t>
  </si>
  <si>
    <t>Кирилл Васенков: #пш. Дверь не открывается на положенный градус.</t>
  </si>
  <si>
    <t>Кирилл Васенков: Изменена дата начала на 10.01.2020</t>
  </si>
  <si>
    <t>Кирилл Васенков: Изменена дата завершения на 31.01.2020</t>
  </si>
  <si>
    <t>QA-QC Renaissance: Сменить ответственное лицо на Пожарные системы Renaissance</t>
  </si>
  <si>
    <t>Пожарные системы Renaissance: Местоположение шкафа была изменена. По сколку на него пришло новый проект</t>
  </si>
  <si>
    <t xml:space="preserve">Кирилл Васенков: В согласованном РД исправлений нет. </t>
  </si>
  <si>
    <t>#гпт. Направление 34. Трубопроводы</t>
  </si>
  <si>
    <t>РК-РД-2-ПТ4.2.01-09-01</t>
  </si>
  <si>
    <t>Кирилл Васенков: #гпт. РД не соответствует выполненному на площадке</t>
  </si>
  <si>
    <t>Кирилл Васенков: Крепления трубопроводов не согласованы, данное исполнение слабое.</t>
  </si>
  <si>
    <t>Кирилл Васенков: Заголовок изменен на #гпт. Направление 34. Трубопроводы</t>
  </si>
  <si>
    <t>Доставить крепление на полипропилен</t>
  </si>
  <si>
    <t>РК-РД-1-ПТ4.3.01-03-05</t>
  </si>
  <si>
    <t>13.B1.3.007_АПТ, Насосная</t>
  </si>
  <si>
    <t>Насосная Пожаротушения</t>
  </si>
  <si>
    <t>апт</t>
  </si>
  <si>
    <t xml:space="preserve">Согласовать изменения установок коллекторов. </t>
  </si>
  <si>
    <t>Высотные отметки не соответствуют РД</t>
  </si>
  <si>
    <t xml:space="preserve">Заменить болты на нержавейку </t>
  </si>
  <si>
    <t xml:space="preserve">Отсутствуют дренажные краны. </t>
  </si>
  <si>
    <t>Не все установлены расхрдометры</t>
  </si>
  <si>
    <t>Не установлены манометр у расходомера</t>
  </si>
  <si>
    <t xml:space="preserve">Не тот диаметр. Выяснить какой материал крана должен быть. </t>
  </si>
  <si>
    <t>Кирилл Васенков: Доставить крепление на полипропилен</t>
  </si>
  <si>
    <t>Кирилл Васенков: Согласовать изменения трассировки трубопровода</t>
  </si>
  <si>
    <t>Кирилл Васенков: Не установлены огранечители</t>
  </si>
  <si>
    <t>Кирилл Васенков: # Насосная пожаротушения</t>
  </si>
  <si>
    <t>Кирилл Васенков: Местоположение изменено на 13.B1.3.007_АПТ, Насосная</t>
  </si>
  <si>
    <t>Пожарные системы Renaissance: План изменен на -4.200_B01_Panels Model</t>
  </si>
  <si>
    <t>Пожарные системы Renaissance: План изменен на 1</t>
  </si>
  <si>
    <t>Пожарные системы Renaissance: План изменен на -8.400_B02_Panels Model</t>
  </si>
  <si>
    <t>Пожарные системы Renaissance: План изменен на 3</t>
  </si>
  <si>
    <t>Пожарные системы Renaissance: План изменен на 23</t>
  </si>
  <si>
    <t>Пожарные системы Renaissance: План изменен на 2</t>
  </si>
  <si>
    <t>Пожарные системы Renaissance: План изменен на РК-РД-1-ОВ4.2.01-05.03-05</t>
  </si>
  <si>
    <t>Пожарные системы Renaissance: План изменен на РК-РД-1-ПТ4.3.01-03-05</t>
  </si>
  <si>
    <t>Пожарные системы Renaissance: Крепление установлены</t>
  </si>
  <si>
    <t>Пожарные системы Renaissance: Ограничители были установлены.</t>
  </si>
  <si>
    <t>Пожарные системы Renaissance: трассировки трубопровода согласован</t>
  </si>
  <si>
    <t>Пожарные системы Renaissance: Удаленное изображение</t>
  </si>
  <si>
    <t>Пожарные системы Renaissance: Удаленное вложение</t>
  </si>
  <si>
    <t>Место расположение баллона не согласовано.</t>
  </si>
  <si>
    <t>РК-РД-2-ПТ4.2.01-13-01</t>
  </si>
  <si>
    <t>#ГПТ. Направление 38. Трубопроводы.</t>
  </si>
  <si>
    <t>#гпт. Направление 38. Испытание трубопроводов.</t>
  </si>
  <si>
    <t>Кирилл Васенков: Место расположение баллона не согласовано.</t>
  </si>
  <si>
    <t>Кирилл Васенков: Крепление трубопроводов не соответствует НПБ 88.</t>
  </si>
  <si>
    <t>Кирилл Васенков: Изменена дата начала на 24.01.2020</t>
  </si>
  <si>
    <t>Пожарные системы Renaissance: Удалено вложение</t>
  </si>
  <si>
    <t>Пожарные системы Renaissance: Удалено фото</t>
  </si>
  <si>
    <t xml:space="preserve">Пожарные системы Renaissance: Согласован расчёт предоставлен выде фотографии </t>
  </si>
  <si>
    <t>Пожарные системы Renaissance: Приоритет изменен на P3</t>
  </si>
  <si>
    <t>Кирилл Васенков: Необходимо приложить исполнительную схему с штампом АН.</t>
  </si>
  <si>
    <t>Кирилл Васенков: Согласовано. Закрыто</t>
  </si>
  <si>
    <t>При предъявлении покраски, выполнены противопожарные проходки. Нет возможности проверить качество покраски трубопроводов.</t>
  </si>
  <si>
    <t>РК-РД-1-ПТ4.2.01-04-02</t>
  </si>
  <si>
    <t>В1-В2 ГПТ</t>
  </si>
  <si>
    <t>Кирилл Васенков: #ГПТ. При предъявлении покраски трубопроводов в помещениях ТП, выполнены противопожарные проходки. Нет возможности проверить качество покраски трубопроводов.</t>
  </si>
  <si>
    <t>Кирилл Васенков: #гпт. Не прокрашенный трубопровод во всех предъявляемых помещениях.</t>
  </si>
  <si>
    <t>Кирилл Васенков: Дата начала изменена на дек. 4, 2019</t>
  </si>
  <si>
    <t>Кирилл Васенков: Дата окончания изменена на дек. 11, 2019</t>
  </si>
  <si>
    <t>Кирилл Васенков: Ответственное лицо замещено Пожарные системы Renaissance</t>
  </si>
  <si>
    <t>Кирилл Васенков: Изменен комментарий с #ГПТ. При предъявлении покраски, выполнены противопожарные проходки. Нет возможности проверить качество покраски трубопроводов. на #ГПТ. При предъявлении покраски трубопроводов в помещениях ТП, выполнены противопожарные проходки. Нет возможности проверить качество покраски трубопроводов.</t>
  </si>
  <si>
    <t>Кирилл Васенков: Изменен комментарий с #гпт. Непрокрасы. на #гпт. Не прокрашенный трубопровод во всех предъявляемых помещениях.</t>
  </si>
  <si>
    <t>Кирилл Васенков: Согласовать изменения установки коллекторов.</t>
  </si>
  <si>
    <t>Кирилл Васенков: Удаленный комментарий - "Согласовать изменени..."</t>
  </si>
  <si>
    <t>Кирилл Васенков: Изменена дата завершения на 20.11.2019</t>
  </si>
  <si>
    <t>Пожарные системы Renaissance: Исправлено.</t>
  </si>
  <si>
    <t>Кирилл Васенков: Не установлены манометр у расходомера</t>
  </si>
  <si>
    <t>Кирилл Васенков: Местоположение изменено на 01.B1.2.015_Насосная</t>
  </si>
  <si>
    <t>Пожарные системы Renaissance: Манометры были установлены.</t>
  </si>
  <si>
    <t xml:space="preserve">Кирилл Васенков: Не тот диаметр. Выяснить какой материал крана должен быть. </t>
  </si>
  <si>
    <t>Пожарные системы Renaissance: Кран был изменён.</t>
  </si>
  <si>
    <t>Пожарные системы Renaissance: проверка</t>
  </si>
  <si>
    <t>Заменить хомуты на трубопроводах согласно диаметру.</t>
  </si>
  <si>
    <t>РК-РД-1-ПТ4.2.01-35-01</t>
  </si>
  <si>
    <t>Кирилл Васенков: #гпт. Заменить хомуты на трубопроводах согласно диаметру.</t>
  </si>
  <si>
    <t>Кирилл Васенков: Дата начала изменена на дек. 10, 2019</t>
  </si>
  <si>
    <t>Кирилл Васенков: Дата окончания изменена на дек. 12, 2019</t>
  </si>
  <si>
    <t xml:space="preserve">Пожарные системы Renaissance: Чек-лист с приёмки направлен на почту. Замечание устранено. Гидравлика проведена.  </t>
  </si>
  <si>
    <t>РК-РД-2-ПТ4.1.03-06.09-05</t>
  </si>
  <si>
    <t>Кирилл Васенков: #ПШ. Шкаф не в проектной отметки.</t>
  </si>
  <si>
    <t>Кирилл Васенков: Исправлено.</t>
  </si>
  <si>
    <t>РК-РД-2-ПТ4.1.03-06.03-05</t>
  </si>
  <si>
    <t>Кирилл Васенков: #пш. Шкаф не в проектной отметки.</t>
  </si>
  <si>
    <t>Пожарные системы Renaissance: Удаленный комментарий - "https://app.box.com/..."</t>
  </si>
  <si>
    <t>Пожарные системы Renaissance: Новая отметка согласована.</t>
  </si>
  <si>
    <t>Кирилл Васенков: предоставлен план не того уровня.</t>
  </si>
  <si>
    <t xml:space="preserve">Шкаф не в проектной отметке. </t>
  </si>
  <si>
    <t>РК-РД-2-ПТ4.1.03-08.02-05</t>
  </si>
  <si>
    <t xml:space="preserve">Кирилл Васенков: #пш. Шкаф не в проектной отметке. </t>
  </si>
  <si>
    <t xml:space="preserve">Тип шкафа не по РД. </t>
  </si>
  <si>
    <t xml:space="preserve">Кирилл Васенков: #пш. Тип шкафа не по РД. </t>
  </si>
  <si>
    <t xml:space="preserve">Пожарные системы Renaissance: Тип шкафа согласован. </t>
  </si>
  <si>
    <t>Кирилл Васенков: предоставлен план те того уровня.</t>
  </si>
  <si>
    <t xml:space="preserve">Шкав не в проектной отметке. </t>
  </si>
  <si>
    <t>РК-РД-2-ПТ4.1.03-10.05-05</t>
  </si>
  <si>
    <t xml:space="preserve">Кирилл Васенков: #пш. Шкав не в проектной отметке. </t>
  </si>
  <si>
    <t>Пожарные системы Renaissance: Новая отметка согласована</t>
  </si>
  <si>
    <t xml:space="preserve">Кирилл Васенков: Отсутствуют дренажные краны. </t>
  </si>
  <si>
    <t>Пожарные системы Renaissance: Дренажные краны были установлены.</t>
  </si>
  <si>
    <t>Кирилл Васенков: Высотные отметки не соответствуют РД</t>
  </si>
  <si>
    <t>Кирилл Васенков: Не все установлены расхрдометры</t>
  </si>
  <si>
    <t>Пожарные системы Renaissance: Расходомеры были установлены.</t>
  </si>
  <si>
    <t xml:space="preserve">Кирилл Васенков: Заменить болты на нержавейку </t>
  </si>
  <si>
    <t>РК-РД-2-ПТ4.1.03-12.01-04</t>
  </si>
  <si>
    <t>Пожарные системы Renaissance: Новое местоположение шкафа было согласовано</t>
  </si>
  <si>
    <t>Отклонения не согласованы.</t>
  </si>
  <si>
    <t>РК-РД-2-ПТ4.1.03-18.05-03</t>
  </si>
  <si>
    <t>Кирилл Васенков: #пш. Отклонения не согласованы.</t>
  </si>
  <si>
    <t>Кирилл Васенков: отклонение согласовано. более точная проверка после демонтажа временного противопожарного водопровода.</t>
  </si>
  <si>
    <t>Шкафы не в проектной отметки.</t>
  </si>
  <si>
    <t>РК-РД-2-ПТ4.1.03-16.05-04</t>
  </si>
  <si>
    <t>Кирилл Васенков: #пш. Шкафы не в проектной отметки.</t>
  </si>
  <si>
    <t>Пожарные системы Renaissance: Удалено отметить пункт - "Новое местоположение шкафа было согласовано."</t>
  </si>
  <si>
    <t>РК-РД-2-ПТ4.1.03-14.05-03</t>
  </si>
  <si>
    <t>Кирилл Васенков: Название категории изменено на Приемочный контроль</t>
  </si>
  <si>
    <t>Кирилл Васенков: Проверено. Замечание снято.</t>
  </si>
  <si>
    <t>РК-РД-2-ПТ4.1.03-04.06-05</t>
  </si>
  <si>
    <t>РК-РД-2-ПТ4.1.03-08.08-05</t>
  </si>
  <si>
    <t>РК-РД-2-ПТ4.1.03-04.07-05</t>
  </si>
  <si>
    <t>Тип шкафов не по РД. Установлены не в проектной отметки.</t>
  </si>
  <si>
    <t>РК-РД-2-ПТ4.1.03-04.08-05</t>
  </si>
  <si>
    <t>Кирилл Васенков: #пш. Тип шкафов не по РД. Установлены не в проектной отметки.</t>
  </si>
  <si>
    <t>#гпт.  Направление 42. трубопроводы</t>
  </si>
  <si>
    <t>РК-РД-2-ПТ4.2.01-17-01</t>
  </si>
  <si>
    <t>#ГПТ. Направление 42. Трубопроводы.</t>
  </si>
  <si>
    <t>Кирилл Васенков: #гпт. Отклонения не согласованы. Форсунка по факту установлена вверх.</t>
  </si>
  <si>
    <t>Кирилл Васенков: крепление трубопровода в районе насодок не соответствует НПБ 88</t>
  </si>
  <si>
    <t>Кирилл Васенков: Заголовок изменен на #гпт. направление</t>
  </si>
  <si>
    <t>Кирилл Васенков: Заголовок изменен на #гпт.  Направление 42. трубопроводы</t>
  </si>
  <si>
    <t>Кирилл Васенков: Трубопровод установлен не по уровню.</t>
  </si>
  <si>
    <t xml:space="preserve">Пожарные системы Renaissance: Установлен по уровню </t>
  </si>
  <si>
    <t xml:space="preserve">Ограждение парапетов </t>
  </si>
  <si>
    <t>Замечание стройконтроля</t>
  </si>
  <si>
    <t>rc_quality@rencons.com</t>
  </si>
  <si>
    <t>_FJT7Q~3</t>
  </si>
  <si>
    <t xml:space="preserve">Александр Светашов: Ограждение парапетов </t>
  </si>
  <si>
    <t>Александр Светашов: Ограждения парапетов набросаны друг на друга. Нарушены требования по складированию материалов. Повреждены, в строительной пыли - не упакованы</t>
  </si>
  <si>
    <t>Александр Светашов: Ответственное лицо замещено КМ Renaissance</t>
  </si>
  <si>
    <t>Александр Светашов: Дата начала изменена на февр. 4, 2020</t>
  </si>
  <si>
    <t>Александр Светашов: Название категории изменено на Замечание стройконтроля</t>
  </si>
  <si>
    <t>Александр Светашов: Приоритет изменен на P1</t>
  </si>
  <si>
    <t>КМ Renaissance: Изменена дата завершения на 06.02.2020</t>
  </si>
  <si>
    <t>КМ Renaissance: Данные конструкции не являются ограждениями парапетов, отдел КМ не имеет к ним отношения.</t>
  </si>
  <si>
    <t>КМ Renaissance: Сменить ответственное лицо на QA-QC Renaissance</t>
  </si>
  <si>
    <t>Александр Светашов: Что за ограждения. Разберитесь пож</t>
  </si>
  <si>
    <t>Обратная засыпка песком НВК</t>
  </si>
  <si>
    <t>20191107_Plan_L1</t>
  </si>
  <si>
    <t>Юрий Прасолов: Заголовок изменен на Обратная засыпка песком</t>
  </si>
  <si>
    <t>Юрий Прасолов: Заголовок изменен на Обратная засыпка песком НВК</t>
  </si>
  <si>
    <t>Юрий Прасолов: План изменен на 20191107_Plan_L1</t>
  </si>
  <si>
    <t>Юрий Прасолов: Изменена дата начала на 10.02.2020</t>
  </si>
  <si>
    <t>Юрий Прасолов: Изменена дата завершения на 12.02.2020</t>
  </si>
  <si>
    <t>Юрий Прасолов: В осях Обратная засыпка песком осуществляется с нарушением СП-45.13330.201 п. 7.26. Наличие снега и льда в насыпях, обратных засыпках и их основаниях не допускается.</t>
  </si>
  <si>
    <t>Юрий Прасолов: Сменить ответственное лицо на RC VK</t>
  </si>
  <si>
    <t>Плита КПП</t>
  </si>
  <si>
    <t>Юрий Прасолов: Заголовок изменен на Плита КПП</t>
  </si>
  <si>
    <t xml:space="preserve">Юрий Прасолов: При распалубливании фундаментной плиты КПП, локально наблюдаются трещины на поверхности. </t>
  </si>
  <si>
    <t>Юрий Прасолов: Изменена дата завершения на 13.02.2020</t>
  </si>
  <si>
    <t>Венткана системы вентиляции</t>
  </si>
  <si>
    <t>РК-РД-1-АР01-02-10</t>
  </si>
  <si>
    <t>АР планы -8.200</t>
  </si>
  <si>
    <t>Yes: Не завершен монтаж канала вентиляции, не выполнена заделка проема (АСВ) - 2019-12-03</t>
  </si>
  <si>
    <t>Александр Светашов: Венткана системы вентиляции</t>
  </si>
  <si>
    <t>Александр Светашов: Ответственное лицо замещено Вентиляция Renaissance</t>
  </si>
  <si>
    <t>Александр Светашов: Дата начала изменена на дек. 3, 2019</t>
  </si>
  <si>
    <t>Александр Светашов: Дата окончания изменена на дек. 6, 2019</t>
  </si>
  <si>
    <t>Вентиляция Renaissance: Закончен монтаж.</t>
  </si>
  <si>
    <t>Александр Светашов: Завершенное задание</t>
  </si>
  <si>
    <t>Александр Светашов: Предъявите пожалуйста на месте</t>
  </si>
  <si>
    <t>Решетки вентиляции</t>
  </si>
  <si>
    <t>Not set: Решетки вентиляции установлены не в плоскости стены. (АСВ) - 2020-01-09</t>
  </si>
  <si>
    <t>Александр Светашов: Решетки вентиляции</t>
  </si>
  <si>
    <t>Александр Светашов: Дата начала изменена на янв. 9, 2020</t>
  </si>
  <si>
    <t>Александр Светашов: Дата окончания изменена на янв. 18, 2020</t>
  </si>
  <si>
    <t>Вентиляция Renaissance: Решётка исправили. Остальные отверстия для обслуживания клапанов.</t>
  </si>
  <si>
    <t>Александр Светашов: Извините, но примыкание сделано не очень аккуратно. Это видно даже на фотографии. Поправьте совместно с отделочниками</t>
  </si>
  <si>
    <t>Александр Светашов: Приоритет изменен на P2</t>
  </si>
  <si>
    <t>Приямок с насосами</t>
  </si>
  <si>
    <t>rc_kzh@rencons.com</t>
  </si>
  <si>
    <t>Александр Светашов: Приямок с насосами</t>
  </si>
  <si>
    <t>Александр Светашов: В приямок поступает грунтовая вода через стяжку, в том числе через гофру кабельнпнала</t>
  </si>
  <si>
    <t>Александр Светашов: Ответственное лицо замещено Евгений Кузнецов</t>
  </si>
  <si>
    <t>Александр Светашов: Дата начала изменена на февр. 6, 2020</t>
  </si>
  <si>
    <t>Обратная засыпка с послойным уплотнением откосов</t>
  </si>
  <si>
    <t>РК-РД-1-АР01-03-11</t>
  </si>
  <si>
    <t>АР планы -4.200</t>
  </si>
  <si>
    <t>Александр Светашов: Обратная засыпка с послойным уплотнением откосов</t>
  </si>
  <si>
    <t>Александр Светашов: Обратная засыпка пазухов котлована производится без послойного уплатнения. Песок с вкраплением инородных предметов. Засыпают строительный мусор.</t>
  </si>
  <si>
    <t>Александр Светашов: Дата начала изменена на февр. 10, 2020</t>
  </si>
  <si>
    <t>По результатам осмотра плиты перекрытия (на том -8.400) выявлены по зонам следующие замечания ( см. Прилагаемый план с указанием зон): 1. Высолы по контору трещин в перекрытии (потолок) зоны №1 - №5</t>
  </si>
  <si>
    <t>Администратор Fieldwire: По результатам осмотра плиты перекрытия (на том -8.400) выявлены по зонам следующие замечания ( см. Прилагаемый план с указанием зон):
1. Высолы по контору трещин в перекрытии (потолок) зоны №1 - №5</t>
  </si>
  <si>
    <t>Администратор Fieldwire: Замечание Латиста 1298</t>
  </si>
  <si>
    <t>QA-QC Renaissance: Сменить ответственное лицо на КЖ Renaissance Construction</t>
  </si>
  <si>
    <t>Владимир Собченко: Изменена дата завершения на 20.01.2020</t>
  </si>
  <si>
    <t>Наружный водопровод</t>
  </si>
  <si>
    <t>No: Наружный водопровод выполнен снарушением. Основание под трубопровод неуплотнено. Участки трубы весят, не лежат на основании (АСВ) - 2019-11-27</t>
  </si>
  <si>
    <t>No: В песке присутствуют крупные камни, доски. (АСВ) - 2019-11-27</t>
  </si>
  <si>
    <t>Александр Светашов: Наружный водопровод</t>
  </si>
  <si>
    <t>Александр Светашов: Дата начала изменена на нояб. 27, 2019</t>
  </si>
  <si>
    <t>Александр Светашов: Дата окончания изменена на нояб. 29, 2019</t>
  </si>
  <si>
    <t>Александр Светашов: Ответственное лицо замещено VK RC</t>
  </si>
  <si>
    <t>RC VK: Сменить ответственное лицо на КМ Renaissance</t>
  </si>
  <si>
    <t>КМ Renaissance: Сменить ответственное лицо на VK RC</t>
  </si>
  <si>
    <t>RC VK: Сменить ответственное лицо на QA-QC Renaissance</t>
  </si>
  <si>
    <t>Евгений Кузнецов: https://share.rencons.com/?ShareToken=EBE33920D8308E9AD56AD3617F209E0412DBAA4E</t>
  </si>
  <si>
    <t>Евгений Кузнецов: Замечания устранили (см.фото по ссылке)</t>
  </si>
  <si>
    <t>Евгений Кузнецов: Завершенное задание</t>
  </si>
  <si>
    <t xml:space="preserve">Гидроизоляция битумом наружной стены здания  </t>
  </si>
  <si>
    <t>_1NL38~V</t>
  </si>
  <si>
    <t>Not set: Не предъявлен битумной замок. (АСВ) - 2019-12-24</t>
  </si>
  <si>
    <t xml:space="preserve">Александр Светашов: Гидроизоляция битумом наружной стены здания  </t>
  </si>
  <si>
    <t>Александр Светашов: Дата начала изменена на дек. 24, 2019</t>
  </si>
  <si>
    <t>Александр Светашов: Дата окончания изменена на дек. 27, 2019</t>
  </si>
  <si>
    <t>Евгений Кузнецов: https://share.rencons.com/?ShareToken=F11947E8BB066206D83EC04A6F5EAD92C800F792</t>
  </si>
  <si>
    <t>Евгений Кузнецов: Данный вид работ сдавался инженеру спектрум. Смотри подписанный чек-лист.</t>
  </si>
  <si>
    <t>Монолитные ж/б стены</t>
  </si>
  <si>
    <t>РК-РД-2-АР01-14-01</t>
  </si>
  <si>
    <t>Not set: Не выполнена заделка ж/б балол ЛК. Бетон не провибрирован. Арматура оголена (АСВ) - 2019-12-25</t>
  </si>
  <si>
    <t>Александр Светашов: Монолитные ж/б стены</t>
  </si>
  <si>
    <t>Александр Светашов: Дата начала изменена на дек. 25, 2019</t>
  </si>
  <si>
    <t>Евгений Кузнецов: Данное замечание устранили. Выполнили ремонт согласно ТК</t>
  </si>
  <si>
    <t>Гидроизоляция ввода сети  канализации в здание</t>
  </si>
  <si>
    <t>No: Ввод сети канализации в здание выполнен с нарушением герметичности. Протекает гидроизоляция через проходку наружной стены здания (АСВ) - 2019-12-20</t>
  </si>
  <si>
    <t>Not set: Зачеканили (АСВ) - 2019-12-27</t>
  </si>
  <si>
    <t>Александр Светашов: Гидроизоляция ввода сети  канализации в здание</t>
  </si>
  <si>
    <t>Александр Светашов: Дата окончания изменена на дек. 24, 2019</t>
  </si>
  <si>
    <t>Евгений Кузнецов: https://share.rencons.com/?ShareToken=8E2ED2C299C2DCD6CAD0AA0DC513F2B0FC589297</t>
  </si>
  <si>
    <t>Евгений Кузнецов: Данный ввод трубопровода зачиканили</t>
  </si>
  <si>
    <t>Ремонт ж/б поверхностей</t>
  </si>
  <si>
    <t>Not set: Не выполнен ремонт ж/б стены. Удалить наплывы бетонного молочка, заделать отверстия (АСВ) - 2019-12-03</t>
  </si>
  <si>
    <t>Александр Светашов: Ремонт ж/б поверхностей</t>
  </si>
  <si>
    <t>Александр Светашов: Ответственное лицо замещено КЖ Renaissance Construction</t>
  </si>
  <si>
    <t>Евгений Кузнецов: https://share.rencons.com/?ShareToken=77FFF8E1D9A9A51E01A310ED650A257CD6C84409</t>
  </si>
  <si>
    <t>Евгений Кузнецов: Замечание устранено. Выполнили доводку поверхности и ремонт согласно ТК</t>
  </si>
  <si>
    <t>В ходе операционного контроля выполненных работ по гидроизоляции и устройству «пирога» кровли стилобатной части выявлено замечание: 1. С конструкции кровли стилобат через трещины в перекрытии течёт вода на уровень В1 в/о 32—В/Б, отм — -4.200</t>
  </si>
  <si>
    <t>Стилобат</t>
  </si>
  <si>
    <t>Администратор Fieldwire: В ходе операционного контроля выполненных работ по гидроизоляции и устройству «пирога» кровли стилобатной части выявлено замечание:
1. С конструкции кровли стилобат через трещины в перекрытии течёт вода на уровень В1 в/о 32—В/Б, отм — -4.200</t>
  </si>
  <si>
    <t>Администратор Fieldwire: Местоположение изменено на Стилобат</t>
  </si>
  <si>
    <t>Администратор Fieldwire: Замечание Латиста 1350</t>
  </si>
  <si>
    <t>Евгений Кузнецов: Удалено фото</t>
  </si>
  <si>
    <t>Евгений Кузнецов: На данном участке на L1 выполнили оклеечную гидроизоляцию. Протечки прекратились.</t>
  </si>
  <si>
    <t>QA-QC Renaissance: Завершенное задание</t>
  </si>
  <si>
    <t>Основания под колодцы НК-Р2 и НК-Р3 тип ККС-3-80 (проект шифр РК-РД-2-СС4.1.01) выполнены не в соответствии полученной от Технического заказчика "Технологии устройства наружной кабельной канализации ВОЛС" (отсутствует щебень и обработка основания битумным</t>
  </si>
  <si>
    <t>Наружные сети</t>
  </si>
  <si>
    <t>Администратор Fieldwire: Основания под колодцы НК-Р2 и НК-Р3 тип ККС-3-80 (проект шифр РК-РД-2-СС4.1.01) выполнены не в соответствии полученной от Технического заказчика "Технологии устройства наружной кабельной канализации ВОЛС" (отсутствует щебень и обработка основания битумными материалами).</t>
  </si>
  <si>
    <t>Администратор Fieldwire: Местоположение изменено на Наружные сети</t>
  </si>
  <si>
    <t>Администратор Fieldwire: Замечание Латиста 1361</t>
  </si>
  <si>
    <t>QA-QC Renaissance: Сменить ответственное лицо на Силовое оборудование Renaissance</t>
  </si>
  <si>
    <t>Силовое оборудование Renaissance: Сменить ответственное лицо на Водоснабжение Канализация Renaissance</t>
  </si>
  <si>
    <t>Владимир Собченко: Сменить ответственное лицо на КЖ Renaissance Construction</t>
  </si>
  <si>
    <t>RC VK: Сменить ответственное лицо на Водоснабжение Канализация Renaissance</t>
  </si>
  <si>
    <t>RC VK: Сменить ответственное лицо на КЖ Renaissance Construction</t>
  </si>
  <si>
    <t>Евгений Кузнецов: Удаленный комментарий - "C:\Users\evgeniy.kuz..."</t>
  </si>
  <si>
    <t>Евгений Кузнецов: https://share.rencons.com/?ShareToken=910FB94F8B9DD21BA1238583DAB8FF0EB643B322</t>
  </si>
  <si>
    <t>Евгений Кузнецов: Устройство щебеночного основания выполнялось (см.вложение). Согласно ТК КЗС-ТКи1 обработка основания битумным материалом не требуется.</t>
  </si>
  <si>
    <t>Евгений Кузнецов: Редактированный комментарий - "Устройство щебеночно..."</t>
  </si>
  <si>
    <t>Опасное Складирование Ж/Б Элементов фундаментов На Кровле  Блок 1 В/О Э-7  Отм +12,450</t>
  </si>
  <si>
    <t>от1_инспекция_строительной площадки</t>
  </si>
  <si>
    <t>Not set: 1,1_Защитные каски (АБИ) - 2019-11-06</t>
  </si>
  <si>
    <t>Not set: 1,2_Спецодежда и спецобувь (АБИ) - 2019-11-06</t>
  </si>
  <si>
    <t>Not set: 1,3_Защитные очки (АБИ) - 2019-11-06</t>
  </si>
  <si>
    <t>Not set: 1,4_Защитный щиток. (АБИ) - 2019-11-06</t>
  </si>
  <si>
    <t>Not set: 1,5_Костюм сварщика. (АБИ) - 2019-11-06</t>
  </si>
  <si>
    <t>Not set: 1,6_Сварочный щиток. (АБИ) - 2019-11-06</t>
  </si>
  <si>
    <t>Not set: 1,7_Защитные очки газорезчика. (АБИ) - 2019-11-06</t>
  </si>
  <si>
    <t>Not set: 1,8_Предохранительные лямочные пояса. (АБИ) - 2019-11-06</t>
  </si>
  <si>
    <t>Not set: 1,9_Перчатки, рукавицы. (АБИ) - 2019-11-06</t>
  </si>
  <si>
    <t>Not set: 2,1_Сигнальный жилет. (АБИ) - 2019-11-06</t>
  </si>
  <si>
    <t>Not set: 1,10_Средства защиты органов дыхания. (АБИ) - 2019-11-06</t>
  </si>
  <si>
    <t>Not set: 1,11_Средства защиты органов слуха. (АБИ) - 2019-11-06</t>
  </si>
  <si>
    <t>Not set: 2,1_Строительная площадка и рабочие места имеют достаточное освещение. (АБИ) - 2019-11-06</t>
  </si>
  <si>
    <t>Not set: 2,2_Рабочие участки чистые, не захламлены строительным мусором. Выполняется периодическая уборка. (АБИ) - 2019-11-06</t>
  </si>
  <si>
    <t>Not set: 2,3_Пешеходные дорожки, проходы и подходы к лестницам свободны. (АБИ) - 2019-11-06</t>
  </si>
  <si>
    <t>Not set: 2,4_Материалы и оборудование складированы должным образом. (АБИ) - 2019-11-06</t>
  </si>
  <si>
    <t>Not set: 2,5_Имеется укомплектованный пожарный щит, установленные огнетушители в рабочем состоянии. (АБИ) - 2019-11-06</t>
  </si>
  <si>
    <t>Not set: 2,6_Электропровода, шланги, сварочные провода и т.д. подняты во избежание случайных спотыканий. (АБИ) - 2019-11-06</t>
  </si>
  <si>
    <t>Not set: 2,7_В отходах пиломатериалов нет торчащих гвоздей или др. опасных элементов, которые могут привести к проколам. (АБИ) - 2019-11-06</t>
  </si>
  <si>
    <t>Not set: 2,8_Места для курения оборудованы пепельницами, огнетушителями и указательными знаками. (АБИ) - 2019-11-06</t>
  </si>
  <si>
    <t>Not set: 3,1_Работники обучены и имеют соответствующие удостоверения для выполнения работ на высоте. (АБИ) - 2019-11-06</t>
  </si>
  <si>
    <t>Not set: 3,2_Имеется безопасный доступ к рабочим местам на высоте. (АБИ) - 2019-11-06</t>
  </si>
  <si>
    <t>Not set: 3,3_В местах перепадов высоты имеются страховоные ограждения. Ограждение соответствует требованиям безопасности. (АБИ) - 2019-11-06</t>
  </si>
  <si>
    <t>Not set: 3,4_Проёмы закрыты в соответствии требованиями безопасности (проёмы закрыты полностью, щиты закреплены и промаркированы надписью "Не снимать!"). (АБИ) - 2019-11-06</t>
  </si>
  <si>
    <t>Not set: 3,5_Работники используют предохранительные лямочные пояса. (АБИ) - 2019-11-06</t>
  </si>
  <si>
    <t>Not set: 3,6_Предохранительные лямочные пояса в хорошем состоянии и испытаны. (АБИ) - 2019-11-06</t>
  </si>
  <si>
    <t>Not set: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(АБИ) - 2019-11-06</t>
  </si>
  <si>
    <t>Not set: 3,8_Страховочные фалы правильно закреплены. (АБИ) - 2019-11-06</t>
  </si>
  <si>
    <t>Not set: 3,9_Используются инвентарные средства подмащивания. (АБИ) - 2019-11-06</t>
  </si>
  <si>
    <t>Not set: 3,10_Страховочные канаты установлены в соответствии с требованиями безопасности. (АБИ) - 2019-11-06</t>
  </si>
  <si>
    <t>Not set: 3,11_Индивидуальные блокирующие устройства эксплуатируются в соответствии с требованиями завода-изготовителя. (АБИ) - 2019-11-06</t>
  </si>
  <si>
    <t>Not set: 4,1_Сборка строительных лесов выполнена в соответствии с паспортом (инструкцией) завода-изготовителя. (АБИ) - 2019-11-06</t>
  </si>
  <si>
    <t>Not set: 4,2_Строительные леса соответствуют виду выполняемых работ. (АБИ) - 2019-11-06</t>
  </si>
  <si>
    <t>Not set: 4,3_Строительные леса заземлены (при необходимости). (АБИ) - 2019-11-06</t>
  </si>
  <si>
    <t>Not set: 4,4_Строительные леса приняты лицом, назначенным ответственным за безопасную организацию работ на высоте. (АБИ) - 2019-11-06</t>
  </si>
  <si>
    <t>Not set: 4,5_Настилы лесов, доски, площадки сбиты между собой, закреплены от сдвига и безопасны. (АБИ) - 2019-11-06</t>
  </si>
  <si>
    <t>Not set: 4,6_При установке строительных лесов на грунт, основание подготовлено и спланировано. Имеются подкладки под опоры. (АБИ) - 2019-11-06</t>
  </si>
  <si>
    <t>Not set: 4,7_Лестницы в хорошем состоянии, не имеют видимых повреждений и осматриваются ответственным исполнителем работ. (АБИ) - 2019-11-06</t>
  </si>
  <si>
    <t>Not set: 4,8_Применяемый тип лестниц соответствует выполняемой работе, лестница правильно закреплена. (АБИ) - 2019-11-06</t>
  </si>
  <si>
    <t>Not set: 4,9_Лестница правильно установлена (угол наклона 75 градусов, лестница выступает минимум на 1 метр выше места подъема). (АБИ) - 2019-11-06</t>
  </si>
  <si>
    <t>Not set: 5,1_Электротехнический персонал прошел обучение, аттестацию и имеет удостоверение с соответствующей группой по электробезопасости. (АБИ) - 2019-11-06</t>
  </si>
  <si>
    <t>Not set: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(АБИ) - 2019-11-06</t>
  </si>
  <si>
    <t>Not set: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(АБИ) - 2019-11-06</t>
  </si>
  <si>
    <t>Not set: 5,4_Электрические щиты, удлинители, розетки и вилки соответствуют степени  защиты IP 54. (АБИ) - 2019-11-06</t>
  </si>
  <si>
    <t>Not set: 5,5_Электрические щиты оборудованы запирающими устройствами, УЗО (устройством защитного отключения). (АБИ) - 2019-11-06</t>
  </si>
  <si>
    <t>Not set: 6,1_Все применяемое грузоподъемное оборудование имеет Паспорт завода-изготовителя и поставлено на учер в органах Ростехнадзора. (АБИ) - 2019-11-06</t>
  </si>
  <si>
    <t>Not set: 6,2_Грузоподъемное оборудование (подъемные сооружения) в хорошем состоянии. Прыборы и устройства безопасности установлены  (АБИ) - 2019-11-06</t>
  </si>
  <si>
    <t>Not set: 6,3_Используемое оборудование регулярно проходит ПТО И ЧТО (полное  и частичное техническое освидетельствование) с записью в паспорте. (АБИ) - 2019-11-06</t>
  </si>
  <si>
    <t>Not set: 6,4_Вахтенный журнал находится у машиниста (оператора) и заполняется своевременно. (АБИ) - 2019-11-06</t>
  </si>
  <si>
    <t>Not set: 6,5_Работники использующее г/п оборудование имеют действующие удостоверения (машинист крана, стропальщик, оператор подъемника, рабочий люльки и т.д.) (АБИ) - 2019-11-06</t>
  </si>
  <si>
    <t>Not set: 6,6_Устнановка г/п оборудования соответствует требованиям нормативных документов и указаниям заавода-изготовителя. (АБИ) - 2019-11-06</t>
  </si>
  <si>
    <t>Not set: 6,7_Имеется наряд-допуск, при установке г/п оборудования вблизи ЛЭП. (АБИ) - 2019-11-06</t>
  </si>
  <si>
    <t>Not set: 6,8_Зона работы подъемных сооружений ограждена сигнальной лентой. Посторонние работники удалены из опасной зоны. (АБИ) - 2019-11-06</t>
  </si>
  <si>
    <t>Not set: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(АБИ) - 2019-11-06</t>
  </si>
  <si>
    <t>Not set: 6,10_Схемы строповки соответствуют поднимаемым грузам. (АБИ) - 2019-11-06</t>
  </si>
  <si>
    <t>Not set: 6,11_Используются крючья и оттяжки. (АБИ) - 2019-11-06</t>
  </si>
  <si>
    <t>Not set: 7,1_Электросварщики имеют соответствующее удостоверение и группу по электробезопасности не ниже II. (АБИ) - 2019-11-06</t>
  </si>
  <si>
    <t>Not set: 7,2_Рабочее место подготовлено (в зоне разлета искр отсутствуют горючие материалы). (АБИ) - 2019-11-06</t>
  </si>
  <si>
    <t>Not set: 7,3_Имеется защитный экран в месте проведения работ. (АБИ) - 2019-11-06</t>
  </si>
  <si>
    <t>Not set: 7,4_В непосредственной близости от места работы имеется огнетушитель. (АБИ) - 2019-11-06</t>
  </si>
  <si>
    <t>Not set: 7,5_Сварочное оборудование в хорошем состоянии. Держатель электродов и зажим обратного провода заводского изготовления. (АБИ) - 2019-11-06</t>
  </si>
  <si>
    <t>Not set: 7,6_Сварочные провода не имеют повреждений изоляции и следов временного ремонта. (АБИ) - 2019-11-06</t>
  </si>
  <si>
    <t>Not set: 7,7_Корпус сварочного аппарата имеет видемое заземление (если требует завод-изготовитель). (АБИ) - 2019-11-06</t>
  </si>
  <si>
    <t>Not set: 8,1_Газовые баллоны хранятся должным образом, имеются склады для баллонов.   (АБИ) - 2019-11-06</t>
  </si>
  <si>
    <t>Not set: 8,2_На складах имеются соответствующие знаки безопасности. (АБИ) - 2019-11-06</t>
  </si>
  <si>
    <t>Not set: 8,3_Баллоны хранятся раздельно и закреплены цепью в местах хранения. (АБИ) - 2019-11-06</t>
  </si>
  <si>
    <t>Not set: 8,4_Рядом со складами находятся огнетушители. (АБИ) - 2019-11-06</t>
  </si>
  <si>
    <t>Not set: 8,5_Газобаллонное оборудование в хорошем состоянии (редуктор, манометр, резак, горелка, шланги, хомуты и т.д.). (АБИ) - 2019-11-06</t>
  </si>
  <si>
    <t>Not set: 8,6_На газоиспользующем оборудовании установлены пламегасители. (АБИ) - 2019-11-06</t>
  </si>
  <si>
    <t>Not set: 8,7_Во время работы, расстояние между баллонами минимум 5 метров. Баллоны находятся в вертикальном положении и закреплены. (АБИ) - 2019-11-06</t>
  </si>
  <si>
    <t>Not set: 8,8_Во время работы, баллоны защищены от прямых солнечных лучей и осадков. (АБИ) - 2019-11-06</t>
  </si>
  <si>
    <t>Not set: 8,9_Газорезчик имеет соответствующие удостоверения (например транспортировка баллонов, удостоверение газорезчика). (АБИ) - 2019-11-06</t>
  </si>
  <si>
    <t>Not set: 8,10_В непосредственной близости от места работы имеется огнетушитель. (АБИ) - 2019-11-06</t>
  </si>
  <si>
    <t>Not set: 9,1_Электроинструмент исправен, отсутствуют видимые повреждения (провод, вилка, кнопка включения, корпус). Защитные устройства установлены и исправны. (АБИ) - 2019-11-06</t>
  </si>
  <si>
    <t>Not set: 9,2_Электроинструменты используются по назначению и соответствуют виду выполняемой работы (АБИ) - 2019-11-06</t>
  </si>
  <si>
    <t>Not set: 9,3_При перерывах в работе электроинструмент отключен от электросети. (АБИ) - 2019-11-06</t>
  </si>
  <si>
    <t>Not set: 9,4_Электроинструменты переносятся и доставляются должным образом (запрещено переносить электроинструмент за провод). (АБИ) - 2019-11-06</t>
  </si>
  <si>
    <t>Not set: 9,5_Рукоятки ручного инструмента в хорошем состоянии, например молоток, топор прочно насажены на рукоять . (АБИ) - 2019-11-06</t>
  </si>
  <si>
    <t>Not set: 9,6_Ручной инструмент в хорошем состоянии, например ударная часть молотка, губки рожковых и разводных ключей, шестигранники и т.д. (АБИ) - 2019-11-06</t>
  </si>
  <si>
    <t>Not set: 9,7_Соединения пневматических и гидравлических шлангов выполнены должным образом. (АБИ) - 2019-11-06</t>
  </si>
  <si>
    <t>Not set: 10,1_Имеются специальные места для хранения опасных отходов I, II, III классов опасности.  (АБИ) - 2019-11-06</t>
  </si>
  <si>
    <t>Not set: 10,2_Строительный отходы IV, V классов опасности складируются в определенном месте, используются специальные мусорные контейнеры. (АБИ) - 2019-11-06</t>
  </si>
  <si>
    <t>Not set: 10,3_Строительный мусор и бытовые отходы складируются отдельно. (АБИ) - 2019-11-06</t>
  </si>
  <si>
    <t>Not set: 10,4_Используются специальные ёмкости для ГСМ, например канистры, бочки и т.д. (АБИ) - 2019-11-06</t>
  </si>
  <si>
    <t>Not set: 10,5_Загрязнение окружающей среды предотвращается должным образом, например, правильным складированием, быстрым реагированием на утечку. (АБИ) - 2019-11-06</t>
  </si>
  <si>
    <t>Not set: 11,1_Зона электропрогрева ограждена защитным ограждением или сигнальной лентой. (АБИ) - 2019-11-06</t>
  </si>
  <si>
    <t>Not set: 11,2_У проводов электропрогрева отсутствуют повреждения изоляции, провода не лежат на грунте или перекрытиях. (АБИ) - 2019-11-06</t>
  </si>
  <si>
    <t>Not set: 11,3_Имеется световая сигнализация и знаки безопасности. (АБИ) - 2019-11-06</t>
  </si>
  <si>
    <t>Not set: 11,4_Открытая (незабетонированная) арматура железобетонных конструкций, связанная с участком, находящимся под электропрогревом, заземлена (занулена). (АБИ) - 2019-11-06</t>
  </si>
  <si>
    <t>Yes: 12,1_Наряд-допус оформлен, внесенные данные соответствуют действительности. Проведены необходимые инструктажи. (АБИ) - 2019-11-06</t>
  </si>
  <si>
    <t>Not set: 12,2_Имеется газоанализатор с действующим свидетельством о прохождении аттестации. (АБИ) - 2019-11-06</t>
  </si>
  <si>
    <t>Not set: 12,3_Произведен замер воздушной среды. (АБИ) - 2019-11-06</t>
  </si>
  <si>
    <t>Not set: 12,4_Количество работников не менее трех человек (при условии нахождения двух работников вне замкнутого пространства). (АБИ) - 2019-11-06</t>
  </si>
  <si>
    <t>Not set: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(АБИ) - 2019-11-06</t>
  </si>
  <si>
    <t>Not set: 12,6_Напряжение используемое для освещения не более 36 Вольт. Понижающий трансформатор находится вне замкнутого пространства. (АБИ) - 2019-11-06</t>
  </si>
  <si>
    <t>Not set: 12,7_Сварочный аппарат или газовые баллоны находятся снаружи. (АБИ) - 2019-11-06</t>
  </si>
  <si>
    <t>Not set: 12,8_В непосредственной близости от места работы имеется огнетушитель. (АБИ) - 2019-11-06</t>
  </si>
  <si>
    <t>Not set: 12,9_ При использовании ручного электроинструмента или сварочного аппарата металлические конструкции заземлены. (АБИ) - 2019-11-06</t>
  </si>
  <si>
    <t>Not set: 12,10_Имеется приточная вентиляция (при необходимости). (АБИ) - 2019-11-06</t>
  </si>
  <si>
    <t>Алексей Бирюков: Приоритет изменен на P1</t>
  </si>
  <si>
    <t>Алексей Бирюков: Заголовок изменен на Опасное Складирование Ж/Б Элементов На Кровле  Блок 1</t>
  </si>
  <si>
    <t>Алексей Бирюков: Ответственное лицо замещено Евгений Кузнецов</t>
  </si>
  <si>
    <t>Алексей Бирюков: Дата начала изменена на нояб. 6, 2019</t>
  </si>
  <si>
    <t>Алексей Бирюков: Заголовок изменен на Опасное Складирование Ж/Б Элементов На Кровле  Блок 1 В/О Э-7  Отм +12,450</t>
  </si>
  <si>
    <t>Алексей Бирюков: Заголовок изменен на Опасное Складирование Ж/Б Элементов фундаментов На Кровле  Блок 1 В/О Э-7  Отм +12,450</t>
  </si>
  <si>
    <t>Алексей Бирюков: Проверенное задание</t>
  </si>
  <si>
    <t>Алексей Бирюков: Приоритет изменен на 1</t>
  </si>
  <si>
    <t>Евгений Кузнецов: Данные ж/б изделия убрали.</t>
  </si>
  <si>
    <t>Алексей Бирюков: Завершенное задание</t>
  </si>
  <si>
    <t xml:space="preserve">Гидроизоляция битумом наружной стены здания </t>
  </si>
  <si>
    <t>Yes: Нарушена технология устройства слоев оконечной гидроизоляции. Перед устройством слоев оконечной гидроизоляции наружных стен необходимо было выполнить заделку проходов коммуникаций, труб через стены здания (ЕКУ) - 2019-12-13</t>
  </si>
  <si>
    <t>Not set: Ссылка не открывается. Кому предъявили работы? (ЕКУ) - 2019-12-17</t>
  </si>
  <si>
    <t xml:space="preserve">Александр Светашов: Гидроизоляция битумом наружной стены здания </t>
  </si>
  <si>
    <t>Александр Светашов: Дата начала изменена на дек. 13, 2019</t>
  </si>
  <si>
    <t>Евгений Кузнецов: https://share.rencons.com/?ShareToken=857504A43610E2BD9F2332B28389914C638B91DF</t>
  </si>
  <si>
    <t xml:space="preserve">Евгений Кузнецов: Данные проходки были зачеканены после выполнили оклеечную гидроизоляцию вводов снаружи. </t>
  </si>
  <si>
    <t>Александр Светашов: Приоритет изменен на P3</t>
  </si>
  <si>
    <t>Евгений Кузнецов: Данные проходки были зачеканены пеной. (см.ссылку) После выполнили окончательно гидроизоляцию</t>
  </si>
  <si>
    <t>Ограждение парапетов</t>
  </si>
  <si>
    <t>_EAGRX~Q</t>
  </si>
  <si>
    <t>Александр Светашов: Ограждение парапетов</t>
  </si>
  <si>
    <t>Александр Светашов: Не представлены протоколы испытания анкерного крепления парапетов. Не представлен узел крепления (способ, длинна, диаметр анкера). Опорная пластина поручней, местами не плотно примыкает к основанию. Не представлены узлы соединения парапетов в местах перепада высот.</t>
  </si>
  <si>
    <t>Александр Светашов: Дата начала изменена на янв. 29, 2020</t>
  </si>
  <si>
    <t>КМ Renaissance: Изменена дата завершения на 05.02.2020</t>
  </si>
  <si>
    <t>Не ведутся специальные журналы учета работ. Принять меры.</t>
  </si>
  <si>
    <t>Вячеслав Сорокин: Не ведутся специальные журналы учета работ. Принять меры.</t>
  </si>
  <si>
    <t>Вячеслав Сорокин: Название категории изменено на Замечание стройконтроля</t>
  </si>
  <si>
    <t>Вячеслав Сорокин: Изменена дата начала на 07.02.2020</t>
  </si>
  <si>
    <t>Вячеслав Сорокин: Изменена дата завершения на 11.02.2020</t>
  </si>
  <si>
    <t>Защитить ЛКП ферм кровли ETFE  от механических повреждений.</t>
  </si>
  <si>
    <t>Вячеслав Сорокин: Приоритет изменен на 1</t>
  </si>
  <si>
    <t>Вячеслав Сорокин: Изменена дата начала на 14.01.2020</t>
  </si>
  <si>
    <t>Вячеслав Сорокин: Заголовок изменен на Защитить ЛКП ферм кровли ETFE  от механических повреждений.</t>
  </si>
  <si>
    <t>КМ Renaissance: Изменена дата завершения на 15.01.2020</t>
  </si>
  <si>
    <t>Огнезащита металлоконструкций кровли Монокот Крилак</t>
  </si>
  <si>
    <t>РК-РД-2-АР01-10-02</t>
  </si>
  <si>
    <t>Александр Светашов: Огнезащита металлоконструкций кровли Монокот Крилак</t>
  </si>
  <si>
    <t>Александр Светашов: Огнезащита металлоконструкций кровли имеет повреждения, сколы, трещины</t>
  </si>
  <si>
    <t>Александр Светашов: Дата начала изменена на янв. 20, 2020</t>
  </si>
  <si>
    <t>Александр Светашов: Дата окончания изменена на янв. 23, 2020</t>
  </si>
  <si>
    <t>КМ Renaissance: Изменена дата завершения на 23.02.2020</t>
  </si>
  <si>
    <t>Устройство лотков ETFE</t>
  </si>
  <si>
    <t>Yes: На месте выполняется сварка по месту крепежного элемента под ходовой настил. Проектом не предусмотрено, согласовать с АН, либо выполнить замену лотка (ЮПР) - 2019-12-20</t>
  </si>
  <si>
    <t>Александр Светашов: Устройство лотков ETFE</t>
  </si>
  <si>
    <t>Александр Светашов: Дата окончания изменена на дек. 23, 2019</t>
  </si>
  <si>
    <t>КМ Renaissance: Дополнение 6 к КЗС-ППР21 Рев.0 от 25.12.19 Восстановление шпилек лотка согласовано. (WF-003778)</t>
  </si>
  <si>
    <t>Александр Светашов: Этого мало. В ППР отсутствует способ сварки, условия, материалы( электроды). Отсутствует указание на контроль качества (ВиК, испытания). Прошу выполнить запись в АН, либо решение проекта, так как переварка/подварка шпилек произошла по всей поверхности лотка. Вмешательство в заводское изделие.</t>
  </si>
  <si>
    <t>КМ Renaissance: Стоимость изменена на 0 ALL</t>
  </si>
  <si>
    <t>КМ Renaissance: Внесена запись в журнал АН, фото по ссылке.</t>
  </si>
  <si>
    <t>КМ Renaissance: https://share.rencons.com/?ShareToken=307A97FF668C03225F9848D5D8AA95E45CA9D301</t>
  </si>
  <si>
    <t>КМ Renaissance: Редактированный комментарий - "Внесена запись в жур..."</t>
  </si>
  <si>
    <t>Огнезащита металлоконструкций кровли Блок 1 с отм. 18,078м.  до +26,315м</t>
  </si>
  <si>
    <t>Not set: Не открыть. Можно фото прикрепить (АСВ) - 2019-12-27</t>
  </si>
  <si>
    <t>Антон Федоров: Название категории изменено на Замечание стройконтроля</t>
  </si>
  <si>
    <t>Антон Федоров: Огнезащита металлоконструкций кровли Блок 1 с отм. 16.650 до +25.050м</t>
  </si>
  <si>
    <t>Антон Федоров: Удаленное изображение</t>
  </si>
  <si>
    <t>Антон Федоров: Дата начала изменена на 22 ноября 2019 г.</t>
  </si>
  <si>
    <t>Антон Федоров: Дата окончания изменена на 27 ноября 2019 г.</t>
  </si>
  <si>
    <t>Антон Федоров: Сменить уполномоченное лицо на КМ Renaissance</t>
  </si>
  <si>
    <t>Антон Федоров: Имеются значительные потеки огнезащитного покрытия «Огракс», что не соответствует ГОСТ 9.032-74 таб. 2</t>
  </si>
  <si>
    <t>Антон Федоров: Заголовок изменен на Огнезащита металлоконструкций кровли Блок 1 с отм. 18,078м.  до +26,315м</t>
  </si>
  <si>
    <t>КМ Renaissance: Замечания устранены, конструкции сданы инженеру технадзора.</t>
  </si>
  <si>
    <t>КМ Renaissance: https://share.rencons.com/?ShareToken=4A14CF2B3272FFCC64AB9CAD3A1DA37D23F1541A</t>
  </si>
  <si>
    <t>Антон Федоров: Приоритет изменен на 2</t>
  </si>
  <si>
    <t>Антон Федоров: Изменена дата завершения на 27.12.2019</t>
  </si>
  <si>
    <t>Антон Федоров: Приоритет изменен на 1</t>
  </si>
  <si>
    <t>Антон Федоров: Изменена дата завершения на 24.01.2020</t>
  </si>
  <si>
    <t>КМ Renaissance: https://share.rencons.com/?ShareToken=AB7A9634BC4AB4132B5FDDFDACFB53C5F62ADE0F</t>
  </si>
  <si>
    <t>КМ Renaissance: По ссылке фото, подтверждающее приёмку конструкций.</t>
  </si>
  <si>
    <t>Нанесение огнезащитного состава "Огракс" Блок 1 в\о У-Ш\1/Б-2/Б, L6</t>
  </si>
  <si>
    <t>Антон Федоров: Заголовок изменен на Нанесение огнезащитного состава "Огракс"</t>
  </si>
  <si>
    <t>Антон Федоров: Изменена дата завершения на 30.12.2019</t>
  </si>
  <si>
    <t>Антон Федоров: Изменена дата начала на 19.12.2019</t>
  </si>
  <si>
    <t>Антон Федоров: Заголовок изменен на Нанесение огнезащитного состава "Огракс" Блок 1 в\о У-Ш\1/Б-2/Б, L6</t>
  </si>
  <si>
    <t>Антон Федоров: 1. Имеются значительные потеки огнезащитного покрытия «Огракс», что не соответствует ГОСТ 9.032-74 таб. 2
2. Разница в толщинах огнезащитного состава на одном элементе
3. Повреждения огнезащитного состава
4. Не соответствие толщины нанесенного состава 
" Огракс" (700 мкм)</t>
  </si>
  <si>
    <t>Антон Федоров: Сменить ответственное лицо на КМ Renaissance</t>
  </si>
  <si>
    <t>КМ Renaissance: https://share.rencons.com/?ShareToken=03B13A89D26F9316856958E320941202741864E4</t>
  </si>
  <si>
    <t>Александр Светашов: Файл не открывается. Прошу написать ФИО стройконтроля СХ, котором предъявлено повторно. Фото исправления дефектов</t>
  </si>
  <si>
    <t>КМ Renaissance: https://share.rencons.com/?ShareToken=781879C03F040272F7F9B8F0BD100598B9AA302E</t>
  </si>
  <si>
    <t>КМ Renaissance: Загружено повторно. Конструкции предъявлены Сорокину В. Ю.</t>
  </si>
  <si>
    <t>конструкция кровли ЕТFЕ</t>
  </si>
  <si>
    <t>РК-РД-2-АР09.8-02-04 с комментариями</t>
  </si>
  <si>
    <t>Подконструкция кровли ETFE</t>
  </si>
  <si>
    <t>Not set: В соответствии с ответом от РК, письмо в Outlook 23.01.2020 от Алексеевского Александра, исправленные замечания. (АСВ) - 2020-01-23</t>
  </si>
  <si>
    <t>Александр Светашов: Заголовок изменен на конструкция кровли ЕТРЕ</t>
  </si>
  <si>
    <t>Александр Светашов: Сменить ответственное лицо на КМ Renaissance</t>
  </si>
  <si>
    <t>Александр Светашов: Приоритет изменен на 1</t>
  </si>
  <si>
    <t>Александр Светашов: Изменена дата начала на 21.11.2019</t>
  </si>
  <si>
    <t>Александр Светашов: Изменена дата завершения на 27.11.2019</t>
  </si>
  <si>
    <t>Александр Светашов: В ходе операционного контроля конструкций ферм кровли ЕТРЕ были выявлены нарушения:  1. Некачественное лакокрасочное покрытие конструкций ЕТРЕ на заводе производителе, нарушения требований СП 28.13330.2017 Защита строительных конструкций от коррозии. Нарушение исполнения пунктов №6,7, лист 1, РК-РД-2-АР09.8.   2. Повреждения лакокрасочного покрытия в результате транспортировки и монтажа конструкций ЕТРЕ. 3. Частичный ремонт выполнен не в соответствии с требованием пункта № 8, лист 1, РК-РД-2-АР09.8. Необходимо разработать ППР по ремонту лакокрасочного покрытия всех типов повреждений, согласовать с Техническим Заказчиком, выполнить ремонт ЛКП в соответствии с требованием пункта № 8, лист 1, РК-РД-2-АР09.8 и СП 28.13330.2017.</t>
  </si>
  <si>
    <t>Владимир Собченко: Заголовок изменен на конструкция кровли ЕТFЕ</t>
  </si>
  <si>
    <t>КМ Renaissance: Изменена дата завершения на 01.04.2020</t>
  </si>
  <si>
    <t>Неверно выполнен узел стыковки алюминиевого профиля  лотка фермы: отсутствует мембрана Bigtop под шайбой и герметик sikaflex ( см. РК-РД-2-АР09.9-10)</t>
  </si>
  <si>
    <t>Антон Федоров: Изменена дата начала на 16.12.2019</t>
  </si>
  <si>
    <t>Антон Федоров: Заголовок изменен на Неверно выполнен узел</t>
  </si>
  <si>
    <t>Антон Федоров: Заголовок изменен на Неверно выполнен узел стыковки алюминиевого профиля  лотка фермы</t>
  </si>
  <si>
    <t>Антон Федоров: Заголовок изменен на Неверно выполнен узел стыковки алюминиевого профиля  лотка фермы: отсутствует мембрана</t>
  </si>
  <si>
    <t>Антон Федоров: Заголовок изменен на Неверно выполнен узел стыковки алюминиевого профиля  лотка фермы: отсутствует мембрана Bigtop под шайбой и герметик sikaflex</t>
  </si>
  <si>
    <t>Антон Федоров: Заголовок изменен на Неверно выполнен узел стыковки алюминиевого профиля  лотка фермы: отсутствует мембрана Bigtop под шайбой и герметик sikaflex (РК-РД-2-АР09.9-10</t>
  </si>
  <si>
    <t>Антон Федоров: Заголовок изменен на Неверно выполнен узел стыковки алюминиевого профиля  лотка фермы: отсутствует мембрана Bigtop под шайбой и герметик sikaflex ( см. РК-РД-2-АР09.9-10)</t>
  </si>
  <si>
    <t>Антон Федоров: Изменена дата завершения на 22.01.2020</t>
  </si>
  <si>
    <t>Антон Федоров: Изменена дата завершения на 29.01.2020</t>
  </si>
  <si>
    <t>КМ Renaissance: узел согласован в ЖАН лист №56 от 15.01.2020</t>
  </si>
  <si>
    <t>Монтаж рельсов СОФ</t>
  </si>
  <si>
    <t>Алексей Бирюков: Заголовок изменен на Монтаж рельсов СОФ</t>
  </si>
  <si>
    <t>Алексей Бирюков: Изменена дата начала на 03.12.2019</t>
  </si>
  <si>
    <t xml:space="preserve">Алексей Бирюков: В ходе операционного контроля монтажа  рельсов СОФ на участке кровли Блока 3.1 в/о 21-26 по оси 7/Б выявлены следующие недостатки:
1.Локально нарушена целостность ЛКП М/К и болтов рельсов СОФ
2.Технологические зазоры  для компенсации теплового расширения рельс СОФ превышают допустимые  значения  для Р1 и Р2 (8 и 5 мм соответственно) и составляют  11 - 12 мм </t>
  </si>
  <si>
    <t>Алексей Бирюков: Отредактированный комментарий</t>
  </si>
  <si>
    <t>QA-QC Renaissance: Сменить ответственное лицо на КМ Renaissance</t>
  </si>
  <si>
    <t>В ходе операционного контроля монтажа металлоконструкций выявлено незаконченное закрепление конструкций металлической кровли на Блоке 1. Отдельные балки закреплены одним-двумя болтами, хотя кровля выше продолжает монтироваться. Согласно СП 78.13330.2012 п</t>
  </si>
  <si>
    <t>Кровля_Блок 1_A1</t>
  </si>
  <si>
    <t>Администратор Fieldwire: В ходе операционного контроля монтажа металлоконструкций выявлено незаконченное закрепление конструкций металлической кровли на Блоке 1. Отдельные балки закреплены одним-двумя болтами, хотя кровля выше продолжает монтироваться. Согласно СП 78.13330.2012 п 4.6.2 сборку соединений следует производить не позже трех суток после обработки соприкасающихся поверхностей. Необходимо предоставить журналы монтажа стальных конструкций и чек-листы на проверку соответствия данного требования. Блоки 1, 2,3 Кровля.</t>
  </si>
  <si>
    <t>Администратор Fieldwire: Местоположение изменено на Кровля_Блок 1_A1</t>
  </si>
  <si>
    <t>Администратор Fieldwire: Замечание Латиста 1247</t>
  </si>
  <si>
    <t>В ходе операционного контроля работ по огнезащитен конструкций МК выявлено: МК балки не обработаны составом Монокот-Крилак в полном объёме. Выполняются последующие работы по устройству перегородки из газобетон Балка в/о 7-5/ф, Л5</t>
  </si>
  <si>
    <t>L5_Блок 1_A1</t>
  </si>
  <si>
    <t>Администратор Fieldwire: В ходе операционного контроля работ по огнезащитен конструкций МК выявлено:
МК балки не обработаны составом Монокот-Крилак в полном объёме. Выполняются последующие работы по устройству перегородки из газобетон
Балка в/о 7-5/ф, Л5</t>
  </si>
  <si>
    <t>Администратор Fieldwire: Местоположение изменено на L5_Блок 1_A1</t>
  </si>
  <si>
    <t>Администратор Fieldwire: Замечание Латиста 1346</t>
  </si>
  <si>
    <t>КМ Renaissance: Огнезащитное покрытие балки восстановлено.</t>
  </si>
  <si>
    <t>КМ Renaissance: Программа не дает возможности загрузить фото. Ошибка</t>
  </si>
  <si>
    <t>В результате операционного контроля выполненных работ по окраске узлов металлоконструкций выявлено: Краска нанесена не равномерным слоем, имеются следы подтеков на узлах МК</t>
  </si>
  <si>
    <t>Администратор Fieldwire: В результате операционного контроля выполненных работ по окраске узлов металлоконструкций выявлено:
Краска нанесена не равномерным слоем, имеются следы подтеков на узлах МК</t>
  </si>
  <si>
    <t>Администратор Fieldwire: Замечание Латиста 1345</t>
  </si>
  <si>
    <t>Кровля внутреннего двора</t>
  </si>
  <si>
    <t>Святослав Грохольский: Приоритет изменен на P1</t>
  </si>
  <si>
    <t>Святослав Грохольский: Название категории изменено на Замечание стройконтроля</t>
  </si>
  <si>
    <t>Святослав Грохольский: Дата начала изменена на нояб. 8, 2019</t>
  </si>
  <si>
    <t>Святослав Грохольский: Заголовок изменен на Кровля внутреннего двора</t>
  </si>
  <si>
    <t>Святослав Грохольский: Между опорной частью и закладной пластиной, после сварки и затяжки болтов имеется: 
1) Зазор превышающий 0.5 мм. 
2) Площадь соприкасания  элементов менее 75%.
Требуется проектное решение о возможности эксплуатации таких узлов, либо действия по устранению данных замечаний.</t>
  </si>
  <si>
    <t>Святослав Грохольский: Изменена дата завершения на 11.11.2019</t>
  </si>
  <si>
    <t>КМ Renaissance: Согласован зазор до 0.7 мм в ЖАНе (от18.11.19 лист №40) https://mail.google.com/mail/u/0?ui=2&amp;ik=8d59d975a0&amp;attid=0.1&amp;permmsgid=msg-f:1650537725473912785&amp;th=16e7e350ff40f7d1&amp;view=att&amp;disp=safe</t>
  </si>
  <si>
    <t>Сэндвич панели тех.помещение, кровля,  А3, 33/1-33.</t>
  </si>
  <si>
    <t>Кровля_Блок 3_A3</t>
  </si>
  <si>
    <t>Александр Лесюта: Заголовок изменен на Сэндвич панели</t>
  </si>
  <si>
    <t>Александр Лесюта: Заголовок изменен на Сэндвич панели тех.помещение, кровля,  А3, 33/1-33.</t>
  </si>
  <si>
    <t>Александр Лесюта: При производстве операционного контроля выявлены следующие замечания к монтажу сэндвич панелей стен технического помещения: сэндвич панели имеют повреждения ЛКП, используемые метизы не соответствуют РД, примыкание верхнего сэндвича выполнено обрезанной стороной без заводского замка, вертикальные нащельники закреплены не по РД. Необходимо привести работы в соответствие РД и предъявить их сотрудникам СК.</t>
  </si>
  <si>
    <t>Александр Лесюта: Сменить ответственное лицо на Отделка Renaissance Construction</t>
  </si>
  <si>
    <t>Александр Лесюта: Местоположение изменено на Кровля_Блок 3_A3</t>
  </si>
  <si>
    <t>Александр Лесюта: Изменена дата начала на 02.12.2019</t>
  </si>
  <si>
    <t>Александр Лесюта: Изменена дата завершения на 06.12.2019</t>
  </si>
  <si>
    <t>Отделка Renaissance Construction: Завершенное задание</t>
  </si>
  <si>
    <t>Александр Лесюта: Приоритет изменен на 2</t>
  </si>
  <si>
    <t>КМ Renaissance: Изменена дата начала на 10.12.2019</t>
  </si>
  <si>
    <t>КМ Renaissance: Изменена дата завершения на 16.12.2019</t>
  </si>
  <si>
    <t>КМ Renaissance: Изменена дата завершения на 17.12.2019</t>
  </si>
  <si>
    <t>КМ Renaissance: Изменена дата завершения на 18.12.2019</t>
  </si>
  <si>
    <t>КМ Renaissance: Замечания устранены. Метизы заменены на проектные, узел примыкания  верхней сэндвич-панели и все дополнительные узлы крепления нащельников учтены в новой ревизии РД.</t>
  </si>
  <si>
    <t>Александр Светашов: Замечания сняты. В дополнение, предъявить согласованную РД. После монтажа вентоборудование и входной двери в проектное положение предъявить повторно. Восстановление поврежденного ЛКП произвести по согласованию с авторским надзором при положительной температуре окружающего воздуха</t>
  </si>
  <si>
    <t>В ходе приемочного контроля монтажных соединения на болтах с контролируемым натяжением выявлено механическое повреждение элементов монтируемого узла № 93, 178, 198 в осях "1/Б-8"/ "Э-У" блок 1 Кровля . Что препятствует нормальной оценке конструкции соглас</t>
  </si>
  <si>
    <t>Администратор Fieldwire: В ходе приемочного контроля монтажных соединения на болтах с контролируемым натяжением выявлено механическое повреждение элементов монтируемого узла № 93, 178, 198 в осях "1/Б-8"/ "Э-У" блок 1 Кровля . Что препятствует нормальной оценке конструкции согласно СП 70.13330.2017 п. 4.6.14. (фото во вложении)</t>
  </si>
  <si>
    <t>Администратор Fieldwire: Замечание Латиста 1327</t>
  </si>
  <si>
    <t>КМ Renaissance: узел №93 сдан 26.08; узел №178 сдан 10.09; узел №198 сдан 07.11</t>
  </si>
  <si>
    <t>Владимир Собченко: При контрольном осмотре конструкций выявлены следующие дефекты: Сварочные швы имеют непровары в труднодоступных местах. Плохо очищен металл от сварочных брызг. Стенки лотка имеют встречный наклон, из-за сварочной деформации, по 3 мм. с каждой стороны. В цинковом покрытии имеется несколько мест со следами ржавых подтеков. На ЛКП заметны следы полосования, шагрень и поры.</t>
  </si>
  <si>
    <t>Владимир Собченко: Название категории изменено на Замечание стройконтроля</t>
  </si>
  <si>
    <t>Владимир Собченко: Изменена дата начала на 21.11.2019</t>
  </si>
  <si>
    <t>Владимир Собченко: Изменена дата завершения на 25.11.2019</t>
  </si>
  <si>
    <t>Узел сопряжения монолитных конструкций стены с фасадными конструкциями в/о 12/И отм +4,050</t>
  </si>
  <si>
    <t>Юрий Прасолов: Заголовок изменен на Узел сопряжения монолитных конструкций стены с фасадными конструкциями в/о 12/И отм +4,050</t>
  </si>
  <si>
    <t>Юрий Прасолов: Узел сопряжения монолитных конструкций стены с металлическими фасадными конструкциями в/о "12/И" отм +4,050 выполнен с зазором 10...15 мм,  который не обеспечивает передачу нагрузки всей системы фасадных балок в точке опоры.</t>
  </si>
  <si>
    <t>Юрий Прасолов: Изменена дата начала на 18.11.2019</t>
  </si>
  <si>
    <t>Юрий Прасолов: Изменена дата завершения на 21.11.2019</t>
  </si>
  <si>
    <t>КМ Renaissance: Подливка выполнена, сдана 22.11.19</t>
  </si>
  <si>
    <t>Колонна А1, +12.250, Т-У/6-7.</t>
  </si>
  <si>
    <t>Александр Лесюта: Заголовок изменен на Колонна А1, +12.250, Т-У/6-7.</t>
  </si>
  <si>
    <t>Александр Лесюта: В ходе операционного контроля выявлено, что колонна находящаяся  на блоке А1, +12.250, в осях Т-У/6-7, отсутствует в РД, предоставить проектное решение, учитывающее дальнейшие виды работ.</t>
  </si>
  <si>
    <t>Александр Лесюта: Изменена дата начала на 15.01.2020</t>
  </si>
  <si>
    <t>Александр Лесюта: Изменена дата завершения на 22.01.2020</t>
  </si>
  <si>
    <t>Александр Лесюта: Сменить ответственное лицо на КМ Renaissance</t>
  </si>
  <si>
    <t>Металлоконструкция пожарной лестницы</t>
  </si>
  <si>
    <t>Not set: Каркас пожарной металлической лестницы имеет повреждения лакокрасочного покрытия, ржавчина по поверхности (АСВ) - 2020-01-20</t>
  </si>
  <si>
    <t>Александр Светашов: Металлоконструкция пожарной лестницы</t>
  </si>
  <si>
    <t>КМ Renaissance: Это временные распорки!</t>
  </si>
  <si>
    <t>Александр Светашов: Ок</t>
  </si>
  <si>
    <t>Устройство эксплуатационного люка под лестницей</t>
  </si>
  <si>
    <t>14.В2.2.036</t>
  </si>
  <si>
    <t>Not set: Необходимо выполнить перестановку эксплуатационного люка под лестницей. Выполнить плинтус под люком шириной 10 см в соответствии с АР (АСВ) - 2019-12-20</t>
  </si>
  <si>
    <t>Not set: Необходимо изменить проектное решение, переделать по факту (АСВ) - 2020-01-07</t>
  </si>
  <si>
    <t>Not set: Переделать (АСВ) - 2020-01-14</t>
  </si>
  <si>
    <t>Александр Светашов: Устройство эксплуатационного люка под лестницей</t>
  </si>
  <si>
    <t>Александр Светашов: Дата окончания изменена на дек. 25, 2019</t>
  </si>
  <si>
    <t>Отделка Renaissance Construction: Изменена дата завершения на 04.01.2020</t>
  </si>
  <si>
    <t>Отделка Renaissance Construction: По АР нижняя отметка проема -7,750
По Ар отметка чистого пола -7,800
50 мм составляет высота плинтуса как и сделано по факту</t>
  </si>
  <si>
    <t>Отделка откосов дверей</t>
  </si>
  <si>
    <t>Александр Светашов: Отделка откосов дверей</t>
  </si>
  <si>
    <t>Александр Светашов: Огрунтовка откосов не ввполняется</t>
  </si>
  <si>
    <t>Александр Светашов: Не используется штукатурная сетка</t>
  </si>
  <si>
    <t>Александр Светашов: Дата начала изменена на янв. 28, 2020</t>
  </si>
  <si>
    <t xml:space="preserve">Отделка откосов дверей </t>
  </si>
  <si>
    <t xml:space="preserve">Александр Светашов: Отделка откосов дверей </t>
  </si>
  <si>
    <t>Александр Светашов: Огрунтовка стен не выполняется</t>
  </si>
  <si>
    <t>Вентилируемый фасад.</t>
  </si>
  <si>
    <t>No: Вен фасад не завершен. Нарушена целостность слоя пароизоляции Tyvek. В местах прохождения вентканалов через стены нарушены слои утеплителя, узлы не оформлены. Утеплитель частично открыт, подвергается намокания от атмосферных осадков. Часть дюбелей выполнено не в соответствии с РД - крепление в газобетон на хим анкера (АСВ) - 2019-12-24</t>
  </si>
  <si>
    <t>Александр Светашов: Вентилируемый фасад.</t>
  </si>
  <si>
    <t>Отделка Renaissance Construction: Изменена дата завершения на 19.01.2020</t>
  </si>
  <si>
    <t>Кровля, плиточное покрытие</t>
  </si>
  <si>
    <t>Not set: Плиточное покрытие кровли - не затерты швы, водосливных воронки не доделаны, распологаются на пути временного прохода, не защищены от повреждений. Кирпичная кладка парапета кровли не завершена (АСВ) - 2019-12-24</t>
  </si>
  <si>
    <t>Александр Светашов: Кровля, плиточное покрытие</t>
  </si>
  <si>
    <t>Отделка Renaissance Construction: Кирпичная кладка будет заделана 06. 01.20</t>
  </si>
  <si>
    <t>Отделка Renaissance Construction: Воронки временные, постоянные сдают механики</t>
  </si>
  <si>
    <t>Отделка Renaissance Construction: Дата окончания изменена на янв. 6, 2020</t>
  </si>
  <si>
    <t xml:space="preserve">Гидроизоляция кровли  </t>
  </si>
  <si>
    <t>Not set: Гидроизоляция кровли, защитное геопокрытие плантер не защищено от механических повреждений. Работы не завершены. Мусор, грязь, вода. Работы по устройству кровельной плитки не завершены (АСВ) - 2019-12-24</t>
  </si>
  <si>
    <t xml:space="preserve">Александр Светашов: Гидроизоляция кровли  </t>
  </si>
  <si>
    <t>Александр Светашов: Дата окончания изменена на дек. 26, 2019</t>
  </si>
  <si>
    <t>Отделка Renaissance Construction: Изменена дата завершения на 18.01.2020</t>
  </si>
  <si>
    <t>Отделка. Лестница ЛК-3.3. Монтаж плитки.</t>
  </si>
  <si>
    <t>Александр Олуферов: Заголовок изменен на Отделка. Демонтаж плитки лестницы</t>
  </si>
  <si>
    <t>Александр Олуферов: Заголовок изменен на Отделка. Лестница</t>
  </si>
  <si>
    <t>Александр Олуферов: Заголовок изменен на Отделка. Лестница ЛК-3.3. Монтаж плитки.</t>
  </si>
  <si>
    <t>Александр Олуферов: В ходе проведения приёмочного контроля монтажа керамической плитки пола лестницы ЛК-3.3  в отм. 0.000 - + 8.400 при обстукивании уложенной плитки  выявлено бухтение 90% покрытия нижнего марша. При контрольном вскрытии (см фото) выяснилось, что выравнивающий слой выполненный из смеси "SIKA" имеет плохую адгезию со ступенями, результатом чего и стало бухтение плитки.
Также на каждом участке лестнице не восстановлено покрытие из керамической плитки демонтированное в связи с замечаниями строительного контроля, выданными ранее.
Необходимо устранить замечания с последующим предъявлением представителям строительного контроля Заказчика.</t>
  </si>
  <si>
    <t>Александр Олуферов: Приоритет изменен на 1</t>
  </si>
  <si>
    <t>Александр Олуферов: Изменена дата завершения на 06.12.2019</t>
  </si>
  <si>
    <t>Александр Олуферов: Изменена дата завершения на 07.12.2019</t>
  </si>
  <si>
    <t>Александр Олуферов: Изменена дата завершения на 13.12.2019</t>
  </si>
  <si>
    <t>Александр Олуферов: Сменить ответственное лицо на Отделка Renaissance Construction</t>
  </si>
  <si>
    <t>Александр Олуферов: Название категории изменено на Замечание стройконтроля</t>
  </si>
  <si>
    <t>Отделка Renaissance Construction: Изменена дата завершения на 03.01.2020</t>
  </si>
  <si>
    <t xml:space="preserve">Устройство фальшполов МЭРО </t>
  </si>
  <si>
    <t>РК-РД-2-АР01-04-07</t>
  </si>
  <si>
    <t>АР планы 0.000</t>
  </si>
  <si>
    <t xml:space="preserve">Александр Светашов: Устройство фальшполов МЭРО </t>
  </si>
  <si>
    <t>Александр Светашов: Устройство выравнивающего слоя под плиты фальшпола МЭРО, в месте входной двери, выполнено из слоя шпаклёвки, что не допускается</t>
  </si>
  <si>
    <t>В процессе операционного контроля выполняемых работ по устройству стен и перегородок из газоблоков в/о (8-34/1)(3-5) блоках 2,3, отм. +8400, L3, примыкающих к ж/б стенам и колоннам ядер жесткости здания выявлено замечание: Суммарное отклонение от продольн</t>
  </si>
  <si>
    <t>L3_Блок 2_A2</t>
  </si>
  <si>
    <t>Администратор Fieldwire: В процессе операционного контроля выполняемых работ по устройству стен и перегородок из газоблоков в/о (8-34/1)(3-5) блоках 2,3, отм. +8400, L3, примыкающих к ж/б стенам и колоннам ядер жесткости здания выявлено замечание:
Суммарное отклонение от продольной оси, в плоскости стен, в местах примыкания газобена к ж/б монолитным конструкциям составляет по факту от 15 мм до 30мм, что более требуемых. Стены должны быть выполнены в одной плоскости РК-РД-2-АР02-06 листы 01,03,04.
Просим привести в соответствие с РД, или выполнить отштукатуривание плоскостей после согласования данного решения с Техническим Заказчиком.</t>
  </si>
  <si>
    <t>Администратор Fieldwire: Местоположение изменено на L3_Блок 2_A2</t>
  </si>
  <si>
    <t>Администратор Fieldwire: Замечание Латиста 1265</t>
  </si>
  <si>
    <t>QA-QC Renaissance: Сменить ответственное лицо на Отделка Renaissance</t>
  </si>
  <si>
    <t>Отделка Renaissance Construction: Принято в работу срок закрытия до 25,11,19</t>
  </si>
  <si>
    <t>QA-QC Renaissance: Удаленное изображение</t>
  </si>
  <si>
    <t xml:space="preserve">Отделка Renaissance Construction: данные перегородки из газоблока выполнены с допустимыми отклонениями согласно СП (см ИГС) </t>
  </si>
  <si>
    <t>Александр Светашов: Смотри текст замечания по текстуу. Замер выполнены по факту</t>
  </si>
  <si>
    <t>Владимир Собченко: Изменена дата завершения на 13.01.2020</t>
  </si>
  <si>
    <t>Вентилируемый фасад. Не выполнена подготовка ж/б поверхности бетона, стена l4, в/о Ш2/Ш3</t>
  </si>
  <si>
    <t>Not set: Не завершен монтаж утеплителя Вентиоируемого фасада. Утеплитель мокнет под атмосферными осадками (АСВ) - 2019-12-24</t>
  </si>
  <si>
    <t>Александр Светашов: Вентилируемый фасад. Не выполнена подготовка ж/б поверхности бетона, стена l4, в/о Ш2/Ш3</t>
  </si>
  <si>
    <t>Александр Светашов: Сменить ответственное лицо на Отделка Renaissance Construction</t>
  </si>
  <si>
    <t>Отделка Renaissance Construction: Замечание к монолитчикам</t>
  </si>
  <si>
    <t>Отделка Renaissance Construction: Редактированный комментарий - "Замечание к монолитч..."</t>
  </si>
  <si>
    <t>Владимир Собченко: Сменить ответственное лицо на Евгений Кузнецов</t>
  </si>
  <si>
    <t>Владимир Собченко: Изменена дата начала на 11.11.2019</t>
  </si>
  <si>
    <t>Евгений Кузнецов: https://share.rencons.com/?ShareToken=F97ABF9306393364DC6C49DD3AB629CD5E7473E0</t>
  </si>
  <si>
    <t>Евгений Кузнецов: Замечания устранены. Выполнили ремонт согласно ТК</t>
  </si>
  <si>
    <t>Александр Светашов: Дата окончания изменена на дек. 19, 2019</t>
  </si>
  <si>
    <t>Отделка Renaissance Construction: Изменена дата завершения на 17.01.2020</t>
  </si>
  <si>
    <t>Владимир Собченко: Изменена дата начала на 07.11.2019</t>
  </si>
  <si>
    <t>Отделка стен</t>
  </si>
  <si>
    <t>Not set: Отделка стен в помещении мойки машин выполнена из штукатурного слоя с окраской. В мокрых зонах необходимо выполнять покрытие стен из плитки (АСВ) - 2020-01-09</t>
  </si>
  <si>
    <t>Not set: По проекту должно быть выполнено без слоя штукатурки (АСВ) - 2020-01-16</t>
  </si>
  <si>
    <t>Александр Светашов: Отделка стен</t>
  </si>
  <si>
    <t>Александр Светашов: Дата окончания изменена на янв. 14, 2020</t>
  </si>
  <si>
    <t>Отделка Renaissance Construction: Работы выполнены по ар</t>
  </si>
  <si>
    <t>Штукатурка стен</t>
  </si>
  <si>
    <t>L3_Приемка помещений</t>
  </si>
  <si>
    <t>Александр Светашов: Штукатурка стен</t>
  </si>
  <si>
    <t>Александр Светашов: Штукатурка стен выполняется без слоя сетки, не соблюдается нахлест сетки</t>
  </si>
  <si>
    <t>Александр Светашов: Дата начала изменена на февр. 5, 2020</t>
  </si>
  <si>
    <t xml:space="preserve">Гидроизоляция кровли   </t>
  </si>
  <si>
    <t>_QOSXK~Y</t>
  </si>
  <si>
    <t xml:space="preserve">Александр Светашов: Гидроизоляция кровли   </t>
  </si>
  <si>
    <t>Александр Светашов: Работы по гидроизоляции проводятся на грязное, не очищенное основание. Основание не защищено от атмосферных осадков. Узлы примыкания колонн, последующих работ не завершены</t>
  </si>
  <si>
    <t>Not set: Работы по устройству стоек фальшпола МЭРО, приклейка к основанию выполняется при температуре окружающего воздуха 0 - +2 градуса (АСВ) - 2020-01-15</t>
  </si>
  <si>
    <t>Not set: Градусник в помещении сломан. Шкала нарисована карандашом (АСВ) - 2020-01-15</t>
  </si>
  <si>
    <t>Not set: Основание пола не прогрето, не набрало прочность, что приведет к отрыву стоек (АСВ) - 2020-01-15</t>
  </si>
  <si>
    <t>Not set: Необходимо переделать в полном объеме (АСВ) - 2020-01-15</t>
  </si>
  <si>
    <t>Александр Светашов: Дата начала изменена на янв. 15, 2020</t>
  </si>
  <si>
    <t>Устройство водоприемной воронки канализации</t>
  </si>
  <si>
    <t>Александр Светашов: Устройство водоприемной воронки канализации</t>
  </si>
  <si>
    <t>Александр Светашов: Дата начала изменена на янв. 21, 2020</t>
  </si>
  <si>
    <t>Штукатурка стен ЛК</t>
  </si>
  <si>
    <t>РК-РД-2-АР01-05-05</t>
  </si>
  <si>
    <t>N/A: Не обеспечен перехлест штукатурной сетки. Сетка закреплена на шпатлевку. Штукатурка выполнялась не на всю высоту. Работы по устранению не выполняются уже более 30 дней. ЛК 2.4. блок 2. Ядро 6. С отм 0.000 по отм +8.400 (ВСО) - 2019-11-27</t>
  </si>
  <si>
    <t>Александр Светашов: Штукатурка стен ЛК</t>
  </si>
  <si>
    <t>Александр Светашов: Дата окончания изменена на дек. 3, 2019</t>
  </si>
  <si>
    <t>Отделка Renaissance Construction: Замечания учтены Работы ведутся по окончанию будут предъявляться технадзору</t>
  </si>
  <si>
    <t>Отделка Renaissance Construction: Изменена дата завершения на 12.01.2020</t>
  </si>
  <si>
    <t>Устройство фальшполов МЭРО</t>
  </si>
  <si>
    <t>Not set: Стойки фальшпола МЭРО крепятся на не прочное основание, основание не набрало прочность, что приводит к непрочномо сцеплению клея и отрыву стоек. Необходимо переделать все фальшполы (АСВ) - 2020-01-15</t>
  </si>
  <si>
    <t>Александр Светашов: Устройство фальшполов МЭРО</t>
  </si>
  <si>
    <t>Александр Светашов: Дата окончания изменена на янв. 16, 2020</t>
  </si>
  <si>
    <t>Устройство фальшполов МЭРА</t>
  </si>
  <si>
    <t>Not set: Стойки фальшпола МЭРО крепятся на не прочное основание, основание не набрали прочность, стойки фальшпола отрываются от основания. Клей имеет не прочное сцепление (АСВ) - 2020-01-15</t>
  </si>
  <si>
    <t>Not set: Необходимо переделать полы (АСВ) - 2020-01-15</t>
  </si>
  <si>
    <t>Александр Светашов: Изменен комментарий с Устройство фальшполов МЭРА на Устройство фальшполов МЭРО</t>
  </si>
  <si>
    <t>Крепление поручней ЛК</t>
  </si>
  <si>
    <t>No: Не выполняется заделка мест креплений поручней ЛК (АСВ) - 2019-12-03</t>
  </si>
  <si>
    <t>No: Закончите и предъявите. Данное замечание применимо и к другим лестницам (АСВ) - 2019-12-10</t>
  </si>
  <si>
    <t>Not set: Может пусть болтается в низком приоритете до устранения, когда ТБ-шники разрешат? Ну или в выполненных но не подтвержденных? (АСВ) - 2019-12-24</t>
  </si>
  <si>
    <t>Александр Светашов: Крепление поручней ЛК</t>
  </si>
  <si>
    <t>Александр Светашов: Дата окончания изменена на дек. 11, 2019</t>
  </si>
  <si>
    <t>Александр Светашов: Дата окончания изменена на дек. 5, 2019</t>
  </si>
  <si>
    <t>Отделка Renaissance Construction: Работы будут закончены и предъявлены технадзору</t>
  </si>
  <si>
    <t>Александр Светашов: Дата окончания изменена на февр. 21, 2020</t>
  </si>
  <si>
    <t xml:space="preserve">Отделка Renaissance Construction: Работы будут предъявляться вместе со сдачей помещения </t>
  </si>
  <si>
    <t>Александр Светашов: Дата окончания изменена на февр. 20, 2020</t>
  </si>
  <si>
    <t>Александр Светашов: Покрытие гидроизоляции кровли имеет не проектные отверстия до плиты перекрытия от стоек строительных лесов. Технологией не предусмотрено, представить решение по исправлению</t>
  </si>
  <si>
    <t>Александр Светашов: Дата окончания изменена на янв. 27, 2020</t>
  </si>
  <si>
    <t xml:space="preserve">Вентилируемый фасад. </t>
  </si>
  <si>
    <t>Not set: Утеплитель вентфасада не защищен от атмосферных осадков (АСВ) - 2020-01-28</t>
  </si>
  <si>
    <t xml:space="preserve">Александр Светашов: Вентилируемый фасад. </t>
  </si>
  <si>
    <t>Александр Светашов: Название категории изменено на Замечание фасады</t>
  </si>
  <si>
    <t>Александр Светашов: Дата окончания изменена на янв. 29, 2020</t>
  </si>
  <si>
    <t>Отделка Renaissance Construction: Исправленл</t>
  </si>
  <si>
    <t>Устройство вент. фасадов. Монтаж второго слоя утеплителя</t>
  </si>
  <si>
    <t>Александр Светашов: Устройство вент. фасадов. Монтаж второго слоя утеплителя</t>
  </si>
  <si>
    <t>Александр Светашов: Второй слой утеплителя выполнен без разбежки швов</t>
  </si>
  <si>
    <t>Отделка Renaissance Construction: Устранено</t>
  </si>
  <si>
    <t>Блок 2, Л4. Замечания по монтажу тротуарной плитки на кровле.</t>
  </si>
  <si>
    <t>Александр Олуферов: Заголовок изменен на Блок 2, Л4. Замечания по монтажу тротуарной плитки на кровле.</t>
  </si>
  <si>
    <t>Александр Олуферов: В ходе проведения приёмочного контроля по монтажу тротуарной плитки на кровле ( отм. +12.350), блок 2.3  в осях  13-14/3-7Б выявлены следующие замечания:
1. По окончании монтажа тротуарной плитки не  выполнена трамбовка виброплитой (нарушение КЗС-ППР6, лист 18);
2. Часть плиток сломана (см. фото);
3. Швы заполнены гарцовкой не в полном объёме (см. фото);
4. Монтаж гравия выполнен без нержавеющей сетки (нарушение проекта РК-2-АР13, листы 03.01-03.05)-см. фото;
5. Не убран мусор (см. фото).
Необходимо устранить замечания, с последующим предъявлением службе строительного контроля Заказчика.</t>
  </si>
  <si>
    <t>Александр Олуферов: Приоритет изменен на 2</t>
  </si>
  <si>
    <t>Александр Олуферов: Изменена дата начала на 23.11.2019</t>
  </si>
  <si>
    <t>Александр Олуферов: Изменена дата завершения на 29.11.2019</t>
  </si>
  <si>
    <t>Отделка Renaissance Construction: принято в работу</t>
  </si>
  <si>
    <t>Отделка Renaissance Construction: https://share.rencons.com/?ShareToken=C209FA4CD8FB279454534ED1442E54B4F1827A91</t>
  </si>
  <si>
    <t xml:space="preserve">Отделка Renaissance Construction: 
</t>
  </si>
  <si>
    <t>Александр Олуферов: Предоставить фото (видео) трамбования, целостности плитки, заполнения швов, установленной сетки, очищенного от мусора покрытия, чек-листа приёмки выполненных работ.</t>
  </si>
  <si>
    <t>Хранение сыпучих материалов, щебень</t>
  </si>
  <si>
    <t>Not set: Необходимо укрывать сыпучий материал, защита от осадков снега (АСВ) - 2019-11-28</t>
  </si>
  <si>
    <t>Александр Светашов: Хранение сыпучих материалов, щебень</t>
  </si>
  <si>
    <t>Александр Светашов: Дата начала изменена на нояб. 28, 2019</t>
  </si>
  <si>
    <t>Отделка Renaissance Construction: Приоритет изменен на 3</t>
  </si>
  <si>
    <t>Отделка Renaissance Construction: https://share.rencons.com/?ShareToken=06312B8C81B8C137679EFDBB5A3143B898C5757C</t>
  </si>
  <si>
    <t>Отделка Renaissance Construction: как блин загружать фото</t>
  </si>
  <si>
    <t>Отделка Renaissance Construction: https://share.rencons.com/?ShareToken=D31436E559F716D531E230B249A0A736F910A4B9</t>
  </si>
  <si>
    <t>Александр Светашов: Пожалуйста загружайте документы или фотографии. Не возможно пройти по ссылке</t>
  </si>
  <si>
    <t>Александр Светашов: У нас нет доступа на сервер ренейсанс</t>
  </si>
  <si>
    <t>Отделка Renaissance Construction: говорят на компе загружаются</t>
  </si>
  <si>
    <t>Деформационный шов</t>
  </si>
  <si>
    <t>Not set: Гидроизоляция деформационного шва не защищена от повреждения в месте переходной лестницы (АСВ) - 2019-12-24</t>
  </si>
  <si>
    <t>Александр Светашов: Деформационный шов</t>
  </si>
  <si>
    <t>Отделка Renaissance Construction: Исправили</t>
  </si>
  <si>
    <t>Утеплитель МК колонн</t>
  </si>
  <si>
    <t>Not set: Утеплитель МК колонн под воздействием атмосферных осадков, намокший. Не защищен (АСВ) - 2019-12-24</t>
  </si>
  <si>
    <t>Not set: Там было три колонны (АСВ) - 2019-12-26</t>
  </si>
  <si>
    <t>Not set: ? (АСВ) - 2019-12-26</t>
  </si>
  <si>
    <t>Александр Светашов: Утеплитель МК колонн</t>
  </si>
  <si>
    <t xml:space="preserve">Утеплитель МК колонн </t>
  </si>
  <si>
    <t>Not set: Утеплитель МК колонн не защищен, намокает (АСВ) - 2019-12-24</t>
  </si>
  <si>
    <t xml:space="preserve">Александр Светашов: Утеплитель МК колонн </t>
  </si>
  <si>
    <t xml:space="preserve">Пароизоляция пирога кровли </t>
  </si>
  <si>
    <t>Not set: Пароизоляция уложена на грязное, мокрое основание. Работы не ведутся. Пароизоляция не закрыта от повреждений. Сверху мусор, лкжи (АСВ) - 2019-12-24</t>
  </si>
  <si>
    <t xml:space="preserve">Александр Светашов: Пароизоляция пирога кровли </t>
  </si>
  <si>
    <t>Отделка Renaissance Construction: Изменена дата завершения на 26.01.2020</t>
  </si>
  <si>
    <t>Отделка Renaissance Construction: где это</t>
  </si>
  <si>
    <t>Александр Светашов: Удалено отметить пункт - "На плане указана и место и отметка. См. маркер"</t>
  </si>
  <si>
    <t>Александр Светашов: На плане указано</t>
  </si>
  <si>
    <t xml:space="preserve">Отделка Renaissance Construction: Устранения
</t>
  </si>
  <si>
    <t>Александр Светашов: Устройство выравнивающего слоя под плиты фальшпола МЭРО, в месте входной двери, выполнено из слоя шпаклёвки, что не допускается.</t>
  </si>
  <si>
    <t>Отделка Renaissance Construction: Устранения предъявлено технадзору</t>
  </si>
  <si>
    <t>Александр Светашов: Устройство выравнивающего слоя под плиты фальшпола МЭРО, в местах входной двери, выполнено из слоя шпаклёвки, что не допускается</t>
  </si>
  <si>
    <t>В ходе входного контроля выполняемых работ по устройству основания из ЦПС под плитку на кровле Л4-Л5 блока 2 выявлено: На всех мешках ЦПС отсутствует дата производства, отсутствует порядковый уникальный номер мешков ЦПС Предоставить паспорт Предоставить ж</t>
  </si>
  <si>
    <t>L5_Блок 2_A2</t>
  </si>
  <si>
    <t>Администратор Fieldwire: В ходе входного контроля выполняемых работ по устройству основания из ЦПС под плитку на кровле Л4-Л5 блока 2 выявлено:
На всех мешках ЦПС отсутствует дата производства, отсутствует порядковый уникальный номер мешков ЦПС
Предоставить паспорт
Предоставить журнал входного контроля
Предоставить лабораторное подтверждения качества смеси</t>
  </si>
  <si>
    <t>Администратор Fieldwire: Местоположение изменено на L5_Блок 2_A2</t>
  </si>
  <si>
    <t>Администратор Fieldwire: Замечание Латиста 1356</t>
  </si>
  <si>
    <t>Отделка Renaissance Construction: принято в работу срок устранения 18,11,19</t>
  </si>
  <si>
    <t>Отделка Renaissance Construction: не могу загрузить фото</t>
  </si>
  <si>
    <t>В процессе операционного контроля выполняемых работ по устройству вентилируемого фасада на уровне L5, блок А3, выявлено замечание: Узел формирования наружных углов фасада выполнен не в соответствии с рабочей документацией РК-РД-2-АР-09.13, лист 04.3, 04.1</t>
  </si>
  <si>
    <t>L5_Блок 3_A3</t>
  </si>
  <si>
    <t>Администратор Fieldwire: В процессе операционного контроля выполняемых работ по устройству вентилируемого фасада на уровне L5, блок А3, выявлено замечание:
Узел формирования наружных углов фасада выполнен не в соответствии с рабочей документацией РК-РД-2-АР-09.13, лист 04.3, 04.1 (Узел оформления углов в РД не согласован АЙКОМ, выданы замечания. Замечания не учтены при производстве работ. Узел не соответствует узлам Технических решений Хилти). Необходимо согласовать проектное решение, либо переделать.</t>
  </si>
  <si>
    <t>Администратор Fieldwire: Местоположение изменено на L5_Блок 3_A3</t>
  </si>
  <si>
    <t>Администратор Fieldwire: Замечание Латиста 1347</t>
  </si>
  <si>
    <t>Отделка Renaissance Construction: принято в работу срок устранения до 18,11,19</t>
  </si>
  <si>
    <t>Отделка Renaissance Construction: Узел переделан согласно новой ревизии АР и предъявлен технадзору</t>
  </si>
  <si>
    <t>Покрытия пола МЭРО</t>
  </si>
  <si>
    <t>Not set: При устройстве покрытия пола МЭРО примыкание плитки по периметру, к двери выполнено с зазором более 3мм. Плиты МЕРО не укрыты от механических повреждений (АСВ) - 2019-12-03</t>
  </si>
  <si>
    <t>Александр Светашов: Покрытия пола МЭРО</t>
  </si>
  <si>
    <t>Отделка Renaissance Construction: полы Меро сдавали до установки двери, полы будут переделываться и предъявляться технадзору вместе с помещением</t>
  </si>
  <si>
    <t>Отделка Renaissance Construction: Изменена дата завершения на 26.12.2019</t>
  </si>
  <si>
    <t>Отделка Renaissance Construction: Удаленный комментарий - "https://share.rencon..."</t>
  </si>
  <si>
    <t>Отделка Renaissance Construction: Исправлено</t>
  </si>
  <si>
    <t>Подвесные потолки</t>
  </si>
  <si>
    <t>п8.1_подвесные_потолки</t>
  </si>
  <si>
    <t>Yes: 2,1. Работы выполнены в соответствии с РД, утвержденной в производство работ (СГР) - 2019-11-04</t>
  </si>
  <si>
    <t>Yes: 2,2. При производстве работ использован материал, прошедший входной контроль (СГР) - 2019-11-04</t>
  </si>
  <si>
    <t>Yes: 2,3. Швы между листами и панелями равномерные и строго прямолинейные (СГР) - 2019-11-04</t>
  </si>
  <si>
    <t>Yes: 2,4. Плоскость облицованной поверхности ровная, без провесов в стыках (СГР) - 2019-11-04</t>
  </si>
  <si>
    <t>Yes: 2,5. Трещины, царапины, пятна на поверхности облицовки отсутствуют (СГР) - 2019-11-04</t>
  </si>
  <si>
    <t>No: 2,6. Отсутствие сколов, щелей в местах примыкания плит, панелей к элементам инженерных коммуникаций (СГР) - 2019-11-04</t>
  </si>
  <si>
    <t>N/A: 2,7. В местах сопряжения подвесных потолков с трубопроводами водоснабжения, отопления установлены гильзы из несгораемых материалов. Края гильз находятся на одном уровне с поверхностью потолка (СГР) - 2019-11-04</t>
  </si>
  <si>
    <t>Yes: 2,8. Допустимый прогиб всей конструкции  не более 1/250 длины пролета (СГР) - 2019-11-04</t>
  </si>
  <si>
    <t>Yes: 3,1. Наличие записи в журнале производства работ (СГР) - 2019-11-04</t>
  </si>
  <si>
    <t>N/A: 3,2. Наличие исполнительной геодезицеской схемы (СГР) - 2019-11-04</t>
  </si>
  <si>
    <t>N/A: 3,3. Наличие исполнительной документации,включая акт освидетельствования скрытых работ (СГР) - 2019-11-04</t>
  </si>
  <si>
    <t>Святослав Грохольский: Название категории изменено на Приемочный контроль</t>
  </si>
  <si>
    <t>Святослав Грохольский: Дата начала изменена на нояб. 4, 2019</t>
  </si>
  <si>
    <t>Святослав Грохольский: Заголовок изменен на Подвесные потолки</t>
  </si>
  <si>
    <t>Святослав Грохольский: Приоритет изменен на P3</t>
  </si>
  <si>
    <t>Святослав Грохольский: Помещение №В2-219.09.В2.2.007. Имеются недопустимые зазоры и отбитые углы на панелях.</t>
  </si>
  <si>
    <t>Установка дверей</t>
  </si>
  <si>
    <t>Святослав Грохольский: Изменена дата начала на 04.11.2019</t>
  </si>
  <si>
    <t>Святослав Грохольский: Заголовок изменен на Установка дверей</t>
  </si>
  <si>
    <t>Святослав Грохольский: Помещение №В2-319. 14.В2.3.014  при установке двери был удален слой штукатурки мешавший её полному открыванию.</t>
  </si>
  <si>
    <t>Святослав Грохольский: Приоритет изменен на 1</t>
  </si>
  <si>
    <t>Святослав Грохольский: Изменена дата начала на 05.11.2019</t>
  </si>
  <si>
    <t>Святослав Грохольский: Изменена дата завершения на 07.11.2019</t>
  </si>
  <si>
    <t>QA-QC Renaissance: Сменить ответственное лицо на Отделка Renaissance Construction</t>
  </si>
  <si>
    <t>Нарушение правил хранения сыпучих материалов</t>
  </si>
  <si>
    <t>L5_door</t>
  </si>
  <si>
    <t>Святослав Грохольский: Дата начала изменена на дек. 10, 2019</t>
  </si>
  <si>
    <t>Святослав Грохольский: Заголовок изменен на Нарушение правил хранения</t>
  </si>
  <si>
    <t>Святослав Грохольский: Сменить ответственное лицо на Александр Лесюта</t>
  </si>
  <si>
    <t>Святослав Грохольский: Сменить ответственное лицо на Владимир Собченко</t>
  </si>
  <si>
    <t>Святослав Грохольский: Сменить ответственное лицо на Отделка Renaissance Construction</t>
  </si>
  <si>
    <t>Святослав Грохольский: План изменен на L5_door</t>
  </si>
  <si>
    <t>Святослав Грохольский: Заголовок изменен на Нарушение правил хранения сыпучих материалов</t>
  </si>
  <si>
    <t xml:space="preserve">Святослав Грохольский: Цементно-песочная смесь маки 300 намокла под дождем.
</t>
  </si>
  <si>
    <t>Александр Светашов: Устранено</t>
  </si>
  <si>
    <t>Стойка крепления газобетонной стены, стена, выполнены с недопустимым отклонения от вертикали отм +8600</t>
  </si>
  <si>
    <t>13.L3.2.22-2</t>
  </si>
  <si>
    <t>No: 13.L3.2.22-2 (АСВ) - 2019-12-10</t>
  </si>
  <si>
    <t>Александр Светашов: Стойка крепления газобетонной стены, стена, выполнены с недопустимым отклонения от вертикали отм +8 400</t>
  </si>
  <si>
    <t>Александр Светашов: Изменен комментарий с Стойка крепления газобетонной стены, стена, выполнены с недопустимым отклонения от вертикали отм +8600 на Стойка крепления газобетонной стены, стена, выполнены с недопустимым отклонения от вертикали отм +8 400</t>
  </si>
  <si>
    <t>Александр Светашов: Дата начала изменена на дек. 10, 2019</t>
  </si>
  <si>
    <t>Александр Светашов: Дата окончания изменена на дек. 13, 2019</t>
  </si>
  <si>
    <t>Откатные складчатые ворота Alpgate 3100*2500</t>
  </si>
  <si>
    <t>Александр Светашов: Откатные складчатые ворота Alpgate 3100*2500</t>
  </si>
  <si>
    <t>Александр Светашов: Не соответствует номерам помещений в РД. Ворота не соответствуют представленным паспортам (петли 2 вместо 3, кнопка на блоке управления, нет фиксатора,мне домантированный пост управления, нет маркировки триплекс)</t>
  </si>
  <si>
    <t>Отделка Renaissance Construction: Замечания устранены предъявлено технадзору</t>
  </si>
  <si>
    <t xml:space="preserve">Наливной эпоксидный пол </t>
  </si>
  <si>
    <t>Александр Светашов: Ответственное лицо замещено Отопление и Кондиционирование Renaissance</t>
  </si>
  <si>
    <t xml:space="preserve">Александр Светашов: Наливной эпоксидный пол </t>
  </si>
  <si>
    <t>Александр Светашов: Следы неровности покрытия пола</t>
  </si>
  <si>
    <t>Александр Светашов: Дата начала изменена на янв. 31, 2020</t>
  </si>
  <si>
    <t>Отделка Renaissance Construction: Устранения и предъявлено технадзору</t>
  </si>
  <si>
    <t>Металлоконструкции, балки крепления ворот</t>
  </si>
  <si>
    <t>Not set: Затяжка болтов выполнена с нарушением. Зазоры между опорной поверхностью балки к стене, зазор между шайбой -щуп 0.3 мм. Балки окрашены не качественно, не равномерно с пропусками. Затяжка произведена без контроля усилия ключем 10 Нм. Монтажная схема рев. 01. 28.11.19. проект РД не согласован (АСВ) - 2019-12-13</t>
  </si>
  <si>
    <t>Александр Светашов: Металлоконструкции, балки крепления ворот</t>
  </si>
  <si>
    <t>Александр Светашов: Дата окончания изменена на дек. 16, 2019</t>
  </si>
  <si>
    <t>КМ Renaissance: Сменить ответственное лицо на Отделка Renaissance Construction</t>
  </si>
  <si>
    <t>Отделка Renaissance Construction: Изменена дата завершения на 18.12.2019</t>
  </si>
  <si>
    <t>Отделка Renaissance Construction: Затяжная предъявлено технадзору</t>
  </si>
  <si>
    <t>Отделка Renaissance Construction: Протокол на толщину краски приложу розже</t>
  </si>
  <si>
    <t xml:space="preserve">Гидроизоляция кровли </t>
  </si>
  <si>
    <t>No: Слои гидроизоляции укладывают на намокшее основание, протекает временный настил (АСВ) - 2019-12-16</t>
  </si>
  <si>
    <t xml:space="preserve">Александр Светашов: Гидроизоляция кровли </t>
  </si>
  <si>
    <t>Александр Светашов: Дата начала изменена на дек. 16, 2019</t>
  </si>
  <si>
    <t>Отделка Renaissance Construction: Изменена дата завершения на 28.12.2019</t>
  </si>
  <si>
    <t>Гидроизоляция полов</t>
  </si>
  <si>
    <t>Not set: Нарушена гидроизоляция пола при монтаже направляющих ворот (АСВ) - 2020-01-09</t>
  </si>
  <si>
    <t>Александр Светашов: Гидроизоляция полов</t>
  </si>
  <si>
    <t>Александр Светашов: Дата окончания изменена на янв. 12, 2020</t>
  </si>
  <si>
    <t>откосы дверей</t>
  </si>
  <si>
    <t>отделка,</t>
  </si>
  <si>
    <t>N/A: Восстановить ЗИП панель, выполнить отделку  дверных откосов (ВСО) - 2019-12-10</t>
  </si>
  <si>
    <t>Александр Светашов: #отделка, откосы дверей</t>
  </si>
  <si>
    <t>Александр Светашов: Дата начала изменена на нояб. 18, 2019</t>
  </si>
  <si>
    <t>Александр Светашов: Дата окончания изменена на нояб. 30, 2019</t>
  </si>
  <si>
    <t>Отделка Renaissance Construction: Что с ними???</t>
  </si>
  <si>
    <t>Александр Светашов: Отмеченный пункт изменен с "Восстановить ЗИП панель, выполнить отделку  дверныхоткосов" на "Восстановить ЗИП панель, выполнить отделку  дверных откосов"</t>
  </si>
  <si>
    <t>Отделка Renaissance Construction: ЗИПС панель будет восстановлена, откос будет сделан и предьявлен технадзору</t>
  </si>
  <si>
    <t>Бетонирование пола ИТП НА В1 производится без виброуплотнения</t>
  </si>
  <si>
    <t>Юрий Прасолов: Заголовок изменен на Бетонирование пола ИТП НА В1 производится без виброуплотнения</t>
  </si>
  <si>
    <t>Юрий Прасолов: Название категории изменено на Замечание стройконтроля</t>
  </si>
  <si>
    <t>Юрий Прасолов: Дата начала изменена на 19 ноября 2019 г.</t>
  </si>
  <si>
    <t>Юрий Прасолов: Приоритет изменен на лриоритет  1</t>
  </si>
  <si>
    <t>Отделка Renaissance Construction: Замечание исправлено Бетонирование пола ИТП НА В1 производится с виброуплотнением есть видео не получается прикрепить</t>
  </si>
  <si>
    <t>Александр Светашов: Протокол по прочности стяжки предоставить</t>
  </si>
  <si>
    <t>Отделка Renaissance Construction: Протокол на прочность стяжки предъявлен</t>
  </si>
  <si>
    <t>Укладка пароизоляции "Биполь" ведется на неподготовленное основание ( большое кольчество воды) Блок 2 L7 в\о 13б-18</t>
  </si>
  <si>
    <t>Антон Федоров: Заголовок изменен на Укладка пароизоляции "Биполь" ведется на неподготовленное основание ( большое кольчество воды) Блок 2 L7 в\о 13б-18</t>
  </si>
  <si>
    <t>Антон Федоров: Сменить ответственное лицо на Отделка Renaissance Construction</t>
  </si>
  <si>
    <t>Установка анкеров, кронштейнов вентфасада</t>
  </si>
  <si>
    <t>Александр Светашов: Установка анкеров, кронштейнов вентфасада</t>
  </si>
  <si>
    <t>Александр Светашов: Нарушена технология установки химических анкеров под установку кронштейнов вентфасада. Поверхность отверстия не обеспылена. Клея наносится не достаточно. Не соблюдается температурный режим. Не выдерживается время схватывания клеевого состава.</t>
  </si>
  <si>
    <t>Отделка Renaissance Construction: Исправлено и предъявлено технадзору</t>
  </si>
  <si>
    <t xml:space="preserve">Гидроизоляция полов </t>
  </si>
  <si>
    <t xml:space="preserve">Александр Светашов: Гидроизоляция полов </t>
  </si>
  <si>
    <t>Отделка Renaissance Construction: это замечание в этом же помещении уже есть</t>
  </si>
  <si>
    <t xml:space="preserve">Устройство фальшполов МЭРО  </t>
  </si>
  <si>
    <t>Not set: Основание не прочное, стойки отрываются от основания (АСВ) - 2020-01-16</t>
  </si>
  <si>
    <t xml:space="preserve">Александр Светашов: Устройство фальшполов МЭРО  </t>
  </si>
  <si>
    <t>Александр Светашов: Дата начала изменена на янв. 16, 2020</t>
  </si>
  <si>
    <t>Отделка Renaissance Construction: Сдано технадзору</t>
  </si>
  <si>
    <t>Каркас потолка</t>
  </si>
  <si>
    <t>РК-РД-2-АР01-04.06-08</t>
  </si>
  <si>
    <t>Антон Федоров: Изменена дата начала на 17.01.2020</t>
  </si>
  <si>
    <t>Антон Федоров: Изменена дата завершения на 19.01.2020</t>
  </si>
  <si>
    <t>Антон Федоров: Изменена дата завершения на 21.01.2020</t>
  </si>
  <si>
    <t>Антон Федоров: Заголовок изменен на Каркас потолка</t>
  </si>
  <si>
    <t>Антон Федоров: Работы выполнены без лазерного уровня, визуально видны расхождения в ширине балки от 50- 54 см. Балка примыкает к стене не перпендикулярно Лк 2.4 L1 ответственный подрядчик "МАКРО"</t>
  </si>
  <si>
    <t>Радиаторы отопления</t>
  </si>
  <si>
    <t>Yes: За радиатором отопления не выполнена отделка. Радиатор крепеться на фанерный лист (ОRE) - 2019-12-16</t>
  </si>
  <si>
    <t>Александр Светашов: Радиаторы отопления</t>
  </si>
  <si>
    <t xml:space="preserve">Отопление и Кондиционирование Renaissance: Заделка выполнен </t>
  </si>
  <si>
    <t>Устройство гильз под кабеля</t>
  </si>
  <si>
    <t>rc_electrical@rencons.com</t>
  </si>
  <si>
    <t>No: Гильзы под проходку кабелей через стены выступают за плоскость стен более 0.5-2.5 см (СRE) - 2019-12-03</t>
  </si>
  <si>
    <t>Александр Светашов: Устройство гильз под кабеля</t>
  </si>
  <si>
    <t>Александр Светашов: Ответственное лицо замещено Силовое оборудование Renaissance</t>
  </si>
  <si>
    <t>Александр Светашов: Дата окончания изменена на дек. 4, 2019</t>
  </si>
  <si>
    <t>В ходе операционного контроля было выявлено, что светильники в зоне свободной планировки B2.09 располагаются ниже дверных проёмов (с учётом высоты фальш-пола). Необходимо изменить высотную отметку светильников в зоне фальш-полов.</t>
  </si>
  <si>
    <t>Администратор Fieldwire: В ходе операционного контроля было выявлено, что светильники в зоне свободной планировки B2.09 располагаются ниже дверных проёмов (с учётом высоты фальш-пола). Необходимо изменить высотную отметку светильников в зоне фальш-полов.</t>
  </si>
  <si>
    <t>Администратор Fieldwire: Проверенное задание</t>
  </si>
  <si>
    <t>Администратор Fieldwire: Сменить ответственное лицо на Силовое оборудование Renaissance</t>
  </si>
  <si>
    <t>В ходе операционного контроля в помещениях ВРУ было выявлено, что обрезка кабелей большого сечения производится отрезной болгаркой (УШМ) непосредственно в панелях ВРУ, что приводит к попаданию медной стружки в труднодоступные места, в том числе в микропро</t>
  </si>
  <si>
    <t>Администратор Fieldwire: В ходе операционного контроля в помещениях ВРУ было выявлено, что обрезка кабелей большого сечения производится отрезной болгаркой (УШМ) непосредственно в панелях ВРУ, что приводит к попаданию медной стружки в труднодоступные места, в том числе в микропроцессорные схемы, между слоями жидкокристаллического экрана, в клеммные колодки, в корзины выкатных автоматических выключателей. Данный недостаток может привести к короткому замыканию, преждевременному выходу из строя дорогостоящего оборудования.
Необходимо тщательно очистить шкафы от медной стружки и других посторонних предметов. Обрезка кабельных линий должна производиться кабельными ножницами.</t>
  </si>
  <si>
    <t>Кабель ЩАО АС1.В1.2/04</t>
  </si>
  <si>
    <t>rc_sks@rencons.com</t>
  </si>
  <si>
    <t>Yes: Гильзы проходов кабеля через стены выступают за плоскость стен более чем на 8 мм. (АСВ) - 2019-12-03</t>
  </si>
  <si>
    <t>Александр Светашов: Кабель ЩАО АС1.В1.2/04</t>
  </si>
  <si>
    <t>Александр Светашов: Ответственное лицо замещено Слаботочные Системы Renaissance</t>
  </si>
  <si>
    <t>Слаботочные Системы Renaissance: Исправлено.</t>
  </si>
  <si>
    <t>Слаботочные Системы Renaissance: Завершенное задание</t>
  </si>
  <si>
    <t>Слаботочные Системы Renaissance: Заменили гильзы.</t>
  </si>
  <si>
    <t>Устройство кабеля КИПвЭнг, КППГ. Прокладка кабеля не завершена. Гильзы для кабеля через стены выступают за плоскость стен. Не выполнить работы по устройству противопожарных дисков</t>
  </si>
  <si>
    <t>Александр Светашов: Устройство кабеля КИПвЭнг, КППГ. Прокладка кабеля не завершена. Гильзы для кабеля через стены выступают за плоскость стен. Не выполнить работы по устройству противопожарных дисков</t>
  </si>
  <si>
    <t>Слаботочные Системы Renaissance: Исправлено</t>
  </si>
  <si>
    <t>Кровля Пароизоляция L4 в осях 18-19</t>
  </si>
  <si>
    <t>L4_Приемка помещений</t>
  </si>
  <si>
    <t>Юрий Прасолов: Заголовок изменен на Кровля Пароизоляция эль четыре в осях 18:19</t>
  </si>
  <si>
    <t>Юрий Прасолов: Заголовок изменен на Кровля Пароизоляция L4 в осях 18-19</t>
  </si>
  <si>
    <t>Юрий Прасолов: Устройство слоя наплавляемой пароизоляции на кровле в осях 18-19/ ..... L4 производится на мокрое основание. Необходимо высушить основание и предъявить повторно.</t>
  </si>
  <si>
    <t>Юрий Прасолов: Изменена дата начала на 01.11.2019</t>
  </si>
  <si>
    <t>Юрий Прасолов: Изменена дата завершения на 03.11.2019</t>
  </si>
  <si>
    <t>Юрий Прасолов: План изменен на L3_Приемка помещений</t>
  </si>
  <si>
    <t>Юрий Прасолов: План изменен на L4_Приемка помещений</t>
  </si>
  <si>
    <t>В ходе приемочного контроля фасадных панелей в\о 1-8 вдоль оси 3\А был обнаружен один разбитый СТП вдоль оси 3 и несоответствия зазоров между профилями</t>
  </si>
  <si>
    <t>Замечание фасады</t>
  </si>
  <si>
    <t>РК-РД-2-АР09.1-05.04-09 с комментариями</t>
  </si>
  <si>
    <t>АР09.1-Фасады-Панели</t>
  </si>
  <si>
    <t>Антон Федоров: Заголовок изменен на В ходе приемочного контроля фасадных панелей в\о 1-8 вдоль оси</t>
  </si>
  <si>
    <t>Антон Федоров: Заголовок изменен на В ходе приемочного контроля фасадных панелей в\о 1-8 вдоль оси 3\А</t>
  </si>
  <si>
    <t>Антон Федоров: Изменена дата начала на 12.12.2019</t>
  </si>
  <si>
    <t>Антон Федоров: Изменена дата завершения на 19.12.2019</t>
  </si>
  <si>
    <t>Антон Федоров: Заголовок изменен на В ходе приемочного контроля фасадных панелей в\о 1-8 вдоль оси 3\А был обнаружен один разбитый СТП вдоль оси 3 и несоответствия зазоров между профилями</t>
  </si>
  <si>
    <t>Александр Лесюта: Завершенное задание</t>
  </si>
  <si>
    <t>Александр Лесюта: Проверенное задание</t>
  </si>
  <si>
    <t>Стартовый модуль ( Блок 2 В1 с отм.+5,663м. до +7,851м.) не освидетельствован, подрядчиком ведутся работы по монтажу вышележащих панелей , отсутствует ИГС</t>
  </si>
  <si>
    <t>РК-РД-2-АР09.2-05.03-05_комм</t>
  </si>
  <si>
    <t>Антон Федоров: Название категории изменено на Замечание фасады</t>
  </si>
  <si>
    <t>Антон Федоров: Изменена дата начала на 30.11.2019</t>
  </si>
  <si>
    <t>Антон Федоров: Заголовок изменен на Стартовый модуль не освидетельствован, подрядчиком ведутся работы по монтажу вышележащих панелей</t>
  </si>
  <si>
    <t>Антон Федоров: Заголовок изменен на Стартовый модуль не освидетельствован, подрядчиком ведутся работы по монтажу вышележащих панелей , отсутствует ИГС</t>
  </si>
  <si>
    <t>Антон Федоров: Заголовок изменен на Стартовый модуль ( Блок 2 В1 отм. не освидетельствован, подрядчиком ведутся работы по монтажу вышележащих панелей , отсутствует ИГС</t>
  </si>
  <si>
    <t>Антон Федоров: Заголовок изменен на Стартовый модуль ( Блок 2 В1 отм. +7,851 не освидетельствован, подрядчиком ведутся работы по монтажу вышележащих панелей , отсутствует ИГС</t>
  </si>
  <si>
    <t>Антон Федоров: Заголовок изменен на Стартовый модуль ( Блок 2 В1 с отм.+5,663м. до +7,851м.) не освидетельствован, подрядчиком ведутся работы по монтажу вышележащих панелей , отсутствует ИГС</t>
  </si>
  <si>
    <t>Антон Федоров: Изменена дата завершения на 02.12.2019</t>
  </si>
  <si>
    <t>Антон Федоров: Изменена дата завершения на 06.12.2019</t>
  </si>
  <si>
    <t>Владимир Собченко: Сменить ответственное лицо на Фасад Renaissance</t>
  </si>
  <si>
    <t>Владимир Собченко: Изменена дата завершения на 10.12.2019</t>
  </si>
  <si>
    <t>Защита фасадных модулей, Блок А1</t>
  </si>
  <si>
    <t>ФС_Тип 11 Вертикальный внутренний теплый модульный фасад КВД и Световых колодцев. Структурное остекление</t>
  </si>
  <si>
    <t>Александр Лесюта: Заголовок изменен на Защита фасадных модулей, Блок А1</t>
  </si>
  <si>
    <t>Александр Лесюта: Приоритет изменен на 1</t>
  </si>
  <si>
    <t>Александр Лесюта: Местоположение изменено на РК-РД-2-АР09.1-05.06 Развертка в осях Б-Ш</t>
  </si>
  <si>
    <t>Александр Лесюта: Изменена дата начала на 22.11.2019</t>
  </si>
  <si>
    <t>Александр Лесюта: Местоположение изменено на ФС_Тип 11 Вертикальный внутренний теплый модульный фасад КВД и Световых колодцев. Структурное остекление</t>
  </si>
  <si>
    <t>Александр Лесюта: Сменить ответственное лицо на Фасад Renaissance</t>
  </si>
  <si>
    <t xml:space="preserve">Александр Лесюта: При производстве операционного контроля выявлено что фасадные модули блока А1, преимущественно в уровнях 8-13, вдоль осей 1/7, В,  некоторые модули в нарушение ППРф1-ТК4  не имеют защитного покрытия Milaflex, с внутренней стороны модуля, что может привести к повреждениям стекла. Нанести защитное покрытие в соответствии с ППРф1-ТК4.
</t>
  </si>
  <si>
    <t>Смонтированные панели не соответствуют РД, заменить на непрозрачные 8шт. B2, торец  L4</t>
  </si>
  <si>
    <t>Александр Лесюта: Изменена дата начала на 12.11.2019</t>
  </si>
  <si>
    <t>Александр Лесюта: Изменена дата завершения на 30.11.2019</t>
  </si>
  <si>
    <t>Александр Лесюта: Заголовок изменен на Смонтированные панели не соответствуют РД, заменить на непрозрачные 8шт.</t>
  </si>
  <si>
    <t>Александр Лесюта: Название категории изменено на Фасады</t>
  </si>
  <si>
    <t>Александр Лесюта: Изменена дата начала на 18.11.2019</t>
  </si>
  <si>
    <t>Александр Лесюта: Заголовок изменен на Смонтированные панели не соответствуют РД, заменить на непрозрачные 8шт. B2, L4</t>
  </si>
  <si>
    <t>Александр Лесюта: Заголовок изменен на Смонтированные панели не соответствуют РД, заменить на непрозрачные 8шт. B2, торец  L4</t>
  </si>
  <si>
    <t>Владимир Собченко: Изменена дата завершения на 15.01.2020</t>
  </si>
  <si>
    <t>Базовый стальной профиль (входная группа А1), АКЗ, сварка</t>
  </si>
  <si>
    <t>РК-РД-2-АР09.1-04.44-02 (3)</t>
  </si>
  <si>
    <t>Александр Лесюта: Заголовок изменен на Базовый стальной профиль (входная группа А1), АКЗ, сварка</t>
  </si>
  <si>
    <t xml:space="preserve">Александр Лесюта: В ходе операционного контроля выявлено : металлический  базовый стального профиль в осях 3А, отм.-4,450 монтируется без входного контроля, данная конструкция поступила на строительную площадку с замечаниями по АКЗ (отсутствует полностью). 
Замечаниями по сварке (подрезы, брызги, наплывы и т.д.).
Устранить замечания в соответствии с ТК, работы предъявить службе СК. </t>
  </si>
  <si>
    <t>Владимир Собченко: Изменена дата начала на 02.12.2019</t>
  </si>
  <si>
    <t>Владимир Собченко: Изменена дата завершения на 20.12.2019</t>
  </si>
  <si>
    <t>Замечания к монтажу панелей, В1, L1,2 , Е/К-20</t>
  </si>
  <si>
    <t>Александр Лесюта: Заголовок изменен на Замечания к монтажу панелей, В1, L1,2 , Е/К-20</t>
  </si>
  <si>
    <t xml:space="preserve">Александр Лесюта: При производстве операционного контроля выявлено : на фиксирующей шпильке панелей первого уровня недостаточно резьбы для полной фиксации, необходимо разработать и согласовать новое решение, не везде установлены фиксирующие винты, отсутствует участок стартового профиля под панелями. Профиль имеет неравномерные зазоры. Привести панели в соответствие РД. </t>
  </si>
  <si>
    <t>Александр Лесюта: Название категории изменено на Замечание фасады</t>
  </si>
  <si>
    <t>Александр Лесюта: План изменен на РК-РД-2-АР09.2-05.03-05_комм</t>
  </si>
  <si>
    <t>Владимир Собченко: Изменена дата начала на 26.11.2019</t>
  </si>
  <si>
    <t>Владимир Собченко: Изменена дата завершения на 23.12.2019</t>
  </si>
  <si>
    <t>Повреждение ЛКП панелей блока В1, L4, внешний радиус ось 20.</t>
  </si>
  <si>
    <t>Александр Лесюта: Заголовок изменен на Повреждение ЛКП панелей блока В1, L4, внешний радиус ось 20.</t>
  </si>
  <si>
    <t>Александр Лесюта: При производстве операционного контроля панелей, 2 шт,  блока В1, L4, внешний радиус ось 20 обнаружены значительные повреждения ЛКП , а так же фак их некачественного ремонта. Выполнить ремонт ЛКП в соответствии с тех. регламентом. Работы предъявить службе СК.</t>
  </si>
  <si>
    <t>Александр Лесюта: Изменена дата начала на 27.12.2019</t>
  </si>
  <si>
    <t>Александр Лесюта: Изменена дата завершения на 30.01.2020</t>
  </si>
  <si>
    <t>В ходе операционного контроля были выявлены замечания к ранее выполненным работам по монтажу фасадных конструкций блока А1 на отм. +4,050 (L2), в осях Д/Ф – 7. В частности, замятие уплотнительных прокладок между панелями, несовпадение дренажных отверстий,</t>
  </si>
  <si>
    <t>L2_Блок 1_A1</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</si>
  <si>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+4,050 (L2), в осях Д/Ф – 7. В частности, замятие уплотнительных прокладок между панелями,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</si>
  <si>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L2_Блок 1_A1</t>
  </si>
  <si>
    <t>Администратор Fieldwire: Замечание Латиста 1282</t>
  </si>
  <si>
    <t>Владимир Собченко: Название категории изменено на Замечание фасады</t>
  </si>
  <si>
    <t>Александр Лесюта: Изменена дата завершения на 15.03.2020</t>
  </si>
  <si>
    <t>В ходе операционного контроля были выявлены замечания к ранее выполненным работам по монтажу фасадных конструкций на отм. +12,600 (L4), в осях 1/Б – 16/21. В частности, замятие уплотнительных прокладок между панелями, неравномерные зазоры между декоративн</t>
  </si>
  <si>
    <t>L4_Блок 2_B1</t>
  </si>
  <si>
    <t>Администратор Fieldwire: В ходе операционного контроля были выявлены замечания к ранее выполненным работам по монтажу фасадных конструкций на отм. +12,600 (L4), в осях 1/Б – 16/21.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</si>
  <si>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L4_Блок 2_B1</t>
  </si>
  <si>
    <t>Администратор Fieldwire: Замечание Латиста 1235</t>
  </si>
  <si>
    <t>Александр Лесюта: Изменена дата завершения на 01.03.2020</t>
  </si>
  <si>
    <t>В ходе операционного контроля были выявлены замечания к ранее выполненным работам по монтажу фасадных конструкций блока А1 на отм. +4,200 (L2), в осях 8/1 / К – 1. В частности, замятие уплотнительных прокладок между панелями, неравномерные зазоры между де</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</si>
  <si>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+4,200 (L2), в осях 8/1 / К – 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</si>
  <si>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Замечание Латиста 1278</t>
  </si>
  <si>
    <t>В ходе операционного контроля были выявлены замечания к ранее выполненным работам по монтажу фасадных конструкций блока А1 на отм. +8,250 (L3), в осях Д / Т/1 – 7. В частности, замятие уплотнительных прокладок между панелями, несовпадение дренажных отверс</t>
  </si>
  <si>
    <t>L3_Блок 1_A1</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</si>
  <si>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+8,250 (L3), в осях Д / Т/1 – 7. В частности, замятие уплотнительных прокладок между панелями,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</si>
  <si>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L3_Блок 1_A1</t>
  </si>
  <si>
    <t>Администратор Fieldwire: Замечание Латиста 1283</t>
  </si>
  <si>
    <t>При производстве операционного контроля производства работ на блоке А1 в осях 1/Э - 1Б/8 (внешний радиус) выявлены отверстия между уплотнительными прокладками в местах примыкания панелей к кронштейнам второй нитки остекления. Разработать и согласовать реш</t>
  </si>
  <si>
    <t>L1_Блок 1_A1</t>
  </si>
  <si>
    <t>Администратор Fieldwire: При производстве операционного контроля производства работ на блоке А1 в осях 1/Э - 1Б/8 (внешний радиус) выявлены  отверстия между уплотнительными прокладками в местах примыкания панелей к кронштейнам второй нитки остекления. Разработать и согласовать решение по заполнению данных отверстий.</t>
  </si>
  <si>
    <t>Администратор Fieldwire: Местоположение изменено на L1_Блок 1_A1</t>
  </si>
  <si>
    <t>Администратор Fieldwire: Замечание Латиста 1253</t>
  </si>
  <si>
    <t>Владимир Собченко: Изменена дата завершения на 30.11.2019</t>
  </si>
  <si>
    <t>В ходе операционного контроля были выявлены замечания к ранее выполненным работам по монтажу фасадных конструкций блока А1 на отм. +0,000 (L1), в осях 8/1 / К – 1. В частности, замятие уплотнительных прокладок между панелями, неравномерные зазоры между де</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</si>
  <si>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+0,000 (L1), в осях 8/1 / К – 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</si>
  <si>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Замечание Латиста 1277</t>
  </si>
  <si>
    <t>В ходе операционного контроля были выявлены замечания к ранее выполненным работам по монтажу фасадных конструкций блока А1 на отм. +8,400 (L3), в осях 8/1 / К – 1. В частности, замятие уплотнительных прокладок между панелями, неравномерные зазоры между де</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</si>
  <si>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+8,400 (L3), в осях 8/1 / К – 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</si>
  <si>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Замечание Латиста 1279</t>
  </si>
  <si>
    <t>В ходе операционного контроля были выявлены замечания к ранее выполненным работам по монтажу фасадных конструкций блока А1 на отм. +12,600 (L4), в осях Ш/К – 1. В частности, замятие уплотнительных прокладок между панелями, неравномерные зазоры между декор</t>
  </si>
  <si>
    <t>L4_Блок 1_A1</t>
  </si>
  <si>
    <t>Администратор Fieldwire: В ходе операционного контроля были выявлены замечания к ранее выполненным работам по монтажу фасадных конструкций блока А1 на отм. +12,600 (L4), в осях Ш/К – 1.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</si>
  <si>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L4_Блок 1_A1</t>
  </si>
  <si>
    <t>Администратор Fieldwire: Замечание Латиста 1280</t>
  </si>
  <si>
    <t>В ходе операционного контроля были выявлены замечания к ранее выполненным работам по монтажу фасадных конструкций блока В2 на отм. +0,000 (L1), в осях 22 / 34/1 – 13/Б. В частности, замятие уплотнительных прокладок между панелями, неравномерные зазоры меж</t>
  </si>
  <si>
    <t>L1_Блок 3_B2</t>
  </si>
  <si>
    <t>Администратор Fieldwire: В ходе операционного контроля были выявлены замечания к ранее выполненным работам по монтажу фасадных конструкций блока В2 на отм. +0,000 (L1), в осях 22 / 34/1 – 13/Б.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</si>
  <si>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L1_Блок 3_B2</t>
  </si>
  <si>
    <t>Администратор Fieldwire: Замечание Латиста 1288</t>
  </si>
  <si>
    <t>В ходе операционного контроля были выявлены замечания к ранее выполненным работам по монтажу фасадных конструкций блока В2 на отм. +4,200 (L2), в осях 22 / 34/1 – 13/Б. В частности, замятие уплотнительных прокладок между панелями, неравномерные зазоры меж</t>
  </si>
  <si>
    <t>L2_Блок 3_B2</t>
  </si>
  <si>
    <t>Администратор Fieldwire: В ходе операционного контроля были выявлены замечания к ранее выполненным работам по монтажу фасадных конструкций блока В2 на отм. +4,200 (L2), в осях 22 / 34/1 – 13/Б. В частности, замятие уплотнительных прокладок между панелями, неравномерные зазоры между декоративными алюминиевыми крышками, царапины на декоративных алюминиевых крышках, несовпадение дренажных отверстий, данные дефекты обнаружены локально по всему указанному участку.
Необходимо выполнить ремонт и исправление локальных дефектов в соответствии с регламентом, с последующим предъявлением службе строительного контроля.</t>
  </si>
  <si>
    <t>Администратор Fieldwire: Местоположение изменено на L2_Блок 3_B2</t>
  </si>
  <si>
    <t>Администратор Fieldwire: Замечание Латиста 1289</t>
  </si>
  <si>
    <t>В ходе инспекционного контроля монтажа фасадных элементов блока В1, L1, было выявлено что рамы панелей 13-03-349-70-000 фасада Тип 13, имеют сверхдопустимые раскрытия нижнего стыка, более 0.2 мм данные дефекты необходимо исправить, разработать мероприятия</t>
  </si>
  <si>
    <t>L1_Блок 2_B1</t>
  </si>
  <si>
    <t>Администратор Fieldwire: В ходе инспекционного контроля монтажа фасадных элементов блока В1, L1, было выявлено что рамы панелей 13-03-349-70-000  фасада Тип 13, имеют сверхдопустимые раскрытия нижнего стыка, более 0.2 мм данные дефекты необходимо исправить, разработать мероприятия по устранению данных зазоров, согласовать их с представителями строительного контроля и AECOM.</t>
  </si>
  <si>
    <t>Администратор Fieldwire: Местоположение изменено на L1_Блок 2_B1</t>
  </si>
  <si>
    <t>Администратор Fieldwire: Замечание Латиста 1310</t>
  </si>
  <si>
    <t>В ходе инспекционного контроля смонтированных фасадных элементов было выявлено что фасадный модуль 04-01-С5-01, на блоке А2, L1 по оси 1/Б - 8 , имеет визуальный дефект, зеркальность модуля не соответствует согласованному образцу. Необходимо заменить данн</t>
  </si>
  <si>
    <t>L1_Блок 2_A2</t>
  </si>
  <si>
    <t>Администратор Fieldwire: В ходе инспекционного контроля смонтированных фасадных элементов было выявлено что фасадный модуль 04-01-С5-01, на блоке А2, L1 по оси 1/Б - 8 , имеет визуальный дефект, зеркальность модуля не соответствует согласованному образцу. Необходимо заменить данный модуль.</t>
  </si>
  <si>
    <t>Администратор Fieldwire: Местоположение изменено на L1_Блок 2_A2</t>
  </si>
  <si>
    <t>Администратор Fieldwire: Замечание Латиста 1311</t>
  </si>
  <si>
    <t>Александр Лесюта: Изменена дата завершения на 20.12.2019</t>
  </si>
  <si>
    <t>Александр Лесюта: Изменена дата завершения на 01.02.2020</t>
  </si>
  <si>
    <t>При осуществлении операционного контроля производства работ на блоке С , L2, отм+4,200, было выявлено ,что панель, установленная справа от оси 15/Н, не соответствует рабочей документации, полностью не прозрачна. Заменить панель на проектную, 11-05-097-СВ-</t>
  </si>
  <si>
    <t>L2_Блок 2_C</t>
  </si>
  <si>
    <t>Администратор Fieldwire: При осуществлении операционного контроля производства работ на блоке С , L2, отм+4,200, было выявлено ,что панель, установленная справа от оси 15/Н, не соответствует рабочей документации, полностью не прозрачна. Заменить панель на проектную, 11-05-097-СВ-17Х.</t>
  </si>
  <si>
    <t>Администратор Fieldwire: Местоположение изменено на L2_Блок 2_C</t>
  </si>
  <si>
    <t>Администратор Fieldwire: Замечание Латиста 1340</t>
  </si>
  <si>
    <t>При производстве операционного контроля работ на блоках А2,А3,В2, уровень L1, отм. +0.000, оси 8/Б, 10/Б, 13/Б, было обнаружено повреждение цинкового покрытия кронштейнов ржавчиной, из-за длительного нахождения в воде. Обеспечить нормальные условия эксплу</t>
  </si>
  <si>
    <t>Администратор Fieldwire: При производстве операционного контроля работ на блоках А2,А3,В2, уровень L1, отм. +0.000, оси 8/Б, 10/Б, 13/Б, было обнаружено повреждение цинкового покрытия кронштейнов ржавчиной, из-за длительного нахождения в воде. Обеспечить нормальные условия эксплуатации конструкций, удалить воду, произвести ремонт цинкового покрытия согласно технологическому регламенту, работы предъявить службе стоительного контртоля.</t>
  </si>
  <si>
    <t>Администратор Fieldwire: Замечание Латиста 1343</t>
  </si>
  <si>
    <t>Александр Лесюта: Изменена дата завершения на 31.01.2020</t>
  </si>
  <si>
    <t>При производстве операционного контроля было выявлено что пулестойкие панели Тип23, блока А1, этаж 7, 7.1, по оси 8, имеют значительные визуальные искажения отражаемого света, "линзу", необходимо произвести замеры и классификацию данного дефекта совместно</t>
  </si>
  <si>
    <t>Администратор Fieldwire: При производстве операционного контроля было выявлено что пулестойкие панели Тип23, блока А1, этаж 7, 7.1, по оси 8, имеют значительные визуальные искажения отражаемого света, "линзу", необходимо произвести замеры и классификацию данного дефекта совместно со службой строительного контроля.</t>
  </si>
  <si>
    <t>Администратор Fieldwire: Замечание Латиста 1351</t>
  </si>
  <si>
    <t>Установка верхнего оцинкованного листа противопожарной отсечки
А1, L13(+50.370), Эрлайн , Фасад Тип-4, оси В÷Д / 1, 24м.</t>
  </si>
  <si>
    <t>Александр Лесюта: Название категории изменено на Приемочный контроль</t>
  </si>
  <si>
    <t>Александр Лесюта: Заголовок изменен на Установка верхнего оцинкованного листа противопожарной отсечки
А1, L13(+50.370),Эрлайн, Фасад Тип-4, оси В÷Д / 1, 24м.</t>
  </si>
  <si>
    <t>Александр Лесюта: Заголовок изменен на Установка верхнего оцинкованного листа противопожарной отсечки
А1, L13(+50.370), Эрлайн , Фасад Тип-4, оси В÷Д / 1, 24м.</t>
  </si>
  <si>
    <t>Александр Лесюта: Изменена дата начала на 06.01.2020</t>
  </si>
  <si>
    <t xml:space="preserve">Александр Лесюта: При осуществлении приемочного контроля  верхнего оцинкованного листа противопожарной отсечки
А1, L13(+50.370), Эрлайн , Фасад Тип-4, оси В÷Д / 1, 24м, были выявлены многочисленные дефекты, а именно: применение не проектного крепежа, сверхдопустимые зазоры, отсутствие крепежа. Данные замечания необходимо устранить и предъявить данный участок повторно.
</t>
  </si>
  <si>
    <t>Александр Лесюта: Изменена дата завершения на 10.01.2020</t>
  </si>
  <si>
    <t xml:space="preserve">Александр Лесюта: Так же некоторые листы имеют недостаточную ширину и малый нахлест , необходимо применять листы большей ширины. </t>
  </si>
  <si>
    <t>При производстве входного контроля было выявлено что панели, смонтированные на блоке В2, в осях 29-30/10Б, отм +8.250, L3 , не имеют верхних ламелей в области решеток . Необходимо установить недостающие элементы.</t>
  </si>
  <si>
    <t>L3_Блок 3_B2</t>
  </si>
  <si>
    <t>Администратор Fieldwire: При производстве входного контроля было выявлено что панели, смонтированные на блоке В2, в осях 29-30/10Б, отм +8.250, L3 , не имеют верхних ламелей в области решеток . Необходимо установить недостающие элементы.</t>
  </si>
  <si>
    <t>Администратор Fieldwire: Местоположение изменено на L3_Блок 3_B2</t>
  </si>
  <si>
    <t>Администратор Fieldwire: Замечание Латиста 1322</t>
  </si>
  <si>
    <t>Владимир Собченко: Изменена дата завершения на 10.01.2020</t>
  </si>
  <si>
    <t>Блок С, верхний ряд панелей в осях Д/Ф-М.  Доработка и несогласованный монтаж.</t>
  </si>
  <si>
    <t>Александр Лесюта: Заголовок изменен на Блок С, верхний ряд панелей в осях</t>
  </si>
  <si>
    <t>Александр Лесюта: Заголовок изменен на Блок С, верхний ряд панелей в осях Д/Ф-М.  Доработка и демонтаж.</t>
  </si>
  <si>
    <t>Александр Лесюта: Заголовок изменен на Блок С, верхний ряд панелей в осях Д/Ф-М.  Доработка и несогласованный монтаж.</t>
  </si>
  <si>
    <t>Александр Лесюта: При производстве операционного контроля выявлено что панели верхнего ряда блока С, в осях Д/Ф-М, не соответствуют проекту, необходимо их доработать, установив корректную обшивку в соответствии с РД, так же смонтированы панели в не согласованной зоне, в осях Н/Д. Необходимо согласовать РД  для данной зоны монтажа.</t>
  </si>
  <si>
    <t>Александр Лесюта: Изменена дата начала на 03.02.2020</t>
  </si>
  <si>
    <t>Александр Лесюта: Изменена дата завершения на 28.02.2020</t>
  </si>
  <si>
    <t>Вторая нитка остекления, А1, замечания к монтажу металлических конструкций и стекол.</t>
  </si>
  <si>
    <t>Александр Лесюта: Заголовок изменен на Вторая нитка остекления, А1, замечания к монтажу металлических конструкций и стекол.</t>
  </si>
  <si>
    <t xml:space="preserve">Александр Лесюта: При производстве операционного контроля выявлено что конструкции второй нитки остекления блока А1 имеют некачественные подкладки из резины под стеклами, они не закреплены, необходимо предоставить на согласование узел их крепления , так же подкладки имеют трещины, необходимо предоставить паспорт качества на материал, треснувшие заменить.  Стекла имеют шлифованные кромки, что не соответствует РД, в РД они полированные. Металлические конструкции имеют многочисленные повреждения ЛКП  , необходимо предусмотреть защиту от повреждения, согласовать ее тип с заказчиком. </t>
  </si>
  <si>
    <t>Приемочный контроль кронштейнов А2, L4 ,  8/2-8/3, 1/Б</t>
  </si>
  <si>
    <t>Александр Лесюта: Заголовок изменен на Приемочный контроль кронштейнов А2, L4 ,  8/2-8/3, 1/Б</t>
  </si>
  <si>
    <t>Александр Лесюта: В ходе приемочного контроля  кронштейнов А2, L4 ,  8/2-8/3, 1/Б, выявлено: при монтаже повреждена гидроизоляция, прилегающая к парапету и полу, необходимо согласовать проектное решение по ее восстановлению и выполнить его, работы предъявить службе СК. 
В кронштейне между осями 8-8/2 отсутствует анкер, т.к. не возможно пробурить отверстие из-за малого расстояния до колонны, разработать решение по устранению, выполнить , предъявить службе СК.</t>
  </si>
  <si>
    <t>Александр Лесюта: Изменена дата начала на 06.02.2020</t>
  </si>
  <si>
    <t>Александр Лесюта: Изменена дата завершения на 08.02.2020</t>
  </si>
  <si>
    <t>Броне пластины пулестойкого фасада, А1, L8.</t>
  </si>
  <si>
    <t>Александр Лесюта: Заголовок изменен на Броне пластины пулестойкого фасада, А1, L8.</t>
  </si>
  <si>
    <t>Александр Лесюта: При производстве операционного контроля монтажа броне пластин пулестойкого фасада выявлено: между пластинами присутствуют сверхдопустимые зазоры, что является недопустимым дефектом, работа в таком виде не может быть принята.</t>
  </si>
  <si>
    <t>Александр Лесюта: Изменена дата начала на 07.02.2020</t>
  </si>
  <si>
    <t>Противопожарная отсечка, верхний лист, Блок А1, L3, оси 7Б/Л-У</t>
  </si>
  <si>
    <t>Александр Лесюта: Заголовок изменен на Противопожарная отсечка, верхний лист, Блок А1, L3, оси 7Б/</t>
  </si>
  <si>
    <t>Александр Лесюта: Заголовок изменен на Противопожарная отсечка, верхний лист, Блок А1, L3, оси 7Б/Л-У</t>
  </si>
  <si>
    <t xml:space="preserve">Александр Лесюта: При производстве операционного контроля верхнего листа противопожарной отсечки Блок А1, L3, оси 7Б/Л-У, выявлено что крепление листа в виде клипсы отсутствует, произвести ее монтаж в соответствии с РД, либо согласовать другое решение по креплению оцинкованного листа. </t>
  </si>
  <si>
    <t>Александр Лесюта: Изменена дата начала на 14.01.2020</t>
  </si>
  <si>
    <t>Александр Лесюта: Изменена дата завершения на 21.01.2020</t>
  </si>
  <si>
    <t xml:space="preserve">Александр Лесюта: Данное замечание так же распространяется на А1, L4, оси Д-И, Л-Р.
 </t>
  </si>
  <si>
    <t>А3, L7, 34/1  панель отличается по цвету от проектного.</t>
  </si>
  <si>
    <t>Александр Лесюта: Заголовок изменен на А3, L6,</t>
  </si>
  <si>
    <t>Александр Лесюта: Заголовок изменен на А3, L7,  пакет отличается по цвету</t>
  </si>
  <si>
    <t>Александр Лесюта: Заголовок изменен на А3, L7, 34/1  пакет отличается по цвету от проектного.</t>
  </si>
  <si>
    <t>Александр Лесюта: Заголовок изменен на А3, L7, 34/1  панель отличается по цвету от проектного.</t>
  </si>
  <si>
    <t xml:space="preserve">Александр Лесюта: При производстве операционного контроля выявлено: А3, L7, 34/1  панель отличается по цвету от проектного, произвести замену панели на соответствующую РД
. </t>
  </si>
  <si>
    <t>Александр Лесюта: Изменена дата начала на 10.02.2020</t>
  </si>
  <si>
    <t>Александр Лесюта: Изменена дата завершения на 30.03.2020</t>
  </si>
  <si>
    <t>Блок С,  L3, повреждения алюминиевого профиля фасадных панелей.</t>
  </si>
  <si>
    <t>Александр Лесюта: Заголовок изменен на Блок С,  L3, повреждения алюминиевого профиля фасадных панелей.</t>
  </si>
  <si>
    <t>Александр Лесюта: Изменена дата начала на 20.01.2020</t>
  </si>
  <si>
    <t>Александр Лесюта: В ходе операционного контроля были обнаружены 3 панели имеющие повреждения алюминиевого профиля, находящиеся на L3, блок С, в осях 13/1Г, (+1500, +4500). Внести данные панели в дефектную ведомость. Произвести ремонт согласно ТК, предъявить повторно службе строительного контроля.</t>
  </si>
  <si>
    <t>Монтаж стального и алюминиевого профиля светового колодца в осях 10-12/3-5. Блок 2, А2</t>
  </si>
  <si>
    <t xml:space="preserve">Александр Лесюта: В ходе операционного контроля выполнения работ по монтажу стальных конструкций 
и алюминиевого профиля светового колодца в осях 10-12/3-5. Блок 2, А2, выявлены следующие замечания : 
1.	Отсутствует согласованная, даже с замечаниями РД 
2.	Субподрядчик работает фактически по листам со статусом Отклонено, при этом не учитывает комментарии, выданные ему ранее.
3.	Предоставленная ИГС не учитывает высотный допуск в 0.5 мм.
4.	 См фото №1 – в конструкции имеются закушенные/заклинившие болты из нержавеющей стали
5.	См фото №2 – В зоне прилегания кронштейнов к балке имеются зазоры более 0.3 мм
6.	См фото №3,4,5 – Субподрядчиком произведен некачественный ремонт ЛКП балки, имеются цветовые 
пятна в видимой зоне, резко отличные по цвету, так же присутствуют повреждения ЛКП.
7.	См фото №6 - Шаг саморезов не соответствует комментариям к РД, он более 125мм(с одной стороны профиля)
8.	См фото №7 - В профиле присутствуют стыки, не предусмотренные проектом
9.	См фото №9  - Гаскет светового колодца загрязнен, не укрыт. 
Приемка данного вида работ невозможна так как отсутствует РД и присутствует большое количество замечаний .
</t>
  </si>
  <si>
    <t>Александр Лесюта: Заголовок изменен на Монтаж стального и алюминиевого профиля светового колодца в осях 10-12/3-5. Блок 2, А2</t>
  </si>
  <si>
    <t>Александр Лесюта: 10. Отсутствует АКЗ сварных соединений</t>
  </si>
  <si>
    <t>Александр Лесюта: Изменена дата начала на 21.01.2020</t>
  </si>
  <si>
    <t xml:space="preserve">Александр Лесюта: 11. Соединение балок с основным металлом имеет зазоры до 10мм. </t>
  </si>
  <si>
    <t>Александр Лесюта: При осуществлении операционного контроля выявлено: Фасадный подрядчик осуществляет монтаж резинового уплотнителя, не смотря на то что металлические под конструкции(балки) и алюминиевый профиль на них не приняты строительным контролем, и не сдавались повторно. 
Необходимо выполнить:
1.  герметизацию стыков главных балок и кронштейнов в соответствии с требованиями РД и технологических норм, исправить существующую.
2. предъявить ровность алюминиевого профиля, смонтированного с проектным допуском по высоте 0.5мм
3. предъявить ИГС на стальные балки, соответствующий требованиям РД по допускам
Дальнейшие работы без освидетельствования предыдущих не могут быть приняты.</t>
  </si>
  <si>
    <t>Александр Лесюта: 4. Заменить болты и гайки, поврежденные сваркой либо со следами сварки.</t>
  </si>
  <si>
    <t>Монтаж фасадных панелей в/о 16-18 в доль оси 3/А с отм.+12,570 до отм.+16,770</t>
  </si>
  <si>
    <t>п123_устройство_конструкции</t>
  </si>
  <si>
    <t>Yes: 2,1. Устройство конструкции выполнено в соответствии с проектом (АБИ) - 2019-12-15</t>
  </si>
  <si>
    <t>No: 2,2. При выполнении работ использовались материалы, прошедшие входной контроль (АБИ) - 2019-12-15</t>
  </si>
  <si>
    <t>Yes: 2,3. Конструкция проверена на соответствие проектным требованиям. Замечаний нет.  (ФRE) - 2019-12-15</t>
  </si>
  <si>
    <t>Yes: 2,4. Плановое положение и высотные отметки конструкции соответствует проекту. Отклонения не превышают нормативных (АБИ) - 2019-12-15</t>
  </si>
  <si>
    <t>No: 4,1. Наличие актов освидетельствования скрытых работ (АБИ) - 2019-12-15</t>
  </si>
  <si>
    <t>Yes: 4,2. Наличие и корректность исполнительной геодезической схемы (АБИ) - 2019-12-15</t>
  </si>
  <si>
    <t>Yes: 4,3. Наличие записей в журналах работ (АБИ) - 2019-12-15</t>
  </si>
  <si>
    <t>Yes: 4,4. Наличие паспортов и сертификатов на конструкцию и ее элементы (АБИ) - 2019-12-15</t>
  </si>
  <si>
    <t xml:space="preserve">Алексей Бирюков: Заголовок изменен на Монтаж фасадных панелей </t>
  </si>
  <si>
    <t>Алексей Бирюков: Дата начала изменена на 15 декабря 2019 г.</t>
  </si>
  <si>
    <t>Алексей Бирюков: Название категории изменено на Приемочный контроль</t>
  </si>
  <si>
    <t>Алексей Бирюков: Битое стекло в одной панели (см.фото 3 и4)</t>
  </si>
  <si>
    <t>Алексей Бирюков: Заголовок изменен на Монтаж фасадных панелей в/о 16-18 в доль оси 3/А с отм.+12,570 до отм.+16,770</t>
  </si>
  <si>
    <t>Владимир Собченко: Приоритет изменен на 3</t>
  </si>
  <si>
    <t>Примыкание в осях 29/13Б, не освидетельствовано</t>
  </si>
  <si>
    <t>РК-РД-2-АР09.2-02.10-06_комм</t>
  </si>
  <si>
    <t>Александр Лесюта: Заголовок изменен на Примыкание в осях 29/13Б, не освидетельствовано</t>
  </si>
  <si>
    <t>Александр Лесюта: План изменен на РК-РД-2-АР09.2-02.10-06_комм</t>
  </si>
  <si>
    <t>Александр Лесюта: Узел 65 , по оси 29/13Б, выполнен без освидетельствования и поэтапной приемки работ, необходимо произвести демонтаж оцинкованного листа и утеплителя и поэтапно предъявить работы службе СК</t>
  </si>
  <si>
    <t>Александр Лесюта: Местоположение изменено на РК-РД-2-АР09.2-02.10-06_комм</t>
  </si>
  <si>
    <t>Александр Лесюта: Изменена дата начала на 29.11.2019</t>
  </si>
  <si>
    <t>Фасад Renaissance: Узел демонтирован и поэтапно предъявлен строительному контролю</t>
  </si>
  <si>
    <t>Фасад Renaissance: Завершенное задание</t>
  </si>
  <si>
    <t>Базовый стальной профиль, Блок А1, в осях 3А, отм.-4,450</t>
  </si>
  <si>
    <t>Александр Лесюта: Заголовок изменен на Базовый стальной профиль, Блок А1, в осях 3А, отм.-4,450</t>
  </si>
  <si>
    <t xml:space="preserve">Александр Лесюта: Соединение балок в месте крепления с основным металлом выполнено в виде отверстия диаметром около 150мм, газосваркой, данное отверстие не предусмотрено РД, разработать решение по устранению замечания, согласовать с авторским надзором. </t>
  </si>
  <si>
    <t>Александр Лесюта: Изменена дата начала на 06.12.2019</t>
  </si>
  <si>
    <t>Александр Лесюта: Изменена дата завершения на 09.12.2019</t>
  </si>
  <si>
    <t>Фасад Renaissance: Металлический каркас портала входной группы не крепится с основным металлом, отверстия в балке указаны в проекте РК-РД-2-АР09.1-04.44-02.</t>
  </si>
  <si>
    <t>В ходе операционного контроля проведения работ было выявлено, что панели блока А3, В2, находящиеся в уровне L2, +4,200 , внутренний двор, на пересечении осей 30/7б-10Б, (2шт.) имеют неверно изготовленные алюминиевые кронштейны для видеокамер. Произвести з</t>
  </si>
  <si>
    <t>L2_Блок 3_A3</t>
  </si>
  <si>
    <t>Администратор Fieldwire: В ходе операционного контроля проведения работ было выявлено, что панели блока А3, В2,  находящиеся в уровне L2, +4,200 , внутренний двор, на пересечении осей 30/7б-10Б, (2шт.) имеют неверно изготовленные алюминиевые кронштейны для видеокамер. Произвести замену кронштейнов согласно РД.</t>
  </si>
  <si>
    <t>Администратор Fieldwire: Местоположение изменено на L2_Блок 3_A3</t>
  </si>
  <si>
    <t>Администратор Fieldwire: Замечание Латиста 1333</t>
  </si>
  <si>
    <t>Фасад Renaissance: Кронштейны заменены в соответствии с РД</t>
  </si>
  <si>
    <t>Фасад Renaissance: Удаленный комментарий - "Кронштейны заменены ..."</t>
  </si>
  <si>
    <t>Фасад Renaissance: Стоимость изменена на 0 ALL</t>
  </si>
  <si>
    <t>Коррозия АКЗ кронштейнов, А2, оси 7/Б-34/21,отм +18,800/+16,300</t>
  </si>
  <si>
    <t>Александр Лесюта: Заголовок изменен на Коррозия АКЗ кронштейнов, А2</t>
  </si>
  <si>
    <t>Александр Лесюта: Заголовок изменен на Коррозия АКЗ кронштейнов, А2, оси 7/Б-34/21,отм +18,800/+16,300</t>
  </si>
  <si>
    <t>Александр Лесюта: В ходе операционного контроля обнаружено : приварные кронштейны блока А2 имеют следы мех обработки, повреждения АКЗ , с ржавчиной, восстановить АКЗ согласно регламента, работы предъявить службе СК.</t>
  </si>
  <si>
    <t>Александр Лесюта: Изменена дата начала на 12.12.2019</t>
  </si>
  <si>
    <t>Александр Лесюта: Изменена дата завершения на 15.12.2019</t>
  </si>
  <si>
    <t>Фасад Renaissance: Антикоррозионная защита   кронштейнов восстановлена, выполненные работы  предъявлены.</t>
  </si>
  <si>
    <t>Отсутствует резиновый уплотнитель между панелями c оси С по Т\1, поврежден пластиковый профиль двери, отсутствует крепление кронштейна к панели</t>
  </si>
  <si>
    <t>Антон Федоров: Заголовок изменен на Отсутствует резиновый уплотнитель между панелями,</t>
  </si>
  <si>
    <t>Антон Федоров: Изменена дата начала на 11.12.2019</t>
  </si>
  <si>
    <t>Антон Федоров: Изменена дата завершения на 18.12.2019</t>
  </si>
  <si>
    <t>Антон Федоров: Заголовок изменен на Отсутствует резиновый уплотнитель между панелями, поврежден пластиковый профиль двери</t>
  </si>
  <si>
    <t>Антон Федоров: Заголовок изменен на Отсутствует резиновый уплотнитель между панелями c оси С по Т\1, поврежден пластиковый профиль двери</t>
  </si>
  <si>
    <t>Антон Федоров: Заголовок изменен на Отсутствует резиновый уплотнитель между панелями c оси С по Т\1, поврежден пластиковый профиль двери, отсутствует крепление кронштейна к панели</t>
  </si>
  <si>
    <t>#Вентиляция. Выпуски для S&amp;C пересекаются с лотками.</t>
  </si>
  <si>
    <t>Замечание электрические и СС системы</t>
  </si>
  <si>
    <t>РК-РД-2-ОВ4.1.03-05.09-02</t>
  </si>
  <si>
    <t>Stanislav Veresov: Заголовок изменен на #Вентиляция. Выпуски для S&amp;amp;C пересекаются с лотками.</t>
  </si>
  <si>
    <t>Вентиляция Renaissance: Можете изменить категорию на электричество?</t>
  </si>
  <si>
    <t>Вентиляция Renaissance: Название категории изменено на Замечание электрические и СС системы</t>
  </si>
  <si>
    <t>Владимир Собченко: Изменена дата завершения на 11.12.2019</t>
  </si>
  <si>
    <t>Владимир Собченко: Изменена дата начала на 06.12.2019</t>
  </si>
  <si>
    <t>Повреждение трансформаторов тока в ГРЩ-2</t>
  </si>
  <si>
    <t>РК-РД-1-ЭМ4.1.01-017-01</t>
  </si>
  <si>
    <t>13.B1.2.044_ГРЩ-2</t>
  </si>
  <si>
    <t>ЭМ_Электрооборудование</t>
  </si>
  <si>
    <t>Валерий Семиков: Повреждение трансформаторов тока в ГРЩ-2</t>
  </si>
  <si>
    <t>Валерий Семиков: Приоритет изменен на P1</t>
  </si>
  <si>
    <t>Валерий Семиков: Название категории изменено на Замечание стройконтроля</t>
  </si>
  <si>
    <t>Валерий Семиков: Дата начала изменена на нояб. 8, 2019</t>
  </si>
  <si>
    <t>Валерий Семиков: Дата окончания изменена на нояб. 30, 2019</t>
  </si>
  <si>
    <t>Валерий Семиков: Ответственное лицо замещено Силовое оборудование Renaissance</t>
  </si>
  <si>
    <t>Сергей Давыдов: Проверенное задание</t>
  </si>
  <si>
    <t>Отсутствует освещение в помещении по факту и по РД</t>
  </si>
  <si>
    <t>РК-РД-1-ЭО4.1.01-019-02</t>
  </si>
  <si>
    <t>ЭО_Освещение внутреннее</t>
  </si>
  <si>
    <t>эом_электрооборудование. электроосвещение (эом)</t>
  </si>
  <si>
    <t>Валерий Семиков: Отсутствует освещение в помещении по факту и по РД</t>
  </si>
  <si>
    <t>Валерий Семиков: Изменена дата начала на 22.11.2019</t>
  </si>
  <si>
    <t>Валерий Семиков: Изменена дата завершения на 22.12.2019</t>
  </si>
  <si>
    <t>Валерий Семиков: Сменить ответственное лицо на Силовое оборудование Renaissance</t>
  </si>
  <si>
    <t>Нарушено расстояние от воздуховода до лотка (3 места) в электрощитовой</t>
  </si>
  <si>
    <t>РК-РД-1-ЭМ4.1.01-003-01</t>
  </si>
  <si>
    <t>13.B2.1.024_ЭЩ</t>
  </si>
  <si>
    <t>Валерий Семиков: Нарушено расстояние от воздуховода до лотка (3 места) в электрощитовой</t>
  </si>
  <si>
    <t>Валерий Семиков: Название категории изменено на Замечание электрические и СС системы</t>
  </si>
  <si>
    <t>Валерий Семиков: Местоположение изменено на 13.B2.1.024_ЭЩ</t>
  </si>
  <si>
    <t>Валерий Семиков: Изменена дата начала на 27.12.2019</t>
  </si>
  <si>
    <t>Валерий Семиков: Изменена дата завершения на 27.01.2020</t>
  </si>
  <si>
    <t>Валерий Семиков: Удаленное изображение</t>
  </si>
  <si>
    <t>Прокладка вторичных цепей моноблоков RM-6</t>
  </si>
  <si>
    <t>РК-РД-1-ЭМ4.1.01-014-01</t>
  </si>
  <si>
    <t>Валерий Семиков: Заголовок изменен на Прокладка вторичных цепей моноблоков RM-6</t>
  </si>
  <si>
    <t xml:space="preserve">Валерий Семиков: Во всех моноблоках RM-6 в помещениях ТП-1...ТП-6 выполненная прокладка вторичных цепей нарушает требования И 1.06-08 в части пунктов 1.21 (проводка к месту присоединения не кратчайшим путем, большое число перекрещиваний между жгутами проводов, жгуты проводов закрывают доступ к наборным зажимам, выводам приборов и аппаратов и мешают их замене, неоднотипность крепления и формирования потоков проводов, не облюдается горизонтальность и вертикальность жгутов и отдельных проводов), 8.1.5 (Прокладка проводов и жил контрольных кабелей выполнена с лишними перекрещиваниями), 8.1.9 (провода без дополнительной изоляции касаются металлических конструкций), 8.1.7 (расстояние от зажима до начала изгиба провода менее 50 мм), 8.3.5 (Провода свободно висящих жгутов следует прокладывать на расстоянии не менее 10 мм от поверхности электроконструкции), остутствует маркировка по требования главы 9.1, некорректно выполнено оконцевание проводов по требованиям главы 10.2. Необходимо выполнить перемонтаж кабелей внутри сборки.
</t>
  </si>
  <si>
    <t>Валерий Семиков: Изменена дата завершения на 15.01.2020</t>
  </si>
  <si>
    <t>Количество коммутационных аппаратов в щите не соответствует количеству групп на плане</t>
  </si>
  <si>
    <t>РК-РД-1-ЭМ4.1.01-019-01</t>
  </si>
  <si>
    <t>13.B1.2.026_ЭЩ автостоянки</t>
  </si>
  <si>
    <t>Валерий Семиков: Количество коммутационных аппаратов в щите не соответствует количеству групп на плане</t>
  </si>
  <si>
    <t>Валерий Семиков: В щите 2 отходящих группы + 1 резерв. На плане и по факту 4 отходящих группы. Т.е. необходимо установить ещё 2 аппарата защиты отходящих линий</t>
  </si>
  <si>
    <t>Валерий Семиков: Дата начала изменена на февр. 7, 2020</t>
  </si>
  <si>
    <t>Валерий Семиков: Дата окончания изменена на мар. 31, 2020</t>
  </si>
  <si>
    <t>Валерий Семиков: Дата окончания изменена на мар. 15, 2020</t>
  </si>
  <si>
    <t>Валерий Семиков: Дата окончания изменена на мар. 7, 2020</t>
  </si>
  <si>
    <t>#Вентиляция.</t>
  </si>
  <si>
    <t>РК-РД-2-ОВ4.1.03-06.09-03</t>
  </si>
  <si>
    <t>Stanislav Veresov: Заголовок изменен на #Вентиляция.</t>
  </si>
  <si>
    <t>Stanislav Veresov: Сменить ответственное лицо на Силовое оборудование Renaissance</t>
  </si>
  <si>
    <t>Вентиляция Renaissance: Changed category to Замечание электрические и СС системы</t>
  </si>
  <si>
    <t>Датчики АПС на потолке перекрыты смежными системами</t>
  </si>
  <si>
    <t>РК-РД-1-АПС4.1.01-005-05</t>
  </si>
  <si>
    <t>13.B2.2.060 Коридор</t>
  </si>
  <si>
    <t>ПБ_АПС</t>
  </si>
  <si>
    <t>пб_апс</t>
  </si>
  <si>
    <t>Валерий Семиков: Датчики АПС на потолке перекрыты смежными системами</t>
  </si>
  <si>
    <t>Валерий Семиков: Местоположение изменено на 13.B2.2.060 Коридор</t>
  </si>
  <si>
    <t>Валерий Семиков: Изменена дата завершения на 08.12.2019</t>
  </si>
  <si>
    <t>Валерий Семиков: Изменена дата завершения на 15.12.2019</t>
  </si>
  <si>
    <t>Валерий Семиков: Расстояние от активной части датчика до стен и смежных инженерных систем не соответствует требованиям СП5. Возможна задержка срабатывания АПС и пуска АППЗ. Предлагается установить 2 ряд датчиков ниже.</t>
  </si>
  <si>
    <t>Валерий Семиков: Сменить ответственное лицо на Слаботочные Системы Renaissance</t>
  </si>
  <si>
    <t xml:space="preserve">Валерий Семиков: В соответствии с проведёнными дымовыми испытаниями прошу добавить датчик ниже уровня воздуховода, т.к. воздуховод перекрывает весь потолок, и возможна существенная временная задержка срабатывания датчиков, установленных на потолке.
</t>
  </si>
  <si>
    <t>Валерий Семиков: Приоритет изменен на 2</t>
  </si>
  <si>
    <t>Сергей Давыдов: Изменена дата начала на 25.11.2019</t>
  </si>
  <si>
    <t>Сергей Давыдов: Изменена дата завершения на 13.12.2019</t>
  </si>
  <si>
    <t>Сергей Давыдов: Считаем, что извещатели необходимо добавить, а их просто опустили. Или отобразите в РД, что в данном месте извещатели должны висеть на такой высоте.</t>
  </si>
  <si>
    <t>Сергей Давыдов: Приоритет изменен на 2</t>
  </si>
  <si>
    <t>Сергей Давыдов: Изменена дата завершения на 14.02.2020</t>
  </si>
  <si>
    <t>Расстояние от датчика АПС до решётки воздуховода менее 1 метра</t>
  </si>
  <si>
    <t>РК-РД-1-АПС4.1.01-018-05 (1)</t>
  </si>
  <si>
    <t>09.B1.3.014_ПУИ</t>
  </si>
  <si>
    <t>Валерий Семиков: Расстояние от датчика АПС до решётки воздуховода менее 1 метра</t>
  </si>
  <si>
    <t>Валерий Семиков: Дата начала изменена на нояб. 29, 2019</t>
  </si>
  <si>
    <t>Валерий Семиков: Дата окончания изменена на дек. 22, 2019</t>
  </si>
  <si>
    <t>Валерий Семиков: Ответственное лицо замещено Слаботочные Системы Renaissance</t>
  </si>
  <si>
    <t>Слаботочные Системы Renaissance: Данное помещение недоступно для работы в настоящее время</t>
  </si>
  <si>
    <t>В ходе операционного контроля было выявлено фактическое отсутствие пожарных датчиков АПС в двухсветном пространстве рампы №5 (пом. 02.B1.3.001.1). Датчики в проекте на отметке -4.200 и на отметке 0.000 не предусмотрены. Необходимо разместить датчики с учё</t>
  </si>
  <si>
    <t>02.B1.3.001_Рампа N 5 (въезд для уровня В1)</t>
  </si>
  <si>
    <t>Администратор Fieldwire: В ходе операционного контроля было выявлено фактическое отсутствие пожарных датчиков АПС в двухсветном пространстве рампы №5 (пом. 02.B1.3.001.1).
Датчики в проекте на отметке -4.200 и на отметке 0.000 не предусмотрены.
Необходимо разместить датчики с учётом высоты помещения и внести изменения в рабочую документацию.
Фото и выдержки из проекта прилагаются.</t>
  </si>
  <si>
    <t>Администратор Fieldwire: Местоположение изменено на 02.B1.3.001_Рампа N 5 (въезд для уровня В1)</t>
  </si>
  <si>
    <t>Администратор Fieldwire: Замечание Латиста 1304</t>
  </si>
  <si>
    <t>QA-QC Renaissance: Deleted attachment</t>
  </si>
  <si>
    <t>QA-QC Renaissance: Deleted picture</t>
  </si>
  <si>
    <t>QA-QC Renaissance: Deleted comment - "http://share.rencons..."</t>
  </si>
  <si>
    <t>Пожарные системы Renaissance: Сменить ответственное лицо на Слаботочные Системы Renaissance</t>
  </si>
  <si>
    <t>Лотки BMS переполнены. Необходима замена.</t>
  </si>
  <si>
    <t>РК-РД-1-ЭМ4.3.01-024-02</t>
  </si>
  <si>
    <t>Лотки В1, В2</t>
  </si>
  <si>
    <t>Сергей Давыдов: Заголовок изменен на Лотки BMS переполнены. Необходима замена.</t>
  </si>
  <si>
    <t>Сергей Давыдов: Сменить ответственное лицо на Слаботочные Системы Renaissance</t>
  </si>
  <si>
    <t>Сергей Давыдов: Изменена дата начала на 05.12.2019</t>
  </si>
  <si>
    <t>Сергей Давыдов: Изменена дата завершения на 19.12.2019</t>
  </si>
  <si>
    <t>РК-РД-1-ЭМ4.3.01-051-01</t>
  </si>
  <si>
    <t>Сергей Давыдов: Лотки BMS переполнены. Необходима замена.</t>
  </si>
  <si>
    <t>Сергей Давыдов: Название категории изменено на Замечание электрические и СС системы</t>
  </si>
  <si>
    <t>Сергей Давыдов: Изменена дата начала на 14.11.2019</t>
  </si>
  <si>
    <t>Сергей Давыдов: Изменена дата завершения на 21.11.2019</t>
  </si>
  <si>
    <t xml:space="preserve">Расстояние от датчика АПС до решётки воздуховода менее 1 метра </t>
  </si>
  <si>
    <t>13.B1.2.011_Мультиплексорная ИТСО</t>
  </si>
  <si>
    <t xml:space="preserve">Валерий Семиков: Расстояние от датчика АПС до решётки воздуховода менее 1 метра </t>
  </si>
  <si>
    <t>Слаботочные Системы Renaissance: Датчики перемещены.</t>
  </si>
  <si>
    <t>Сергей Давыдов: Заголовок изменен на Датчики АПС на потолке перекрыты смежными системами</t>
  </si>
  <si>
    <t>Сергей Давыдов: В соответствии с проведёнными дымовыми испытаниями прошу добавить датчик ниже уровня воздуховода, т.к. воздуховод перекрывает весь потолок, и возможна существенная временная задержка срабатывания датчиков, установленных на потолке.</t>
  </si>
  <si>
    <t>Сергей Давыдов: Изменена дата начала на 06.12.2019</t>
  </si>
  <si>
    <t>Сергей Давыдов: Изменена дата завершения на 20.12.2019</t>
  </si>
  <si>
    <t>Расстояние от кондиционера до датчика АПС менее нормативного</t>
  </si>
  <si>
    <t>Валерий Семиков: Расстояние от кондиционера до датчика АПС менее нормативного</t>
  </si>
  <si>
    <t>Валерий Семиков: Изменена дата начала на 16.01.2020</t>
  </si>
  <si>
    <t>Валерий Семиков: Изменена дата завершения на 31.01.2020</t>
  </si>
  <si>
    <t>Слаботочные Системы Renaissance: Датчик перемещен.</t>
  </si>
  <si>
    <t xml:space="preserve">Расстояние от датчиков АПС до светильников менее 0,5 метра </t>
  </si>
  <si>
    <t xml:space="preserve">Валерий Семиков: Расстояние от датчиков АПС до светильников менее 0,5 метра </t>
  </si>
  <si>
    <t>Валерий Семиков: Дата начала изменена на нояб. 20, 2019</t>
  </si>
  <si>
    <t>Валерий Семиков: Проверенное задание</t>
  </si>
  <si>
    <t>Необходимо добавить извещатели</t>
  </si>
  <si>
    <t>Сергей Давыдов: Заголовок изменен на Необходимо добавить извещатели</t>
  </si>
  <si>
    <t>Сергей Давыдов: Изменена дата начала на 14.01.2020</t>
  </si>
  <si>
    <t>Сергей Давыдов: Изменена дата завершения на 15.01.2020</t>
  </si>
  <si>
    <t>Сергей Давыдов: В каждый отсек потолка, ограниченный балками, выступающими от поверхности потолка на расстояние более 0,4 метра, необходимо устанавливать  пожарные извещатели согласно п.14.3 СП5СП5.13130.2009</t>
  </si>
  <si>
    <t>Слаботочные Системы Renaissance: Удаленное изображение</t>
  </si>
  <si>
    <t>Слаботочные Системы Renaissance: Добавили извещатели там, где необходимо.</t>
  </si>
  <si>
    <t>Слаботочные Системы Renaissance: По добавленным извещателям, будут внесены корректировки в ИД.</t>
  </si>
  <si>
    <t>Кабель HF проложен в лотке АПС</t>
  </si>
  <si>
    <t>Сергей Давыдов: Изменена дата начала на 01.11.2019</t>
  </si>
  <si>
    <t>Сергей Давыдов: Изменена дата завершения на 08.11.2019</t>
  </si>
  <si>
    <t>Сергей Давыдов: Начиная от помещения 14.В2.2.007 в сторону оси З кабель из лотка BMS переходит в лоток АПС. Нарушен п. 4.14  СП 6.13130.2013.</t>
  </si>
  <si>
    <t>Сергей Давыдов: Заголовок изменен на Кабель HF проложен в лотке АПС</t>
  </si>
  <si>
    <t xml:space="preserve">Слаботочные Системы Renaissance: Исправлено
</t>
  </si>
  <si>
    <t>Коробка в зоне воздуховода.</t>
  </si>
  <si>
    <t>РК-РД-2-ОВ4.1.03-02.05-03</t>
  </si>
  <si>
    <t>Кирилл Васенков: #Вентиляция. Коробка в зоне воздуховода.</t>
  </si>
  <si>
    <t>Кирилл Васенков: Ответственное лицо замещено Вентиляция Renaissance</t>
  </si>
  <si>
    <t>Кирилл Васенков: Дата окончания изменена на дек. 10, 2019</t>
  </si>
  <si>
    <t>Вентиляция Renaissance: Сменить ответственное лицо на Слаботочные Системы Renaissance</t>
  </si>
  <si>
    <t>Извещатели АПС на потолке перекрыты смежными разделами</t>
  </si>
  <si>
    <t>Сергей Давыдов: Заголовок изменен на Датчики АПС на потолке перекрыты смежными разделами</t>
  </si>
  <si>
    <t>Сергей Давыдов: Отсутствует доступ к монтажу извещателя на потолке.  Также в соответствии с проведёнными дымовыми испытаниями прошу добавить извещатель ниже уровня воздуховода, т.к. воздуховод перекрывает весь потолок, и возможна существенная временная задержка срабатывания извещателей, установленных на потолке.</t>
  </si>
  <si>
    <t>Сергей Давыдов: Редактированный комментарий - "В соответствии с про..."</t>
  </si>
  <si>
    <t>Сергей Давыдов: Заголовок изменен на Извещатели АПС на потолке перекрыты смежными разделами</t>
  </si>
  <si>
    <t>Сергей Давыдов: Изменена дата начала на 10.12.2019</t>
  </si>
  <si>
    <t>Сергей Давыдов: Изменена дата завершения на 17.12.2019</t>
  </si>
  <si>
    <t>Слаботочные Системы Renaissance: Извещатели добавлены.</t>
  </si>
  <si>
    <t>Расстояние от датчиков АПС до светильников менее 0,5 метра</t>
  </si>
  <si>
    <t>Валерий Семиков: Расстояние от датчиков АПС до светильников менее 0,5 метра</t>
  </si>
  <si>
    <t>Валерий Семиков: Изменена дата начала на 18.11.2019</t>
  </si>
  <si>
    <t>Валерий Семиков: Изменена дата завершения на 30.11.2019</t>
  </si>
  <si>
    <t>Расстояние от датчика АПС до кондиционера менее 1 метра</t>
  </si>
  <si>
    <t>Валерий Семиков: Расстояние от датчика АПС до кондиционера менее 1 метра</t>
  </si>
  <si>
    <t>Валерий Семиков: Изменена дата завершения на 24.01.2020</t>
  </si>
  <si>
    <t>Слаботочные Системы Renaissance: Переместили датчики в соответствии с нормами.</t>
  </si>
  <si>
    <t>Работа на высоте</t>
  </si>
  <si>
    <t>Нарушение ОТ и ТБ</t>
  </si>
  <si>
    <t>rc_safety@rencons.com</t>
  </si>
  <si>
    <t>Кровля_Блок 2_C</t>
  </si>
  <si>
    <t>Евгений Рысев: Местоположение изменено на Кровля_Блок 2_C</t>
  </si>
  <si>
    <t>Евгений Рысев: Изменена дата начала на 03.02.2020</t>
  </si>
  <si>
    <t>Евгений Рысев: Рабочая сила изменена на 0 man-hours</t>
  </si>
  <si>
    <t>Евгений Рысев: Сменить ответственное лицо на QA-QC Renaissance</t>
  </si>
  <si>
    <t>Евгений Рысев: Приоритет изменен на 1</t>
  </si>
  <si>
    <t>Евгений Рысев: Заголовок изменен на Работа на высоте</t>
  </si>
  <si>
    <t>Евгений Рысев: Сменить ответственное лицо на Шерикбай Дастанов</t>
  </si>
  <si>
    <t xml:space="preserve">Евгений Рысев: При окончании работ на кровле, трое работников грубо нарушили требования ОТ при работе на высоте. Данные работники перемещались по кровле, в непосредственной близости от края кровли, будучи не пристёгнутыми страховочными фалами к анкерной линии. Данные работники подвергали свою жизнь огромному риску.
Необходимо принять серьёзные мероприятия по недопущению повторных случаев. </t>
  </si>
  <si>
    <t>RC Safety: Работы данной компании остановлены. Данные сотрудники (3 чел.) удалены с объекта.  Проведен внеплановый инструктаж.</t>
  </si>
  <si>
    <t>RC Safety: Edited comment - "Работа данной компан..."</t>
  </si>
  <si>
    <t>Евгений Рысев: Проверенное задание</t>
  </si>
  <si>
    <t>Нарушение правил работ на высоте</t>
  </si>
  <si>
    <t>aecom_safety@spgr.ru</t>
  </si>
  <si>
    <t>Safety AECOM: Заголовок изменен на Нарушение правил работ на высоте</t>
  </si>
  <si>
    <t>Safety AECOM: При производства работ !!!!!!</t>
  </si>
  <si>
    <t>Safety AECOM: Изменена дата начала на 04.02.2020</t>
  </si>
  <si>
    <t>Safety AECOM: Изменена дата завершения на 06.02.2020</t>
  </si>
  <si>
    <t>Safety AECOM: Завершенное задание</t>
  </si>
  <si>
    <t>Safety AECOM: Приоритет изменен на 3</t>
  </si>
  <si>
    <t>Владимир Собченко: Приоритет изменен на 2</t>
  </si>
  <si>
    <t>L6.1_ОТ и ТБ</t>
  </si>
  <si>
    <t>ОТ и ТБ</t>
  </si>
  <si>
    <t>Владимир Собченко: План изменен на L6.1_ОТ и ТБ</t>
  </si>
  <si>
    <t>Владимир Собченко: Изменена дата начала на 04.02.2020</t>
  </si>
  <si>
    <t>Владимир Собченко: Изменена дата завершения на 11.02.2020</t>
  </si>
  <si>
    <t>При проведении работ 111</t>
  </si>
  <si>
    <t>sobchenko@spgr.ru</t>
  </si>
  <si>
    <t>L1_ОТ и ТБ</t>
  </si>
  <si>
    <t>Safety AECOM: Изменена дата завершения на 07.02.2020</t>
  </si>
  <si>
    <t>Safety AECOM: Рабочая сила изменена на 0 man-hours</t>
  </si>
  <si>
    <t>Safety AECOM: Приоритет изменен на 1</t>
  </si>
  <si>
    <t>Safety AECOM: При проведении работ 111</t>
  </si>
  <si>
    <t>Safety AECOM: Сменить ответственное лицо на Владимир Собченко</t>
  </si>
  <si>
    <t>Ферма кровли ETFE в/о 1/В-13/Б/14-16 на отм.+13,900  не закреплена к фасадной балке.</t>
  </si>
  <si>
    <t>РК-РД-2-АР09.16-01.03-04</t>
  </si>
  <si>
    <t>Рельсы СОФ</t>
  </si>
  <si>
    <t xml:space="preserve">Вячеслав Сорокин: Заголовок изменен на Ферма кровли ETFE в/о 1/В-13/Б/14-16 на отм.+13,900  не закреплена </t>
  </si>
  <si>
    <t>Вячеслав Сорокин: Сменить уполномоченное лицо на QA-QC Renaissance</t>
  </si>
  <si>
    <t>Вячеслав Сорокин: Сменить уполномоченное лицо на Вячеслав Сорокин</t>
  </si>
  <si>
    <t>Вячеслав Сорокин: План изменен на РК-РД-2-КМ5.1.07-005-00</t>
  </si>
  <si>
    <t>Вячеслав Сорокин: План изменен на РК-РД-2-КМ5.1.07-011-00</t>
  </si>
  <si>
    <t>Вячеслав Сорокин: План изменен на РК-РД-2-КМ5.1.07-004-01</t>
  </si>
  <si>
    <t>Вячеслав Сорокин: Название категории изменено на Охрана Труда</t>
  </si>
  <si>
    <t>Вячеслав Сорокин: Название категории изменено на Нарушение ОТ и ТБ</t>
  </si>
  <si>
    <t>Вячеслав Сорокин: Заголовок изменен на Ферма кровли ETFE в/о 1/В-13/Б/14-16 на отм.+13,900  не закреплена к фасадной балке.</t>
  </si>
  <si>
    <t>Вячеслав Сорокин: Изменена дата начала на 28.11.2019</t>
  </si>
  <si>
    <t>Вячеслав Сорокин: Изменена дата завершения на 29.11.2019</t>
  </si>
  <si>
    <t>Вячеслав Сорокин: План изменен на РК-РД-2-АР09.16-01.03-04</t>
  </si>
  <si>
    <t>Сварочные работы в зоне действующего прохода людей</t>
  </si>
  <si>
    <t>Александр Светашов: Сварочные работы в зоне действующего прохода людей</t>
  </si>
  <si>
    <t>Александр Светашов: Искры летят на людей</t>
  </si>
  <si>
    <t>Александр Светашов: Ответственное лицо замещено RC VK</t>
  </si>
  <si>
    <t>RC VK: Сменить ответственное лицо на Отопление и Кондиционирование Renaissance</t>
  </si>
  <si>
    <t>Операционный контроль</t>
  </si>
  <si>
    <t>Передефектовки Панелей А2, L2, Внутренний Двор , √4,6</t>
  </si>
  <si>
    <t>lesyuta@spgr.ru</t>
  </si>
  <si>
    <t>Александр Лесюта: Название категории изменено на Операционный контроль</t>
  </si>
  <si>
    <t>Александр Лесюта: Заголовок изменен на Передефекьовки Панелей А2, L2, Внутренний Двор , √4,6</t>
  </si>
  <si>
    <t>Александр Лесюта: Дата начала изменена на нояб. 25, 2019</t>
  </si>
  <si>
    <t xml:space="preserve">Александр Лесюта: Проверено 3 панели , 2 прошли по регламенту АВР . </t>
  </si>
  <si>
    <t>Александр Лесюта: Оси 8/3-10/1</t>
  </si>
  <si>
    <t>Владимир Собченко: Заголовок изменен на Передефектовки Панелей А2, L2, Внутренний Двор , √4,6</t>
  </si>
  <si>
    <t>Устройство пароизоляции ферм ETFE, 1 этап, в осях 24-25/С-У, узлы 21-24.</t>
  </si>
  <si>
    <t>Александр Олуферов: Заголовок изменен на Устройство гидроизоляции ферм</t>
  </si>
  <si>
    <t>Александр Олуферов: Заголовок изменен на Устройство гидроизоляции ферм ETFE, 1 этап, в осях 24-25/С-У</t>
  </si>
  <si>
    <t>Александр Олуферов: Гидроизоляция стыков лотков лентой выполнена без замечаний. Основание очищено, адгезия соответствует требованиям, нахлёст не менее 25 мм.</t>
  </si>
  <si>
    <t>Александр Олуферов: Изменена дата начала на 08.12.2019</t>
  </si>
  <si>
    <t>Александр Олуферов: Заголовок изменен на Устройство пароизоляции ферм ETFE, 1 этап, в осях 24-25/С-У, узлы 21-24.</t>
  </si>
  <si>
    <t>Устройство утепления ферм ETFE, 1 этап, в осях 24-25/С-У, узлы 9-12.</t>
  </si>
  <si>
    <t>Александр Олуферов: Заголовок изменен на Устройство утепления ферм ETFE, 1 этап, в осях 24-25/С-У, узлы 9-12.</t>
  </si>
  <si>
    <t>Александр Олуферов: Утепление выполнено. замечаний нет.</t>
  </si>
  <si>
    <t>Затяжка резьбовых соединений фермы ETFE, 2 очередь, этап 3, оси 9-10/Ф-Ш, узлы 1-17</t>
  </si>
  <si>
    <t>о5.1_монтаж металлических конструкций</t>
  </si>
  <si>
    <t>Yes: 2,1 Укрупнённая сборка отдельных конструктивных элементов и монтажных блоков соответствует проектным требованиям  (АОЛ) - 2020-01-20</t>
  </si>
  <si>
    <t>N/A: 2,2 Установка и проектное закрепление отдельных конструктивных элементов и блоков в проектное положение соответствует проектным требованиям  (АОЛ) - 2020-01-20</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</si>
  <si>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(АОЛ) - 2020-01-20</t>
  </si>
  <si>
    <t>Yes: 2,4 При проверке закрепления конструктивных элементов щуп толщиной 0,3 мм не проходит между собранными деталями на глубину более 20 мм (АОЛ) - 2020-01-20</t>
  </si>
  <si>
    <t>N/A: 2,5 Стержень болта выступает из гайки не менее 3 мм.  (АОЛ) - 2020-01-20</t>
  </si>
  <si>
    <t>Yes: 2,6 Отсутствует смещение болтов при их отстукивании молотком массой 0,4 кг (АОЛ) - 2020-01-20</t>
  </si>
  <si>
    <t>N/A: 2,7 Монтажные соединения на высокопрочных болтах с контролируемым натяжением: (АОЛ) - 2020-01-20</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</si>
  <si>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(АОЛ) - 2020-01-20</t>
  </si>
  <si>
    <t>Yes: 2,9 Размещение крепежных изделий соответствует проектным требованиям (АОЛ) - 2020-01-20</t>
  </si>
  <si>
    <t>Yes: 2,1 Натяжение болтов соответствует проектным требованиям (АОЛ) - 2020-01-20</t>
  </si>
  <si>
    <t>N/A: 2,11 Сварные швы соответствуют нормативным требованиям (АОЛ) - 2020-01-20</t>
  </si>
  <si>
    <t>Yes: 3,1 Работы выполняются на основе утвержденного ППР (АОЛ) - 2020-01-20</t>
  </si>
  <si>
    <t>No: 3,2 Наличие записи в журнале производства работ (АОЛ) - 2020-01-20</t>
  </si>
  <si>
    <t>N/A: 3,3 Наличие записи в журнале сварочных работ (АОЛ) - 2020-01-20</t>
  </si>
  <si>
    <t>N/A: 3,4 Наличие записи в журнале работ по монтажу строительных конструкций (АОЛ) - 2020-01-20</t>
  </si>
  <si>
    <t>N/A: 3,5 Наличие записи в журнале выполнения монтажных соединений на болтах с контролируемым натяжением. (АОЛ) - 2020-01-20</t>
  </si>
  <si>
    <t>Александр Олуферов: Заголовок изменен на Затяжка резьбовых соединений фермы ETFE, 2 очередь, этап 3, оси 9-10/Ф-Ш, узлы 1-17</t>
  </si>
  <si>
    <t>Александр Олуферов: Название категории изменено на Операционный контроль</t>
  </si>
  <si>
    <t>Александр Олуферов: Изменена дата начала на 19.01.2020</t>
  </si>
  <si>
    <t>Восстановление ЛКП резьбовых соединений фермы ETFE, 2 очередь, этап 3, оси 9-10/Ф-Ш, узлы 1-17</t>
  </si>
  <si>
    <t>N/A: 2,1 Укрупнённая сборка отдельных конструктивных элементов и монтажных блоков соответствует проектным требованиям  (АОЛ) - 2020-01-20</t>
  </si>
  <si>
    <t>N/A: 2,4 При проверке закрепления конструктивных элементов щуп толщиной 0,3 мм не проходит между собранными деталями на глубину более 20 мм (АОЛ) - 2020-01-20</t>
  </si>
  <si>
    <t>N/A: 2,6 Отсутствует смещение болтов при их отстукивании молотком массой 0,4 кг (АОЛ) - 2020-01-20</t>
  </si>
  <si>
    <t>N/A: 2,8 Соприкасающиеся поверхности деталей перед сборкой обработаны способом, предусмотренным в проекте, с отсутствием на них грязи, масла, краски, льда (АОЛ) - 2020-01-20</t>
  </si>
  <si>
    <t>N/A: 2,9 Размещение крепежных изделий соответствует проектным требованиям (АОЛ) - 2020-01-20</t>
  </si>
  <si>
    <t>N/A: 2,1 Натяжение болтов соответствует проектным требованиям (АОЛ) - 2020-01-20</t>
  </si>
  <si>
    <t>Александр Олуферов: Заголовок изменен на Восстановление ЛКП резьбовых соединений фермы ETFE, 2 очередь, этап 3, оси 9-10/Ф-Ш, узлы 1-17</t>
  </si>
  <si>
    <t>Александр Олуферов: Проверено. Замечаний нет.</t>
  </si>
  <si>
    <t>Керамзит, сетка в/о 19-21</t>
  </si>
  <si>
    <t>о7.1_устройство_кровли</t>
  </si>
  <si>
    <t>Yes: Керамзит, сетка в/о 19-21 (АСВ) - 2019-11-19</t>
  </si>
  <si>
    <t xml:space="preserve">Александр Светашов: #о7.1_устройство_кровли </t>
  </si>
  <si>
    <t>Александр Светашов: Название категории изменено на Операционный контроль</t>
  </si>
  <si>
    <t>Александр Светашов: Дата начала изменена на нояб. 19, 2019</t>
  </si>
  <si>
    <t>Александр Светашов: Заголовок изменен на Керамзит, сетка в/о 19-21</t>
  </si>
  <si>
    <t>Опалубка Стм-2.89</t>
  </si>
  <si>
    <t>birukov@spgr.ru</t>
  </si>
  <si>
    <t>о3.3_бетонирование_монолитных_жб_конструкций</t>
  </si>
  <si>
    <t>Yes: 2,1 Перед укладкой бетонной смеси опалубка и арматура очищается сжатым воздухом  (АБИ) - 2019-12-17</t>
  </si>
  <si>
    <t>Yes: 2,2 Перед укладкой бетонной смеси поверхность опалубки, соприкасающаяся с бетоном, покрывается смазкой (АБИ) - 2019-12-17</t>
  </si>
  <si>
    <t>Yes: 2,3 Бетонная смесь укладывается горизонтальными слоями одинаковой толщины без разрывов с последовательным направлением укладки в одну сторону во всех слоях (АБИ) - 2019-12-17</t>
  </si>
  <si>
    <t>Yes: 2,4 Толщина укладываемых слоев бетонной смеси при уплотнении смеси ручными глубинными вибраторами не более 1,25 длины рабочей части вибратора (АБИ) - 2019-12-17</t>
  </si>
  <si>
    <t>Yes: 2,5 Верхний уровень уложенной бетонной смеси ниже верха щитов опалубки на 50-70 мм  (АБИ) - 2019-12-17</t>
  </si>
  <si>
    <t>Yes: 2,6 Рабочие швы выполняются в соответствии с проектными требованиями (АБИ) - 2019-12-17</t>
  </si>
  <si>
    <t>Yes: 2,7 Производится отбор проб контрольных образцов бетона для определения фактических показателей качества бетона конструкций  (АБИ) - 2019-12-17</t>
  </si>
  <si>
    <t>Yes: 3,1 Работы выполняются на основе утвержденного ППР (АБИ) - 2019-12-17</t>
  </si>
  <si>
    <t>Yes: 3,2 Наличие записи в журнале бетонных работ (АБИ) - 2019-12-17</t>
  </si>
  <si>
    <t>Алексей Бирюков: Заголовок изменен на Опалубка</t>
  </si>
  <si>
    <t>Алексей Бирюков: Заголовок изменен на Опалубка Стм-2.89</t>
  </si>
  <si>
    <t>Алексей Бирюков: Название категории изменено на Операционный контроль</t>
  </si>
  <si>
    <t>Монтаж оцинкованного листа в/о К-Л по оси 1 отм +46,200 Блок №1</t>
  </si>
  <si>
    <t>о123_устройство_конструкции</t>
  </si>
  <si>
    <t>Yes: 1,1. Работы производятся на основе РД, утвержденной в производство работ (АБИ) - 2020-01-26</t>
  </si>
  <si>
    <t>Yes: 1,2. При выполнении работ применяются материалы, прошедшие входной контроль (АБИ) - 2020-01-26</t>
  </si>
  <si>
    <t>Yes: 1,3. Соблюдается технология выполнения работ в соответствии с проектом, ППР, рекомендациями производителя (АБИ) - 2020-01-26</t>
  </si>
  <si>
    <t>Yes: 1,4. Плановое положение и высотные отметки элементов возводимой конструкции соответствуют проекту (АБИ) - 2020-01-26</t>
  </si>
  <si>
    <t>Алексей Бирюков: Заголовок изменен на Монтаж оцинкованного листа</t>
  </si>
  <si>
    <t>Алексей Бирюков: Дата начала изменена на 26 января 2020 г.</t>
  </si>
  <si>
    <t>Алексей Бирюков: Заголовок изменен на Монтаж оцинкованного листа в/о К-Л по оси 1 отм +46,200 Блок №1</t>
  </si>
  <si>
    <t>Противопожарная отсечка в/о 9/1 по 1/Б отм +12,450 Блок №2</t>
  </si>
  <si>
    <t>Алексей Бирюков: Заголовок изменен на Противопожарная отсечка в/о 9/1 по 1/Б отм +12,450 Блок №2</t>
  </si>
  <si>
    <t>Гидроизоляция стен тоннеля входной группы ГО и ЧС;КРН-8 томи-4,250</t>
  </si>
  <si>
    <t>Yes: 1.1 Работы выполняются на основе утвержденного ППР (АБИ) - 2019-12-20</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</si>
  <si>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- 2019-12-20</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</si>
  <si>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- 2019-12-20</t>
  </si>
  <si>
    <t>Yes: 1.4 Укладка рулонных материалов  выполняется в направлении «на себя» (АБИ) - 2019-12-20</t>
  </si>
  <si>
    <t>Yes: 1.5 Оклеечная гидроизоляция на мастике наклеивается сразу после ее нанесения (АБИ) - 2019-12-20</t>
  </si>
  <si>
    <t>Yes: 1.6 Толщина слоя мастики соответствует нормативным требованиям (АБИ) - 2019-12-20</t>
  </si>
  <si>
    <t>Yes: 1.7 Сопряжение смежных полотнищ выполняется с нахлесткой не менее 100 мм; торцевой нахлест полотнищ составляет не менее 150 мм (АБИ) - 2019-12-20</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</si>
  <si>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- 2019-12-20</t>
  </si>
  <si>
    <t>Yes: 1.9 При наплавлении рулонных материалов вяжущее вещество из-под боковой кромки материала вытекает на 5-15 мм (АБИ) - 2019-12-20</t>
  </si>
  <si>
    <t>Yes: 1.10 Наличие записи в журнале производства работ (АБИ) - 2019-12-20</t>
  </si>
  <si>
    <t>Yes: Нормативная документация: СП 71.13330.2017 «Изоляционные и отделочные покрытия» (АБИ) - 2019-12-20</t>
  </si>
  <si>
    <t>Алексей Бирюков: Заголовок изменен на Гидроизоляция стен тоннеля входной группы ГО и ЧС</t>
  </si>
  <si>
    <t>Алексей Бирюков: Дата начала изменена на 20 декабря 2019 г.</t>
  </si>
  <si>
    <t>Алексей Бирюков: Заголовок изменен на Гидроизоляция стен тоннеля входной группы ГО и ЧС;КРН-8 томи-4,250</t>
  </si>
  <si>
    <t>Монтаж  рельсов СОФ в/о 21-26 по оси 7/Б  Кровля Блок №3.1</t>
  </si>
  <si>
    <t>п123_устройство конструкции</t>
  </si>
  <si>
    <t>No: 2,1. Устройство конструкции выполнено в соответствии с проектом (АБИ) - 2019-12-03</t>
  </si>
  <si>
    <t>Yes: 2,2. При выполнении работ использовались материалы, прошедшие входной контроль (АБИ) - 2019-12-03</t>
  </si>
  <si>
    <t>Yes: 2,3. Конструкция проверена на соответствие проектным требованиям. Замечаний нет.  (АБИ) - 2019-12-03</t>
  </si>
  <si>
    <t>No: 2,4. Плановое положение и высотные отметки конструкции соответствует проекту. Отклонения не превышают нормативных (АБИ) - 2019-12-03</t>
  </si>
  <si>
    <t>No: 4,1. Наличие актов освидетельствования скрытых работ (АБИ) - 2019-12-03</t>
  </si>
  <si>
    <t>Yes: 4,2. Наличие и корректность исполнительной геодезической схемы (АБИ) - 2019-12-03</t>
  </si>
  <si>
    <t>Yes: 4,3. Наличие записей в журналах работ (АБИ) - 2019-12-03</t>
  </si>
  <si>
    <t>Yes: 4,4. Наличие паспортов и сертификатов на конструкцию и ее элементы (АБИ) - 2019-12-03</t>
  </si>
  <si>
    <t>Алексей Бирюков: Заголовок изменен на Монтаж  рельсов СОФ в/о 21-26 по оси 7/Б  Кровля Блок №3.1</t>
  </si>
  <si>
    <t>Алексей Бирюков: Приоритет изменен на лриоритет  3</t>
  </si>
  <si>
    <t>Алексей Бирюков: Приоритет изменен на лриоритет  2</t>
  </si>
  <si>
    <t>Монтаж Панелей ЗИПС L13.1.003</t>
  </si>
  <si>
    <t>Yes: 2,1. Устройство конструкции выполнено в соответствии с проектом (АБИ) - 2019-11-25</t>
  </si>
  <si>
    <t>Yes: 2,2. При выполнении работ использовались материалы, прошедшие входной контроль (АБИ) - 2019-11-25</t>
  </si>
  <si>
    <t>Yes: 2,3. Конструкция проверена на соответствие проектным требованиям. Замечаний нет.  (АБИ) - 2019-11-25</t>
  </si>
  <si>
    <t>Yes: 2,4. Плановое положение и высотные отметки конструкции соответствует проекту. Отклонения не превышают нормативных (АБИ) - 2019-11-25</t>
  </si>
  <si>
    <t>No: 4,1. Наличие актов освидетельствования скрытых работ (АБИ) - 2019-11-25</t>
  </si>
  <si>
    <t>No: 4,2. Наличие и корректность исполнительной геодезической схемы (АБИ) - 2019-11-25</t>
  </si>
  <si>
    <t>Yes: 4,3. Наличие записей в журналах работ (АБИ) - 2019-11-25</t>
  </si>
  <si>
    <t>Yes: 4,4. Наличие паспортов и сертификатов на конструкцию и ее элементы (АБИ) - 2019-11-25</t>
  </si>
  <si>
    <t>Алексей Бирюков: Заголовок изменен на Монтаж Панелей ЗИПС L13.1.003</t>
  </si>
  <si>
    <t>Алексей Бирюков: Дата начала изменена на нояб. 25, 2019</t>
  </si>
  <si>
    <t>Алексей Бирюков: Приоритет изменен на лриоритет  1</t>
  </si>
  <si>
    <t xml:space="preserve">Устройство вертик г/и в/о Ш/2-Ш/4 </t>
  </si>
  <si>
    <t xml:space="preserve">Алексей Бирюков: Заголовок изменен на Устройство вертик г/и в/о </t>
  </si>
  <si>
    <t>Алексей Бирюков: Удаленное изображение</t>
  </si>
  <si>
    <t xml:space="preserve">Алексей Бирюков: Заголовок изменен на Устройство вертик г/и в/о Ш/2-Ш/4 </t>
  </si>
  <si>
    <t>Монтаж Фасадных Панелей в/о 19-20 вдоль оси 3/А с отм +4.170 до  отм+5,793</t>
  </si>
  <si>
    <t>Yes: 2,1. Устройство конструкции выполнено в соответствии с проектом (АБИ) - 2019-11-23</t>
  </si>
  <si>
    <t>Yes: 2,2. При выполнении работ использовались материалы, прошедшие входной контроль (АБИ) - 2019-11-23</t>
  </si>
  <si>
    <t>Yes: 2,3. Конструкция проверена на соответствие проектным требованиям. Замечаний нет.  (АБИ) - 2019-11-23</t>
  </si>
  <si>
    <t>Yes: 2,4. Плановое положение и высотные отметки конструкции соответствует проекту. Отклонения не превышают нормативных (АБИ) - 2019-11-23</t>
  </si>
  <si>
    <t>No: 4,1. Наличие актов освидетельствования скрытых работ (АБИ) - 2019-11-23</t>
  </si>
  <si>
    <t>Yes: 4,2. Наличие и корректность исполнительной геодезической схемы (АБИ) - 2019-11-23</t>
  </si>
  <si>
    <t>Yes: 4,3. Наличие записей в журналах работ (АБИ) - 2019-11-23</t>
  </si>
  <si>
    <t>Yes: 4,4. Наличие паспортов и сертификатов на конструкцию и ее элементы (АБИ) - 2019-11-23</t>
  </si>
  <si>
    <t>Алексей Бирюков: Заголовок изменен на Монтаж Ыасадных Панелей</t>
  </si>
  <si>
    <t>Алексей Бирюков: Дата начала изменена на нояб. 23, 2019</t>
  </si>
  <si>
    <t>Алексей Бирюков: Заголовок изменен на Монтаж Фасадных Панелей</t>
  </si>
  <si>
    <t>Алексей Бирюков: Заголовок изменен на Монтаж Фасадных Панелей В/о 19-20 Вдоль Оси 3/А С Отм +4.170 До +5,793</t>
  </si>
  <si>
    <t>Алексей Бирюков: Заголовок изменен на Монтаж Фасадных Панелей в/о 19-20 вдоль оси 3/А с отм +4.170 до  отм+5,793</t>
  </si>
  <si>
    <t>Алексей Бирюков:  Есть замечания а именно 1. Замятие резины 2. отсутствие саморезов в месте крепления к кронштейнам 3. Отсутствие силиеона в стыках</t>
  </si>
  <si>
    <t>Устройство горизонтальной рулонной г/и в/о Е2-В2/1.2-3.2 КПП отм -2.350</t>
  </si>
  <si>
    <t>Yes: 1.1 Работы выполняются на основе утвержденного ППР (АБИ) - 2019-12-24</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</si>
  <si>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- 2019-12-24</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</si>
  <si>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- 2019-12-24</t>
  </si>
  <si>
    <t>Yes: 1.4 Укладка рулонных материалов  выполняется в направлении «на себя» (АБИ) - 2019-12-24</t>
  </si>
  <si>
    <t>Yes: 1.5 Оклеечная гидроизоляция на мастике наклеивается сразу после ее нанесения (АБИ) - 2019-12-24</t>
  </si>
  <si>
    <t>Yes: 1.6 Толщина слоя мастики соответствует нормативным требованиям (АБИ) - 2019-12-24</t>
  </si>
  <si>
    <t>Yes: 1.7 Сопряжение смежных полотнищ выполняется с нахлесткой не менее 100 мм; торцевой нахлест полотнищ составляет не менее 150 мм (АБИ) - 2019-12-24</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</si>
  <si>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- 2019-12-24</t>
  </si>
  <si>
    <t>Yes: 1.9 При наплавлении рулонных материалов вяжущее вещество из-под боковой кромки материала вытекает на 5-15 мм (АБИ) - 2019-12-24</t>
  </si>
  <si>
    <t>Yes: 1.10 Наличие записи в журнале производства работ (АБИ) - 2019-12-24</t>
  </si>
  <si>
    <t>Yes: Нормативная документация: СП 71.13330.2017 «Изоляционные и отделочные покрытия» (АБИ) - 2019-12-24</t>
  </si>
  <si>
    <t>Алексей Бирюков: Заголовок изменен на Устройство горизонтальной рулонной г/и в/о Е2-В2/1.2-3.2 КПП отм -2.350</t>
  </si>
  <si>
    <t>Алексей Бирюков: Дата начала изменена на 23 декабря 2019 г.</t>
  </si>
  <si>
    <t>Монтаж фасадных панелей/о 15-16 в доль оси 3/А отм +7,801 Блок 2</t>
  </si>
  <si>
    <t>Алексей Бирюков: Заголовок изменен на Монтаж фасадных панелей/о 15-16 в доль оси 3/А отм +7,801 Блок 2</t>
  </si>
  <si>
    <t>Алексей Бирюков: Дата начала изменена на 25 декабря 2019 г.</t>
  </si>
  <si>
    <t>Монтаж металлических дверей В1</t>
  </si>
  <si>
    <t>Yes: 1,1. Работы производятся на основе РД, утвержденной в производство работ (АБИ) - 2019-12-27</t>
  </si>
  <si>
    <t>Yes: 1,2. При выполнении работ применяются материалы, прошедшие входной контроль (АБИ) - 2019-12-27</t>
  </si>
  <si>
    <t>Yes: 1,3. Соблюдается технология выполнения работ в соответствии с проектом, ППР, рекомендациями производителя (АБИ) - 2019-12-27</t>
  </si>
  <si>
    <t>Yes: 1,4. Плановое положение и высотные отметки элементов возводимой конструкции соответствуют проекту (АБИ) - 2019-12-27</t>
  </si>
  <si>
    <t>Алексей Бирюков: Заголовок изменен на Монтаж металлических дверей</t>
  </si>
  <si>
    <t>Алексей Бирюков: Дата начала изменена на 27 декабря 2019 г.</t>
  </si>
  <si>
    <t>Алексей Бирюков: Заголовок изменен на Монтаж металлических дверей В1</t>
  </si>
  <si>
    <t>Гидравлическое испытание замков колодца №12 системы К-2</t>
  </si>
  <si>
    <t>Yes: 1,1. Работы производятся на основе РД, утвержденной в производство работ (АБИ) - 2020-01-15</t>
  </si>
  <si>
    <t>Yes: 1,2. При выполнении работ применяются материалы, прошедшие входной контроль (АБИ) - 2020-01-15</t>
  </si>
  <si>
    <t>Yes: 1,3. Соблюдается технология выполнения работ в соответствии с проектом, ППР, рекомендациями производителя (АБИ) - 2020-01-15</t>
  </si>
  <si>
    <t>Yes: 1,4. Плановое положение и высотные отметки элементов возводимой конструкции соответствуют проекту (АБИ) - 2020-01-15</t>
  </si>
  <si>
    <t>Алексей Бирюков: Заголовок изменен на Гидравлическое испытание замков колодца №12 системы К-2</t>
  </si>
  <si>
    <t>Алексей Бирюков: Дата начала изменена на 14 января 2020 г.</t>
  </si>
  <si>
    <t>Алексей Бирюков: Дата окончания изменена на 15 января 2020 г.</t>
  </si>
  <si>
    <t>Устройство-во откосов помещений 13.L2.3.004-...001;010;009</t>
  </si>
  <si>
    <t>Алексей Бирюков: Заголовок изменен на Устройство-во откосов помещений 13.L2.3.004</t>
  </si>
  <si>
    <t>Алексей Бирюков: Заголовок изменен на Устройство-во откосов помещений 13.L2.3.004-...001</t>
  </si>
  <si>
    <t>Алексей Бирюков: Заголовок изменен на Устройство-во откосов помещений 13.L2.3.004-...001;010;009</t>
  </si>
  <si>
    <t>Алексей Бирюков: Дата начала изменена на 28 декабря 2019 г.</t>
  </si>
  <si>
    <t xml:space="preserve">Огнезащитна м/к (огракс) Блок 1 отм +54,650 в/о 5-6/1 в/о И-Л </t>
  </si>
  <si>
    <t>Yes: 2,1. Устройство конструкции выполнено в соответствии с проектом (АБИ) - 2019-12-04</t>
  </si>
  <si>
    <t>Yes: 2,2. При выполнении работ использовались материалы, прошедшие входной контроль (АБИ) - 2019-12-04</t>
  </si>
  <si>
    <t>Yes: 2,3. Конструкция проверена на соответствие проектным требованиям. Замечаний нет.  (АБИ) - 2019-12-04</t>
  </si>
  <si>
    <t>Yes: 2,4. Плановое положение и высотные отметки конструкции соответствует проекту. Отклонения не превышают нормативных (АБИ) - 2019-12-04</t>
  </si>
  <si>
    <t>No: 4,1. Наличие актов освидетельствования скрытых работ (АБИ) - 2019-12-04</t>
  </si>
  <si>
    <t>No: 4,2. Наличие и корректность исполнительной геодезической схемы (АБИ) - 2019-12-04</t>
  </si>
  <si>
    <t>Yes: 4,3. Наличие записей в журналах работ (АБИ) - 2019-12-04</t>
  </si>
  <si>
    <t>Yes: 4,4. Наличие паспортов и сертификатов на конструкцию и ее элементы (АБИ) - 2019-12-04</t>
  </si>
  <si>
    <t>Алексей Бирюков: Заголовок изменен на Огнезащитна м/к (огракс) Блок 1 отм +54,650</t>
  </si>
  <si>
    <t>Алексей Бирюков: Дата начала изменена на 4 декабря 2019 г.</t>
  </si>
  <si>
    <t xml:space="preserve">Алексей Бирюков: Заголовок изменен на Огнезащитна м/к (огракс) Блок 1 отм +54,650 в/о 5-6/1 в/о И-Л </t>
  </si>
  <si>
    <t>Решётчатый настил Секция 23 Блок 1</t>
  </si>
  <si>
    <t>Yes: Решетчатый настил (АБИ) - 2019-11-06</t>
  </si>
  <si>
    <t>Алексей Бирюков: Заголовок изменен на Решётка Кровли</t>
  </si>
  <si>
    <t>Алексей Бирюков: Стоимость изменена на 0 ALL</t>
  </si>
  <si>
    <t>Алексей Бирюков: Численность персонала изменена на 4 человеко-часы</t>
  </si>
  <si>
    <t>Алексей Бирюков: Заголовок изменен на Решётчатый настил Секция 23 Блок 1</t>
  </si>
  <si>
    <t>Алексей Бирюков: Осмотр перед монтажем</t>
  </si>
  <si>
    <t>Устройство Противопожарной Отсечки 1-вы уровень (переход сТ в Х зону) в/о 23-24 по оси 10/Б том +12,600 Блок 2</t>
  </si>
  <si>
    <t>Алексей Бирюков: Заголовок изменен на Устройство П.П. Отсечки (переход сТ в Х зону) в/о 23-24 по оси 10/Б том +12,600 Блок 2</t>
  </si>
  <si>
    <t>Алексей Бирюков: Дата начала изменена на 7 декабря 2019 г.</t>
  </si>
  <si>
    <t>Алексей Бирюков: Заголовок изменен на Устройство Противопожарной Отсечки 1-вы уровень (переход сТ в Х зону) в/о 23-24 по оси 10/Б том +12,600 Блок 2</t>
  </si>
  <si>
    <t>Операционный контроль панелей фасада панель №117;116 L1А3 ;№132 L2 A3</t>
  </si>
  <si>
    <t>Алексей Бирюков: Заголовок изменен на Операционный контроль панелей фасада панель №117 L1</t>
  </si>
  <si>
    <t>Алексей Бирюков: Заголовок изменен на Операционный контроль панелей фасада панель №117;116 L1</t>
  </si>
  <si>
    <t>Алексей Бирюков: Заголовок изменен на Операционный контроль панелей фасада панель №117;116 L1;132 L2 A3</t>
  </si>
  <si>
    <t>Алексей Бирюков: Заголовок изменен на Операционный контроль панелей фасада панель №117;116 L1132 L2 A3</t>
  </si>
  <si>
    <t>Алексей Бирюков: Заголовок изменен на Операционный контроль панелей фасада панель №117;116 L1А3 ;№132 L2 A3</t>
  </si>
  <si>
    <t>Алексей Бирюков: На фасадных панелях обнаружены дефекты(царапины)превышающие допустимые значения</t>
  </si>
  <si>
    <t xml:space="preserve">Устройство-во горизонтальной г/и Барьер БО 07.L3.1.062;063 </t>
  </si>
  <si>
    <t>Yes: 1.1 Работы выполняются на основе утвержденного ППР (АБИ) - 2020-01-19</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</si>
  <si>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- 2020-01-19</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</si>
  <si>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- 2020-01-19</t>
  </si>
  <si>
    <t>Yes: 1.4 Укладка рулонных материалов  выполняется в направлении «на себя» (АБИ) - 2020-01-19</t>
  </si>
  <si>
    <t>Yes: 1.5 Оклеечная гидроизоляция на мастике наклеивается сразу после ее нанесения (АБИ) - 2020-01-19</t>
  </si>
  <si>
    <t>Yes: 1.6 Толщина слоя мастики соответствует нормативным требованиям (АБИ) - 2020-01-19</t>
  </si>
  <si>
    <t>Yes: 1.7 Сопряжение смежных полотнищ выполняется с нахлесткой не менее 100 мм; торцевой нахлест полотнищ составляет не менее 150 мм (АБИ) - 2020-01-19</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</si>
  <si>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- 2020-01-19</t>
  </si>
  <si>
    <t>Yes: 1.9 При наплавлении рулонных материалов вяжущее вещество из-под боковой кромки материала вытекает на 5-15 мм (АБИ) - 2020-01-19</t>
  </si>
  <si>
    <t>Yes: 1.10 Наличие записи в журнале производства работ (АБИ) - 2020-01-19</t>
  </si>
  <si>
    <t>Yes: Нормативная документация: СП 71.13330.2017 «Изоляционные и отделочные покрытия» (АБИ) - 2020-01-19</t>
  </si>
  <si>
    <t xml:space="preserve">Алексей Бирюков: Заголовок изменен на Устройство-во горизонтальной г/и </t>
  </si>
  <si>
    <t>Алексей Бирюков: Дата начала изменена на 19 января 2020 г.</t>
  </si>
  <si>
    <t xml:space="preserve">Алексей Бирюков: Заголовок изменен на Устройство-во горизонтальной г/и Барьер БО 07.L3.1.062;063 </t>
  </si>
  <si>
    <t>Устройство п/а отсечки в/о Д-И по оси 15 отм +16,650 Блок №2.1</t>
  </si>
  <si>
    <t>Yes: 1,1. Работы производятся на основе РД, утвержденной в производство работ (АБИ) - 2020-01-31</t>
  </si>
  <si>
    <t>Yes: 1,2. При выполнении работ применяются материалы, прошедшие входной контроль (АБИ) - 2020-01-31</t>
  </si>
  <si>
    <t>No: 1,3. Соблюдается технология выполнения работ в соответствии с проектом, ППР, рекомендациями производителя (АБИ) - 2020-01-31</t>
  </si>
  <si>
    <t>Yes: 1,4. Плановое положение и высотные отметки элементов возводимой конструкции соответствуют проекту (АБИ) - 2020-01-31</t>
  </si>
  <si>
    <t>Алексей Бирюков: Заголовок изменен на Устройство п/а отсечки в/о Д-И по оси 15 отм +16,650 Блок №2.1</t>
  </si>
  <si>
    <t>Алексей Бирюков: Дата начала изменена на 30 января 2020 г.</t>
  </si>
  <si>
    <t>Армирование стены ФМ 1.2 в/о Ш/2-Ш/3 том -8.550</t>
  </si>
  <si>
    <t>Yes: 1.1 Вертикальный и горизонтальный шаг арматуры соответствует проекту. Отклонение между рядами арматуры не более 10 мм (АБИ) - 2019-12-11</t>
  </si>
  <si>
    <t>Yes: 1.2 Длина арматурных элементов соответствуют проекту. Длины нахлестов/анкеровки арматуры составляют не менее 5% длины арматуры (ГОСТ 10922-2012) (АБИ) - 2019-12-11</t>
  </si>
  <si>
    <t>Yes: 1.3 Отклонение толщины защитного слоя бетона от проектной не более 15 мм и не менее 5 мм при толщине бетона более 300 мм (АБИ) - 2019-12-11</t>
  </si>
  <si>
    <t>Yes: 1.4 Сварные соединения соответствуют проекту и требованиям ГОСТ 14098—2014 (АБИ) - 2019-12-11</t>
  </si>
  <si>
    <t>Yes: 1.5 Закладные элементы , в том числе приспособления для устройства гидроизоляции швов, установлены в соответствии с проектом и закреплены (АБИ) - 2019-12-11</t>
  </si>
  <si>
    <t>Yes: 2.1 Наличие записи в общем журнале работ (АБИ) - 2019-12-11</t>
  </si>
  <si>
    <t>Yes: 3.1 Разрешается проведение последующих работ по устройству опалубки  или бетонированию конструкции (АБИ) - 2019-12-11</t>
  </si>
  <si>
    <t>Алексей Бирюков: Заголовок изменен на Армирование стены ФМ 1.2 в/о Ш/2-Ш/3 том -8.550</t>
  </si>
  <si>
    <t>Алексей Бирюков: Дата начала изменена на 11 декабря 2019 г.</t>
  </si>
  <si>
    <t>Монтаж опалубки подпорной стены в/о Г-Е по 1 отм.-6,200</t>
  </si>
  <si>
    <t>Yes: 1,3. Соблюдается технология выполнения работ в соответствии с проектом, ППР, рекомендациями производителя (АБИ) - 2020-01-31</t>
  </si>
  <si>
    <t>Алексей Бирюков: Заголовок изменен на Монтаж опалубки подпорной стены</t>
  </si>
  <si>
    <t>Алексей Бирюков: Дата начала изменена на 31 января 2020 г.</t>
  </si>
  <si>
    <t>Алексей Бирюков: Заголовок изменен на Монтаж опалубки подпорной стены в/о Г-Е по 1 отм.-6,200</t>
  </si>
  <si>
    <t>Устройство Г/И Ковра Кровли (1 Слой ЭПП) В/О 16-18 М/О 5/Б-7/Б Отм +12,800 БЛОК 2</t>
  </si>
  <si>
    <t>в8.11_изоляционные рулонные материалы</t>
  </si>
  <si>
    <t>Yes: 2,1. В сопроводительных документах о качестве товарного бетона указаны:
- Наименование производителя;
- наименование и марка (тип) материала;
- дата изготовления материала;
- номер и объем партии;
- штамп технического контроля изготовителя. (АБИ) - 2019-11-25</t>
  </si>
  <si>
    <t>Yes: 2,2. Материал соответствует проектным требования (АБИ) - 2019-11-25</t>
  </si>
  <si>
    <t>Yes: 2,3. Условия хранения материала соблюдены (АБИ) - 2019-11-25</t>
  </si>
  <si>
    <t>Yes: 2,4. Наличие записи в "Журнале входного учета и контроля качества получаемых деталей, материалов, конструкций и оборудования" (АБИ) - 2019-11-25</t>
  </si>
  <si>
    <t>Yes: 3,1. Материал допускается к производству работ (АБИ) - 2019-11-25</t>
  </si>
  <si>
    <t>Yes: Нормативная документация: ГОСТ 30547-97 «Материалы рулонные кровельные и гидроизоляционные. Общие технические условия». ГОСТ 24297-2013 «Верификация закупленной продукции. Организация проведения и методы контроля». (АБИ) - 2019-11-25</t>
  </si>
  <si>
    <t>Алексей Бирюков: Заголовок изменен на Устройство Г/И Ковра Кровли (1 Слой ЭПП) В/О 16-18 М/О 5/Б-7/Б Отм +12,800 БЛОК 2</t>
  </si>
  <si>
    <t>Заделка вертикального стыка участка фасадной стены в/о М-Л по оси 34/1 L3 Блок 3мин.ватой</t>
  </si>
  <si>
    <t>Алексей Бирюков: Заголовок изменен на Заделка вертикального стыка мин.ватой</t>
  </si>
  <si>
    <t>Алексей Бирюков: Заголовок изменен на Заделка вертикального стыка участка фасадной стены в/о М-Л по оси 34/1 L3 Блок 3мин.ватой</t>
  </si>
  <si>
    <t xml:space="preserve">Производство работ </t>
  </si>
  <si>
    <t xml:space="preserve">Алексей Бирюков: Заголовок изменен на Производство работ </t>
  </si>
  <si>
    <t>Алексей Бирюков: Дата начала изменена на 2 января 2020 г.</t>
  </si>
  <si>
    <t>Алексей Бирюков: Дата окончания изменена на 3 января 2020 г.</t>
  </si>
  <si>
    <t>Чистота основания и обмазочная г/и битумом примыкания СВГ и здания в/о 9-12 по оси 1/Б</t>
  </si>
  <si>
    <t>Алексей Бирюков: Заголовок изменен на Чистота основания</t>
  </si>
  <si>
    <t xml:space="preserve">Алексей Бирюков: Заголовок изменен на Чистота основания </t>
  </si>
  <si>
    <t>Алексей Бирюков: Заголовок изменен на Чистота основания и обмазочная г/и битумом примыкания СВГ и здания в/о 9-12 по оси 1/Б</t>
  </si>
  <si>
    <t>Алексей Бирюков: Дата начала изменена на 3 января 2020 г.</t>
  </si>
  <si>
    <t>Алексей Бирюков: Дата окончания изменена на 4 января 2020 г.</t>
  </si>
  <si>
    <t>Монтаж опалубки плиты ГО ЧС в/о Ш-Ш/2 на отм.-4,400</t>
  </si>
  <si>
    <t>Yes: 1,1. Работы производятся на основе РД, утвержденной в производство работ (АБИ) - 2020-02-01</t>
  </si>
  <si>
    <t>Yes: 1,2. При выполнении работ применяются материалы, прошедшие входной контроль (АБИ) - 2020-02-01</t>
  </si>
  <si>
    <t>Yes: 1,3. Соблюдается технология выполнения работ в соответствии с проектом, ППР, рекомендациями производителя (АБИ) - 2020-02-01</t>
  </si>
  <si>
    <t>Yes: 1,4. Плановое положение и высотные отметки элементов возводимой конструкции соответствуют проекту (АБИ) - 2020-02-01</t>
  </si>
  <si>
    <t>Алексей Бирюков: Заголовок изменен на Монтаж опалубки плиты ГО ЧС</t>
  </si>
  <si>
    <t>Алексей Бирюков: Заголовок изменен на Монтаж опалубки плиты ГО ЧС в/о Ш-Ш/2 на отм.-4,400</t>
  </si>
  <si>
    <t>Алексей Бирюков: Дата начала изменена на 1 февраля 2020 г.</t>
  </si>
  <si>
    <t xml:space="preserve">   Армирование стены КРМ -8 КПП-2</t>
  </si>
  <si>
    <t>Yes: 1.1 Вертикальный и горизонтальный шаг арматуры соответствует проекту. Отклонение между рядами арматуры не более 10 мм (АБИ) - 2020-01-07</t>
  </si>
  <si>
    <t>Yes: 1.2 Длина арматурных элементов соответствуют проекту. Длины нахлестов/анкеровки арматуры составляют не менее 5% длины арматуры (ГОСТ 10922-2012) (АБИ) - 2020-01-07</t>
  </si>
  <si>
    <t>Yes: 1.3 Отклонение толщины защитного слоя бетона от проектной не более 15 мм и не менее 5 мм при толщине бетона более 300 мм (АБИ) - 2020-01-07</t>
  </si>
  <si>
    <t>N/A: 1.4 Сварные соединения соответствуют проекту и требованиям ГОСТ 14098—2014 (АБИ) - 2020-01-07</t>
  </si>
  <si>
    <t>N/A: 1.5 Закладные элементы , в том числе приспособления для устройства гидроизоляции швов, установлены в соответствии с проектом и закреплены (АБИ) - 2020-01-07</t>
  </si>
  <si>
    <t>Yes: 2.1 Наличие записи в общем журнале работ (АБИ) - 2020-01-07</t>
  </si>
  <si>
    <t>Yes: 3.1 Разрешается проведение последующих работ по устройству опалубки  или бетонированию конструкции (АБИ) - 2020-01-07</t>
  </si>
  <si>
    <t>Алексей Бирюков: Заголовок изменен на    Армирование стены</t>
  </si>
  <si>
    <t>Алексей Бирюков: Дата начала изменена на 7 января 2020 г.</t>
  </si>
  <si>
    <t>Алексей Бирюков: Заголовок изменен на    Армирование стены КРМ -8</t>
  </si>
  <si>
    <t>Алексей Бирюков: Заголовок изменен на    Армирование стены КРМ -8 КПП-2</t>
  </si>
  <si>
    <t>Устройство  бетонной  подготовки (армирование ,опалубка) в/о В-Ж водопровод В-1</t>
  </si>
  <si>
    <t>Yes: 1,1. Работы производятся на основе РД, утвержденной в производство работ (АБИ) - 2020-02-05</t>
  </si>
  <si>
    <t>Yes: 1,2. При выполнении работ применяются материалы, прошедшие входной контроль (АБИ) - 2020-02-05</t>
  </si>
  <si>
    <t>Yes: 1,3. Соблюдается технология выполнения работ в соответствии с проектом, ППР, рекомендациями производителя (АБИ) - 2020-02-05</t>
  </si>
  <si>
    <t>Yes: 1,4. Плановое положение и высотные отметки элементов возводимой конструкции соответствуют проекту (АБИ) - 2020-02-05</t>
  </si>
  <si>
    <t>Алексей Бирюков: Заголовок изменен на Устройство  бетонной  подготовки (армирование ,опалубка)</t>
  </si>
  <si>
    <t>Алексей Бирюков: Заголовок изменен на Устройство  бетонной  подготовки (армирование ,опалубка) в/о В-Ж водопровод В-1</t>
  </si>
  <si>
    <t>Алексей Бирюков: Дата начала изменена на 5 февраля 2020 г.</t>
  </si>
  <si>
    <t>Восстановление ЛКП М/К (ферм)</t>
  </si>
  <si>
    <t>Yes: 1,1. Работы производятся на основе РД, утвержденной в производство работ (АБИ) - 2020-01-10</t>
  </si>
  <si>
    <t>Yes: 1,2. При выполнении работ применяются материалы, прошедшие входной контроль (АБИ) - 2020-01-10</t>
  </si>
  <si>
    <t>Yes: 1,3. Соблюдается технология выполнения работ в соответствии с проектом, ППР, рекомендациями производителя (АБИ) - 2020-01-10</t>
  </si>
  <si>
    <t>Yes: 1,4. Плановое положение и высотные отметки элементов возводимой конструкции соответствуют проекту (АБИ) - 2020-01-10</t>
  </si>
  <si>
    <t>Алексей Бирюков: Заголовок изменен на Окраска М/К</t>
  </si>
  <si>
    <t>Алексей Бирюков: Дата начала изменена на 10 января 2020 г.</t>
  </si>
  <si>
    <t>Алексей Бирюков: Заголовок изменен на Окраска М/К (ферм)</t>
  </si>
  <si>
    <t>Алексей Бирюков: Заголовок изменен на Восстановление ЛКП М/К (ферм)</t>
  </si>
  <si>
    <t>Теплоизоляция кровли в/о 1/А-5 L10 Блок №1</t>
  </si>
  <si>
    <t>Алексей Бирюков: Заголовок изменен на Теплоизоляция кровли в/о 1/А-5 L10 Блок №1</t>
  </si>
  <si>
    <t>Устройство бет стяжки (пирог согласно проека+ армирование) пом. 09L1.1.06-016</t>
  </si>
  <si>
    <t>Алексей Бирюков: Заголовок изменен на Устройство бет стяжки (пирог согл.проека+ армирование) пом 09L1.1.06-016</t>
  </si>
  <si>
    <t>Алексей Бирюков: Заголовок изменен на Устройство бет стяжки (пирог согласно проека+ армирование) пом. 09L1.1.06-016</t>
  </si>
  <si>
    <t>Монтаж утеплителя вентфасада 1 слой в/о 12-14 по оси 2/Б отм +12,460 Блок №2</t>
  </si>
  <si>
    <t>Yes: 2,1. Устройство конструкции выполнено в соответствии с проектом (АБИ) - 2020-02-07</t>
  </si>
  <si>
    <t>Yes: 2,2. При выполнении работ использовались материалы, прошедшие входной контроль (АБИ) - 2020-02-07</t>
  </si>
  <si>
    <t>Yes: 2,3. Конструкция проверена на соответствие проектным требованиям. Замечаний нет.  (АБИ) - 2020-02-07</t>
  </si>
  <si>
    <t>Yes: 2,4. Плановое положение и высотные отметки конструкции соответствует проекту. Отклонения не превышают нормативных (АБИ) - 2020-02-07</t>
  </si>
  <si>
    <t>No: 4,1. Наличие актов освидетельствования скрытых работ (АБИ) - 2020-02-07</t>
  </si>
  <si>
    <t>No: 4,2. Наличие и корректность исполнительной геодезической схемы (АБИ) - 2020-02-07</t>
  </si>
  <si>
    <t>Yes: 4,3. Наличие записей в журналах работ (АБИ) - 2020-02-07</t>
  </si>
  <si>
    <t>Yes: 4,4. Наличие паспортов и сертификатов на конструкцию и ее элементы (АБИ) - 2020-02-07</t>
  </si>
  <si>
    <t>Алексей Бирюков: Заголовок изменен на Монтаж утеплителя вентфасада 1 слой в/о 12-14 по оси 2/Б отм +12,460 Блок №2</t>
  </si>
  <si>
    <t>Алексей Бирюков: Дата начала изменена на 7 февраля 2020 г.</t>
  </si>
  <si>
    <t>Каркас перегородки из ГКЛ 07L 3.094</t>
  </si>
  <si>
    <t>о8.7_перегородки_каркасно-обшивные</t>
  </si>
  <si>
    <t>Yes: 1,1. Работы выполняются на основе РД, утвержденной в производство работ (АБИ) - 2020-02-08</t>
  </si>
  <si>
    <t>Yes: 1,2. При выполнении работ используются материалы, прошедшие входной контроль (АБИ) - 2020-02-08</t>
  </si>
  <si>
    <t>Yes: 1,3. Крепление направляющих профилей каркаса к несущим конструкциям осуществляется через уплотнительную ленту или герметик дюбелями с шагом не более 1000 мм, из расчета не менее трех креплений на один профиль (АБИ) - 2020-02-08</t>
  </si>
  <si>
    <t>Yes: 1,4. Количество и тип листов обшивки соответствует проекту (АБИ) - 2020-02-08</t>
  </si>
  <si>
    <t>Yes: 1,5. При устройстве переговородок влажных помещений используется влагостойкие материалы (АБИ) - 2020-02-08</t>
  </si>
  <si>
    <t>Yes: 1,6. Вертикальные стыки ГКЛ и ГВЛ располагаются на профилях. При многослойной обшивки стыки одного слоя перекрываются другим. Для заделки стыков применяется армирующая лента (АБИ) - 2020-02-08</t>
  </si>
  <si>
    <t>Yes: 1,7. Для защиты наружных углов, образованных ГКЛ или ГВЛ, от механических повреждений применяются стальные угловые профили (АБИ) - 2020-02-08</t>
  </si>
  <si>
    <t>Yes: 1,8. В местах сопряжения перегородок с трубопроводами водоснабжения, отопления и коммуникациями диаметром более 60 мм устанавливаются гильзы (кожухи) из несгораемых материалов с пределом огнестойкости не менее 30 мин (АБИ) - 2020-02-08</t>
  </si>
  <si>
    <t>Алексей Бирюков: Заголовок изменен на 07L 3.094</t>
  </si>
  <si>
    <t>Алексей Бирюков: Дата начала изменена на 8 февраля 2020 г.</t>
  </si>
  <si>
    <t>Алексей Бирюков: Заголовок изменен на Каркас перегородки из ГКЛ 07L 3.094</t>
  </si>
  <si>
    <t>Гидравлические испытания системы К-1 захватка 6;8</t>
  </si>
  <si>
    <t>Yes: 1,1. Работы производятся на основе РД, утвержденной в производство работ (АБИ) - 2020-01-16</t>
  </si>
  <si>
    <t>Yes: 1,2. При выполнении работ применяются материалы, прошедшие входной контроль (АБИ) - 2020-01-16</t>
  </si>
  <si>
    <t>Yes: 1,3. Соблюдается технология выполнения работ в соответствии с проектом, ППР, рекомендациями производителя (АБИ) - 2020-01-16</t>
  </si>
  <si>
    <t>Yes: 1,4. Плановое положение и высотные отметки элементов возводимой конструкции соответствуют проекту (АБИ) - 2020-01-16</t>
  </si>
  <si>
    <t>Алексей Бирюков: Заголовок изменен на Гидравлические испытания системы К-1 захватка 6;8</t>
  </si>
  <si>
    <t>Алексей Бирюков: Дата начала изменена на 16 января 2020 г.</t>
  </si>
  <si>
    <t>Устройство полимерных полов 03 В1.001;</t>
  </si>
  <si>
    <t>Yes: 1,1. Работы производятся на основе РД, утвержденной в производство работ (АБИ) - 2020-01-18</t>
  </si>
  <si>
    <t>Yes: 1,2. При выполнении работ применяются материалы, прошедшие входной контроль (АБИ) - 2020-01-18</t>
  </si>
  <si>
    <t>Yes: 1,3. Соблюдается технология выполнения работ в соответствии с проектом, ППР, рекомендациями производителя (АБИ) - 2020-01-18</t>
  </si>
  <si>
    <t>Yes: 1,4. Плановое положение и высотные отметки элементов возводимой конструкции соответствуют проекту (АБИ) - 2020-01-18</t>
  </si>
  <si>
    <t>Алексей Бирюков: Заголовок изменен на Устройство полимерных полов</t>
  </si>
  <si>
    <t>Алексей Бирюков: Дата начала изменена на 18 января 2020 г.</t>
  </si>
  <si>
    <t>Алексей Бирюков: Заголовок изменен на Устройство полимерных полов 03 В1.001</t>
  </si>
  <si>
    <t>Алексей Бирюков: Заголовок изменен на Устройство полимерных полов 03 В1.001;</t>
  </si>
  <si>
    <t xml:space="preserve">Устройство мощения кровли тротуарной плиткой 1/Б-6/Б м/о Т-С отм+30.000 Блок 1 </t>
  </si>
  <si>
    <t>Yes: 2,1. Работы производятся на основе и в соответствии с рабочей документацией, утвержденной в производство работ (АБИ) - 2020-01-18</t>
  </si>
  <si>
    <t>No: 2,2. Применяются материалы, прошедшие входной контроль (АБИ) - 2020-01-18</t>
  </si>
  <si>
    <t>Not set: 2,3. Перед нанесением грунтовочных и изоляционных составов выполняется обеспыливание основания (АБИ) - 2020-01-18</t>
  </si>
  <si>
    <t>Yes: 2,4. По профлисту материал раскатывается вдоль рёбер настила (АБИ) - 2020-01-18</t>
  </si>
  <si>
    <t>Yes: 2,5. Нахлёсты материала соответствуют нормативным требованиям: боковые не менее 100 мм на рёбрах; торцевые не менее 150 мм (АБИ) - 2020-01-18</t>
  </si>
  <si>
    <t>No: 2,6. Устройство теплоизоляции выполняется в соответствии с проектом по технологии, рекомендованной производителем (АБИ) - 2020-01-18</t>
  </si>
  <si>
    <t>Not set: 2,7. В зоне водоприемных воронок выполняется устройство понижения (АБИ) - 2020-01-18</t>
  </si>
  <si>
    <t>Yes: 2,8. В местах сопряжения с выступающими конструкциями кровли, стенами парапетов, инженерным оборудованием, ендовами, деформационными швами крепятся дополнительные слои гидроизоляции. Высота заведения покрытия на вертикальные поверхности соответствует проекту (АБИ) - 2020-01-18</t>
  </si>
  <si>
    <t>Yes: 2,9. Устройство защитных слоев осуществляется захватками с пониженных участков (ендов), а также от мест примыкания кровель к стенам (АБИ) - 2020-01-18</t>
  </si>
  <si>
    <t>Yes: 2,10. Число слоев и общая толщина слоев соответствуют проектным требованиям (АБИ) - 2020-01-18</t>
  </si>
  <si>
    <t>Yes: 3,1. Предельные отклонения поверхностей не превышают нормативных значений (АБИ) - 2020-01-18</t>
  </si>
  <si>
    <t>Yes: 4. Нормативная документация: . СП 71.13330.2011 «Изоляционные и отделочные покрытия». ТК «Контроль качества работ при устройстве кровель» Приложение 2. Руководство производителя. Рабочий проект.СП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- 2020-01-18</t>
  </si>
  <si>
    <t xml:space="preserve">Алексей Бирюков: Заголовок изменен на Устройство мощения кровли 1/Б-6/Б м/о Т-С отм+30.000 Блок 1 </t>
  </si>
  <si>
    <t xml:space="preserve">Алексей Бирюков: Заголовок изменен на Устройство мощения кровли тротуарной плиткой 1/Б-6/Б м/о Т-С отм+30.000 Блок 1 </t>
  </si>
  <si>
    <t>Армирование стяжки 13L4.2.06-1;14L4.2.033</t>
  </si>
  <si>
    <t>Yes: 2,1. Устройство конструкции выполнено в соответствии с проектом (АБИ) - 2020-01-18</t>
  </si>
  <si>
    <t>Yes: 2,2. При выполнении работ использовались материалы, прошедшие входной контроль (АБИ) - 2020-01-18</t>
  </si>
  <si>
    <t>Yes: 2,3. Конструкция проверена на соответствие проектным требованиям. Замечаний нет.  (АБИ) - 2020-01-18</t>
  </si>
  <si>
    <t>Yes: 2,4. Плановое положение и высотные отметки конструкции соответствует проекту. Отклонения не превышают нормативных (АБИ) - 2020-01-18</t>
  </si>
  <si>
    <t>No: 4,1. Наличие актов освидетельствования скрытых работ (АБИ) - 2020-01-18</t>
  </si>
  <si>
    <t>No: 4,2. Наличие и корректность исполнительной геодезической схемы (АБИ) - 2020-01-18</t>
  </si>
  <si>
    <t>Yes: 4,3. Наличие записей в журналах работ (АБИ) - 2020-01-18</t>
  </si>
  <si>
    <t>Yes: 4,4. Наличие паспортов и сертификатов на конструкцию и ее элементы (АБИ) - 2020-01-18</t>
  </si>
  <si>
    <t>Алексей Бирюков: Заголовок изменен на Армирование стяжки 13L4.2.06-1</t>
  </si>
  <si>
    <t>Алексей Бирюков: Заголовок изменен на Армирование стяжки 13L4.2.06-1;14L4.2.033</t>
  </si>
  <si>
    <t>Вертикальный лист противопож отсечки в/о Н по7 L9;L7 Блок 1;Б 1 в/о в/о л/19 отм +16.800</t>
  </si>
  <si>
    <t>Алексей Бирюков: Заголовок изменен на Вертикальный лист противопож отсечки в/о Н по7 L9 Блок 1</t>
  </si>
  <si>
    <t xml:space="preserve">Алексей Бирюков: Заголовок изменен на Вертикальный лист противопож отсечки в/о Н по7 L9 Блок 1;Б2 </t>
  </si>
  <si>
    <t>Алексей Бирюков: Заголовок изменен на Вертикальный лист противопож отсечки в/о Н по7 L9 Блок 1;Б 1 в/о в/о л/19 отм +16.800</t>
  </si>
  <si>
    <t>Алексей Бирюков: Заголовок изменен на Вертикальный лист противопож отсечки в/о Н по7 L9;L7 Блок 1;Б 1 в/о в/о л/19 отм +16.800</t>
  </si>
  <si>
    <t>Монтаж верхнего накрывающего листа L11 в/о К-Л по оси 7 Блок №1</t>
  </si>
  <si>
    <t>Yes: 1,1. Работы выполняются на основе РД, утвержденной в производство работ (АБИ) - 2020-01-19</t>
  </si>
  <si>
    <t>Yes: 1,2. При выполнении работ используются материалы, прошедшие входной контроль (АБИ) - 2020-01-19</t>
  </si>
  <si>
    <t>Yes: 1,3. Крепление направляющих профилей каркаса к несущим конструкциям осуществляется через уплотнительную ленту или герметик дюбелями с шагом не более 1000 мм, из расчета не менее трех креплений на один профиль (АБИ) - 2020-01-19</t>
  </si>
  <si>
    <t>Yes: 1,4. Количество и тип листов обшивки соответствует проекту (АБИ) - 2020-01-19</t>
  </si>
  <si>
    <t>Yes: 1,5. При устройстве переговородок влажных помещений используется влагостойкие материалы (АБИ) - 2020-01-19</t>
  </si>
  <si>
    <t>Yes: 1,6. Вертикальные стыки ГКЛ и ГВЛ располагаются на профилях. При многослойной обшивки стыки одного слоя перекрываются другим. Для заделки стыков применяется армирующая лента (АБИ) - 2020-01-19</t>
  </si>
  <si>
    <t>Yes: 1,7. Для защиты наружных углов, образованных ГКЛ или ГВЛ, от механических повреждений применяются стальные угловые профили (АБИ) - 2020-01-19</t>
  </si>
  <si>
    <t>Yes: 1,8. В местах сопряжения перегородок с трубопроводами водоснабжения, отопления и коммуникациями диаметром более 60 мм устанавливаются гильзы (кожухи) из несгораемых материалов с пределом огнестойкости не менее 30 мин (АБИ) - 2020-01-19</t>
  </si>
  <si>
    <t>Алексей Бирюков: Заголовок изменен на Монтаж оцинковки</t>
  </si>
  <si>
    <t>Алексей Бирюков: Заголовок изменен на Монтаж верхнего накрывающего листа L11 в/о К-Л по оси 7 Блок №1</t>
  </si>
  <si>
    <t>Монтаж тротуарной плитки на кровле в/о 10/Б-18 Блок Б1 отм +21.000</t>
  </si>
  <si>
    <t>п7.1_устройство_кровли</t>
  </si>
  <si>
    <t>Yes: 2,1. Устройство кровли выполнено в соответствии с проектом (АБИ) - 2020-01-23</t>
  </si>
  <si>
    <t>Yes: 2,2. При устройстве кровли использовались материалы, прошедшие входной контроль (АБИ) - 2020-01-23</t>
  </si>
  <si>
    <t>Yes: 2,3. При устройстве кровли использовались материалы, прошедшие входной контроль (АБИ) - 2020-01-23</t>
  </si>
  <si>
    <t>Yes: 2,4. Отвод воды осуществляется по всей поверхности кровли по наружным и внутренним водостокам без застоя воды (АБИ) - 2020-01-23</t>
  </si>
  <si>
    <t>Yes: 2,5. На кровле отсутствуют пузыри, вздутия, воздушные мешки, разрывы, вмятины, проколы, потёки и наплывы покрытия (АБИ) - 2020-01-23</t>
  </si>
  <si>
    <t>Yes: 2,6. Понижения в зоне водоприемных воронок соответствуют проекту (АБИ) - 2020-01-23</t>
  </si>
  <si>
    <t>Yes: 2,7. Чаши водоприёмных воронок внутренних водостоков не выступают над поверхностью кровли (АБИ) - 2020-01-23</t>
  </si>
  <si>
    <t>Yes: 2,8. Отслаивания кровельного ковра в местах сопряжения с выступающими конструкциями кровли и инженерным оборудованием отсутствуют (АБИ) - 2020-01-23</t>
  </si>
  <si>
    <t>Yes: 3,1. Предельные отклонения в положении элементов кровли не превышают нормативных  (АБИ) - 2020-01-23</t>
  </si>
  <si>
    <t>No: 4,1. Наличие актов освидетельствования скрытых работ (АБИ) - 2020-01-23</t>
  </si>
  <si>
    <t>No: 4,2. Наличие и корректность исполнительной геодезической схемы (АБИ) - 2020-01-23</t>
  </si>
  <si>
    <t>Yes: 4,3. Наличие записей в журналах работ (АБИ) - 2020-01-23</t>
  </si>
  <si>
    <t>Yes: 4,4. Наличие гарантийного паспорта на кровлю (АБИ) - 2020-01-23</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</si>
  <si>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- 2020-01-23</t>
  </si>
  <si>
    <t>Алексей Бирюков: Заголовок изменен на Монтаж тротуарной плитки на кровле в/о 10/Б-18 Блок Б1 отм +21.000</t>
  </si>
  <si>
    <t>Алексей Бирюков: Дата начала изменена на 23 января 2020 г.</t>
  </si>
  <si>
    <t>Устройство подсыпки из керамзита кровли в/о 4-7 м/о Д-Е Блок №1 отм +52,150</t>
  </si>
  <si>
    <t>Yes: 1,1. Работы производятся на основе РД, утвержденной в производство работ (АБИ) - 2020-01-23</t>
  </si>
  <si>
    <t>Yes: 1,2. При выполнении работ применяются материалы, прошедшие входной контроль (АБИ) - 2020-01-23</t>
  </si>
  <si>
    <t>Yes: 1,3. Соблюдается технология выполнения работ в соответствии с проектом, ППР, рекомендациями производителя (АБИ) - 2020-01-23</t>
  </si>
  <si>
    <t>Yes: 1,4. Плановое положение и высотные отметки элементов возводимой конструкции соответствуют проекту (АБИ) - 2020-01-23</t>
  </si>
  <si>
    <t>Алексей Бирюков: Заголовок изменен на Устройство подсыпки из керамзита кровли в/о 4-7 м/о Д-Е Блок №1</t>
  </si>
  <si>
    <t>Алексей Бирюков: Заголовок изменен на Устройство подсыпки из керамзита кровли в/о 4-7 м/о Д-Е Блок №1 отм +52,150</t>
  </si>
  <si>
    <t xml:space="preserve">Устройство подстилающего слоя пола «Сика Левел» 09.L1.1.009-011 </t>
  </si>
  <si>
    <t>Yes: 2,1. Устройство конструкции выполнено в соответствии с проектом (АБИ) - 2020-01-23</t>
  </si>
  <si>
    <t>Yes: 2,2. При выполнении работ использовались материалы, прошедшие входной контроль (АБИ) - 2020-01-23</t>
  </si>
  <si>
    <t>Yes: 2,3. Конструкция проверена на соответствие проектным требованиям. Замечаний нет.  (АБИ) - 2020-01-23</t>
  </si>
  <si>
    <t>Yes: 2,4. Плановое положение и высотные отметки конструкции соответствует проекту. Отклонения не превышают нормативных (АБИ) - 2020-01-23</t>
  </si>
  <si>
    <t>Yes: 4,4. Наличие паспортов и сертификатов на конструкцию и ее элементы (АБИ) - 2020-01-23</t>
  </si>
  <si>
    <t xml:space="preserve">Алексей Бирюков: Заголовок изменен на Устройство подстилающего слоя пола «Сика Левел» 09.L1.1.009-011 </t>
  </si>
  <si>
    <t>Дефектовка огнезащиты несущих конструкций</t>
  </si>
  <si>
    <t>РК-РД-2-ОЗ1.1.01-008-03</t>
  </si>
  <si>
    <t>ОГНЕЗАЩИТА МК МОНОКОТ</t>
  </si>
  <si>
    <t>Антон Федоров: Заголовок изменен на Дефектовка огнезащиты несущих конструкций</t>
  </si>
  <si>
    <t>Антон Федоров: План изменен на РК-РД-2-ОЗ1.1.01-008-03</t>
  </si>
  <si>
    <t>Антон Федоров: Завершенное задание</t>
  </si>
  <si>
    <t>РК-РД-2-ОЗ1.1.02-005-03</t>
  </si>
  <si>
    <t>РК-РД-2-ОЗ1.1.02-003-02</t>
  </si>
  <si>
    <t>РК-РД-2-ОЗ1.1.02-004-02</t>
  </si>
  <si>
    <t>РК-РД-2-ОЗ1.1.01-009-03</t>
  </si>
  <si>
    <t>Антон Федоров: Заголовок изменен на Дефектовка огнезащиты МК</t>
  </si>
  <si>
    <t>РК-РД-2-ОЗ2.1.01-008-02</t>
  </si>
  <si>
    <t>РК-РД-2-ОЗ1.1.01-010-02</t>
  </si>
  <si>
    <t>РК-РД-2-ОЗ1.1.02-006-02</t>
  </si>
  <si>
    <t>РК-РД-2-ОЗ2.1.01-006-01</t>
  </si>
  <si>
    <t>РК-РД-2-ОЗ2.1.01-009-02</t>
  </si>
  <si>
    <t>Прокладка водопроводной трубы  в/о В-Ж водопровод В-1</t>
  </si>
  <si>
    <t>Антон Федоров: Название категории изменено на Операционный контроль</t>
  </si>
  <si>
    <t>Антон Федоров: Заголовок изменен на Устройство  бетонной  подготовки (армирование ,опалубка) в/о В-Ж водопровод В-1</t>
  </si>
  <si>
    <t>Антон Федоров: Заголовок изменен на Прокладка водопроводной трубы  в/о В-Ж водопровод В-1</t>
  </si>
  <si>
    <t>Устройство гидроизоляции парапета на стилобате в\о 22-25/в-б</t>
  </si>
  <si>
    <t>Антон Федоров: Заголовок изменен на Устройство гидроизоляции парапета на стилобате в\о 22-25/в-б</t>
  </si>
  <si>
    <t>Устройство гидроизоляции кровли Блок 1 в\о С-Р\1Б-5 Уровень L7</t>
  </si>
  <si>
    <t>Антон Федоров: Заголовок изменен на Устройство гидроизоляции кровли Блок 1 в\о С-Р\1Б-5</t>
  </si>
  <si>
    <t>Антон Федоров: Заголовок изменен на Устройство гидроизоляции кровли Блок 1 в\о С-Р\1Б-5 Уровень L7</t>
  </si>
  <si>
    <t>Антон Федоров: Изменена дата начала на 23.12.2019</t>
  </si>
  <si>
    <t>Антон Федоров: Сменить ответственное лицо на Антон Федоров</t>
  </si>
  <si>
    <t>Устройство пароизоляции на стилобате в\о 17-19\г-б</t>
  </si>
  <si>
    <t>Антон Федоров: Заголовок изменен на Устройство пароизоляции на стилобате в\о 17-19\г-б</t>
  </si>
  <si>
    <t>Антон Федоров: Изменена дата начала на 24.12.2019</t>
  </si>
  <si>
    <t>Монтаж фасадных панелей Блок С L4</t>
  </si>
  <si>
    <t>Антон Федоров: Заголовок изменен на Монтаж фасадных панелей Блок С L4</t>
  </si>
  <si>
    <t>Антон Федоров: Изменена дата начала на 09.02.2020</t>
  </si>
  <si>
    <t>Обратная засыпка с послойным уплотнением участка НВК 5 Водопровод В1 в\о В-К\1Б</t>
  </si>
  <si>
    <t>Антон Федоров: Изменена дата начала на 10.02.2020</t>
  </si>
  <si>
    <t>Антон Федоров: Заголовок изменен на Обратная засыпка с послойным уплотнением участка НВК 5 Водопровод В1 в\о В-К\1Б</t>
  </si>
  <si>
    <t>Гидроизоляция вводов канализации К1</t>
  </si>
  <si>
    <t>Not set: Необходимо отштукатурить места вводов К1 в плоскость поверхности стен (АСВ) - 2020-01-07</t>
  </si>
  <si>
    <t>Александр Светашов: Гидроизоляция вводов канализации К1</t>
  </si>
  <si>
    <t>Отделка Renaissance Construction: Стоимость изменена на 0 ALL</t>
  </si>
  <si>
    <t>Александр Светашов: Дата окончания изменена на янв. 31, 2020</t>
  </si>
  <si>
    <t>Владимир Собченко: Сменить ответственное лицо на Владимир Собченко</t>
  </si>
  <si>
    <t xml:space="preserve">Гидроизоляция вводов канализации К1 </t>
  </si>
  <si>
    <t>Not set: Выполнить отделку, штукатурку мест вводов К1 в плоскости стен (ЕКУ) - 2020-01-07</t>
  </si>
  <si>
    <t xml:space="preserve">Александр Светашов: Гидроизоляция вводов канализации К1 </t>
  </si>
  <si>
    <t>Отделка Renaissance Construction: Приоритет изменен на P2</t>
  </si>
  <si>
    <t>о3.2_армирование монолитных жб конструкций</t>
  </si>
  <si>
    <t>о4.1_кирпичная кладка</t>
  </si>
  <si>
    <t>Yes: 1.1 Вертикальный и горизонтальный шаг арматуры соответствует проекту. Отклонение между рядами арматуры не более 10 мм (ВСО) - 2020-01-17</t>
  </si>
  <si>
    <t>Yes: 1.2 Длина арматурных элементов соответствуют проекту. Длины нахлестов/анкеровки арматуры составляют не менее 5% длины арматуры (ГОСТ 10922-2012) (ВСО) - 2020-01-17</t>
  </si>
  <si>
    <t>Not set: 1.3 Отклонение толщины защитного слоя бетона от проектной не более 15 мм и не менее 5 мм при толщине бетона более 300 мм (ВСО) - 2020-01-17</t>
  </si>
  <si>
    <t>Not set: 1.4 Сварные соединения соответствуют проекту и требованиям ГОСТ 14098—2014 (ВСО) - 2020-01-17</t>
  </si>
  <si>
    <t>Not set: 1.5 Закладные элементы , в том числе приспособления для устройства гидроизоляции швов, установлены в соответствии с проектом и закреплены (ВСО) - 2020-01-17</t>
  </si>
  <si>
    <t>Not set: 2.1 Наличие записи в общем журнале работ (ВСО) - 2020-01-17</t>
  </si>
  <si>
    <t>Not set: 3.1 Разрешается проведение последующих работ по устройству опалубки  или бетонированию конструкции (ВСО) - 2020-01-17</t>
  </si>
  <si>
    <t>Not set: 1. Работы производятся в соответствии с РД, утвержденной в производтство работ (ВСО) - 2020-01-31</t>
  </si>
  <si>
    <t>Not set: 2. При производстве работ используются материалы, прошедший входной контроль (ВСО) - 2020-01-31</t>
  </si>
  <si>
    <t>Not set: 3. Габаритные размеры кладки выполненных простенков и проемов соответствует проекту (ВСО) - 2020-01-31</t>
  </si>
  <si>
    <t>Not set: 4. Кладка из кирпича выполняется с перевязкой. Тычковые ряды в кладке укладываются из целых кирпичей. Независимо от принятой системы перевязки швов укладка тычковых рядов производится в нижнем (первом) и верхнем (последнем) рядах возводимых конструкций (ВСО) - 2020-01-31</t>
  </si>
  <si>
    <t>Not set: 5. Толщина горизонтальных швов кладки составляет 12 мм с отклонениями в уменьшении не более 2 мм и в увеличении не более 3 мм; вертикальных - 10 мм с отклонениями в уменьшении и в увеличении не более 2 мм (ВСО) - 2020-01-31</t>
  </si>
  <si>
    <t>Not set: 6. Горизонтальные и поперечные вертикальные швы кирпичной кладки стен, а также швы (горизонтальные, поперечные и продольные вертикальные) в перемычках, простенках и столбах заполняются раствором (ВСО) - 2020-01-31</t>
  </si>
  <si>
    <t>Not set: 7. Вентиляционные каналы в стенах выполняются из керамического полнотелого кирпича марки не ниже M100 или силикатного марки M100 до уровня чердачного перекрытия, а выше - из полнотелого керамического кирпича не ниже марки M100 с затиркой швов (ВСО) - 2020-01-31</t>
  </si>
  <si>
    <t>Not set: 8. При вынужденных разрывах кладка выполняется в виде наклонной штрабы (ВСО) - 2020-01-31</t>
  </si>
  <si>
    <t>Not set: 9. Отклонение от вертикальности не более 5 мм при кладке под расшивку и не более 7 мм при кладке под штукатурку (промеривается отвесом) (ВСО) - 2020-01-31</t>
  </si>
  <si>
    <t>Not set: 10. Проверяется инструментальным методом горизонтальность и отметки верха кладки после окончания кладки каждого этажа независимо от промежуточных проверок горизонтальности ее рядов (ВСО) - 2020-01-31</t>
  </si>
  <si>
    <t>Not set: 11. В нижнем (первом) и верхнем (последнем) рядах, а также на уровне обрезов стен и столбов, в выступающих рядах кладки (карнизы, пояса) укладка кирпича осуществлена тычковыми рядами; при этом свес каждого кирпича в карнизе не превышает 1/3 кирпича, а общий вынос карниза кладки не превышает половины толщины стены (ВСО) - 2020-01-31</t>
  </si>
  <si>
    <t>Not set: 12. При устройстве армированной кладки толщина швов превышает сумму диаметров пересекающейся арматуры не менее чем на 4 мм, при этом толщина шва не более 16 мм. Арматурные стержни по длине соединены между собой сваркой или проволокой в случае, если армирование осуществлено гладкими стержнями, заканчивающимися крюками, уложенными с перехлестом на 20 диаметров (ВСО) - 2020-01-31</t>
  </si>
  <si>
    <t>Владимир Собченко: План изменен на -4.200_B01_Panels Model</t>
  </si>
  <si>
    <t>Гидроизоляция стены в грунте в/о Г-И/33-34.</t>
  </si>
  <si>
    <t xml:space="preserve">Вячеслав Сорокин: Заголовок изменен на Гидроизоляция </t>
  </si>
  <si>
    <t>Вячеслав Сорокин: Изменена дата начала на 19.12.2019</t>
  </si>
  <si>
    <t>Вячеслав Сорокин: Название категории изменено на Операционный контроль</t>
  </si>
  <si>
    <t>Вячеслав Сорокин: Заголовок изменен на Гидроизоляция стены в грунте.</t>
  </si>
  <si>
    <t>Вячеслав Сорокин: Заголовок изменен на Гидроизоляция стены в грунте в/о Г-И/33-34.</t>
  </si>
  <si>
    <t>Двери</t>
  </si>
  <si>
    <t>Вячеслав Сорокин: Заголовок изменен на Двери</t>
  </si>
  <si>
    <t>Гидроизоляция</t>
  </si>
  <si>
    <t>Вячеслав Сорокин: Заголовок изменен на Гидроизоляция</t>
  </si>
  <si>
    <t>Ввод закладных труб под кабели ВОЛС</t>
  </si>
  <si>
    <t>Not set: Выполнить подравнивание раствором со стороны колодца (АСВ) - 2020-01-13</t>
  </si>
  <si>
    <t>Yes: Выполнить заделку инжект ПУ2 и ПУ 10 со стороны здания (АСВ) - 2020-01-13</t>
  </si>
  <si>
    <t>N/A: Заделка ПУ2 и ПУ10 выполняется не в соответствии с РД-2-СС4.1.01. по факту зачеканивается раствором на всю глубину без устройства ПУ2 и ПУ10 (АСВ) - 2020-01-13</t>
  </si>
  <si>
    <t>Александр Светашов: Ввод закладных труб под кабели ВОЛС</t>
  </si>
  <si>
    <t>Александр Светашов: Дата начала изменена на янв. 13, 2020</t>
  </si>
  <si>
    <t>Александр Светашов: Дата окончания изменена на янв. 15, 2020</t>
  </si>
  <si>
    <t>Александр Светашов: Отмеченный пункт изменен с "Заделка ПУ2 и ПУ10 выполняется не в соответствии с РД-2-СС4.1.01" на "Заделка ПУ2 и ПУ10 выполняется не в соответствии с РД-2-СС4.1.01. по факту зачеканивается раствором на всю глубину без устройства ПУ2 и ПУ10"</t>
  </si>
  <si>
    <t>Евгений Кузнецов: Прочистили ввода. Приступили к зачеканкой пеной пу 02</t>
  </si>
  <si>
    <t>Евгений Кузнецов: Выполнили прокачку ПУ02</t>
  </si>
  <si>
    <t xml:space="preserve">Александр Светашов: Гидроизоляция битумом, оклеечная гидроизоляция, листы утеплителя экструдированный пенополистирол, наружная стена здания  </t>
  </si>
  <si>
    <t>Александр Светашов: Дата начала изменена на дек. 17, 2019</t>
  </si>
  <si>
    <t xml:space="preserve">Александр Светашов: Изменен комментарий с Гидроизоляция битумом наружной стены здания   на Гидроизоляция битумом, оклеечная гидроизоляция, листы утеплителя экструдированный пенополистирол, наружная стена здания  </t>
  </si>
  <si>
    <t xml:space="preserve">Александр Светашов: Гидроизоляция битумом, оклеечная гидроизоляция, листы утеплителя экструдированный пенополистирол наружная стена здания  </t>
  </si>
  <si>
    <t xml:space="preserve">Александр Светашов: Изменен комментарий с Гидроизоляция битумом наружной стены здания   на Гидроизоляция битумом, оклеечная гидроизоляция, листы утеплителя экструдированный пенополистирол наружная стены здания  </t>
  </si>
  <si>
    <t xml:space="preserve">Александр Светашов: Изменен комментарий с Гидроизоляция битумом, оклеечная гидроизоляция, листы утеплителя экструдированный пенополистирол наружная стены здания   на Гидроизоляция битумом, оклеечная гидроизоляция, листы утеплителя экструдированный пенополистирол наружная стена здания  </t>
  </si>
  <si>
    <t xml:space="preserve">Александр Светашов: Гидроизоляция битумом, оклеечная гидроизоляция, листы утеплителя экструдированный пенополистерол, наружная стена здания  </t>
  </si>
  <si>
    <t xml:space="preserve">Александр Светашов: Изменен комментарий с Гидроизоляция битумом наружной стены здания   на Гидроизоляция битумом, оконечная гидроизоляция, листы утеплителя экструдированного пенополистерола, наружная стена здания  </t>
  </si>
  <si>
    <t xml:space="preserve">Александр Светашов: Изменен комментарий с Гидроизоляция битумом, оконечная гидроизоляция, листы утеплителя экструдированного пенополистерола, наружная стена здания   на Гидроизоляция битумом, оклеечная гидроизоляция, листы утеплителя экструдированного пенополистерол, наружная стена здания  </t>
  </si>
  <si>
    <t xml:space="preserve">Александр Светашов: Изменен комментарий с Гидроизоляция битумом, оклеечная гидроизоляция, листы утеплителя экструдированного пенополистерол, наружная стена здания   на Гидроизоляция битумом, оклеечная гидроизоляция, листы утеплителя экструдированный пенополистерол, наружная стена здания  </t>
  </si>
  <si>
    <t>Бетонирование фундамента подпорной стены ПС-10</t>
  </si>
  <si>
    <t>Александр Светашов: Бетонирование фундамента подпорной стены ПС-10</t>
  </si>
  <si>
    <t>Устройство бетонной плиты под сети канализации</t>
  </si>
  <si>
    <t>Александр Светашов: Устройство бетонной плиты под сети канализации</t>
  </si>
  <si>
    <t xml:space="preserve">Бетонирование фундамента подпорной стены ПС-10 </t>
  </si>
  <si>
    <t xml:space="preserve">Александр Светашов: Бетонирование фундамента подпорной стены ПС-10 </t>
  </si>
  <si>
    <t>Освидетельствование сборки фермы кровли ETFE  для монтажа в/о Д-Е/7-10</t>
  </si>
  <si>
    <t>Вячеслав Сорокин: Заголовок изменен на Освидетельствование сборки фермы кровли ETFE  для монтажа в/о</t>
  </si>
  <si>
    <t>Вячеслав Сорокин: Удалено фото</t>
  </si>
  <si>
    <t>Вячеслав Сорокин: Заголовок изменен на Освидетельствование сборки фермы кровли ETFE  для монтажа в/о Д-Е/7-10</t>
  </si>
  <si>
    <t>Вячеслав Сорокин: Ответственное лицо замещено КМ Renaissance</t>
  </si>
  <si>
    <t>Вячеслав Сорокин: Дата начала изменена на февр. 6, 2020</t>
  </si>
  <si>
    <t>Гидроизоляция кровли ETFE полипропиленом в/о 24-26/7/Б-10/Б  .</t>
  </si>
  <si>
    <t>Вячеслав Сорокин: Заголовок изменен на Подушки</t>
  </si>
  <si>
    <t>Вячеслав Сорокин: Заголовок изменен на Гидроизоляция кровли ETFE в/о 24-26/7/Б-10/Б  .</t>
  </si>
  <si>
    <t>Вячеслав Сорокин: Заголовок изменен на Гидроизоляция кровли ETFE полипропиленом в/о 24-26/7/Б-10/Б  .</t>
  </si>
  <si>
    <t>Вячеслав Сорокин: Изменена дата начала на 21.01.2020</t>
  </si>
  <si>
    <t>ГКЛ стены</t>
  </si>
  <si>
    <t>Александр Светашов: ГКЛ стены</t>
  </si>
  <si>
    <t>Примыкание стен из гипсоволокнистых плитк фасадам.</t>
  </si>
  <si>
    <t>L2__Приемка помещений</t>
  </si>
  <si>
    <t>Александр Светашов: Примыкание стен из гипсоволокнистых плитк фасадам.</t>
  </si>
  <si>
    <t>Металлический каркас дверного проема</t>
  </si>
  <si>
    <t>Александр Светашов: Металлический каркас дверного проема</t>
  </si>
  <si>
    <t>Складчатые стеклянные ворота</t>
  </si>
  <si>
    <t>Александр Светашов: Складчатые стеклянные ворота</t>
  </si>
  <si>
    <t>Александр Светашов: Дата начала изменена на янв. 24, 2020</t>
  </si>
  <si>
    <t>Пароизоляция пирога кровли</t>
  </si>
  <si>
    <t>Александр Светашов: Пароизоляция пирога кровли</t>
  </si>
  <si>
    <t>Отделка Renaissance Construction: Изменена дата завершения на 22.12.2019</t>
  </si>
  <si>
    <t>Not set: Монтаж слоя утеплителя (АСВ) - 2020-01-28</t>
  </si>
  <si>
    <t>Александр Светашов: Выполнить укрытие, защиту от атмосферных осадков</t>
  </si>
  <si>
    <t>Александр Светашов: Удалено отметить пункт - "Предоставить узел примыкания к фасадам"</t>
  </si>
  <si>
    <t>Александр Светашов: Предоставить узел примыкания к фасадам</t>
  </si>
  <si>
    <t>Александр Светашов: Выполнить обрамление воздуховода, предоставить узел</t>
  </si>
  <si>
    <t xml:space="preserve">Складчатые стеклянные ворота </t>
  </si>
  <si>
    <t xml:space="preserve">Александр Светашов: Складчатые стеклянные ворота </t>
  </si>
  <si>
    <t xml:space="preserve">Наливной самовыравнивающий пол Sika level </t>
  </si>
  <si>
    <t xml:space="preserve">Александр Светашов: Наливной самовыравнивающий пол Sika level </t>
  </si>
  <si>
    <t>Вентилируемый фасад. Анкера в газобетон, бетон</t>
  </si>
  <si>
    <t>Not set: Анкера в бетон, газобетон (АСВ) - 2019-12-03</t>
  </si>
  <si>
    <t>Александр Светашов: Вентилируемый фасад. Анкера в газобетон, бетон</t>
  </si>
  <si>
    <t>Not set: Чистота основания, в второй слой (АСВ) - 2019-11-20</t>
  </si>
  <si>
    <t>Александр Светашов: Название категории изменено на Приемочный контроль</t>
  </si>
  <si>
    <t>Александр Светашов: Дата начала изменена на нояб. 20, 2019</t>
  </si>
  <si>
    <t>Меро</t>
  </si>
  <si>
    <t>Вячеслав Сорокин: Заголовок изменен на Меро</t>
  </si>
  <si>
    <t>Вячеслав Сорокин: Сменить уполномоченное лицо на Отделка Renaissance Construction</t>
  </si>
  <si>
    <t xml:space="preserve">Тротуарная плитка </t>
  </si>
  <si>
    <t xml:space="preserve">Вячеслав Сорокин: Заголовок изменен на Тротуарная плитка </t>
  </si>
  <si>
    <t>Вячеслав Сорокин: Название категории изменено на Приемочный контроль</t>
  </si>
  <si>
    <t>14.B1.2.027_Тамбур-шлюз</t>
  </si>
  <si>
    <t>Not set: Устройство пароизоляции (АСВ) - 2020-01-09</t>
  </si>
  <si>
    <t>Тротуарная плитка  на кровле</t>
  </si>
  <si>
    <t>Not set: Тротуарная плитка кровли (АСВ) - 2020-01-13</t>
  </si>
  <si>
    <t>Александр Светашов: Тротуарная плитка  на кровле</t>
  </si>
  <si>
    <t>Отделка Renaissance Construction: это замечание или инспекция не пойму</t>
  </si>
  <si>
    <t>Александр Светашов: Инспекция</t>
  </si>
  <si>
    <t>Покрытие кровли - брусчатка</t>
  </si>
  <si>
    <t>РК-РД-2-АР01-15-01</t>
  </si>
  <si>
    <t>Александр Светашов: Покрытие кровли - брусчатка</t>
  </si>
  <si>
    <t>Покрытие пола Sika</t>
  </si>
  <si>
    <t>Александр Светашов: Покрытие пола Sika</t>
  </si>
  <si>
    <t>Бетонирование ПРМ-2а</t>
  </si>
  <si>
    <t>Парапет ПРМ-2а</t>
  </si>
  <si>
    <t>Святослав Грохольский: Изменена дата начала на 29.11.2019</t>
  </si>
  <si>
    <t>Святослав Грохольский: Название категории изменено на Операционный контроль</t>
  </si>
  <si>
    <t>Святослав Грохольский: Заголовок изменен на Бетонирование ПРМ-2а</t>
  </si>
  <si>
    <t>Гидроизоляция вводов</t>
  </si>
  <si>
    <t>Святослав Грохольский: Заголовок изменен на Гидроизоляция</t>
  </si>
  <si>
    <t>Святослав Грохольский: Изменена дата начала на 18.01.2020</t>
  </si>
  <si>
    <t>Святослав Грохольский: Изменена дата завершения на 19.01.2020</t>
  </si>
  <si>
    <t>Святослав Грохольский: Заголовок изменен на Гидроизоляция вводов</t>
  </si>
  <si>
    <t>Святослав Грохольский: Участок 2, в осях Ф-Ш/1.
Гидроизоляция вводов коммуникаций через СВГ</t>
  </si>
  <si>
    <t>Гидроизоляция СВГ</t>
  </si>
  <si>
    <t>Святослав Грохольский: Заголовок изменен на Гидроизоляция СВГ</t>
  </si>
  <si>
    <t>Святослав Грохольский: Участок №29 (север), гидроизоляция примыкания к СВГ</t>
  </si>
  <si>
    <t>Оклеечная вертикальная Г/И, КРМ-2</t>
  </si>
  <si>
    <t>о8.13_оклеечная гидроизоляция</t>
  </si>
  <si>
    <t>Yes: 1.1 Работы выполняются на основе утвержденного ППР (СГР) - 2019-11-17</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</si>
  <si>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(СГР) - 2019-11-17</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</si>
  <si>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(СГР) - 2019-11-17</t>
  </si>
  <si>
    <t>Yes: 1.4 Укладка рулонных материалов  выполняется в направлении «на себя» (СГР) - 2019-11-17</t>
  </si>
  <si>
    <t>Yes: 1.5 Оклеечная гидроизоляция на мастике наклеивается сразу после ее нанесения (СГР) - 2019-11-17</t>
  </si>
  <si>
    <t>Yes: 1.6 Толщина слоя мастики соответствует нормативным требованиям (СГР) - 2019-11-17</t>
  </si>
  <si>
    <t>Yes: 1.7 Сопряжение смежных полотнищ выполняется с нахлесткой не менее 100 мм; торцевой нахлест полотнищ составляет не менее 150 мм (СГР) - 2019-11-17</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</si>
  <si>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(СГР) - 2019-11-17</t>
  </si>
  <si>
    <t>Yes: 1.9 При наплавлении рулонных материалов вяжущее вещество из-под боковой кромки материала вытекает на 5-15 мм (СГР) - 2019-11-17</t>
  </si>
  <si>
    <t>Yes: 1.10 Наличие записи в журнале производства работ (СГР) - 2019-11-17</t>
  </si>
  <si>
    <t>Yes: Нормативная документация: СП 71.13330.2017 «Изоляционные и отделочные покрытия» (СГР) - 2019-11-17</t>
  </si>
  <si>
    <t>Святослав Грохольский: Заголовок изменен на Оклеечная вертикальная Г/И, КРМ-2</t>
  </si>
  <si>
    <t>Святослав Грохольский: Крм-2, в/о 21-23 вдоль оси 1/Б на отм.-4.250/-0.250</t>
  </si>
  <si>
    <t>Святослав Грохольский: Изменена дата начала на 17.11.2019</t>
  </si>
  <si>
    <t>Вертикальная гидроизоляция СВГ</t>
  </si>
  <si>
    <t>Святослав Грохольский: Заголовок изменен на Вертикальная гидроизоляция СВГ</t>
  </si>
  <si>
    <t>Святослав Грохольский: Крм-6. Примыкание гидроизоляции к СВГ</t>
  </si>
  <si>
    <t>Святослав Грохольский: Изменена дата начала на 08.01.2020</t>
  </si>
  <si>
    <t>Кабельная линия 20 кВ (резиновая плитка)</t>
  </si>
  <si>
    <t>Святослав Грохольский: Заголовок изменен на Кабельная линия 20 кВ (резиновая плитка)</t>
  </si>
  <si>
    <t>Святослав Грохольский: Изменена дата начала на 27.01.2020</t>
  </si>
  <si>
    <t>Святослав Грохольский: Изменена дата завершения на 28.01.2020</t>
  </si>
  <si>
    <t>Святослав Грохольский: Засыпка песком, трамбовка, укладка резиновой плитки над кабельной линией от ПС-1 до ввода в здание.</t>
  </si>
  <si>
    <t>Противопожарные отсечки фасадов</t>
  </si>
  <si>
    <t>Святослав Грохольский: Заголовок изменен на Противопожарные отсечки</t>
  </si>
  <si>
    <t>Святослав Грохольский: Заголовок изменен на Противопожарные отсечки фасадов</t>
  </si>
  <si>
    <t xml:space="preserve">Святослав Грохольский: Блок 1, противопожарные отсечки, МИНЕРАЛЬНАЯ ВАТА:
L 4, в осях 9-10 вдоль оси 1.
L 7, в осях Р-С вдоль оси 7.
L 10, в осях П-Р вдоль оси 1.
L 11, в осях 1-6/1 вдоль оси 3А.
L 14, в осях 1-5 вдоль оси 3А.
Блок 1, противопожарные отсечки, ВЕРХНИЙ ЛИСТ:
L 6, Ф-Ш/1.
L10, П-Р вдоль оси 1.
L12, Л-Н вдоль оси 1.
L13, 1-6/1 вдоль оси 3А.
</t>
  </si>
  <si>
    <t>Металлические колонны КПП 2</t>
  </si>
  <si>
    <t>Святослав Грохольский: Заголовок изменен на Металлические колонны КПП 2</t>
  </si>
  <si>
    <t>Святослав Грохольский: Чистота поверхностей колонн № К1.1; К1.14; К1.17
Монтаж разрешен.</t>
  </si>
  <si>
    <t>Армирование фундаментной плиты</t>
  </si>
  <si>
    <t>Святослав Грохольский: Заголовок изменен на Армирование фундаментной плиты</t>
  </si>
  <si>
    <t>Святослав Грохольский: Изменена дата начала на 08.02.2020</t>
  </si>
  <si>
    <t>Святослав Грохольский: Изменена дата завершения на 09.02.2020</t>
  </si>
  <si>
    <t xml:space="preserve">Святослав Грохольский: Ночью с 08.02.20 на 09.02.20 проводился операционный контроль по армированию фундаментной плиты в осях Ш-Э вдоль оси 1/Б рядом с КПП-2. 
За время наблюдения, несоответствий не выявлено.
Армирование не закончено. </t>
  </si>
  <si>
    <t>Монтаж кровли внутреннего двора</t>
  </si>
  <si>
    <t>Yes: 2,1 Укрупнённая сборка отдельных конструктивных элементов и монтажных блоков соответствует проектным требованиям  (СГР) - 2020-01-15</t>
  </si>
  <si>
    <t>Yes: 2,2 Установка и проектное закрепление отдельных конструктивных элементов и блоков в проектное положение соответствует проектным требованиям  (СГР) - 2020-01-15</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</si>
  <si>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(СГР) - 2020-01-15</t>
  </si>
  <si>
    <t>N/A: 2,4 При проверке закрепления конструктивных элементов щуп толщиной 0,3 мм не проходит между собранными деталями на глубину более 20 мм (СГР) - 2020-01-15</t>
  </si>
  <si>
    <t>N/A: 2,5 Стержень болта выступает из гайки не менее 3 мм.  (СГР) - 2020-01-15</t>
  </si>
  <si>
    <t>N/A: 2,6 Отсутствует смещение болтов при их отстукивании молотком массой 0,4 кг (СГР) - 2020-01-15</t>
  </si>
  <si>
    <t>N/A: 2,7 Монтажные соединения на высокопрочных болтах с контролируемым натяжением: (СГР) - 2020-01-15</t>
  </si>
  <si>
    <t>N/A: 2,8 Соприкасающиеся поверхности деталей перед сборкой обработаны способом, предусмотренным в проекте, с отсутствием на них грязи, масла, краски, льда (СГР) - 2020-01-15</t>
  </si>
  <si>
    <t>Yes: 2,9 Размещение крепежных изделий соответствует проектным требованиям (СГР) - 2020-01-15</t>
  </si>
  <si>
    <t>N/A: 2,1 Натяжение болтов соответствует проектным требованиям (СГР) - 2020-01-15</t>
  </si>
  <si>
    <t>N/A: 2,11 Сварные швы соответствуют нормативным требованиям (СГР) - 2020-01-15</t>
  </si>
  <si>
    <t>Yes: 3,1 Работы выполняются на основе утвержденного ППР (СГР) - 2020-01-15</t>
  </si>
  <si>
    <t>Yes: 3,2 Наличие записи в журнале производства работ (СГР) - 2020-01-15</t>
  </si>
  <si>
    <t>Yes: 3,3 Наличие записи в журнале сварочных работ (СГР) - 2020-01-15</t>
  </si>
  <si>
    <t>Yes: 3,4 Наличие записи в журнале работ по монтажу строительных конструкций (СГР) - 2020-01-15</t>
  </si>
  <si>
    <t>N/A: 3,5 Наличие записи в журнале выполнения монтажных соединений на болтах с контролируемым натяжением. (СГР) - 2020-01-15</t>
  </si>
  <si>
    <t>Святослав Грохольский: Заголовок изменен на Монтаж кровли внутреннего двора</t>
  </si>
  <si>
    <t>Святослав Грохольский: Изменена дата начала на 15.01.2020</t>
  </si>
  <si>
    <t>Сборка решетчатой кровли</t>
  </si>
  <si>
    <t>N/A: 3,3 Наличие записи в журнале сварочных работ (СГР) - 2020-01-15</t>
  </si>
  <si>
    <t>Святослав Грохольский: Заголовок изменен на Сборка решетчатой кровли</t>
  </si>
  <si>
    <t>Оклеечная гидроизоляция вводов топливопровода</t>
  </si>
  <si>
    <t>Александр Светашов: Оклеечная гидроизоляция вводов топливопровода</t>
  </si>
  <si>
    <t xml:space="preserve">Гидроизоляция цоколя. Подготовка основания </t>
  </si>
  <si>
    <t>Юрий Прасолов: Заголовок изменен на Гидроизоляция цоколя</t>
  </si>
  <si>
    <t>Юрий Прасолов: Название категории изменено на Операционный контроль</t>
  </si>
  <si>
    <t>Юрий Прасолов: Приоритет изменен на лриоритет  3</t>
  </si>
  <si>
    <t>Юрий Прасолов: Приоритет изменен на лриоритет  2</t>
  </si>
  <si>
    <t xml:space="preserve">Юрий Прасолов: Заголовок изменен на Гидроизоляция цоколя. Подготовка основания </t>
  </si>
  <si>
    <t>Устройство подбетонки фундаментной Плиты КПП</t>
  </si>
  <si>
    <t>Юрий Прасолов: Заголовок изменен на Устройство подбетонки фундаментной Плиты КПП</t>
  </si>
  <si>
    <t>Гидроизоляция фундаментной Плиты КПП</t>
  </si>
  <si>
    <t>п8.13_оклеечная гидроизоляция</t>
  </si>
  <si>
    <t>Yes: 2,1. При производстве работ использован материал, прошедший входной контроль (ЮПР) - 2019-12-18</t>
  </si>
  <si>
    <t>Yes: 2,2. Сопряжение смежных полотнищ выполнено с нахлесткой не менее 100 мм; торцевой нахлест полотнищ составляет не менее 150 мм (ЮПР) - 2019-12-18</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</si>
  <si>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(ЮПР) - 2019-12-18</t>
  </si>
  <si>
    <t>Yes: 2,4. Отсутствуют расслоения в местах швов.
При применении шлицевой отвертки инструмент не
проникает между полотнищами в местах швов (ЮПР) - 2019-12-18</t>
  </si>
  <si>
    <t>N/A: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(ЮПР) - 2019-12-18</t>
  </si>
  <si>
    <t>Yes: 2,6. Углы конструкций примыкания сглаженные и
ровные, с отсутствием острых углов (ЮПР) - 2019-12-18</t>
  </si>
  <si>
    <t>No: 3,1. Наличие исполнительной документации, акта освидетельствования скрытых работ (ЮПР) - 2019-12-18</t>
  </si>
  <si>
    <t>No: 3,2. Наличие записи в журнале производства работ (ЮПР) - 2019-12-18</t>
  </si>
  <si>
    <t>Yes: Нормативная документация: СП 71.13330.2017 «Изоляционные и отделочные покрытия» (ЮПР) - 2019-12-18</t>
  </si>
  <si>
    <t>Юрий Прасолов: Заголовок изменен на Гидроизоляция фундаментной Плиты КПП</t>
  </si>
  <si>
    <t>инспекция строительной площадки</t>
  </si>
  <si>
    <t>Охрана Труда</t>
  </si>
  <si>
    <t>rysev@spgr.ru</t>
  </si>
  <si>
    <t>Yes: 1,1_Защитные каски (ЕРЫ) - 2020-02-05</t>
  </si>
  <si>
    <t>Yes: 1,2_Спецодежда и спецобувь (ЕРЫ) - 2020-02-05</t>
  </si>
  <si>
    <t>Yes: 1,3_Защитные очки (ЕРЫ) - 2020-02-05</t>
  </si>
  <si>
    <t>Yes: 1,4_Защитный щиток. (ЕРЫ) - 2020-02-05</t>
  </si>
  <si>
    <t>Yes: 1,5_Костюм сварщика. (ЕРЫ) - 2020-02-05</t>
  </si>
  <si>
    <t>Yes: 1,6_Сварочный щиток. (ЕРЫ) - 2020-02-05</t>
  </si>
  <si>
    <t>Yes: 1,7_Защитные очки газорезчика. (ЕРЫ) - 2020-02-05</t>
  </si>
  <si>
    <t>Yes: 1,8_Предохранительные лямочные пояса. (ЕРЫ) - 2020-02-05</t>
  </si>
  <si>
    <t>Yes: 1,9_Перчатки, рукавицы. (ЕРЫ) - 2020-02-05</t>
  </si>
  <si>
    <t>Yes: 2,1_Сигнальный жилет. (ЕРЫ) - 2020-02-05</t>
  </si>
  <si>
    <t>Yes: 1,10_Средства защиты органов дыхания. (ЕРЫ) - 2020-02-05</t>
  </si>
  <si>
    <t>Yes: 1,11_Средства защиты органов слуха. (ЕРЫ) - 2020-02-05</t>
  </si>
  <si>
    <t>Yes: 2,1_Строительная площадка и рабочие места имеют достаточное освещение. (ЕРЫ) - 2020-02-05</t>
  </si>
  <si>
    <t>Yes: 2,2_Рабочие участки чистые, не захламлены строительным мусором. Выполняется периодическая уборка. (ЕРЫ) - 2020-02-05</t>
  </si>
  <si>
    <t>Yes: 2,3_Пешеходные дорожки, проходы и подходы к лестницам свободны. (ЕРЫ) - 2020-02-05</t>
  </si>
  <si>
    <t>Yes: 2,4_Материалы и оборудование складированы должным образом. (ЕРЫ) - 2020-02-05</t>
  </si>
  <si>
    <t>Yes: 2,5_Имеется укомплектованный пожарный щит, установленные огнетушители в рабочем состоянии. (ЕРЫ) - 2020-02-05</t>
  </si>
  <si>
    <t>Yes: 2,6_Электропровода, шланги, сварочные провода и т.д. подняты во избежание случайных спотыканий. (ЕРЫ) - 2020-02-05</t>
  </si>
  <si>
    <t>No: 2,7_В отходах пиломатериалов нет торчащих гвоздей или др. опасных элементов, которые могут привести к проколам. (ЕРЫ) - 2020-02-05</t>
  </si>
  <si>
    <t>Yes: 2,8_Места для курения оборудованы пепельницами, огнетушителями и указательными знаками. (ЕРЫ) - 2020-02-05</t>
  </si>
  <si>
    <t>Yes: 3,1_Работники обучены и имеют соответствующие удостоверения для выполнения работ на высоте. (ЕРЫ) - 2020-02-05</t>
  </si>
  <si>
    <t>Yes: 3,2_Имеется безопасный доступ к рабочим местам на высоте. (ЕРЫ) - 2020-02-05</t>
  </si>
  <si>
    <t>Yes: 3,3_В местах перепадов высоты имеются страховоные ограждения. Ограждение соответствует требованиям безопасности. (ЕРЫ) - 2020-02-05</t>
  </si>
  <si>
    <t>Yes: 3,4_Проёмы закрыты в соответствии требованиями безопасности (проёмы закрыты полностью, щиты закреплены и промаркированы надписью "Не снимать!"). (ЕРЫ) - 2020-02-05</t>
  </si>
  <si>
    <t>Yes: 3,5_Работники используют предохранительные лямочные пояса. (ЕРЫ) - 2020-02-05</t>
  </si>
  <si>
    <t>Yes: 3,6_Предохранительные лямочные пояса в хорошем состоянии и испытаны. (ЕРЫ) - 2020-02-05</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</si>
  <si>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- 2020-02-05</t>
  </si>
  <si>
    <t>Yes: 3,8_Страховочные фалы правильно закреплены. (ЕРЫ) - 2020-02-05</t>
  </si>
  <si>
    <t>No: 3,9_Используются инвентарные средства подмащивания. (ЕРЫ) - 2020-02-05</t>
  </si>
  <si>
    <t>Yes: 3,10_Страховочные канаты установлены в соответствии с требованиями безопасности. (ЕРЫ) - 2020-02-05</t>
  </si>
  <si>
    <t>Yes: 3,11_Индивидуальные блокирующие устройства эксплуатируются в соответствии с требованиями завода-изготовителя. (ЕРЫ) - 2020-02-05</t>
  </si>
  <si>
    <t>Yes: 4,1_Сборка строительных лесов выполнена в соответствии с паспортом (инструкцией) завода-изготовителя. (ЕРЫ) - 2020-02-05</t>
  </si>
  <si>
    <t>Yes: 4,2_Строительные леса соответствуют виду выполняемых работ. (ЕРЫ) - 2020-02-05</t>
  </si>
  <si>
    <t>N/A: 4,3_Строительные леса заземлены (при необходимости). (ЕРЫ) - 2020-02-05</t>
  </si>
  <si>
    <t>Yes: 4,4_Строительные леса приняты лицом, назначенным ответственным за безопасную организацию работ на высоте. (ЕРЫ) - 2020-02-05</t>
  </si>
  <si>
    <t>Yes: 4,5_Настилы лесов, доски, площадки сбиты между собой, закреплены от сдвига и безопасны. (ЕРЫ) - 2020-02-05</t>
  </si>
  <si>
    <t>Yes: 4,6_При установке строительных лесов на грунт, основание подготовлено и спланировано. Имеются подкладки под опоры. (ЕРЫ) - 2020-02-05</t>
  </si>
  <si>
    <t>Yes: 4,7_Лестницы в хорошем состоянии, не имеют видимых повреждений и осматриваются ответственным исполнителем работ. (ЕРЫ) - 2020-02-05</t>
  </si>
  <si>
    <t>Yes: 4,8_Применяемый тип лестниц соответствует выполняемой работе, лестница правильно закреплена. (ЕРЫ) - 2020-02-05</t>
  </si>
  <si>
    <t>Yes: 4,9_Лестница правильно установлена (угол наклона 75 градусов, лестница выступает минимум на 1 метр выше места подъема). (ЕРЫ) - 2020-02-05</t>
  </si>
  <si>
    <t>Yes: 5,1_Электротехнический персонал прошел обучение, аттестацию и имеет удостоверение с соответствующей группой по электробезопасости. (ЕРЫ) - 2020-02-05</t>
  </si>
  <si>
    <t>Yes: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- 2020-02-05</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</si>
  <si>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- 2020-02-05</t>
  </si>
  <si>
    <t>Yes: 5,4_Электрические щиты, удлинители, розетки и вилки соответствуют степени  защиты IP 54. (ЕРЫ) - 2020-02-05</t>
  </si>
  <si>
    <t>Yes: 5,5_Электрические щиты оборудованы запирающими устройствами, УЗО (устройством защитного отключения). (ЕРЫ) - 2020-02-05</t>
  </si>
  <si>
    <t>Yes: 6,1_Все применяемое грузоподъемное оборудование имеет Паспорт завода-изготовителя и поставлено на учер в органах Ростехнадзора. (ЕРЫ) - 2020-02-05</t>
  </si>
  <si>
    <t>Yes: 6,2_Грузоподъемное оборудование (подъемные сооружения) в хорошем состоянии. Прыборы и устройства безопасности установлены  (ЕРЫ) - 2020-02-05</t>
  </si>
  <si>
    <t>Yes: 6,3_Используемое оборудование регулярно проходит ПТО И ЧТО (полное  и частичное техническое освидетельствование) с записью в паспорте. (ЕРЫ) - 2020-02-05</t>
  </si>
  <si>
    <t>Yes: 6,4_Вахтенный журнал находится у машиниста (оператора) и заполняется своевременно. (ЕРЫ) - 2020-02-05</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</si>
  <si>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- 2020-02-05</t>
  </si>
  <si>
    <t>Yes: 6,6_Устнановка г/п оборудования соответствует требованиям нормативных документов и указаниям заавода-изготовителя. (ЕРЫ) - 2020-02-05</t>
  </si>
  <si>
    <t>N/A: 6,7_Имеется наряд-допуск, при установке г/п оборудования вблизи ЛЭП. (ЕРЫ) - 2020-02-05</t>
  </si>
  <si>
    <t>Yes: 6,8_Зона работы подъемных сооружений ограждена сигнальной лентой. Посторонние работники удалены из опасной зоны. (ЕРЫ) - 2020-02-05</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</si>
  <si>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- 2020-02-05</t>
  </si>
  <si>
    <t>Yes: 6,10_Схемы строповки соответствуют поднимаемым грузам. (ЕРЫ) - 2020-02-05</t>
  </si>
  <si>
    <t>Yes: 6,11_Используются крючья и оттяжки. (ЕРЫ) - 2020-02-05</t>
  </si>
  <si>
    <t>Yes: 7,1_Электросварщики имеют соответствующее удостоверение и группу по электробезопасности не ниже II. (ЕРЫ) - 2020-02-05</t>
  </si>
  <si>
    <t>Yes: 7,2_Рабочее место подготовлено (в зоне разлета искр отсутствуют горючие материалы). (ЕРЫ) - 2020-02-05</t>
  </si>
  <si>
    <t>Yes: 7,3_Имеется защитный экран в месте проведения работ. (ЕРЫ) - 2020-02-05</t>
  </si>
  <si>
    <t>Yes: 7,4_В непосредственной близости от места работы имеется огнетушитель. (ЕРЫ) - 2020-02-05</t>
  </si>
  <si>
    <t>Yes: 7,5_Сварочное оборудование в хорошем состоянии. Держатель электродов и зажим обратного провода заводского изготовления. (ЕРЫ) - 2020-02-05</t>
  </si>
  <si>
    <t>Yes: 7,6_Сварочные провода не имеют повреждений изоляции и следов временного ремонта. (ЕРЫ) - 2020-02-05</t>
  </si>
  <si>
    <t>Yes: 7,7_Корпус сварочного аппарата имеет видемое заземление (если требует завод-изготовитель). (ЕРЫ) - 2020-02-05</t>
  </si>
  <si>
    <t>Yes: 8,1_Газовые баллоны хранятся должным образом, имеются склады для баллонов.   (ЕРЫ) - 2020-02-05</t>
  </si>
  <si>
    <t>Yes: 8,2_На складах имеются соответствующие знаки безопасности. (ЕРЫ) - 2020-02-05</t>
  </si>
  <si>
    <t>Yes: 8,3_Баллоны хранятся раздельно и закреплены цепью в местах хранения. (ЕРЫ) - 2020-02-05</t>
  </si>
  <si>
    <t>Yes: 8,4_Рядом со складами находятся огнетушители. (ЕРЫ) - 2020-02-05</t>
  </si>
  <si>
    <t>Yes: 8,5_Газобаллонное оборудование в хорошем состоянии (редуктор, манометр, резак, горелка, шланги, хомуты и т.д.). (ЕРЫ) - 2020-02-05</t>
  </si>
  <si>
    <t>Yes: 8,6_На газоиспользующем оборудовании установлены пламегасители. (ЕРЫ) - 2020-02-05</t>
  </si>
  <si>
    <t>Yes: 8,7_Во время работы, расстояние между баллонами минимум 5 метров. Баллоны находятся в вертикальном положении и закреплены. (ЕРЫ) - 2020-02-05</t>
  </si>
  <si>
    <t>Yes: 8,8_Во время работы, баллоны защищены от прямых солнечных лучей и осадков. (ЕРЫ) - 2020-02-05</t>
  </si>
  <si>
    <t>Yes: 8,9_Газорезчик имеет соответствующие удостоверения (например транспортировка баллонов, удостоверение газорезчика). (ЕРЫ) - 2020-02-05</t>
  </si>
  <si>
    <t>Yes: 8,10_В непосредственной близости от места работы имеется огнетушитель. (ЕРЫ) - 2020-02-05</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</si>
  <si>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- 2020-02-05</t>
  </si>
  <si>
    <t>Yes: 9,2_Электроинструменты используются по назначению и соответствуют виду выполняемой работы (ЕРЫ) - 2020-02-05</t>
  </si>
  <si>
    <t>Yes: 9,3_При перерывах в работе электроинструмент отключен от электросети. (ЕРЫ) - 2020-02-05</t>
  </si>
  <si>
    <t>Yes: 9,4_Электроинструменты переносятся и доставляются должным образом (запрещено переносить электроинструмент за провод). (ЕРЫ) - 2020-02-05</t>
  </si>
  <si>
    <t>Yes: 9,5_Рукоятки ручного инструмента в хорошем состоянии, например молоток, топор прочно насажены на рукоять . (ЕРЫ) - 2020-02-05</t>
  </si>
  <si>
    <t>Yes: 9,6_Ручной инструмент в хорошем состоянии, например ударная часть молотка, губки рожковых и разводных ключей, шестигранники и т.д. (ЕРЫ) - 2020-02-05</t>
  </si>
  <si>
    <t>Yes: 9,7_Соединения пневматических и гидравлических шлангов выполнены должным образом. (ЕРЫ) - 2020-02-05</t>
  </si>
  <si>
    <t>Yes: 10,1_Имеются специальные места для хранения опасных отходов I, II, III классов опасности.  (ЕРЫ) - 2020-02-05</t>
  </si>
  <si>
    <t>Yes: 10,2_Строительный отходы IV, V классов опасности складируются в определенном месте, используются специальные мусорные контейнеры. (ЕРЫ) - 2020-02-05</t>
  </si>
  <si>
    <t>Yes: 10,3_Строительный мусор и бытовые отходы складируются отдельно. (ЕРЫ) - 2020-02-05</t>
  </si>
  <si>
    <t>Yes: 10,4_Используются специальные ёмкости для ГСМ, например канистры, бочки и т.д. (ЕРЫ) - 2020-02-05</t>
  </si>
  <si>
    <t>Yes: 10,5_Загрязнение окружающей среды предотвращается должным образом, например, правильным складированием, быстрым реагированием на утечку. (ЕРЫ) - 2020-02-05</t>
  </si>
  <si>
    <t>N/A: 11,1_Зона электропрогрева ограждена защитным ограждением или сигнальной лентой. (ЕРЫ) - 2020-02-05</t>
  </si>
  <si>
    <t>N/A: 11,2_У проводов электропрогрева отсутствуют повреждения изоляции, провода не лежат на грунте или перекрытиях. (ЕРЫ) - 2020-02-05</t>
  </si>
  <si>
    <t>N/A: 11,3_Имеется световая сигнализация и знаки безопасности. (ЕРЫ) - 2020-02-05</t>
  </si>
  <si>
    <t>Yes: 11,4_Открытая (незабетонированная) арматура железобетонных конструкций, связанная с участком, находящимся под электропрогревом, заземлена (занулена). (ЕРЫ) - 2020-02-05</t>
  </si>
  <si>
    <t>Yes: 12,1_Наряд-допус оформлен, внесенные данные соответствуют действительности. Проведены необходимые инструктажи. (ЕРЫ) - 2020-02-05</t>
  </si>
  <si>
    <t>Yes: 12,2_Имеется газоанализатор с действующим свидетельством о прохождении аттестации. (ЕРЫ) - 2020-02-05</t>
  </si>
  <si>
    <t>Yes: 12,3_Произведен замер воздушной среды. (ЕРЫ) - 2020-02-05</t>
  </si>
  <si>
    <t>Yes: 12,4_Количество работников не менее трех человек (при условии нахождения двух работников вне замкнутого пространства). (ЕРЫ) - 2020-02-05</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</si>
  <si>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- 2020-02-05</t>
  </si>
  <si>
    <t>N/A: 12,6_Напряжение используемое для освещения не более 36 Вольт. Понижающий трансформатор находится вне замкнутого пространства. (ЕРЫ) - 2020-02-05</t>
  </si>
  <si>
    <t>Yes: 12,7_Сварочный аппарат или газовые баллоны находятся снаружи. (ЕРЫ) - 2020-02-05</t>
  </si>
  <si>
    <t>Yes: 12,8_В непосредственной близости от места работы имеется огнетушитель. (ЕРЫ) - 2020-02-05</t>
  </si>
  <si>
    <t>Yes: 12,9_ При использовании ручного электроинструмента или сварочного аппарата металлические конструкции заземлены. (ЕРЫ) - 2020-02-05</t>
  </si>
  <si>
    <t>Yes: 12,10_Имеется приточная вентиляция (при необходимости). (ЕРЫ) - 2020-02-05</t>
  </si>
  <si>
    <t>Евгений Рысев: Изменена дата начала на 05.02.2020</t>
  </si>
  <si>
    <t>Евгений Рысев: Изменена дата завершения на 07.02.2020</t>
  </si>
  <si>
    <t>Евгений Рысев: Заголовок изменен на инспекция строительной площадки</t>
  </si>
  <si>
    <t>Евгений Рысев: Приоритет изменен на 3</t>
  </si>
  <si>
    <t>Инспекция строительной площадки</t>
  </si>
  <si>
    <t>Yes: 1,1_Защитные каски (ЕРЫ) - 2019-11-22</t>
  </si>
  <si>
    <t>Yes: 1,2_Спецодежда и спецобувь (ЕРЫ) - 2019-11-22</t>
  </si>
  <si>
    <t>No: 1,3_Защитные очки (ЕРЫ) - 2019-11-22</t>
  </si>
  <si>
    <t>Yes: 1,4_Защитный щиток. (ЕРЫ) - 2019-11-22</t>
  </si>
  <si>
    <t>Yes: 1,5_Костюм сварщика. (ЕРЫ) - 2019-11-22</t>
  </si>
  <si>
    <t>Yes: 1,6_Сварочный щиток. (ЕРЫ) - 2019-11-22</t>
  </si>
  <si>
    <t>Yes: 1,7_Защитные очки газорезчика. (ЕРЫ) - 2019-11-22</t>
  </si>
  <si>
    <t>Yes: 1,8_Предохранительные лямочные пояса. (ЕРЫ) - 2019-11-22</t>
  </si>
  <si>
    <t>Yes: 1,9_Перчатки, рукавицы. (ЕРЫ) - 2019-11-22</t>
  </si>
  <si>
    <t>Yes: 2,1_Сигнальный жилет. (ЕРЫ) - 2019-11-22</t>
  </si>
  <si>
    <t>No: 1,10_Средства защиты органов дыхания. (ЕРЫ) - 2019-11-22</t>
  </si>
  <si>
    <t>Yes: 1,11_Средства защиты органов слуха. (ЕРЫ) - 2019-11-22</t>
  </si>
  <si>
    <t>Yes: 2,1_Строительная площадка и рабочие места имеют достаточное освещение. (ЕРЫ) - 2019-11-22</t>
  </si>
  <si>
    <t>Yes: 2,2_Рабочие участки чистые, не захламлены строительным мусором. Выполняется периодическая уборка. (ЕРЫ) - 2019-11-22</t>
  </si>
  <si>
    <t>Yes: 2,3_Пешеходные дорожки, проходы и подходы к лестницам свободны. (ЕРЫ) - 2019-11-22</t>
  </si>
  <si>
    <t>Yes: 2,4_Материалы и оборудование складированы должным образом. (ЕРЫ) - 2019-11-22</t>
  </si>
  <si>
    <t>Yes: 2,5_Имеется укомплектованный пожарный щит, установленные огнетушители в рабочем состоянии. (ЕРЫ) - 2019-11-22</t>
  </si>
  <si>
    <t>Yes: 2,6_Электропровода, шланги, сварочные провода и т.д. подняты во избежание случайных спотыканий. (ЕРЫ) - 2019-11-22</t>
  </si>
  <si>
    <t>No: 2,7_В отходах пиломатериалов нет торчащих гвоздей или др. опасных элементов, которые могут привести к проколам. (ЕРЫ) - 2019-11-22</t>
  </si>
  <si>
    <t>Yes: 2,8_Места для курения оборудованы пепельницами, огнетушителями и указательными знаками. (ЕРЫ) - 2019-11-22</t>
  </si>
  <si>
    <t>Yes: 3,1_Работники обучены и имеют соответствующие удостоверения для выполнения работ на высоте. (ЕРЫ) - 2019-11-22</t>
  </si>
  <si>
    <t>Yes: 3,2_Имеется безопасный доступ к рабочим местам на высоте. (ЕРЫ) - 2019-11-22</t>
  </si>
  <si>
    <t>Yes: 3,3_В местах перепадов высоты имеются страховоные ограждения. Ограждение соответствует требованиям безопасности. (ЕРЫ) - 2019-11-22</t>
  </si>
  <si>
    <t>Yes: 3,4_Проёмы закрыты в соответствии требованиями безопасности (проёмы закрыты полностью, щиты закреплены и промаркированы надписью "Не снимать!"). (ЕРЫ) - 2019-11-22</t>
  </si>
  <si>
    <t>Yes: 3,5_Работники используют предохранительные лямочные пояса. (ЕРЫ) - 2019-11-22</t>
  </si>
  <si>
    <t>Yes: 3,6_Предохранительные лямочные пояса в хорошем состоянии и испытаны. (ЕРЫ) - 2019-11-22</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</si>
  <si>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- 2019-11-22</t>
  </si>
  <si>
    <t>No: 3,8_Страховочные фалы правильно закреплены. (ЕРЫ) - 2019-11-22</t>
  </si>
  <si>
    <t>Yes: 3,9_Используются инвентарные средства подмащивания. (ЕРЫ) - 2019-11-22</t>
  </si>
  <si>
    <t>Yes: 3,10_Страховочные канаты установлены в соответствии с требованиями безопасности. (ЕРЫ) - 2019-11-22</t>
  </si>
  <si>
    <t>Yes: 3,11_Индивидуальные блокирующие устройства эксплуатируются в соответствии с требованиями завода-изготовителя. (ЕРЫ) - 2019-11-22</t>
  </si>
  <si>
    <t>Yes: 4,1_Сборка строительных лесов выполнена в соответствии с паспортом (инструкцией) завода-изготовителя. (ЕРЫ) - 2019-11-22</t>
  </si>
  <si>
    <t>Yes: 4,2_Строительные леса соответствуют виду выполняемых работ. (ЕРЫ) - 2019-11-22</t>
  </si>
  <si>
    <t>Yes: 4,3_Строительные леса заземлены (при необходимости). (ЕРЫ) - 2019-11-22</t>
  </si>
  <si>
    <t>Yes: 4,4_Строительные леса приняты лицом, назначенным ответственным за безопасную организацию работ на высоте. (ЕРЫ) - 2019-11-22</t>
  </si>
  <si>
    <t>Yes: 4,5_Настилы лесов, доски, площадки сбиты между собой, закреплены от сдвига и безопасны. (ЕРЫ) - 2019-11-22</t>
  </si>
  <si>
    <t>Yes: 4,6_При установке строительных лесов на грунт, основание подготовлено и спланировано. Имеются подкладки под опоры. (ЕРЫ) - 2019-11-22</t>
  </si>
  <si>
    <t>Yes: 4,7_Лестницы в хорошем состоянии, не имеют видимых повреждений и осматриваются ответственным исполнителем работ. (ЕРЫ) - 2019-11-22</t>
  </si>
  <si>
    <t>Yes: 4,8_Применяемый тип лестниц соответствует выполняемой работе, лестница правильно закреплена. (ЕРЫ) - 2019-11-22</t>
  </si>
  <si>
    <t>Yes: 4,9_Лестница правильно установлена (угол наклона 75 градусов, лестница выступает минимум на 1 метр выше места подъема). (ЕРЫ) - 2019-11-22</t>
  </si>
  <si>
    <t>Yes: 5,1_Электротехнический персонал прошел обучение, аттестацию и имеет удостоверение с соответствующей группой по электробезопасости. (ЕРЫ) - 2019-11-22</t>
  </si>
  <si>
    <t>Yes: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- 2019-11-22</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</si>
  <si>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- 2019-11-22</t>
  </si>
  <si>
    <t>Yes: 5,4_Электрические щиты, удлинители, розетки и вилки соответствуют степени  защиты IP 54. (ЕРЫ) - 2019-11-22</t>
  </si>
  <si>
    <t>Yes: 5,5_Электрические щиты оборудованы запирающими устройствами, УЗО (устройством защитного отключения). (ЕРЫ) - 2019-11-22</t>
  </si>
  <si>
    <t>Yes: 6,1_Все применяемое грузоподъемное оборудование имеет Паспорт завода-изготовителя и поставлено на учер в органах Ростехнадзора. (ЕРЫ) - 2019-11-22</t>
  </si>
  <si>
    <t>Yes: 6,2_Грузоподъемное оборудование (подъемные сооружения) в хорошем состоянии. Прыборы и устройства безопасности установлены  (ЕРЫ) - 2019-11-22</t>
  </si>
  <si>
    <t>Yes: 6,3_Используемое оборудование регулярно проходит ПТО И ЧТО (полное  и частичное техническое освидетельствование) с записью в паспорте. (ЕРЫ) - 2019-11-22</t>
  </si>
  <si>
    <t>Yes: 6,4_Вахтенный журнал находится у машиниста (оператора) и заполняется своевременно. (ЕРЫ) - 2019-11-22</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</si>
  <si>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- 2019-11-22</t>
  </si>
  <si>
    <t>Yes: 6,6_Устнановка г/п оборудования соответствует требованиям нормативных документов и указаниям заавода-изготовителя. (ЕРЫ) - 2019-11-22</t>
  </si>
  <si>
    <t>N/A: 6,7_Имеется наряд-допуск, при установке г/п оборудования вблизи ЛЭП. (ЕРЫ) - 2019-11-22</t>
  </si>
  <si>
    <t>Yes: 6,8_Зона работы подъемных сооружений ограждена сигнальной лентой. Посторонние работники удалены из опасной зоны. (ЕРЫ) - 2019-11-22</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</si>
  <si>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- 2019-11-22</t>
  </si>
  <si>
    <t>Yes: 6,10_Схемы строповки соответствуют поднимаемым грузам. (ЕРЫ) - 2019-11-22</t>
  </si>
  <si>
    <t>Yes: 6,11_Используются крючья и оттяжки. (ЕРЫ) - 2019-11-22</t>
  </si>
  <si>
    <t>Yes: 7,1_Электросварщики имеют соответствующее удостоверение и группу по электробезопасности не ниже II. (ЕРЫ) - 2019-11-22</t>
  </si>
  <si>
    <t>Yes: 7,2_Рабочее место подготовлено (в зоне разлета искр отсутствуют горючие материалы). (ЕРЫ) - 2019-11-22</t>
  </si>
  <si>
    <t>Yes: 7,3_Имеется защитный экран в месте проведения работ. (ЕРЫ) - 2019-11-22</t>
  </si>
  <si>
    <t>Yes: 7,4_В непосредственной близости от места работы имеется огнетушитель. (ЕРЫ) - 2019-11-22</t>
  </si>
  <si>
    <t>Yes: 7,5_Сварочное оборудование в хорошем состоянии. Держатель электродов и зажим обратного провода заводского изготовления. (ЕРЫ) - 2019-11-22</t>
  </si>
  <si>
    <t>Yes: 7,6_Сварочные провода не имеют повреждений изоляции и следов временного ремонта. (ЕРЫ) - 2019-11-22</t>
  </si>
  <si>
    <t>Yes: 7,7_Корпус сварочного аппарата имеет видемое заземление (если требует завод-изготовитель). (ЕРЫ) - 2019-11-22</t>
  </si>
  <si>
    <t>Yes: 8,1_Газовые баллоны хранятся должным образом, имеются склады для баллонов.   (ЕРЫ) - 2019-11-22</t>
  </si>
  <si>
    <t>Yes: 8,2_На складах имеются соответствующие знаки безопасности. (ЕРЫ) - 2019-11-22</t>
  </si>
  <si>
    <t>Yes: 8,3_Баллоны хранятся раздельно и закреплены цепью в местах хранения. (ЕРЫ) - 2019-11-22</t>
  </si>
  <si>
    <t>Yes: 8,4_Рядом со складами находятся огнетушители. (ЕРЫ) - 2019-11-22</t>
  </si>
  <si>
    <t>Yes: 8,5_Газобаллонное оборудование в хорошем состоянии (редуктор, манометр, резак, горелка, шланги, хомуты и т.д.). (ЕРЫ) - 2019-11-22</t>
  </si>
  <si>
    <t>Yes: 8,6_На газоиспользующем оборудовании установлены пламегасители. (ЕРЫ) - 2019-11-22</t>
  </si>
  <si>
    <t>Yes: 8,7_Во время работы, расстояние между баллонами минимум 5 метров. Баллоны находятся в вертикальном положении и закреплены. (ЕРЫ) - 2019-11-22</t>
  </si>
  <si>
    <t>Yes: 8,8_Во время работы, баллоны защищены от прямых солнечных лучей и осадков. (ЕРЫ) - 2019-11-22</t>
  </si>
  <si>
    <t>Yes: 8,9_Газорезчик имеет соответствующие удостоверения (например транспортировка баллонов, удостоверение газорезчика). (ЕРЫ) - 2019-11-22</t>
  </si>
  <si>
    <t>Yes: 8,10_В непосредственной близости от места работы имеется огнетушитель. (ЕРЫ) - 2019-11-22</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</si>
  <si>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- 2019-11-22</t>
  </si>
  <si>
    <t>Yes: 9,2_Электроинструменты используются по назначению и соответствуют виду выполняемой работы (ЕРЫ) - 2019-11-22</t>
  </si>
  <si>
    <t>Yes: 9,3_При перерывах в работе электроинструмент отключен от электросети. (ЕРЫ) - 2019-11-22</t>
  </si>
  <si>
    <t>Yes: 9,4_Электроинструменты переносятся и доставляются должным образом (запрещено переносить электроинструмент за провод). (ЕРЫ) - 2019-11-22</t>
  </si>
  <si>
    <t>Yes: 9,5_Рукоятки ручного инструмента в хорошем состоянии, например молоток, топор прочно насажены на рукоять . (ЕРЫ) - 2019-11-22</t>
  </si>
  <si>
    <t>Yes: 9,6_Ручной инструмент в хорошем состоянии, например ударная часть молотка, губки рожковых и разводных ключей, шестигранники и т.д. (ЕРЫ) - 2019-11-22</t>
  </si>
  <si>
    <t>Yes: 9,7_Соединения пневматических и гидравлических шлангов выполнены должным образом. (ЕРЫ) - 2019-11-22</t>
  </si>
  <si>
    <t>Yes: 10,1_Имеются специальные места для хранения опасных отходов I, II, III классов опасности.  (ЕРЫ) - 2019-11-22</t>
  </si>
  <si>
    <t>Yes: 10,2_Строительный отходы IV, V классов опасности складируются в определенном месте, используются специальные мусорные контейнеры. (ЕРЫ) - 2019-11-22</t>
  </si>
  <si>
    <t>Yes: 10,3_Строительный мусор и бытовые отходы складируются отдельно. (ЕРЫ) - 2019-11-22</t>
  </si>
  <si>
    <t>Yes: 10,4_Используются специальные ёмкости для ГСМ, например канистры, бочки и т.д. (ЕРЫ) - 2019-11-22</t>
  </si>
  <si>
    <t>Yes: 10,5_Загрязнение окружающей среды предотвращается должным образом, например, правильным складированием, быстрым реагированием на утечку. (ЕРЫ) - 2019-11-22</t>
  </si>
  <si>
    <t>Yes: 11,1_Зона электропрогрева ограждена защитным ограждением или сигнальной лентой. (ЕРЫ) - 2019-11-22</t>
  </si>
  <si>
    <t>Yes: 11,2_У проводов электропрогрева отсутствуют повреждения изоляции, провода не лежат на грунте или перекрытиях. (ЕРЫ) - 2019-11-22</t>
  </si>
  <si>
    <t>Yes: 11,3_Имеется световая сигнализация и знаки безопасности. (ЕРЫ) - 2019-11-22</t>
  </si>
  <si>
    <t>Yes: 11,4_Открытая (незабетонированная) арматура железобетонных конструкций, связанная с участком, находящимся под электропрогревом, заземлена (занулена). (ЕРЫ) - 2019-11-22</t>
  </si>
  <si>
    <t>Yes: 12,1_Наряд-допус оформлен, внесенные данные соответствуют действительности. Проведены необходимые инструктажи. (ЕРЫ) - 2019-11-22</t>
  </si>
  <si>
    <t>Yes: 12,2_Имеется газоанализатор с действующим свидетельством о прохождении аттестации. (ЕРЫ) - 2019-11-22</t>
  </si>
  <si>
    <t>N/A: 12,3_Произведен замер воздушной среды. (ЕРЫ) - 2019-11-22</t>
  </si>
  <si>
    <t>Yes: 12,4_Количество работников не менее трех человек (при условии нахождения двух работников вне замкнутого пространства). (ЕРЫ) - 2019-11-22</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</si>
  <si>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- 2019-11-22</t>
  </si>
  <si>
    <t>Yes: 12,6_Напряжение используемое для освещения не более 36 Вольт. Понижающий трансформатор находится вне замкнутого пространства. (ЕРЫ) - 2019-11-22</t>
  </si>
  <si>
    <t>Yes: 12,7_Сварочный аппарат или газовые баллоны находятся снаружи. (ЕРЫ) - 2019-11-22</t>
  </si>
  <si>
    <t>Yes: 12,8_В непосредственной близости от места работы имеется огнетушитель. (ЕРЫ) - 2019-11-22</t>
  </si>
  <si>
    <t>Yes: 12,9_ При использовании ручного электроинструмента или сварочного аппарата металлические конструкции заземлены. (ЕРЫ) - 2019-11-22</t>
  </si>
  <si>
    <t>Yes: 12,10_Имеется приточная вентиляция (при необходимости). (ЕРЫ) - 2019-11-22</t>
  </si>
  <si>
    <t>Евгений Рысев: Изменена дата начала на 20.11.2019</t>
  </si>
  <si>
    <t>Евгений Рысев: Изменена дата завершения на 22.11.2019</t>
  </si>
  <si>
    <t>Евгений Рысев: Заголовок изменен на Инспекция строительной площадки</t>
  </si>
  <si>
    <t>Евгений Рысев: Название категории изменено на Охрана Труда</t>
  </si>
  <si>
    <t>Инспекция бытового городка, прилегающей территории и тренспорта</t>
  </si>
  <si>
    <t>от3_инспекция_бытового городка</t>
  </si>
  <si>
    <t>Yes: 1,1_Бытовые помещения в хорошем состоянии. (ЕРЫ) - 2019-11-26</t>
  </si>
  <si>
    <t>Yes: 1,2_Аптечка первой помощи имеется, должным образом обозначена и укомплектована, своевременно пополняется. (ЕРЫ) - 2019-11-26</t>
  </si>
  <si>
    <t>Yes: 1,3_Система обогрева установлена и находится в хорошем состоянии. (ЕРЫ) - 2019-11-26</t>
  </si>
  <si>
    <t>Yes: 1,4_На обогревателях отсутствуют посторонние предметы. Одежда весит на расстоянии не менее 1 метра. (ЕРЫ) - 2019-11-26</t>
  </si>
  <si>
    <t>Yes: 1,5_Бытовые помещения оборудованы противопожарной сигнализацией. (ЕРЫ) - 2019-11-26</t>
  </si>
  <si>
    <t>Yes: 1,6_Имеется укомплектованный пожарный щит, установленные огнетушители в рабочем состоянии. (ЕРЫ) - 2019-11-26</t>
  </si>
  <si>
    <t>Yes: 1,7_В каждом бытовом вагончике установлен огнетушитель, установленные огнетушители в рабочем состоянии. (ЕРЫ) - 2019-11-26</t>
  </si>
  <si>
    <t>Yes: 1,8_Места для курения оборудованы пепельницами, огнетушителями и указательными знаками. производится регулярная уборка. (ЕРЫ) - 2019-11-26</t>
  </si>
  <si>
    <t>Yes: 1,9_Заземление бытовых вагончиков смонтировано и испытано, оформлен акт проверки состояния защитного заземления. (ЕРЫ) - 2019-11-26</t>
  </si>
  <si>
    <t>Yes: 1,10_Временная электропроводка соответствует ПТЭЭП и ПУЭ. (ЕРЫ) - 2019-11-26</t>
  </si>
  <si>
    <t>Yes: 1,11_Соблюдаются правила эксплуатации бытовых электронагревательных приборов. (ЕРЫ) - 2019-11-26</t>
  </si>
  <si>
    <t>Yes: 1,12_Электрические щиты, розетки и вилки соответствуют степени  защиты IP 54, имеется УЗО (устройство защитного отключения). (ЕРЫ) - 2019-11-26</t>
  </si>
  <si>
    <t>Yes: 1,13_Установленные светильники оборудованы защитными плафонами. (ЕРЫ) - 2019-11-26</t>
  </si>
  <si>
    <t>Yes: 1,14_Пешеходные дорожки и подходы к бытовым помещениям свободны. (ЕРЫ) - 2019-11-26</t>
  </si>
  <si>
    <t>Yes: 1,15_Имеется схема эвакуации на каждом этаже (ЕРЫ) - 2019-11-26</t>
  </si>
  <si>
    <t>Yes: 1,16_Санитарный узел имеется и в хорошем сотоянии, производится регулярная уборка (ЕРЫ) - 2019-11-26</t>
  </si>
  <si>
    <t>Yes: 2,1_На строительной технике имеется проблесковый маячок. (ЕРЫ) - 2019-11-26</t>
  </si>
  <si>
    <t>Yes: 2,2_Используемые транстпортные средства и средства механизации в хорошем состоянии.  (ЕРЫ) - 2019-11-26</t>
  </si>
  <si>
    <t>Yes: 2,3_Имеются и работают все световые приборы (фары, фонари, указатели поворота, тормозной сигнал, звуковой сигнал и фонарь заднего хода).  (ЕРЫ) - 2019-11-26</t>
  </si>
  <si>
    <t>Yes: 2,4_Имеется огетушитель и находится в испраном состоянии. (ЕРЫ) - 2019-11-26</t>
  </si>
  <si>
    <t>Yes: 2,5_Операторы и водители имеют свидетельство транспортного средства или заверенную копию (ЕРЫ) - 2019-11-26</t>
  </si>
  <si>
    <t>Yes: 2,6_Операторы и водители имеют водительское удостоверение или сертификат. (ЕРЫ) - 2019-11-26</t>
  </si>
  <si>
    <t>Yes: 2,7_В транспортных средствах, оставленых без присмотра, двигатель заглушен,  ключь зажигания удален. (ЕРЫ) - 2019-11-26</t>
  </si>
  <si>
    <t>Yes: 2,8_Сигнальщик / регулировщик находятся у мест проведения опасных работ, в местах затрудненного движения. (ЕРЫ) - 2019-11-26</t>
  </si>
  <si>
    <t>Yes: 2,9_Водителями, машинистами соблюдается скоросной режим (ЕРЫ) - 2019-11-26</t>
  </si>
  <si>
    <t>Yes: 2,10_Не используют мобитльные телефоны при движении (ЕРЫ) - 2019-11-26</t>
  </si>
  <si>
    <t>Yes: 3,1_Подъезные дороги чистые, регулярно убираются (ЕРЫ) - 2019-11-26</t>
  </si>
  <si>
    <t>Yes: 3,2_Городские дороги прилегающие к объекту не имеют повреждений от строительной техники (ЕРЫ) - 2019-11-26</t>
  </si>
  <si>
    <t>Yes: 3,3_Установлен пункт мойки колёс при выезде с объекта, он работает (ЕРЫ) - 2019-11-26</t>
  </si>
  <si>
    <t>Yes: 3,4_На прилегающей территории регулярно проводится уборка (поддерживается чистота) (ЕРЫ) - 2019-11-26</t>
  </si>
  <si>
    <t>Yes: 3,5_Установленны дорожные знаки, контролируется исправность и актуальность (ЕРЫ) - 2019-11-26</t>
  </si>
  <si>
    <t>Yes: 3,6_Пешиходные проходы безопасны и поддерживается порядок (ЕРЫ) - 2019-11-26</t>
  </si>
  <si>
    <t>Yes: 4,1_Ограждения территории объекта не имеют повреждений и обеспечивают защиту от проникновения третьих лиц (ЕРЫ) - 2019-11-26</t>
  </si>
  <si>
    <t>Yes: 4,2_Защитные ограждения зафиксированны и не имеют повреждений не обеспечивающих защитных свойств (ЕРЫ) - 2019-11-26</t>
  </si>
  <si>
    <t>Yes: 4,3_Световая сигнализация исправна. В тёмное и сумеречное время работает исправно (ЕРЫ) - 2019-11-26</t>
  </si>
  <si>
    <t>Yes: 4,4_Пешеходные зоны подсвечиваются в достаточном объёме (ЕРЫ) - 2019-11-26</t>
  </si>
  <si>
    <t>Yes: 4,5_Имеются предупреждающие, рекомендующие и предписывающие знаки (ЕРЫ) - 2019-11-26</t>
  </si>
  <si>
    <t>Евгений Рысев: Изменена дата начала на 25.11.2019</t>
  </si>
  <si>
    <t>Евгений Рысев: Изменена дата завершения на 29.11.2019</t>
  </si>
  <si>
    <t>Евгений Рысев: Заголовок изменен на Инспекция бытового городка, прилегающей территории и тренспорта</t>
  </si>
  <si>
    <t>Yes: 1,1_Защитные каски (ЕРЫ) - 2019-11-29</t>
  </si>
  <si>
    <t>Yes: 1,2_Спецодежда и спецобувь (ЕРЫ) - 2019-11-29</t>
  </si>
  <si>
    <t>Yes: 1,3_Защитные очки (ЕРЫ) - 2019-11-29</t>
  </si>
  <si>
    <t>Yes: 1,4_Защитный щиток. (ЕРЫ) - 2019-11-29</t>
  </si>
  <si>
    <t>Yes: 1,5_Костюм сварщика. (ЕРЫ) - 2019-11-29</t>
  </si>
  <si>
    <t>Yes: 1,6_Сварочный щиток. (ЕРЫ) - 2019-11-29</t>
  </si>
  <si>
    <t>Yes: 1,7_Защитные очки газорезчика. (ЕРЫ) - 2019-11-29</t>
  </si>
  <si>
    <t>Yes: 1,8_Предохранительные лямочные пояса. (ЕРЫ) - 2019-11-29</t>
  </si>
  <si>
    <t>Yes: 1,9_Перчатки, рукавицы. (ЕРЫ) - 2019-11-29</t>
  </si>
  <si>
    <t>Yes: 2,1_Сигнальный жилет. (ЕРЫ) - 2019-11-29</t>
  </si>
  <si>
    <t>Yes: 1,10_Средства защиты органов дыхания. (ЕРЫ) - 2019-11-29</t>
  </si>
  <si>
    <t>Yes: 1,11_Средства защиты органов слуха. (ЕРЫ) - 2019-11-29</t>
  </si>
  <si>
    <t>Yes: 2,1_Строительная площадка и рабочие места имеют достаточное освещение. (ЕРЫ) - 2019-11-29</t>
  </si>
  <si>
    <t>Yes: 2,2_Рабочие участки чистые, не захламлены строительным мусором. Выполняется периодическая уборка. (ЕРЫ) - 2019-11-29</t>
  </si>
  <si>
    <t>Yes: 2,3_Пешеходные дорожки, проходы и подходы к лестницам свободны. (ЕРЫ) - 2019-11-29</t>
  </si>
  <si>
    <t>Yes: 2,4_Материалы и оборудование складированы должным образом. (ЕРЫ) - 2019-11-29</t>
  </si>
  <si>
    <t>Yes: 2,5_Имеется укомплектованный пожарный щит, установленные огнетушители в рабочем состоянии. (ЕРЫ) - 2019-11-29</t>
  </si>
  <si>
    <t>Yes: 2,6_Электропровода, шланги, сварочные провода и т.д. подняты во избежание случайных спотыканий. (ЕРЫ) - 2019-11-29</t>
  </si>
  <si>
    <t>Yes: 2,7_В отходах пиломатериалов нет торчащих гвоздей или др. опасных элементов, которые могут привести к проколам. (ЕРЫ) - 2019-11-29</t>
  </si>
  <si>
    <t>Yes: 2,8_Места для курения оборудованы пепельницами, огнетушителями и указательными знаками. (ЕРЫ) - 2019-11-29</t>
  </si>
  <si>
    <t>Yes: 3,1_Работники обучены и имеют соответствующие удостоверения для выполнения работ на высоте. (ЕРЫ) - 2019-11-29</t>
  </si>
  <si>
    <t>Yes: 3,2_Имеется безопасный доступ к рабочим местам на высоте. (ЕРЫ) - 2019-11-29</t>
  </si>
  <si>
    <t>Yes: 3,3_В местах перепадов высоты имеются страховоные ограждения. Ограждение соответствует требованиям безопасности. (ЕРЫ) - 2019-11-29</t>
  </si>
  <si>
    <t>Yes: 3,4_Проёмы закрыты в соответствии требованиями безопасности (проёмы закрыты полностью, щиты закреплены и промаркированы надписью "Не снимать!"). (ЕРЫ) - 2019-11-29</t>
  </si>
  <si>
    <t>Yes: 3,5_Работники используют предохранительные лямочные пояса. (ЕРЫ) - 2019-11-29</t>
  </si>
  <si>
    <t>Yes: 3,6_Предохранительные лямочные пояса в хорошем состоянии и испытаны. (ЕРЫ) - 2019-11-29</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</si>
  <si>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- 2019-11-29</t>
  </si>
  <si>
    <t>Yes: 3,8_Страховочные фалы правильно закреплены. (ЕРЫ) - 2019-11-29</t>
  </si>
  <si>
    <t>Yes: 3,9_Используются инвентарные средства подмащивания. (ЕРЫ) - 2019-11-29</t>
  </si>
  <si>
    <t>Yes: 3,10_Страховочные канаты установлены в соответствии с требованиями безопасности. (ЕРЫ) - 2019-11-29</t>
  </si>
  <si>
    <t>Yes: 3,11_Индивидуальные блокирующие устройства эксплуатируются в соответствии с требованиями завода-изготовителя. (ЕРЫ) - 2019-11-29</t>
  </si>
  <si>
    <t>Yes: 4,1_Сборка строительных лесов выполнена в соответствии с паспортом (инструкцией) завода-изготовителя. (ЕРЫ) - 2019-11-29</t>
  </si>
  <si>
    <t>Yes: 4,2_Строительные леса соответствуют виду выполняемых работ. (ЕРЫ) - 2019-11-29</t>
  </si>
  <si>
    <t>Yes: 4,3_Строительные леса заземлены (при необходимости). (ЕРЫ) - 2019-11-29</t>
  </si>
  <si>
    <t>Yes: 4,4_Строительные леса приняты лицом, назначенным ответственным за безопасную организацию работ на высоте. (ЕРЫ) - 2019-11-29</t>
  </si>
  <si>
    <t>Yes: 4,5_Настилы лесов, доски, площадки сбиты между собой, закреплены от сдвига и безопасны. (ЕРЫ) - 2019-11-29</t>
  </si>
  <si>
    <t>Yes: 4,6_При установке строительных лесов на грунт, основание подготовлено и спланировано. Имеются подкладки под опоры. (ЕРЫ) - 2019-11-29</t>
  </si>
  <si>
    <t>Yes: 4,7_Лестницы в хорошем состоянии, не имеют видимых повреждений и осматриваются ответственным исполнителем работ. (ЕРЫ) - 2019-11-29</t>
  </si>
  <si>
    <t>Yes: 4,8_Применяемый тип лестниц соответствует выполняемой работе, лестница правильно закреплена. (ЕРЫ) - 2019-11-29</t>
  </si>
  <si>
    <t>Yes: 4,9_Лестница правильно установлена (угол наклона 75 градусов, лестница выступает минимум на 1 метр выше места подъема). (ЕРЫ) - 2019-11-29</t>
  </si>
  <si>
    <t>Yes: 5,1_Электротехнический персонал прошел обучение, аттестацию и имеет удостоверение с соответствующей группой по электробезопасости. (ЕРЫ) - 2019-11-29</t>
  </si>
  <si>
    <t>Yes: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- 2019-11-29</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</si>
  <si>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- 2019-11-29</t>
  </si>
  <si>
    <t>Yes: 5,4_Электрические щиты, удлинители, розетки и вилки соответствуют степени  защиты IP 54. (ЕРЫ) - 2019-11-29</t>
  </si>
  <si>
    <t>Yes: 5,5_Электрические щиты оборудованы запирающими устройствами, УЗО (устройством защитного отключения). (ЕРЫ) - 2019-11-29</t>
  </si>
  <si>
    <t>Yes: 6,1_Все применяемое грузоподъемное оборудование имеет Паспорт завода-изготовителя и поставлено на учер в органах Ростехнадзора. (ЕРЫ) - 2019-11-29</t>
  </si>
  <si>
    <t>Yes: 6,2_Грузоподъемное оборудование (подъемные сооружения) в хорошем состоянии. Прыборы и устройства безопасности установлены  (ЕРЫ) - 2019-11-29</t>
  </si>
  <si>
    <t>Yes: 6,3_Используемое оборудование регулярно проходит ПТО И ЧТО (полное  и частичное техническое освидетельствование) с записью в паспорте. (ЕРЫ) - 2019-11-29</t>
  </si>
  <si>
    <t>Yes: 6,4_Вахтенный журнал находится у машиниста (оператора) и заполняется своевременно. (ЕРЫ) - 2019-11-29</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</si>
  <si>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- 2019-11-29</t>
  </si>
  <si>
    <t>Yes: 6,6_Устнановка г/п оборудования соответствует требованиям нормативных документов и указаниям заавода-изготовителя. (ЕРЫ) - 2019-11-29</t>
  </si>
  <si>
    <t>N/A: 6,7_Имеется наряд-допуск, при установке г/п оборудования вблизи ЛЭП. (ЕРЫ) - 2019-11-29</t>
  </si>
  <si>
    <t>Yes: 6,8_Зона работы подъемных сооружений ограждена сигнальной лентой. Посторонние работники удалены из опасной зоны. (ЕРЫ) - 2019-11-29</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</si>
  <si>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- 2019-11-29</t>
  </si>
  <si>
    <t>Yes: 6,10_Схемы строповки соответствуют поднимаемым грузам. (ЕРЫ) - 2019-11-29</t>
  </si>
  <si>
    <t>Yes: 6,11_Используются крючья и оттяжки. (ЕРЫ) - 2019-11-29</t>
  </si>
  <si>
    <t>Yes: 7,1_Электросварщики имеют соответствующее удостоверение и группу по электробезопасности не ниже II. (ЕРЫ) - 2019-11-29</t>
  </si>
  <si>
    <t>Yes: 7,2_Рабочее место подготовлено (в зоне разлета искр отсутствуют горючие материалы). (ЕРЫ) - 2019-11-29</t>
  </si>
  <si>
    <t>Yes: 7,3_Имеется защитный экран в месте проведения работ. (ЕРЫ) - 2019-11-29</t>
  </si>
  <si>
    <t>Yes: 7,4_В непосредственной близости от места работы имеется огнетушитель. (ЕРЫ) - 2019-11-29</t>
  </si>
  <si>
    <t>Yes: 7,5_Сварочное оборудование в хорошем состоянии. Держатель электродов и зажим обратного провода заводского изготовления. (ЕРЫ) - 2019-11-29</t>
  </si>
  <si>
    <t>Yes: 7,6_Сварочные провода не имеют повреждений изоляции и следов временного ремонта. (ЕРЫ) - 2019-11-29</t>
  </si>
  <si>
    <t>Yes: 7,7_Корпус сварочного аппарата имеет видемое заземление (если требует завод-изготовитель). (ЕРЫ) - 2019-11-29</t>
  </si>
  <si>
    <t>Yes: 8,1_Газовые баллоны хранятся должным образом, имеются склады для баллонов.   (ЕРЫ) - 2019-11-29</t>
  </si>
  <si>
    <t>Yes: 8,2_На складах имеются соответствующие знаки безопасности. (ЕРЫ) - 2019-11-29</t>
  </si>
  <si>
    <t>Yes: 8,3_Баллоны хранятся раздельно и закреплены цепью в местах хранения. (ЕРЫ) - 2019-11-29</t>
  </si>
  <si>
    <t>Yes: 8,4_Рядом со складами находятся огнетушители. (ЕРЫ) - 2019-11-29</t>
  </si>
  <si>
    <t>Yes: 8,5_Газобаллонное оборудование в хорошем состоянии (редуктор, манометр, резак, горелка, шланги, хомуты и т.д.). (ЕРЫ) - 2019-11-29</t>
  </si>
  <si>
    <t>Yes: 8,6_На газоиспользующем оборудовании установлены пламегасители. (ЕРЫ) - 2019-11-29</t>
  </si>
  <si>
    <t>Yes: 8,7_Во время работы, расстояние между баллонами минимум 5 метров. Баллоны находятся в вертикальном положении и закреплены. (ЕРЫ) - 2019-11-29</t>
  </si>
  <si>
    <t>Yes: 8,8_Во время работы, баллоны защищены от прямых солнечных лучей и осадков. (ЕРЫ) - 2019-11-29</t>
  </si>
  <si>
    <t>Yes: 8,9_Газорезчик имеет соответствующие удостоверения (например транспортировка баллонов, удостоверение газорезчика). (ЕРЫ) - 2019-11-29</t>
  </si>
  <si>
    <t>Yes: 8,10_В непосредственной близости от места работы имеется огнетушитель. (ЕРЫ) - 2019-11-29</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</si>
  <si>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- 2019-11-29</t>
  </si>
  <si>
    <t>Yes: 9,2_Электроинструменты используются по назначению и соответствуют виду выполняемой работы (ЕРЫ) - 2019-11-29</t>
  </si>
  <si>
    <t>Yes: 9,3_При перерывах в работе электроинструмент отключен от электросети. (ЕРЫ) - 2019-11-29</t>
  </si>
  <si>
    <t>Yes: 9,4_Электроинструменты переносятся и доставляются должным образом (запрещено переносить электроинструмент за провод). (ЕРЫ) - 2019-11-29</t>
  </si>
  <si>
    <t>Yes: 9,5_Рукоятки ручного инструмента в хорошем состоянии, например молоток, топор прочно насажены на рукоять . (ЕРЫ) - 2019-11-29</t>
  </si>
  <si>
    <t>Yes: 9,6_Ручной инструмент в хорошем состоянии, например ударная часть молотка, губки рожковых и разводных ключей, шестигранники и т.д. (ЕРЫ) - 2019-11-29</t>
  </si>
  <si>
    <t>Yes: 9,7_Соединения пневматических и гидравлических шлангов выполнены должным образом. (ЕРЫ) - 2019-11-29</t>
  </si>
  <si>
    <t>Yes: 10,1_Имеются специальные места для хранения опасных отходов I, II, III классов опасности.  (ЕРЫ) - 2019-11-29</t>
  </si>
  <si>
    <t>Yes: 10,2_Строительный отходы IV, V классов опасности складируются в определенном месте, используются специальные мусорные контейнеры. (ЕРЫ) - 2019-11-29</t>
  </si>
  <si>
    <t>Yes: 10,3_Строительный мусор и бытовые отходы складируются отдельно. (ЕРЫ) - 2019-11-29</t>
  </si>
  <si>
    <t>Yes: 10,4_Используются специальные ёмкости для ГСМ, например канистры, бочки и т.д. (ЕРЫ) - 2019-11-29</t>
  </si>
  <si>
    <t>Yes: 10,5_Загрязнение окружающей среды предотвращается должным образом, например, правильным складированием, быстрым реагированием на утечку. (ЕРЫ) - 2019-11-29</t>
  </si>
  <si>
    <t>Yes: 11,1_Зона электропрогрева ограждена защитным ограждением или сигнальной лентой. (ЕРЫ) - 2019-11-29</t>
  </si>
  <si>
    <t>Yes: 11,2_У проводов электропрогрева отсутствуют повреждения изоляции, провода не лежат на грунте или перекрытиях. (ЕРЫ) - 2019-11-29</t>
  </si>
  <si>
    <t>Yes: 11,3_Имеется световая сигнализация и знаки безопасности. (ЕРЫ) - 2019-11-29</t>
  </si>
  <si>
    <t>Yes: 11,4_Открытая (незабетонированная) арматура железобетонных конструкций, связанная с участком, находящимся под электропрогревом, заземлена (занулена). (ЕРЫ) - 2019-11-29</t>
  </si>
  <si>
    <t>Yes: 12,1_Наряд-допус оформлен, внесенные данные соответствуют действительности. Проведены необходимые инструктажи. (ЕРЫ) - 2019-11-29</t>
  </si>
  <si>
    <t>Yes: 12,2_Имеется газоанализатор с действующим свидетельством о прохождении аттестации. (ЕРЫ) - 2019-11-29</t>
  </si>
  <si>
    <t>Yes: 12,3_Произведен замер воздушной среды. (ЕРЫ) - 2019-11-29</t>
  </si>
  <si>
    <t>Yes: 12,4_Количество работников не менее трех человек (при условии нахождения двух работников вне замкнутого пространства). (ЕРЫ) - 2019-11-29</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</si>
  <si>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- 2019-11-29</t>
  </si>
  <si>
    <t>N/A: 12,6_Напряжение используемое для освещения не более 36 Вольт. Понижающий трансформатор находится вне замкнутого пространства. (ЕРЫ) - 2019-11-29</t>
  </si>
  <si>
    <t>Yes: 12,7_Сварочный аппарат или газовые баллоны находятся снаружи. (ЕРЫ) - 2019-11-29</t>
  </si>
  <si>
    <t>Yes: 12,8_В непосредственной близости от места работы имеется огнетушитель. (ЕРЫ) - 2019-11-29</t>
  </si>
  <si>
    <t>Yes: 12,9_ При использовании ручного электроинструмента или сварочного аппарата металлические конструкции заземлены. (ЕРЫ) - 2019-11-29</t>
  </si>
  <si>
    <t>Yes: 12,10_Имеется приточная вентиляция (при необходимости). (ЕРЫ) - 2019-11-29</t>
  </si>
  <si>
    <t>Евгений Рысев: Изменена дата начала на 27.11.2019</t>
  </si>
  <si>
    <t>Евгений Рысев: Изменена дата завершения на 03.12.2019</t>
  </si>
  <si>
    <t>Инспекция бытового городка, прилегающей территории и механизации</t>
  </si>
  <si>
    <t>Yes: 1,1_Бытовые помещения в хорошем состоянии. (ЕРЫ) - 2019-12-03</t>
  </si>
  <si>
    <t>Yes: 1,2_Аптечка первой помощи имеется, должным образом обозначена и укомплектована, своевременно пополняется. (ЕРЫ) - 2019-12-03</t>
  </si>
  <si>
    <t>Yes: 1,3_Система обогрева установлена и находится в хорошем состоянии. (ЕРЫ) - 2019-12-03</t>
  </si>
  <si>
    <t>Yes: 1,4_На обогревателях отсутствуют посторонние предметы. Одежда весит на расстоянии не менее 1 метра. (ЕРЫ) - 2019-12-03</t>
  </si>
  <si>
    <t>Yes: 1,5_Бытовые помещения оборудованы противопожарной сигнализацией. (ЕРЫ) - 2019-12-03</t>
  </si>
  <si>
    <t>Yes: 1,6_Имеется укомплектованный пожарный щит, установленные огнетушители в рабочем состоянии. (ЕРЫ) - 2019-12-03</t>
  </si>
  <si>
    <t>Yes: 1,7_В каждом бытовом вагончике установлен огнетушитель, установленные огнетушители в рабочем состоянии. (ЕРЫ) - 2019-12-03</t>
  </si>
  <si>
    <t>Yes: 1,8_Места для курения оборудованы пепельницами, огнетушителями и указательными знаками. производится регулярная уборка. (ЕРЫ) - 2019-12-03</t>
  </si>
  <si>
    <t>Yes: 1,9_Заземление бытовых вагончиков смонтировано и испытано, оформлен акт проверки состояния защитного заземления. (ЕРЫ) - 2019-12-03</t>
  </si>
  <si>
    <t>Yes: 1,10_Временная электропроводка соответствует ПТЭЭП и ПУЭ. (ЕРЫ) - 2019-12-03</t>
  </si>
  <si>
    <t>Yes: 1,11_Соблюдаются правила эксплуатации бытовых электронагревательных приборов. (ЕРЫ) - 2019-12-03</t>
  </si>
  <si>
    <t>Yes: 1,12_Электрические щиты, розетки и вилки соответствуют степени  защиты IP 54, имеется УЗО (устройство защитного отключения). (ЕРЫ) - 2019-12-03</t>
  </si>
  <si>
    <t>Yes: 1,13_Установленные светильники оборудованы защитными плафонами. (ЕРЫ) - 2019-12-03</t>
  </si>
  <si>
    <t>Yes: 1,14_Пешеходные дорожки и подходы к бытовым помещениям свободны. (ЕРЫ) - 2019-12-03</t>
  </si>
  <si>
    <t>Yes: 1,15_Имеется схема эвакуации на каждом этаже (ЕРЫ) - 2019-12-03</t>
  </si>
  <si>
    <t>Yes: 1,16_Санитарный узел имеется и в хорошем сотоянии, производится регулярная уборка (ЕРЫ) - 2019-12-03</t>
  </si>
  <si>
    <t>Yes: 2,1_На строительной технике имеется проблесковый маячок. (ЕРЫ) - 2019-12-03</t>
  </si>
  <si>
    <t>Yes: 2,2_Используемые транстпортные средства и средства механизации в хорошем состоянии.  (ЕРЫ) - 2019-12-03</t>
  </si>
  <si>
    <t>Yes: 2,3_Имеются и работают все световые приборы (фары, фонари, указатели поворота, тормозной сигнал, звуковой сигнал и фонарь заднего хода).  (ЕРЫ) - 2019-12-03</t>
  </si>
  <si>
    <t>Yes: 2,4_Имеется огетушитель и находится в испраном состоянии. (ЕРЫ) - 2019-12-03</t>
  </si>
  <si>
    <t>Yes: 2,5_Операторы и водители имеют свидетельство транспортного средства или заверенную копию (ЕРЫ) - 2019-12-03</t>
  </si>
  <si>
    <t>Yes: 2,6_Операторы и водители имеют водительское удостоверение или сертификат. (ЕРЫ) - 2019-12-03</t>
  </si>
  <si>
    <t>Yes: 2,7_В транспортных средствах, оставленых без присмотра, двигатель заглушен,  ключь зажигания удален. (ЕРЫ) - 2019-12-03</t>
  </si>
  <si>
    <t>Yes: 2,8_Сигнальщик / регулировщик находятся у мест проведения опасных работ, в местах затрудненного движения. (ЕРЫ) - 2019-12-03</t>
  </si>
  <si>
    <t>Yes: 2,9_Водителями, машинистами соблюдается скоросной режим (ЕРЫ) - 2019-12-03</t>
  </si>
  <si>
    <t>Yes: 2,10_Не используют мобитльные телефоны при движении (ЕРЫ) - 2019-12-03</t>
  </si>
  <si>
    <t>Yes: 3,1_Подъезные дороги чистые, регулярно убираются (ЕРЫ) - 2019-12-03</t>
  </si>
  <si>
    <t>Yes: 3,2_Городские дороги прилегающие к объекту не имеют повреждений от строительной техники (ЕРЫ) - 2019-12-03</t>
  </si>
  <si>
    <t>Yes: 3,3_Установлен пункт мойки колёс при выезде с объекта, он работает (ЕРЫ) - 2019-12-03</t>
  </si>
  <si>
    <t>Yes: 3,4_На прилегающей территории регулярно проводится уборка (поддерживается чистота) (ЕРЫ) - 2019-12-03</t>
  </si>
  <si>
    <t>Yes: 3,5_Установленны дорожные знаки, контролируется исправность и актуальность (ЕРЫ) - 2019-12-03</t>
  </si>
  <si>
    <t>Yes: 3,6_Пешиходные проходы безопасны и поддерживается порядок (ЕРЫ) - 2019-12-03</t>
  </si>
  <si>
    <t>Yes: 4,1_Ограждения территории объекта не имеют повреждений и обеспечивают защиту от проникновения третьих лиц (ЕРЫ) - 2019-12-03</t>
  </si>
  <si>
    <t>Yes: 4,2_Защитные ограждения зафиксированны и не имеют повреждений не обеспечивающих защитных свойств (ЕРЫ) - 2019-12-03</t>
  </si>
  <si>
    <t>Yes: 4,3_Световая сигнализация исправна. В тёмное и сумеречное время работает исправно (ЕРЫ) - 2019-12-03</t>
  </si>
  <si>
    <t>Yes: 4,4_Пешеходные зоны подсвечиваются в достаточном объёме (ЕРЫ) - 2019-12-03</t>
  </si>
  <si>
    <t>Yes: 4,5_Имеются предупреждающие, рекомендующие и предписывающие знаки (ЕРЫ) - 2019-12-03</t>
  </si>
  <si>
    <t>Евгений Рысев: Изменена дата начала на 02.12.2019</t>
  </si>
  <si>
    <t>Евгений Рысев: Заголовок изменен на Инспекция бытового городка, прилегающей территории и механизации</t>
  </si>
  <si>
    <t>Евгений Рысев: Изменена дата завершения на 07.12.2019</t>
  </si>
  <si>
    <t>инспекция бытового городка, прилегающей территории и техники</t>
  </si>
  <si>
    <t>Yes: 1,1_Бытовые помещения в хорошем состоянии. (ЕРЫ) - 2019-12-27</t>
  </si>
  <si>
    <t>Yes: 1,2_Аптечка первой помощи имеется, должным образом обозначена и укомплектована, своевременно пополняется. (ЕРЫ) - 2019-12-27</t>
  </si>
  <si>
    <t>Yes: 1,3_Система обогрева установлена и находится в хорошем состоянии. (ЕРЫ) - 2019-12-27</t>
  </si>
  <si>
    <t>Yes: 1,4_На обогревателях отсутствуют посторонние предметы. Одежда весит на расстоянии не менее 1 метра. (ЕРЫ) - 2019-12-27</t>
  </si>
  <si>
    <t>Yes: 1,5_Бытовые помещения оборудованы противопожарной сигнализацией. (ЕРЫ) - 2019-12-27</t>
  </si>
  <si>
    <t>Yes: 1,6_Имеется укомплектованный пожарный щит, установленные огнетушители в рабочем состоянии. (ЕРЫ) - 2019-12-27</t>
  </si>
  <si>
    <t>Yes: 1,7_В каждом бытовом вагончике установлен огнетушитель, установленные огнетушители в рабочем состоянии. (ЕРЫ) - 2019-12-27</t>
  </si>
  <si>
    <t>Yes: 1,8_Места для курения оборудованы пепельницами, огнетушителями и указательными знаками. производится регулярная уборка. (ЕРЫ) - 2019-12-27</t>
  </si>
  <si>
    <t>Yes: 1,9_Заземление бытовых вагончиков смонтировано и испытано, оформлен акт проверки состояния защитного заземления. (ЕРЫ) - 2019-12-27</t>
  </si>
  <si>
    <t>Yes: 1,10_Временная электропроводка соответствует ПТЭЭП и ПУЭ. (ЕРЫ) - 2019-12-27</t>
  </si>
  <si>
    <t>Yes: 1,11_Соблюдаются правила эксплуатации бытовых электронагревательных приборов. (ЕРЫ) - 2019-12-27</t>
  </si>
  <si>
    <t>Yes: 1,12_Электрические щиты, розетки и вилки соответствуют степени  защиты IP 54, имеется УЗО (устройство защитного отключения). (ЕРЫ) - 2019-12-27</t>
  </si>
  <si>
    <t>Yes: 1,13_Установленные светильники оборудованы защитными плафонами. (ЕРЫ) - 2019-12-27</t>
  </si>
  <si>
    <t>Yes: 1,14_Пешеходные дорожки и подходы к бытовым помещениям свободны. (ЕРЫ) - 2019-12-27</t>
  </si>
  <si>
    <t>Yes: 1,15_Имеется схема эвакуации на каждом этаже (ЕРЫ) - 2019-12-27</t>
  </si>
  <si>
    <t>Yes: 1,16_Санитарный узел имеется и в хорошем сотоянии, производится регулярная уборка (ЕРЫ) - 2019-12-27</t>
  </si>
  <si>
    <t>Yes: 2,1_На строительной технике имеется проблесковый маячок. (ЕРЫ) - 2019-12-27</t>
  </si>
  <si>
    <t>Yes: 2,2_Используемые транстпортные средства и средства механизации в хорошем состоянии.  (ЕРЫ) - 2019-12-27</t>
  </si>
  <si>
    <t>Yes: 2,3_Имеются и работают все световые приборы (фары, фонари, указатели поворота, тормозной сигнал, звуковой сигнал и фонарь заднего хода).  (ЕРЫ) - 2019-12-27</t>
  </si>
  <si>
    <t>Yes: 2,4_Имеется огетушитель и находится в испраном состоянии. (ЕРЫ) - 2019-12-27</t>
  </si>
  <si>
    <t>Yes: 2,5_Операторы и водители имеют свидетельство транспортного средства или заверенную копию (ЕРЫ) - 2019-12-27</t>
  </si>
  <si>
    <t>Yes: 2,6_Операторы и водители имеют водительское удостоверение или сертификат. (ЕРЫ) - 2019-12-27</t>
  </si>
  <si>
    <t>Yes: 2,7_В транспортных средствах, оставленых без присмотра, двигатель заглушен,  ключь зажигания удален. (ЕРЫ) - 2019-12-27</t>
  </si>
  <si>
    <t>Yes: 2,8_Сигнальщик / регулировщик находятся у мест проведения опасных работ, в местах затрудненного движения. (ЕРЫ) - 2019-12-27</t>
  </si>
  <si>
    <t>Yes: 2,9_Водителями, машинистами соблюдается скоросной режим (ЕРЫ) - 2019-12-27</t>
  </si>
  <si>
    <t>Yes: 2,10_Не используют мобитльные телефоны при движении (ЕРЫ) - 2019-12-27</t>
  </si>
  <si>
    <t>Yes: 3,1_Подъезные дороги чистые, регулярно убираются (ЕРЫ) - 2019-12-27</t>
  </si>
  <si>
    <t>Yes: 3,2_Городские дороги прилегающие к объекту не имеют повреждений от строительной техники (ЕРЫ) - 2019-12-27</t>
  </si>
  <si>
    <t>Yes: 3,3_Установлен пункт мойки колёс при выезде с объекта, он работает (ЕРЫ) - 2019-12-27</t>
  </si>
  <si>
    <t>Yes: 3,4_На прилегающей территории регулярно проводится уборка (поддерживается чистота) (ЕРЫ) - 2019-12-27</t>
  </si>
  <si>
    <t>Yes: 3,5_Установленны дорожные знаки, контролируется исправность и актуальность (ЕРЫ) - 2019-12-27</t>
  </si>
  <si>
    <t>Yes: 3,6_Пешиходные проходы безопасны и поддерживается порядок (ЕРЫ) - 2019-12-27</t>
  </si>
  <si>
    <t>Yes: 4,1_Ограждения территории объекта не имеют повреждений и обеспечивают защиту от проникновения третьих лиц (ЕРЫ) - 2019-12-27</t>
  </si>
  <si>
    <t>Yes: 4,2_Защитные ограждения зафиксированны и не имеют повреждений не обеспечивающих защитных свойств (ЕРЫ) - 2019-12-27</t>
  </si>
  <si>
    <t>Yes: 4,3_Световая сигнализация исправна. В тёмное и сумеречное время работает исправно (ЕРЫ) - 2019-12-27</t>
  </si>
  <si>
    <t>Yes: 4,4_Пешеходные зоны подсвечиваются в достаточном объёме (ЕРЫ) - 2019-12-27</t>
  </si>
  <si>
    <t>Yes: 4,5_Имеются предупреждающие, рекомендующие и предписывающие знаки (ЕРЫ) - 2019-12-27</t>
  </si>
  <si>
    <t>Евгений Рысев: Изменена дата начала на 23.12.2019</t>
  </si>
  <si>
    <t>Евгений Рысев: Изменена дата завершения на 27.12.2019</t>
  </si>
  <si>
    <t>Евгений Рысев: Заголовок изменен на инспекция бытового городка, прилегающей территории и техники</t>
  </si>
  <si>
    <t>Инспекция Бытового городка, прилегающей территории и транспортных средств</t>
  </si>
  <si>
    <t>Yes: 1,1_Бытовые помещения в хорошем состоянии. (ЕРЫ) - 2019-11-01</t>
  </si>
  <si>
    <t>Yes: 1,2_Аптечка первой помощи имеется, должным образом обозначена и укомплектована, своевременно пополняется. (ЕРЫ) - 2019-11-01</t>
  </si>
  <si>
    <t>Yes: 1,3_Система обогрева установлена и находится в хорошем состоянии. (ЕРЫ) - 2019-11-01</t>
  </si>
  <si>
    <t>Yes: 1,4_На обогревателях отсутствуют посторонние предметы. Одежда весит на расстоянии не менее 1 метра. (ЕРЫ) - 2019-11-01</t>
  </si>
  <si>
    <t>Yes: 1,5_Бытовые помещения оборудованы противопожарной сигнализацией. (ЕРЫ) - 2019-11-01</t>
  </si>
  <si>
    <t>Yes: 1,6_Имеется укомплектованный пожарный щит, установленные огнетушители в рабочем состоянии. (ЕРЫ) - 2019-11-01</t>
  </si>
  <si>
    <t>Yes: 1,7_В каждом бытовом вагончике установлен огнетушитель, установленные огнетушители в рабочем состоянии. (ЕРЫ) - 2019-11-01</t>
  </si>
  <si>
    <t>Yes: 1,8_Места для курения оборудованы пепельницами, огнетушителями и указательными знаками. производится регулярная уборка. (ЕРЫ) - 2019-11-01</t>
  </si>
  <si>
    <t>Yes: 1,9_Заземление бытовых вагончиков смонтировано и испытано, оформлен акт проверки состояния защитного заземления. (ЕРЫ) - 2019-11-01</t>
  </si>
  <si>
    <t>Yes: 1,10_Временная электропроводка соответствует ПТЭЭП и ПУЭ. (ЕРЫ) - 2019-11-01</t>
  </si>
  <si>
    <t>Yes: 1,11_Соблюдаются правила эксплуатации бытовых электронагревательных приборов. (ЕРЫ) - 2019-11-01</t>
  </si>
  <si>
    <t>Yes: 1,12_Электрические щиты, розетки и вилки соответствуют степени  защиты IP 54, имеется УЗО (устройство защитного отключения). (ЕРЫ) - 2019-11-01</t>
  </si>
  <si>
    <t>Yes: 1,13_Установленные светильники оборудованы защитными плафонами. (ЕРЫ) - 2019-11-01</t>
  </si>
  <si>
    <t>Yes: 1,14_Пешеходные дорожки и подходы к бытовым помещениям свободны. (ЕРЫ) - 2019-11-01</t>
  </si>
  <si>
    <t>Yes: 1,15_Имеется схема эвакуации на каждом этаже (ЕРЫ) - 2019-11-01</t>
  </si>
  <si>
    <t>Yes: 1,16_Санитарный узел имеется и в хорошем сотоянии, производится регулярная уборка (ЕРЫ) - 2019-11-01</t>
  </si>
  <si>
    <t>Yes: 2,1_На строительной технике имеется проблесковый маячок. (ЕРЫ) - 2019-11-01</t>
  </si>
  <si>
    <t>Yes: 2,2_Используемые транстпортные средства и средства механизации в хорошем состоянии.  (ЕРЫ) - 2019-11-01</t>
  </si>
  <si>
    <t>Yes: 2,3_Имеются и работают все световые приборы (фары, фонари, указатели поворота, тормозной сигнал, звуковой сигнал и фонарь заднего хода).  (ЕРЫ) - 2019-11-01</t>
  </si>
  <si>
    <t>Yes: 2,4_Имеется огетушитель и находится в испраном состоянии. (ЕРЫ) - 2019-11-01</t>
  </si>
  <si>
    <t>Yes: 2,5_Операторы и водители имеют свидетельство транспортного средства или заверенную копию (ЕРЫ) - 2019-11-01</t>
  </si>
  <si>
    <t>Yes: 2,6_Операторы и водители имеют водительское удостоверение или сертификат. (ЕРЫ) - 2019-11-01</t>
  </si>
  <si>
    <t>Yes: 2,7_В транспортных средствах, оставленых без присмотра, двигатель заглушен,  ключь зажигания удален. (ЕРЫ) - 2019-11-01</t>
  </si>
  <si>
    <t>Yes: 2,8_Сигнальщик / регулировщик находятся у мест проведения опасных работ, в местах затрудненного движения. (ЕРЫ) - 2019-11-01</t>
  </si>
  <si>
    <t>Yes: 2,9_Водителями, машинистами соблюдается скоросной режим (ЕРЫ) - 2019-11-01</t>
  </si>
  <si>
    <t>Yes: 2,10_Не используют мобитльные телефоны при движении (ЕРЫ) - 2019-11-01</t>
  </si>
  <si>
    <t>Yes: 3,1_Подъезные дороги чистые, регулярно убираются (ЕРЫ) - 2019-11-01</t>
  </si>
  <si>
    <t>Yes: 3,2_Городские дороги прилегающие к объекту не имеют повреждений от строительной техники (ЕРЫ) - 2019-11-01</t>
  </si>
  <si>
    <t>Yes: 3,3_Установлен пункт мойки колёс при выезде с объекта, он работает (ЕРЫ) - 2019-11-01</t>
  </si>
  <si>
    <t>Yes: 3,4_На прилегающей территории регулярно проводится уборка (поддерживается чистота) (ЕРЫ) - 2019-11-01</t>
  </si>
  <si>
    <t>Yes: 3,5_Установленны дорожные знаки, контролируется исправность и актуальность (ЕРЫ) - 2019-11-01</t>
  </si>
  <si>
    <t>Yes: 3,6_Пешиходные проходы безопасны и поддерживается порядок (ЕРЫ) - 2019-11-01</t>
  </si>
  <si>
    <t>Yes: 4,1_Ограждения территории объекта не имеют повреждений и обеспечивают защиту от проникновения третьих лиц (ЕРЫ) - 2019-11-01</t>
  </si>
  <si>
    <t>Yes: 4,2_Защитные ограждения зафиксированны и не имеют повреждений не обеспечивающих защитных свойств (ЕРЫ) - 2019-11-01</t>
  </si>
  <si>
    <t>Yes: 4,3_Световая сигнализация исправна. В тёмное и сумеречное время работает исправно (ЕРЫ) - 2019-11-01</t>
  </si>
  <si>
    <t>Yes: 4,4_Пешеходные зоны подсвечиваются в достаточном объёме (ЕРЫ) - 2019-11-01</t>
  </si>
  <si>
    <t>Yes: 4,5_Имеются предупреждающие, рекомендующие и предписывающие знаки (ЕРЫ) - 2019-11-01</t>
  </si>
  <si>
    <t>Евгений Рысев: Завершенное задание</t>
  </si>
  <si>
    <t>Евгений Рысев: Изменена дата завершения на 01.11.2019</t>
  </si>
  <si>
    <t>Евгений Рысев: Заголовок изменен на Инспекция Бытового городка и прилегающей территории</t>
  </si>
  <si>
    <t>Евгений Рысев: Заголовок изменен на Инспекция Бытового городка, прилегающей территории и транспортных средств</t>
  </si>
  <si>
    <t>ООО "Тепловые и противопожарные системы"</t>
  </si>
  <si>
    <t>от2_проверка_документаци от и тб</t>
  </si>
  <si>
    <t>Yes: 1,1_Наличие Акта-допуска (акта передачи строительной площадки). (ЕРЫ) - 2019-12-06</t>
  </si>
  <si>
    <t>Yes: 1,2_Наличие  и своевременное заполнение журналов инструктажей по ОТ и ПБ. (ЕРЫ) - 2019-12-06</t>
  </si>
  <si>
    <t>Yes: 1,3_Наличие ППР (технологической карты) на выполнение работ. (ЕРЫ) - 2019-12-06</t>
  </si>
  <si>
    <t>N/A: 1,4_Имеется договор со специализированной организацией на вывоз строительного мусора и отходов. (ЕРЫ) - 2019-12-06</t>
  </si>
  <si>
    <t>N/A: 1,5_Имеется договор на утилизацию I, II, III класса опасности. (Если образуются отходы данных классов опасности) (ЕРЫ) - 2019-12-06</t>
  </si>
  <si>
    <t>Yes: 1,6_Работники ознакомлены с ППР, имеется роспись в листе ознакомления. (ЕРЫ) - 2019-12-06</t>
  </si>
  <si>
    <t>Yes: 2,1_Назначение ответственного за безопасное производство работ (приказ). (ЕРЫ) - 2019-12-06</t>
  </si>
  <si>
    <t>Yes: 2,2_Назначение ответственного за выдачу наряда-допуска (приказ). (ЕРЫ) - 2019-12-06</t>
  </si>
  <si>
    <t>Yes: 2,3_Охрана труда (удостоверение и приказ). (ЕРЫ) - 2019-12-06</t>
  </si>
  <si>
    <t>Yes: 2,4_Пожарная безопасность (удостоверение и приказ). (ЕРЫ) - 2019-12-06</t>
  </si>
  <si>
    <t>Yes: 2,5_Электробезопасность (удостоверение  и приказ). (ЕРЫ) - 2019-12-06</t>
  </si>
  <si>
    <t>N/A: 2,6_Безопасное производство земляных работ (удостоверение  и приказ). (ЕРЫ) - 2019-12-06</t>
  </si>
  <si>
    <t>N/A: 2,7_Безопасное производство огневых и сварочных работ (удостоверение  и приказ). (ЕРЫ) - 2019-12-06</t>
  </si>
  <si>
    <t>Yes: 2,8_Безопасное производство работ на высоте (удостоверение  и приказ). (ЕРЫ) - 2019-12-06</t>
  </si>
  <si>
    <t>N/A: 2,9_Безопасная эксплуатация сосудов, работающих под давлением (удостоверение  и приказ). (ЕРЫ) - 2019-12-06</t>
  </si>
  <si>
    <t>N/A: 2,10_Безопасное производство работ подъемными сооружениями (удостоверение  и приказ). (ЕРЫ) - 2019-12-06</t>
  </si>
  <si>
    <t>Yes: 2,11_Приказ о назначении ответственного за электрохозяйство (ЕРЫ) - 2019-12-06</t>
  </si>
  <si>
    <t>Yes: 3,1_Программы инструктажа на рабочем месте (ЕРЫ) - 2019-12-06</t>
  </si>
  <si>
    <t>Yes: 3,2_Программы обучения по охране труда рабочих (ЕРЫ) - 2019-12-06</t>
  </si>
  <si>
    <t>Yes: 3,3_Протоколы проверки знаний (ЕРЫ) - 2019-12-06</t>
  </si>
  <si>
    <t>Yes: 3,4_Инструкции по охране труда и пожарной безопасности (с визой работников об ознакомлении). (ЕРЫ) - 2019-12-06</t>
  </si>
  <si>
    <t>Yes: 3,5_Наличие удостоверений по ОТ, ПБ (также по протоколам обучений) (ЕРЫ) - 2019-12-06</t>
  </si>
  <si>
    <t>Yes: 3,6_Распоряжения о проведении стажировки, допуске к самостоятельной работе (ЕРЫ) - 2019-12-06</t>
  </si>
  <si>
    <t>Yes: 3,7_Утвержденные нормы СИЗ. Личные карточки  по СИЗ (ЕРЫ) - 2019-12-06</t>
  </si>
  <si>
    <t>N/A: 3,8_Утвержденный список лиц, допущенных к работе на станках, с приспособлениями, с электро-/газосварочным инструментом (ЕРЫ) - 2019-12-06</t>
  </si>
  <si>
    <t>Yes: 3,9_План эвакуации на случай пожара или ЧС (ЕРЫ) - 2019-12-06</t>
  </si>
  <si>
    <t>Евгений Рысев: Заголовок изменен на ООО "Тепловые и противопожарные системы"</t>
  </si>
  <si>
    <t>Евгений Рысев: Изменена дата начала на 05.12.2019</t>
  </si>
  <si>
    <t>ООО "Электропроф"</t>
  </si>
  <si>
    <t>Евгений Рысев: Заголовок изменен на ООО "Электропроф"</t>
  </si>
  <si>
    <t>ООО "ШАДАКССТРОЙ" полимерный пол</t>
  </si>
  <si>
    <t>N/A: 1,1_Наличие Акта-допуска (акта передачи строительной площадки). (ЕРЫ) - 2019-11-06</t>
  </si>
  <si>
    <t>Yes: 1,2_Наличие  и своевременное заполнение журналов инструктажей по ОТ и ПБ. (ЕРЫ) - 2019-11-06</t>
  </si>
  <si>
    <t>Yes: 1,3_Наличие ППР (технологической карты) на выполнение работ. (ЕРЫ) - 2019-11-06</t>
  </si>
  <si>
    <t>N/A: 1,4_Имеется договор со специализированной организацией на вывоз строительного мусора и отходов. (ЕРЫ) - 2019-11-06</t>
  </si>
  <si>
    <t>N/A: 1,5_Имеется договор на утилизацию I, II, III класса опасности. (Если образуются отходы данных классов опасности) (ЕРЫ) - 2019-11-06</t>
  </si>
  <si>
    <t>Yes: 1,6_Работники ознакомлены с ППР, имеется роспись в листе ознакомления. (ЕРЫ) - 2019-11-06</t>
  </si>
  <si>
    <t>Yes: 2,1_Назначение ответственного за безопасное производство работ (приказ). (ЕРЫ) - 2019-11-06</t>
  </si>
  <si>
    <t>N/A: 2,2_Назначение ответственного за выдачу наряда-допуска (приказ). (ЕРЫ) - 2019-11-06</t>
  </si>
  <si>
    <t>Yes: 2,3_Охрана труда (удостоверение и приказ). (ЕРЫ) - 2019-11-06</t>
  </si>
  <si>
    <t>Yes: 2,4_Пожарная безопасность (удостоверение и приказ). (ЕРЫ) - 2019-11-06</t>
  </si>
  <si>
    <t>Yes: 2,5_Электробезопасность (удостоверение  и приказ). (ЕРЫ) - 2019-11-06</t>
  </si>
  <si>
    <t>N/A: 2,6_Безопасное производство земляных работ (удостоверение  и приказ). (ЕРЫ) - 2019-11-06</t>
  </si>
  <si>
    <t>N/A: 2,7_Безопасное производство огневых и сварочных работ (удостоверение  и приказ). (ЕРЫ) - 2019-11-06</t>
  </si>
  <si>
    <t>Yes: 2,8_Безопасное производство работ на высоте (удостоверение  и приказ). (ЕРЫ) - 2019-11-06</t>
  </si>
  <si>
    <t>N/A: 2,9_Безопасная эксплуатация сосудов, работающих под давлением (удостоверение  и приказ). (ЕРЫ) - 2019-11-06</t>
  </si>
  <si>
    <t>N/A: 2,10_Безопасное производство работ подъемными сооружениями (удостоверение  и приказ). (ЕРЫ) - 2019-11-06</t>
  </si>
  <si>
    <t>Yes: 2,11_Приказ о назначении ответственного за электрохозяйство (ЕРЫ) - 2019-11-06</t>
  </si>
  <si>
    <t>Yes: 3,1_Программы инструктажа на рабочем месте (ЕРЫ) - 2019-11-06</t>
  </si>
  <si>
    <t>Yes: 3,2_Программы обучения по охране труда рабочих (ЕРЫ) - 2019-11-06</t>
  </si>
  <si>
    <t>Yes: 3,3_Протоколы проверки знаний (ЕРЫ) - 2019-11-06</t>
  </si>
  <si>
    <t>Yes: 3,4_Инструкции по охране труда и пожарной безопасности (с визой работников об ознакомлении). (ЕРЫ) - 2019-11-06</t>
  </si>
  <si>
    <t>Yes: 3,5_Наличие удостоверений по ОТ, ПБ (также по протоколам обучений) (ЕРЫ) - 2019-11-06</t>
  </si>
  <si>
    <t>Yes: 3,6_Распоряжения о проведении стажировки, допуске к самостоятельной работе (ЕРЫ) - 2019-11-06</t>
  </si>
  <si>
    <t>Yes: 3,7_Утвержденные нормы СИЗ. Личные карточки  по СИЗ (ЕРЫ) - 2019-11-06</t>
  </si>
  <si>
    <t>N/A: 3,8_Утвержденный список лиц, допущенных к работе на станках, с приспособлениями, с электро-/газосварочным инструментом (ЕРЫ) - 2019-11-06</t>
  </si>
  <si>
    <t>Yes: 3,9_План эвакуации на случай пожара или ЧС (ЕРЫ) - 2019-11-06</t>
  </si>
  <si>
    <t>Евгений Рысев: Заголовок изменен на ООО "ШАДАКССТРОЙ" полимерный пол</t>
  </si>
  <si>
    <t>Евгений Рысев: Изменена дата завершения на 12.11.2019</t>
  </si>
  <si>
    <t>Евгений Рысев: Изменена дата начала на 05.11.2019</t>
  </si>
  <si>
    <t>Евгений Рысев: Изменена дата завершения на 19.11.2019</t>
  </si>
  <si>
    <t>Инспекция строительной площадки по соблюдению норм ОТ, ТБ, ПБ и ООС</t>
  </si>
  <si>
    <t>Yes: 1,1_Защитные каски (ЕРЫ) - 2019-11-08</t>
  </si>
  <si>
    <t>Yes: 1,2_Спецодежда и спецобувь (ЕРЫ) - 2019-11-08</t>
  </si>
  <si>
    <t>Yes: 1,3_Защитные очки (ЕРЫ) - 2019-11-08</t>
  </si>
  <si>
    <t>Yes: 1,4_Защитный щиток. (ЕРЫ) - 2019-11-08</t>
  </si>
  <si>
    <t>Yes: 1,5_Костюм сварщика. (ЕРЫ) - 2019-11-08</t>
  </si>
  <si>
    <t>Yes: 1,6_Сварочный щиток. (ЕРЫ) - 2019-11-08</t>
  </si>
  <si>
    <t>N/A: 1,7_Защитные очки газорезчика. (ЕРЫ) - 2019-11-08</t>
  </si>
  <si>
    <t>Yes: 1,8_Предохранительные лямочные пояса. (ЕРЫ) - 2019-11-08</t>
  </si>
  <si>
    <t>Yes: 1,9_Перчатки, рукавицы. (ЕРЫ) - 2019-11-08</t>
  </si>
  <si>
    <t>Yes: 2,1_Сигнальный жилет. (ЕРЫ) - 2019-11-08</t>
  </si>
  <si>
    <t>Yes: 1,10_Средства защиты органов дыхания. (ЕРЫ) - 2019-11-08</t>
  </si>
  <si>
    <t>Yes: 1,11_Средства защиты органов слуха. (ЕРЫ) - 2019-11-08</t>
  </si>
  <si>
    <t>Yes: 2,1_Строительная площадка и рабочие места имеют достаточное освещение. (ЕРЫ) - 2019-11-08</t>
  </si>
  <si>
    <t>Yes: 2,2_Рабочие участки чистые, не захламлены строительным мусором. Выполняется периодическая уборка. (ЕРЫ) - 2019-11-08</t>
  </si>
  <si>
    <t>Yes: 2,3_Пешеходные дорожки, проходы и подходы к лестницам свободны. (ЕРЫ) - 2019-11-08</t>
  </si>
  <si>
    <t>Yes: 2,4_Материалы и оборудование складированы должным образом. (ЕРЫ) - 2019-11-08</t>
  </si>
  <si>
    <t>Yes: 2,5_Имеется укомплектованный пожарный щит, установленные огнетушители в рабочем состоянии. (ЕРЫ) - 2019-11-08</t>
  </si>
  <si>
    <t>Yes: 2,6_Электропровода, шланги, сварочные провода и т.д. подняты во избежание случайных спотыканий. (ЕРЫ) - 2019-11-08</t>
  </si>
  <si>
    <t>Yes: 2,7_В отходах пиломатериалов нет торчащих гвоздей или др. опасных элементов, которые могут привести к проколам. (ЕРЫ) - 2019-11-08</t>
  </si>
  <si>
    <t>Yes: 2,8_Места для курения оборудованы пепельницами, огнетушителями и указательными знаками. (ЕРЫ) - 2019-11-08</t>
  </si>
  <si>
    <t>Yes: 3,1_Работники обучены и имеют соответствующие удостоверения для выполнения работ на высоте. (ЕРЫ) - 2019-11-08</t>
  </si>
  <si>
    <t>Yes: 3,2_Имеется безопасный доступ к рабочим местам на высоте. (ЕРЫ) - 2019-11-08</t>
  </si>
  <si>
    <t>Yes: 3,3_В местах перепадов высоты имеются страховоные ограждения. Ограждение соответствует требованиям безопасности. (ЕРЫ) - 2019-11-08</t>
  </si>
  <si>
    <t>Yes: 3,4_Проёмы закрыты в соответствии требованиями безопасности (проёмы закрыты полностью, щиты закреплены и промаркированы надписью "Не снимать!"). (ЕРЫ) - 2019-11-08</t>
  </si>
  <si>
    <t>Yes: 3,5_Работники используют предохранительные лямочные пояса. (ЕРЫ) - 2019-11-08</t>
  </si>
  <si>
    <t>Yes: 3,6_Предохранительные лямочные пояса в хорошем состоянии и испытаны. (ЕРЫ) - 2019-11-08</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</si>
  <si>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- 2019-11-08</t>
  </si>
  <si>
    <t>Yes: 3,8_Страховочные фалы правильно закреплены. (ЕРЫ) - 2019-11-08</t>
  </si>
  <si>
    <t>Yes: 3,9_Используются инвентарные средства подмащивания. (ЕРЫ) - 2019-11-08</t>
  </si>
  <si>
    <t>Yes: 3,10_Страховочные канаты установлены в соответствии с требованиями безопасности. (ЕРЫ) - 2019-11-08</t>
  </si>
  <si>
    <t>N/A: 3,11_Индивидуальные блокирующие устройства эксплуатируются в соответствии с требованиями завода-изготовителя. (ЕРЫ) - 2019-11-08</t>
  </si>
  <si>
    <t>Yes: 4,1_Сборка строительных лесов выполнена в соответствии с паспортом (инструкцией) завода-изготовителя. (ЕРЫ) - 2019-11-08</t>
  </si>
  <si>
    <t>Yes: 4,2_Строительные леса соответствуют виду выполняемых работ. (ЕРЫ) - 2019-11-08</t>
  </si>
  <si>
    <t>N/A: 4,3_Строительные леса заземлены (при необходимости). (ЕРЫ) - 2019-11-08</t>
  </si>
  <si>
    <t>Yes: 4,4_Строительные леса приняты лицом, назначенным ответственным за безопасную организацию работ на высоте. (ЕРЫ) - 2019-11-08</t>
  </si>
  <si>
    <t>Yes: 4,5_Настилы лесов, доски, площадки сбиты между собой, закреплены от сдвига и безопасны. (ЕРЫ) - 2019-11-08</t>
  </si>
  <si>
    <t>Yes: 4,6_При установке строительных лесов на грунт, основание подготовлено и спланировано. Имеются подкладки под опоры. (ЕРЫ) - 2019-11-08</t>
  </si>
  <si>
    <t>Yes: 4,7_Лестницы в хорошем состоянии, не имеют видимых повреждений и осматриваются ответственным исполнителем работ. (ЕРЫ) - 2019-11-08</t>
  </si>
  <si>
    <t>Yes: 4,8_Применяемый тип лестниц соответствует выполняемой работе, лестница правильно закреплена. (ЕРЫ) - 2019-11-08</t>
  </si>
  <si>
    <t>N/A: 4,9_Лестница правильно установлена (угол наклона 75 градусов, лестница выступает минимум на 1 метр выше места подъема). (ЕРЫ) - 2019-11-08</t>
  </si>
  <si>
    <t>Yes: 5,1_Электротехнический персонал прошел обучение, аттестацию и имеет удостоверение с соответствующей группой по электробезопасости. (ЕРЫ) - 2019-11-08</t>
  </si>
  <si>
    <t>N/A: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- 2019-11-08</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</si>
  <si>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- 2019-11-08</t>
  </si>
  <si>
    <t>Yes: 5,4_Электрические щиты, удлинители, розетки и вилки соответствуют степени  защиты IP 54. (ЕРЫ) - 2019-11-08</t>
  </si>
  <si>
    <t>Yes: 5,5_Электрические щиты оборудованы запирающими устройствами, УЗО (устройством защитного отключения). (ЕРЫ) - 2019-11-08</t>
  </si>
  <si>
    <t>Yes: 6,1_Все применяемое грузоподъемное оборудование имеет Паспорт завода-изготовителя и поставлено на учер в органах Ростехнадзора. (ЕРЫ) - 2019-11-08</t>
  </si>
  <si>
    <t>Yes: 6,2_Грузоподъемное оборудование (подъемные сооружения) в хорошем состоянии. Прыборы и устройства безопасности установлены  (ЕРЫ) - 2019-11-08</t>
  </si>
  <si>
    <t>Yes: 6,3_Используемое оборудование регулярно проходит ПТО И ЧТО (полное  и частичное техническое освидетельствование) с записью в паспорте. (ЕРЫ) - 2019-11-08</t>
  </si>
  <si>
    <t>Yes: 6,4_Вахтенный журнал находится у машиниста (оператора) и заполняется своевременно. (ЕРЫ) - 2019-11-08</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</si>
  <si>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- 2019-11-08</t>
  </si>
  <si>
    <t>Yes: 6,6_Устнановка г/п оборудования соответствует требованиям нормативных документов и указаниям заавода-изготовителя. (ЕРЫ) - 2019-11-08</t>
  </si>
  <si>
    <t>N/A: 6,7_Имеется наряд-допуск, при установке г/п оборудования вблизи ЛЭП. (ЕРЫ) - 2019-11-08</t>
  </si>
  <si>
    <t>Yes: 6,8_Зона работы подъемных сооружений ограждена сигнальной лентой. Посторонние работники удалены из опасной зоны. (ЕРЫ) - 2019-11-08</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</si>
  <si>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- 2019-11-08</t>
  </si>
  <si>
    <t>Yes: 6,10_Схемы строповки соответствуют поднимаемым грузам. (ЕРЫ) - 2019-11-08</t>
  </si>
  <si>
    <t>Yes: 6,11_Используются крючья и оттяжки. (ЕРЫ) - 2019-11-08</t>
  </si>
  <si>
    <t>Yes: 7,1_Электросварщики имеют соответствующее удостоверение и группу по электробезопасности не ниже II. (ЕРЫ) - 2019-11-08</t>
  </si>
  <si>
    <t>Yes: 7,2_Рабочее место подготовлено (в зоне разлета искр отсутствуют горючие материалы). (ЕРЫ) - 2019-11-08</t>
  </si>
  <si>
    <t>Yes: 7,3_Имеется защитный экран в месте проведения работ. (ЕРЫ) - 2019-11-08</t>
  </si>
  <si>
    <t>Yes: 7,4_В непосредственной близости от места работы имеется огнетушитель. (ЕРЫ) - 2019-11-08</t>
  </si>
  <si>
    <t>Yes: 7,5_Сварочное оборудование в хорошем состоянии. Держатель электродов и зажим обратного провода заводского изготовления. (ЕРЫ) - 2019-11-08</t>
  </si>
  <si>
    <t>Yes: 7,6_Сварочные провода не имеют повреждений изоляции и следов временного ремонта. (ЕРЫ) - 2019-11-08</t>
  </si>
  <si>
    <t>Yes: 7,7_Корпус сварочного аппарата имеет видемое заземление (если требует завод-изготовитель). (ЕРЫ) - 2019-11-08</t>
  </si>
  <si>
    <t>Yes: 8,1_Газовые баллоны хранятся должным образом, имеются склады для баллонов.   (ЕРЫ) - 2019-11-08</t>
  </si>
  <si>
    <t>Yes: 8,2_На складах имеются соответствующие знаки безопасности. (ЕРЫ) - 2019-11-08</t>
  </si>
  <si>
    <t>Yes: 8,3_Баллоны хранятся раздельно и закреплены цепью в местах хранения. (ЕРЫ) - 2019-11-08</t>
  </si>
  <si>
    <t>Yes: 8,4_Рядом со складами находятся огнетушители. (ЕРЫ) - 2019-11-08</t>
  </si>
  <si>
    <t>Yes: 8,5_Газобаллонное оборудование в хорошем состоянии (редуктор, манометр, резак, горелка, шланги, хомуты и т.д.). (ЕРЫ) - 2019-11-08</t>
  </si>
  <si>
    <t>Yes: 8,6_На газоиспользующем оборудовании установлены пламегасители. (ЕРЫ) - 2019-11-08</t>
  </si>
  <si>
    <t>Yes: 8,7_Во время работы, расстояние между баллонами минимум 5 метров. Баллоны находятся в вертикальном положении и закреплены. (ЕРЫ) - 2019-11-08</t>
  </si>
  <si>
    <t>Yes: 8,8_Во время работы, баллоны защищены от прямых солнечных лучей и осадков. (ЕРЫ) - 2019-11-08</t>
  </si>
  <si>
    <t>Yes: 8,9_Газорезчик имеет соответствующие удостоверения (например транспортировка баллонов, удостоверение газорезчика). (ЕРЫ) - 2019-11-08</t>
  </si>
  <si>
    <t>Yes: 8,10_В непосредственной близости от места работы имеется огнетушитель. (ЕРЫ) - 2019-11-08</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</si>
  <si>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- 2019-11-08</t>
  </si>
  <si>
    <t>Yes: 9,2_Электроинструменты используются по назначению и соответствуют виду выполняемой работы (ЕРЫ) - 2019-11-08</t>
  </si>
  <si>
    <t>Yes: 9,3_При перерывах в работе электроинструмент отключен от электросети. (ЕРЫ) - 2019-11-08</t>
  </si>
  <si>
    <t>Yes: 9,4_Электроинструменты переносятся и доставляются должным образом (запрещено переносить электроинструмент за провод). (ЕРЫ) - 2019-11-08</t>
  </si>
  <si>
    <t>Yes: 9,5_Рукоятки ручного инструмента в хорошем состоянии, например молоток, топор прочно насажены на рукоять . (ЕРЫ) - 2019-11-08</t>
  </si>
  <si>
    <t>Yes: 9,6_Ручной инструмент в хорошем состоянии, например ударная часть молотка, губки рожковых и разводных ключей, шестигранники и т.д. (ЕРЫ) - 2019-11-08</t>
  </si>
  <si>
    <t>Yes: 9,7_Соединения пневматических и гидравлических шлангов выполнены должным образом. (ЕРЫ) - 2019-11-08</t>
  </si>
  <si>
    <t>Yes: 10,1_Имеются специальные места для хранения опасных отходов I, II, III классов опасности.  (ЕРЫ) - 2019-11-08</t>
  </si>
  <si>
    <t>Yes: 10,2_Строительный отходы IV, V классов опасности складируются в определенном месте, используются специальные мусорные контейнеры. (ЕРЫ) - 2019-11-08</t>
  </si>
  <si>
    <t>Yes: 10,3_Строительный мусор и бытовые отходы складируются отдельно. (ЕРЫ) - 2019-11-08</t>
  </si>
  <si>
    <t>Yes: 10,4_Используются специальные ёмкости для ГСМ, например канистры, бочки и т.д. (ЕРЫ) - 2019-11-08</t>
  </si>
  <si>
    <t>Yes: 10,5_Загрязнение окружающей среды предотвращается должным образом, например, правильным складированием, быстрым реагированием на утечку. (ЕРЫ) - 2019-11-08</t>
  </si>
  <si>
    <t>N/A: 11,1_Зона электропрогрева ограждена защитным ограждением или сигнальной лентой. (ЕРЫ) - 2019-11-08</t>
  </si>
  <si>
    <t>N/A: 11,2_У проводов электропрогрева отсутствуют повреждения изоляции, провода не лежат на грунте или перекрытиях. (ЕРЫ) - 2019-11-08</t>
  </si>
  <si>
    <t>N/A: 11,3_Имеется световая сигнализация и знаки безопасности. (ЕРЫ) - 2019-11-08</t>
  </si>
  <si>
    <t>N/A: 11,4_Открытая (незабетонированная) арматура железобетонных конструкций, связанная с участком, находящимся под электропрогревом, заземлена (занулена). (ЕРЫ) - 2019-11-08</t>
  </si>
  <si>
    <t>Yes: 12,1_Наряд-допус оформлен, внесенные данные соответствуют действительности. Проведены необходимые инструктажи. (ЕРЫ) - 2019-11-08</t>
  </si>
  <si>
    <t>N/A: 12,2_Имеется газоанализатор с действующим свидетельством о прохождении аттестации. (ЕРЫ) - 2019-11-08</t>
  </si>
  <si>
    <t>N/A: 12,3_Произведен замер воздушной среды. (ЕРЫ) - 2019-11-08</t>
  </si>
  <si>
    <t>Yes: 12,4_Количество работников не менее трех человек (при условии нахождения двух работников вне замкнутого пространства). (ЕРЫ) - 2019-11-08</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</si>
  <si>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- 2019-11-08</t>
  </si>
  <si>
    <t>N/A: 12,6_Напряжение используемое для освещения не более 36 Вольт. Понижающий трансформатор находится вне замкнутого пространства. (ЕРЫ) - 2019-11-08</t>
  </si>
  <si>
    <t>N/A: 12,7_Сварочный аппарат или газовые баллоны находятся снаружи. (ЕРЫ) - 2019-11-08</t>
  </si>
  <si>
    <t>N/A: 12,8_В непосредственной близости от места работы имеется огнетушитель. (ЕРЫ) - 2019-11-08</t>
  </si>
  <si>
    <t>Yes: 12,9_ При использовании ручного электроинструмента или сварочного аппарата металлические конструкции заземлены. (ЕРЫ) - 2019-11-08</t>
  </si>
  <si>
    <t>Yes: 12,10_Имеется приточная вентиляция (при необходимости). (ЕРЫ) - 2019-11-08</t>
  </si>
  <si>
    <t>Евгений Рысев: Изменена дата начала на 06.11.2019</t>
  </si>
  <si>
    <t>Евгений Рысев: Изменена дата завершения на 08.11.2019</t>
  </si>
  <si>
    <t>Евгений Рысев: Изменена дата завершения на 11.11.2019</t>
  </si>
  <si>
    <t>Евгений Рысев: Заголовок изменен на Обход строительной площадки по соблюдению норм ОТ, ТБ, ПБ и ООС</t>
  </si>
  <si>
    <t>Евгений Рысев: Заголовок изменен на Инспекция строительной площадки по соблюдению норм ОТ, ТБ, ПБ и ООС</t>
  </si>
  <si>
    <t>Инспекция бытового городка, прилегающей территории и транспортных средств</t>
  </si>
  <si>
    <t>Yes: 1,1_Бытовые помещения в хорошем состоянии. (ЕРЫ) - 2019-12-10</t>
  </si>
  <si>
    <t>Yes: 1,2_Аптечка первой помощи имеется, должным образом обозначена и укомплектована, своевременно пополняется. (ЕРЫ) - 2019-12-10</t>
  </si>
  <si>
    <t>Yes: 1,3_Система обогрева установлена и находится в хорошем состоянии. (ЕРЫ) - 2019-12-10</t>
  </si>
  <si>
    <t>Yes: 1,4_На обогревателях отсутствуют посторонние предметы. Одежда весит на расстоянии не менее 1 метра. (ЕРЫ) - 2019-12-10</t>
  </si>
  <si>
    <t>No: 1,5_Бытовые помещения оборудованы противопожарной сигнализацией. (ЕРЫ) - 2019-12-10</t>
  </si>
  <si>
    <t>Yes: 1,6_Имеется укомплектованный пожарный щит, установленные огнетушители в рабочем состоянии. (ЕРЫ) - 2019-12-10</t>
  </si>
  <si>
    <t>Yes: 1,7_В каждом бытовом вагончике установлен огнетушитель, установленные огнетушители в рабочем состоянии. (ЕРЫ) - 2019-12-10</t>
  </si>
  <si>
    <t>Yes: 1,8_Места для курения оборудованы пепельницами, огнетушителями и указательными знаками. производится регулярная уборка. (ЕРЫ) - 2019-12-10</t>
  </si>
  <si>
    <t>Yes: 1,9_Заземление бытовых вагончиков смонтировано и испытано, оформлен акт проверки состояния защитного заземления. (ЕРЫ) - 2019-12-10</t>
  </si>
  <si>
    <t>Yes: 1,10_Временная электропроводка соответствует ПТЭЭП и ПУЭ. (ЕРЫ) - 2019-12-10</t>
  </si>
  <si>
    <t>Yes: 1,11_Соблюдаются правила эксплуатации бытовых электронагревательных приборов. (ЕРЫ) - 2019-12-10</t>
  </si>
  <si>
    <t>Yes: 1,12_Электрические щиты, розетки и вилки соответствуют степени  защиты IP 54, имеется УЗО (устройство защитного отключения). (ЕРЫ) - 2019-12-10</t>
  </si>
  <si>
    <t>Yes: 1,13_Установленные светильники оборудованы защитными плафонами. (ЕРЫ) - 2019-12-10</t>
  </si>
  <si>
    <t>Yes: 1,14_Пешеходные дорожки и подходы к бытовым помещениям свободны. (ЕРЫ) - 2019-12-10</t>
  </si>
  <si>
    <t>Yes: 1,15_Имеется схема эвакуации на каждом этаже (ЕРЫ) - 2019-12-10</t>
  </si>
  <si>
    <t>Yes: 1,16_Санитарный узел имеется и в хорошем сотоянии, производится регулярная уборка (ЕРЫ) - 2019-12-10</t>
  </si>
  <si>
    <t>Yes: 2,1_На строительной технике имеется проблесковый маячок. (ЕРЫ) - 2019-12-10</t>
  </si>
  <si>
    <t>Yes: 2,2_Используемые транстпортные средства и средства механизации в хорошем состоянии.  (ЕРЫ) - 2019-12-10</t>
  </si>
  <si>
    <t>Yes: 2,3_Имеются и работают все световые приборы (фары, фонари, указатели поворота, тормозной сигнал, звуковой сигнал и фонарь заднего хода).  (ЕРЫ) - 2019-12-10</t>
  </si>
  <si>
    <t>Yes: 2,4_Имеется огетушитель и находится в испраном состоянии. (ЕРЫ) - 2019-12-10</t>
  </si>
  <si>
    <t>Yes: 2,5_Операторы и водители имеют свидетельство транспортного средства или заверенную копию (ЕРЫ) - 2019-12-10</t>
  </si>
  <si>
    <t>Yes: 2,6_Операторы и водители имеют водительское удостоверение или сертификат. (ЕРЫ) - 2019-12-10</t>
  </si>
  <si>
    <t>Yes: 2,7_В транспортных средствах, оставленых без присмотра, двигатель заглушен,  ключь зажигания удален. (ЕРЫ) - 2019-12-10</t>
  </si>
  <si>
    <t>Yes: 2,8_Сигнальщик / регулировщик находятся у мест проведения опасных работ, в местах затрудненного движения. (ЕРЫ) - 2019-12-10</t>
  </si>
  <si>
    <t>Yes: 2,9_Водителями, машинистами соблюдается скоросной режим (ЕРЫ) - 2019-12-10</t>
  </si>
  <si>
    <t>Yes: 2,10_Не используют мобитльные телефоны при движении (ЕРЫ) - 2019-12-10</t>
  </si>
  <si>
    <t>Yes: 3,1_Подъезные дороги чистые, регулярно убираются (ЕРЫ) - 2019-12-10</t>
  </si>
  <si>
    <t>Yes: 3,2_Городские дороги прилегающие к объекту не имеют повреждений от строительной техники (ЕРЫ) - 2019-12-10</t>
  </si>
  <si>
    <t>Yes: 3,3_Установлен пункт мойки колёс при выезде с объекта, он работает (ЕРЫ) - 2019-12-10</t>
  </si>
  <si>
    <t>Yes: 3,4_На прилегающей территории регулярно проводится уборка (поддерживается чистота) (ЕРЫ) - 2019-12-10</t>
  </si>
  <si>
    <t>Yes: 3,5_Установленны дорожные знаки, контролируется исправность и актуальность (ЕРЫ) - 2019-12-10</t>
  </si>
  <si>
    <t>Yes: 3,6_Пешиходные проходы безопасны и поддерживается порядок (ЕРЫ) - 2019-12-10</t>
  </si>
  <si>
    <t>Yes: 4,1_Ограждения территории объекта не имеют повреждений и обеспечивают защиту от проникновения третьих лиц (ЕРЫ) - 2019-12-10</t>
  </si>
  <si>
    <t>Yes: 4,2_Защитные ограждения зафиксированны и не имеют повреждений не обеспечивающих защитных свойств (ЕРЫ) - 2019-12-10</t>
  </si>
  <si>
    <t>Yes: 4,3_Световая сигнализация исправна. В тёмное и сумеречное время работает исправно (ЕРЫ) - 2019-12-10</t>
  </si>
  <si>
    <t>Yes: 4,4_Пешеходные зоны подсвечиваются в достаточном объёме (ЕРЫ) - 2019-12-10</t>
  </si>
  <si>
    <t>Yes: 4,5_Имеются предупреждающие, рекомендующие и предписывающие знаки (ЕРЫ) - 2019-12-10</t>
  </si>
  <si>
    <t>Евгений Рысев: Изменена дата начала на 09.12.2019</t>
  </si>
  <si>
    <t>Евгений Рысев: Изменена дата завершения на 14.12.2019</t>
  </si>
  <si>
    <t>Евгений Рысев: Заголовок изменен на Инспекция бытового городка, прилегающей территории и транспортных средств</t>
  </si>
  <si>
    <t>Инспекция бытового городка, прилегающей территории.</t>
  </si>
  <si>
    <t>Yes: 1,1_Бытовые помещения в хорошем состоянии. (ЕРЫ) - 2019-11-11</t>
  </si>
  <si>
    <t>Yes: 1,2_Аптечка первой помощи имеется, должным образом обозначена и укомплектована, своевременно пополняется. (ЕРЫ) - 2019-11-11</t>
  </si>
  <si>
    <t>Yes: 1,3_Система обогрева установлена и находится в хорошем состоянии. (ЕРЫ) - 2019-11-11</t>
  </si>
  <si>
    <t>Yes: 1,4_На обогревателях отсутствуют посторонние предметы. Одежда весит на расстоянии не менее 1 метра. (ЕРЫ) - 2019-11-11</t>
  </si>
  <si>
    <t>Yes: 1,5_Бытовые помещения оборудованы противопожарной сигнализацией. (ЕРЫ) - 2019-11-11</t>
  </si>
  <si>
    <t>Yes: 1,6_Имеется укомплектованный пожарный щит, установленные огнетушители в рабочем состоянии. (ЕРЫ) - 2019-11-11</t>
  </si>
  <si>
    <t>Yes: 1,7_В каждом бытовом вагончике установлен огнетушитель, установленные огнетушители в рабочем состоянии. (ЕРЫ) - 2019-11-11</t>
  </si>
  <si>
    <t>Yes: 1,8_Места для курения оборудованы пепельницами, огнетушителями и указательными знаками. производится регулярная уборка. (ЕРЫ) - 2019-11-11</t>
  </si>
  <si>
    <t>Yes: 1,9_Заземление бытовых вагончиков смонтировано и испытано, оформлен акт проверки состояния защитного заземления. (ЕРЫ) - 2019-11-11</t>
  </si>
  <si>
    <t>Yes: 1,10_Временная электропроводка соответствует ПТЭЭП и ПУЭ. (ЕРЫ) - 2019-11-11</t>
  </si>
  <si>
    <t>Yes: 1,11_Соблюдаются правила эксплуатации бытовых электронагревательных приборов. (ЕРЫ) - 2019-11-11</t>
  </si>
  <si>
    <t>Yes: 1,12_Электрические щиты, розетки и вилки соответствуют степени  защиты IP 54, имеется УЗО (устройство защитного отключения). (ЕРЫ) - 2019-11-11</t>
  </si>
  <si>
    <t>Yes: 1,13_Установленные светильники оборудованы защитными плафонами. (ЕРЫ) - 2019-11-11</t>
  </si>
  <si>
    <t>Yes: 1,14_Пешеходные дорожки и подходы к бытовым помещениям свободны. (ЕРЫ) - 2019-11-11</t>
  </si>
  <si>
    <t>Yes: 1,15_Имеется схема эвакуации на каждом этаже (ЕРЫ) - 2019-11-11</t>
  </si>
  <si>
    <t>Yes: 1,16_Санитарный узел имеется и в хорошем сотоянии, производится регулярная уборка (ЕРЫ) - 2019-11-11</t>
  </si>
  <si>
    <t>Yes: 2,1_На строительной технике имеется проблесковый маячок. (ЕРЫ) - 2019-11-11</t>
  </si>
  <si>
    <t>Yes: 2,2_Используемые транстпортные средства и средства механизации в хорошем состоянии.  (ЕРЫ) - 2019-11-11</t>
  </si>
  <si>
    <t>Yes: 2,3_Имеются и работают все световые приборы (фары, фонари, указатели поворота, тормозной сигнал, звуковой сигнал и фонарь заднего хода).  (ЕРЫ) - 2019-11-11</t>
  </si>
  <si>
    <t>Yes: 2,4_Имеется огетушитель и находится в испраном состоянии. (ЕРЫ) - 2019-11-11</t>
  </si>
  <si>
    <t>Yes: 2,5_Операторы и водители имеют свидетельство транспортного средства или заверенную копию (ЕРЫ) - 2019-11-11</t>
  </si>
  <si>
    <t>Yes: 2,6_Операторы и водители имеют водительское удостоверение или сертификат. (ЕРЫ) - 2019-11-11</t>
  </si>
  <si>
    <t>Yes: 2,7_В транспортных средствах, оставленых без присмотра, двигатель заглушен,  ключь зажигания удален. (ЕРЫ) - 2019-11-11</t>
  </si>
  <si>
    <t>Yes: 2,8_Сигнальщик / регулировщик находятся у мест проведения опасных работ, в местах затрудненного движения. (ЕРЫ) - 2019-11-11</t>
  </si>
  <si>
    <t>Yes: 2,9_Водителями, машинистами соблюдается скоросной режим (ЕРЫ) - 2019-11-11</t>
  </si>
  <si>
    <t>Yes: 2,10_Не используют мобитльные телефоны при движении (ЕРЫ) - 2019-11-11</t>
  </si>
  <si>
    <t>Yes: 3,1_Подъезные дороги чистые, регулярно убираются (ЕРЫ) - 2019-11-11</t>
  </si>
  <si>
    <t>Yes: 3,2_Городские дороги прилегающие к объекту не имеют повреждений от строительной техники (ЕРЫ) - 2019-11-11</t>
  </si>
  <si>
    <t>Yes: 3,3_Установлен пункт мойки колёс при выезде с объекта, он работает (ЕРЫ) - 2019-11-11</t>
  </si>
  <si>
    <t>Yes: 3,4_На прилегающей территории регулярно проводится уборка (поддерживается чистота) (ЕРЫ) - 2019-11-11</t>
  </si>
  <si>
    <t>Yes: 3,5_Установленны дорожные знаки, контролируется исправность и актуальность (ЕРЫ) - 2019-11-11</t>
  </si>
  <si>
    <t>Yes: 3,6_Пешиходные проходы безопасны и поддерживается порядок (ЕРЫ) - 2019-11-11</t>
  </si>
  <si>
    <t>Yes: 4,1_Ограждения территории объекта не имеют повреждений и обеспечивают защиту от проникновения третьих лиц (ЕРЫ) - 2019-11-11</t>
  </si>
  <si>
    <t>Yes: 4,2_Защитные ограждения зафиксированны и не имеют повреждений не обеспечивающих защитных свойств (ЕРЫ) - 2019-11-11</t>
  </si>
  <si>
    <t>Yes: 4,3_Световая сигнализация исправна. В тёмное и сумеречное время работает исправно (ЕРЫ) - 2019-11-11</t>
  </si>
  <si>
    <t>Yes: 4,4_Пешеходные зоны подсвечиваются в достаточном объёме (ЕРЫ) - 2019-11-11</t>
  </si>
  <si>
    <t>Yes: 4,5_Имеются предупреждающие, рекомендующие и предписывающие знаки (ЕРЫ) - 2019-11-11</t>
  </si>
  <si>
    <t>Евгений Рысев: Заголовок изменен на Инспекция бытового городка, прилегающей территории.</t>
  </si>
  <si>
    <t>Евгений Рысев: Изменена дата начала на 11.11.2019</t>
  </si>
  <si>
    <t>Евгений Рысев: Изменена дата завершения на 15.11.2019</t>
  </si>
  <si>
    <t>No: 1,1_Защитные каски (ЕРЫ) - 2019-11-13</t>
  </si>
  <si>
    <t>Yes: 1,2_Спецодежда и спецобувь (ЕРЫ) - 2019-11-13</t>
  </si>
  <si>
    <t>No: 1,3_Защитные очки (ЕРЫ) - 2019-11-13</t>
  </si>
  <si>
    <t>Yes: 1,4_Защитный щиток. (ЕРЫ) - 2019-11-13</t>
  </si>
  <si>
    <t>Yes: 1,5_Костюм сварщика. (ЕРЫ) - 2019-11-13</t>
  </si>
  <si>
    <t>Yes: 1,6_Сварочный щиток. (ЕРЫ) - 2019-11-13</t>
  </si>
  <si>
    <t>N/A: 1,7_Защитные очки газорезчика. (ЕРЫ) - 2019-11-13</t>
  </si>
  <si>
    <t>No: 1,8_Предохранительные лямочные пояса. (ЕРЫ) - 2019-11-13</t>
  </si>
  <si>
    <t>Yes: 1,9_Перчатки, рукавицы. (ЕРЫ) - 2019-11-13</t>
  </si>
  <si>
    <t>Yes: 2,1_Сигнальный жилет. (ЕРЫ) - 2019-11-13</t>
  </si>
  <si>
    <t>No: 1,10_Средства защиты органов дыхания. (ЕРЫ) - 2019-11-13</t>
  </si>
  <si>
    <t>Yes: 1,11_Средства защиты органов слуха. (ЕРЫ) - 2019-11-13</t>
  </si>
  <si>
    <t>Yes: 2,1_Строительная площадка и рабочие места имеют достаточное освещение. (ЕРЫ) - 2019-11-13</t>
  </si>
  <si>
    <t>Yes: 2,2_Рабочие участки чистые, не захламлены строительным мусором. Выполняется периодическая уборка. (ЕРЫ) - 2019-11-13</t>
  </si>
  <si>
    <t>Yes: 2,3_Пешеходные дорожки, проходы и подходы к лестницам свободны. (ЕРЫ) - 2019-11-13</t>
  </si>
  <si>
    <t>Yes: 2,4_Материалы и оборудование складированы должным образом. (ЕРЫ) - 2019-11-13</t>
  </si>
  <si>
    <t>Yes: 2,5_Имеется укомплектованный пожарный щит, установленные огнетушители в рабочем состоянии. (ЕРЫ) - 2019-11-13</t>
  </si>
  <si>
    <t>Yes: 2,6_Электропровода, шланги, сварочные провода и т.д. подняты во избежание случайных спотыканий. (ЕРЫ) - 2019-11-13</t>
  </si>
  <si>
    <t>No: 2,7_В отходах пиломатериалов нет торчащих гвоздей или др. опасных элементов, которые могут привести к проколам. (ЕРЫ) - 2019-11-13</t>
  </si>
  <si>
    <t>Yes: 2,8_Места для курения оборудованы пепельницами, огнетушителями и указательными знаками. (ЕРЫ) - 2019-11-13</t>
  </si>
  <si>
    <t>Yes: 3,1_Работники обучены и имеют соответствующие удостоверения для выполнения работ на высоте. (ЕРЫ) - 2019-11-13</t>
  </si>
  <si>
    <t>Yes: 3,2_Имеется безопасный доступ к рабочим местам на высоте. (ЕРЫ) - 2019-11-13</t>
  </si>
  <si>
    <t>Yes: 3,3_В местах перепадов высоты имеются страховоные ограждения. Ограждение соответствует требованиям безопасности. (ЕРЫ) - 2019-11-13</t>
  </si>
  <si>
    <t>Yes: 3,4_Проёмы закрыты в соответствии требованиями безопасности (проёмы закрыты полностью, щиты закреплены и промаркированы надписью "Не снимать!"). (ЕРЫ) - 2019-11-13</t>
  </si>
  <si>
    <t>Yes: 3,5_Работники используют предохранительные лямочные пояса. (ЕРЫ) - 2019-11-13</t>
  </si>
  <si>
    <t>Yes: 3,6_Предохранительные лямочные пояса в хорошем состоянии и испытаны. (ЕРЫ) - 2019-11-13</t>
  </si>
  <si>
    <t>Yes: 3,7_Страховочные фалы соответствуют виду выполняемых работ, например есть аммортизирующее устройство, двойной страховочный фал, стальной страховочный фал (для сварщиков).  (ЕРЫ) - 2019-11-13</t>
  </si>
  <si>
    <t>Yes: 3,8_Страховочные фалы правильно закреплены. (ЕРЫ) - 2019-11-13</t>
  </si>
  <si>
    <t>Yes: 3,9_Используются инвентарные средства подмащивания. (ЕРЫ) - 2019-11-13</t>
  </si>
  <si>
    <t>Yes: 3,10_Страховочные канаты установлены в соответствии с требованиями безопасности. (ЕРЫ) - 2019-11-13</t>
  </si>
  <si>
    <t>Yes: 3,11_Индивидуальные блокирующие устройства эксплуатируются в соответствии с требованиями завода-изготовителя. (ЕРЫ) - 2019-11-13</t>
  </si>
  <si>
    <t>Yes: 4,1_Сборка строительных лесов выполнена в соответствии с паспортом (инструкцией) завода-изготовителя. (ЕРЫ) - 2019-11-13</t>
  </si>
  <si>
    <t>No: 4,2_Строительные леса соответствуют виду выполняемых работ. (ЕРЫ) - 2019-11-13</t>
  </si>
  <si>
    <t>Yes: 4,3_Строительные леса заземлены (при необходимости). (ЕРЫ) - 2019-11-13</t>
  </si>
  <si>
    <t>Yes: 4,4_Строительные леса приняты лицом, назначенным ответственным за безопасную организацию работ на высоте. (ЕРЫ) - 2019-11-13</t>
  </si>
  <si>
    <t>Yes: 4,5_Настилы лесов, доски, площадки сбиты между собой, закреплены от сдвига и безопасны. (ЕРЫ) - 2019-11-13</t>
  </si>
  <si>
    <t>Yes: 4,6_При установке строительных лесов на грунт, основание подготовлено и спланировано. Имеются подкладки под опоры. (ЕРЫ) - 2019-11-13</t>
  </si>
  <si>
    <t>Yes: 4,7_Лестницы в хорошем состоянии, не имеют видимых повреждений и осматриваются ответственным исполнителем работ. (ЕРЫ) - 2019-11-13</t>
  </si>
  <si>
    <t>Yes: 4,8_Применяемый тип лестниц соответствует выполняемой работе, лестница правильно закреплена. (ЕРЫ) - 2019-11-13</t>
  </si>
  <si>
    <t>Yes: 4,9_Лестница правильно установлена (угол наклона 75 градусов, лестница выступает минимум на 1 метр выше места подъема). (ЕРЫ) - 2019-11-13</t>
  </si>
  <si>
    <t>Yes: 5,1_Электротехнический персонал прошел обучение, аттестацию и имеет удостоверение с соответствующей группой по электробезопасости. (ЕРЫ) - 2019-11-13</t>
  </si>
  <si>
    <t>N/A: 5,2_Все работы на потенциально находящемся под напряжением оборудовании проводятся с предварительным отключением и имеют разрешение на работу (наряд-допуск). (ЕРЫ) - 2019-11-13</t>
  </si>
  <si>
    <t>Yes: 5,3_Сети временного электроснабжения соответствуют ПТЭЭП и ПУЭ (электрические провода проложены безопасно, не имеют повреждений изоляции и следов временного ремонта). (ЕРЫ) - 2019-11-13</t>
  </si>
  <si>
    <t>Yes: 5,4_Электрические щиты, удлинители, розетки и вилки соответствуют степени  защиты IP 54. (ЕРЫ) - 2019-11-13</t>
  </si>
  <si>
    <t>Yes: 5,5_Электрические щиты оборудованы запирающими устройствами, УЗО (устройством защитного отключения). (ЕРЫ) - 2019-11-13</t>
  </si>
  <si>
    <t>Yes: 6,1_Все применяемое грузоподъемное оборудование имеет Паспорт завода-изготовителя и поставлено на учер в органах Ростехнадзора. (ЕРЫ) - 2019-11-13</t>
  </si>
  <si>
    <t>Yes: 6,2_Грузоподъемное оборудование (подъемные сооружения) в хорошем состоянии. Прыборы и устройства безопасности установлены  (ЕРЫ) - 2019-11-13</t>
  </si>
  <si>
    <t>Yes: 6,3_Используемое оборудование регулярно проходит ПТО И ЧТО (полное  и частичное техническое освидетельствование) с записью в паспорте. (ЕРЫ) - 2019-11-13</t>
  </si>
  <si>
    <t>Yes: 6,4_Вахтенный журнал находится у машиниста (оператора) и заполняется своевременно. (ЕРЫ) - 2019-11-13</t>
  </si>
  <si>
    <t>Yes: 6,5_Работники использующее г/п оборудование имеют действующие удостоверения (машинист крана, стропальщик, оператор подъемника, рабочий люльки и т.д.) (ЕРЫ) - 2019-11-13</t>
  </si>
  <si>
    <t>Yes: 6,6_Устнановка г/п оборудования соответствует требованиям нормативных документов и указаниям заавода-изготовителя. (ЕРЫ) - 2019-11-13</t>
  </si>
  <si>
    <t>N/A: 6,7_Имеется наряд-допуск, при установке г/п оборудования вблизи ЛЭП. (ЕРЫ) - 2019-11-13</t>
  </si>
  <si>
    <t>Yes: 6,8_Зона работы подъемных сооружений ограждена сигнальной лентой. Посторонние работники удалены из опасной зоны. (ЕРЫ) - 2019-11-13</t>
  </si>
  <si>
    <t>Yes: 6,9_Используемые стропы в хорошем состоянии имеется паспорт завода-изготовителя. Произведен периодический осмотр (1 раз в 10 дней) с записью в журнале осмотра стропов.  (ЕРЫ) - 2019-11-13</t>
  </si>
  <si>
    <t>Yes: 6,10_Схемы строповки соответствуют поднимаемым грузам. (ЕРЫ) - 2019-11-13</t>
  </si>
  <si>
    <t>Yes: 6,11_Используются крючья и оттяжки. (ЕРЫ) - 2019-11-13</t>
  </si>
  <si>
    <t>Yes: 7,1_Электросварщики имеют соответствующее удостоверение и группу по электробезопасности не ниже II. (ЕРЫ) - 2019-11-13</t>
  </si>
  <si>
    <t>Yes: 7,2_Рабочее место подготовлено (в зоне разлета искр отсутствуют горючие материалы). (ЕРЫ) - 2019-11-13</t>
  </si>
  <si>
    <t>Yes: 7,3_Имеется защитный экран в месте проведения работ. (ЕРЫ) - 2019-11-13</t>
  </si>
  <si>
    <t>Yes: 7,4_В непосредственной близости от места работы имеется огнетушитель. (ЕРЫ) - 2019-11-13</t>
  </si>
  <si>
    <t>Yes: 7,5_Сварочное оборудование в хорошем состоянии. Держатель электродов и зажим обратного провода заводского изготовления. (ЕРЫ) - 2019-11-13</t>
  </si>
  <si>
    <t>Yes: 7,6_Сварочные провода не имеют повреждений изоляции и следов временного ремонта. (ЕРЫ) - 2019-11-13</t>
  </si>
  <si>
    <t>Yes: 7,7_Корпус сварочного аппарата имеет видемое заземление (если требует завод-изготовитель). (ЕРЫ) - 2019-11-13</t>
  </si>
  <si>
    <t>Yes: 8,1_Газовые баллоны хранятся должным образом, имеются склады для баллонов.   (ЕРЫ) - 2019-11-13</t>
  </si>
  <si>
    <t>Yes: 8,2_На складах имеются соответствующие знаки безопасности. (ЕРЫ) - 2019-11-13</t>
  </si>
  <si>
    <t>Yes: 8,3_Баллоны хранятся раздельно и закреплены цепью в местах хранения. (ЕРЫ) - 2019-11-13</t>
  </si>
  <si>
    <t>Yes: 8,4_Рядом со складами находятся огнетушители. (ЕРЫ) - 2019-11-13</t>
  </si>
  <si>
    <t>Yes: 8,5_Газобаллонное оборудование в хорошем состоянии (редуктор, манометр, резак, горелка, шланги, хомуты и т.д.). (ЕРЫ) - 2019-11-13</t>
  </si>
  <si>
    <t>Yes: 8,6_На газоиспользующем оборудовании установлены пламегасители. (ЕРЫ) - 2019-11-13</t>
  </si>
  <si>
    <t>Yes: 8,7_Во время работы, расстояние между баллонами минимум 5 метров. Баллоны находятся в вертикальном положении и закреплены. (ЕРЫ) - 2019-11-13</t>
  </si>
  <si>
    <t>Yes: 8,8_Во время работы, баллоны защищены от прямых солнечных лучей и осадков. (ЕРЫ) - 2019-11-13</t>
  </si>
  <si>
    <t>Yes: 8,9_Газорезчик имеет соответствующие удостоверения (например транспортировка баллонов, удостоверение газорезчика). (ЕРЫ) - 2019-11-13</t>
  </si>
  <si>
    <t>Yes: 8,10_В непосредственной близости от места работы имеется огнетушитель. (ЕРЫ) - 2019-11-13</t>
  </si>
  <si>
    <t>Yes: 9,1_Электроинструмент исправен, отсутствуют видимые повреждения (провод, вилка, кнопка включения, корпус). Защитные устройства установлены и исправны. (ЕРЫ) - 2019-11-13</t>
  </si>
  <si>
    <t>Yes: 9,2_Электроинструменты используются по назначению и соответствуют виду выполняемой работы (ЕРЫ) - 2019-11-13</t>
  </si>
  <si>
    <t>Yes: 9,3_При перерывах в работе электроинструмент отключен от электросети. (ЕРЫ) - 2019-11-13</t>
  </si>
  <si>
    <t>Yes: 9,4_Электроинструменты переносятся и доставляются должным образом (запрещено переносить электроинструмент за провод). (ЕРЫ) - 2019-11-13</t>
  </si>
  <si>
    <t>Yes: 9,5_Рукоятки ручного инструмента в хорошем состоянии, например молоток, топор прочно насажены на рукоять . (ЕРЫ) - 2019-11-13</t>
  </si>
  <si>
    <t>Yes: 9,6_Ручной инструмент в хорошем состоянии, например ударная часть молотка, губки рожковых и разводных ключей, шестигранники и т.д. (ЕРЫ) - 2019-11-13</t>
  </si>
  <si>
    <t>Yes: 9,7_Соединения пневматических и гидравлических шлангов выполнены должным образом. (ЕРЫ) - 2019-11-13</t>
  </si>
  <si>
    <t>Yes: 10,1_Имеются специальные места для хранения опасных отходов I, II, III классов опасности.  (ЕРЫ) - 2019-11-13</t>
  </si>
  <si>
    <t>Yes: 10,2_Строительный отходы IV, V классов опасности складируются в определенном месте, используются специальные мусорные контейнеры. (ЕРЫ) - 2019-11-13</t>
  </si>
  <si>
    <t>Yes: 10,3_Строительный мусор и бытовые отходы складируются отдельно. (ЕРЫ) - 2019-11-13</t>
  </si>
  <si>
    <t>Yes: 10,4_Используются специальные ёмкости для ГСМ, например канистры, бочки и т.д. (ЕРЫ) - 2019-11-13</t>
  </si>
  <si>
    <t>Yes: 10,5_Загрязнение окружающей среды предотвращается должным образом, например, правильным складированием, быстрым реагированием на утечку. (ЕРЫ) - 2019-11-13</t>
  </si>
  <si>
    <t>N/A: 11,1_Зона электропрогрева ограждена защитным ограждением или сигнальной лентой. (ЕРЫ) - 2019-11-13</t>
  </si>
  <si>
    <t>N/A: 11,2_У проводов электропрогрева отсутствуют повреждения изоляции, провода не лежат на грунте или перекрытиях. (ЕРЫ) - 2019-11-13</t>
  </si>
  <si>
    <t>N/A: 11,3_Имеется световая сигнализация и знаки безопасности. (ЕРЫ) - 2019-11-13</t>
  </si>
  <si>
    <t>N/A: 11,4_Открытая (незабетонированная) арматура железобетонных конструкций, связанная с участком, находящимся под электропрогревом, заземлена (занулена). (ЕРЫ) - 2019-11-13</t>
  </si>
  <si>
    <t>Yes: 12,1_Наряд-допус оформлен, внесенные данные соответствуют действительности. Проведены необходимые инструктажи. (ЕРЫ) - 2019-11-13</t>
  </si>
  <si>
    <t>Yes: 12,2_Имеется газоанализатор с действующим свидетельством о прохождении аттестации. (ЕРЫ) - 2019-11-13</t>
  </si>
  <si>
    <t>Yes: 12,3_Произведен замер воздушной среды. (ЕРЫ) - 2019-11-13</t>
  </si>
  <si>
    <t>Yes: 12,4_Количество работников не менее трех человек (при условии нахождения двух работников вне замкнутого пространства). (ЕРЫ) - 2019-11-13</t>
  </si>
  <si>
    <t>Yes: 12,5_На работниках, находящихся в замкнутом пространстве, надеты предохранительные лямочные пояса, веревка надежно прикреплена к предохранительному лямочному поясу. (ЕРЫ) - 2019-11-13</t>
  </si>
  <si>
    <t>N/A: 12,6_Напряжение используемое для освещения не более 36 Вольт. Понижающий трансформатор находится вне замкнутого пространства. (ЕРЫ) - 2019-11-13</t>
  </si>
  <si>
    <t>Yes: 12,7_Сварочный аппарат или газовые баллоны находятся снаружи. (ЕРЫ) - 2019-11-13</t>
  </si>
  <si>
    <t>Yes: 12,8_В непосредственной близости от места работы имеется огнетушитель. (ЕРЫ) - 2019-11-13</t>
  </si>
  <si>
    <t>Yes: 12,9_ При использовании ручного электроинструмента или сварочного аппарата металлические конструкции заземлены. (ЕРЫ) - 2019-11-13</t>
  </si>
  <si>
    <t>Yes: 12,10_Имеется приточная вентиляция (при необходимости). (ЕРЫ) - 2019-11-13</t>
  </si>
  <si>
    <t>Евгений Рысев: Изменена дата начала на 13.11.2019</t>
  </si>
  <si>
    <t>Евгений Рысев: Изменена дата завершения на 18.11.2019</t>
  </si>
  <si>
    <t>Владимир Собченко: Название категории изменено на Охрана Труда</t>
  </si>
  <si>
    <t>ООО "МАКРО" отделка лестничных маршей</t>
  </si>
  <si>
    <t>Yes: 3,8_Утвержденный список лиц, допущенных к работе на станках, с приспособлениями, с электро-/газосварочным инструментом (ЕРЫ) - 2019-11-06</t>
  </si>
  <si>
    <t>Евгений Рысев: Заголовок изменен на ООО "МАКРО" отделка лестничных маршей</t>
  </si>
  <si>
    <t>Евгений Рысев: Изменена дата завершения на 14.11.2019</t>
  </si>
  <si>
    <t>Инспекция бытовых помещений, прилегающей территории и средств механизации</t>
  </si>
  <si>
    <t>Yes: 1,1_Бытовые помещения в хорошем состоянии. (ЕРЫ) - 2019-11-18</t>
  </si>
  <si>
    <t>Yes: 1,2_Аптечка первой помощи имеется, должным образом обозначена и укомплектована, своевременно пополняется. (ЕРЫ) - 2019-11-18</t>
  </si>
  <si>
    <t>Yes: 1,3_Система обогрева установлена и находится в хорошем состоянии. (ЕРЫ) - 2019-11-18</t>
  </si>
  <si>
    <t>Yes: 1,4_На обогревателях отсутствуют посторонние предметы. Одежда весит на расстоянии не менее 1 метра. (ЕРЫ) - 2019-11-18</t>
  </si>
  <si>
    <t>Yes: 1,5_Бытовые помещения оборудованы противопожарной сигнализацией. (ЕРЫ) - 2019-11-18</t>
  </si>
  <si>
    <t>Yes: 1,6_Имеется укомплектованный пожарный щит, установленные огнетушители в рабочем состоянии. (ЕРЫ) - 2019-11-18</t>
  </si>
  <si>
    <t>Yes: 1,7_В каждом бытовом вагончике установлен огнетушитель, установленные огнетушители в рабочем состоянии. (ЕРЫ) - 2019-11-18</t>
  </si>
  <si>
    <t>Yes: 1,8_Места для курения оборудованы пепельницами, огнетушителями и указательными знаками. производится регулярная уборка. (ЕРЫ) - 2019-11-18</t>
  </si>
  <si>
    <t>Yes: 1,9_Заземление бытовых вагончиков смонтировано и испытано, оформлен акт проверки состояния защитного заземления. (ЕРЫ) - 2019-11-18</t>
  </si>
  <si>
    <t>Yes: 1,10_Временная электропроводка соответствует ПТЭЭП и ПУЭ. (ЕРЫ) - 2019-11-18</t>
  </si>
  <si>
    <t>Yes: 1,11_Соблюдаются правила эксплуатации бытовых электронагревательных приборов. (ЕРЫ) - 2019-11-18</t>
  </si>
  <si>
    <t>Yes: 1,12_Электрические щиты, розетки и вилки соответствуют степени  защиты IP 54, имеется УЗО (устройство защитного отключения). (ЕРЫ) - 2019-11-18</t>
  </si>
  <si>
    <t>Yes: 1,13_Установленные светильники оборудованы защитными плафонами. (ЕРЫ) - 2019-11-18</t>
  </si>
  <si>
    <t>Yes: 1,14_Пешеходные дорожки и подходы к бытовым помещениям свободны. (ЕРЫ) - 2019-11-18</t>
  </si>
  <si>
    <t>Yes: 1,15_Имеется схема эвакуации на каждом этаже (ЕРЫ) - 2019-11-18</t>
  </si>
  <si>
    <t>No: 1,16_Санитарный узел имеется и в хорошем сотоянии, производится регулярная уборка (ЕРЫ) - 2019-11-18</t>
  </si>
  <si>
    <t>Yes: 2,1_На строительной технике имеется проблесковый маячок. (ЕРЫ) - 2019-11-18</t>
  </si>
  <si>
    <t>Yes: 2,2_Используемые транстпортные средства и средства механизации в хорошем состоянии.  (ЕРЫ) - 2019-11-18</t>
  </si>
  <si>
    <t>Yes: 2,3_Имеются и работают все световые приборы (фары, фонари, указатели поворота, тормозной сигнал, звуковой сигнал и фонарь заднего хода).  (ЕРЫ) - 2019-11-18</t>
  </si>
  <si>
    <t>Yes: 2,4_Имеется огетушитель и находится в испраном состоянии. (ЕРЫ) - 2019-11-18</t>
  </si>
  <si>
    <t>Yes: 2,5_Операторы и водители имеют свидетельство транспортного средства или заверенную копию (ЕРЫ) - 2019-11-18</t>
  </si>
  <si>
    <t>Yes: 2,6_Операторы и водители имеют водительское удостоверение или сертификат. (ЕРЫ) - 2019-11-18</t>
  </si>
  <si>
    <t>Yes: 2,7_В транспортных средствах, оставленых без присмотра, двигатель заглушен,  ключь зажигания удален. (ЕРЫ) - 2019-11-18</t>
  </si>
  <si>
    <t>Yes: 2,8_Сигнальщик / регулировщик находятся у мест проведения опасных работ, в местах затрудненного движения. (ЕРЫ) - 2019-11-18</t>
  </si>
  <si>
    <t>Yes: 2,9_Водителями, машинистами соблюдается скоросной режим (ЕРЫ) - 2019-11-18</t>
  </si>
  <si>
    <t>Yes: 2,10_Не используют мобитльные телефоны при движении (ЕРЫ) - 2019-11-18</t>
  </si>
  <si>
    <t>Yes: 3,1_Подъезные дороги чистые, регулярно убираются (ЕРЫ) - 2019-11-18</t>
  </si>
  <si>
    <t>Yes: 3,2_Городские дороги прилегающие к объекту не имеют повреждений от строительной техники (ЕРЫ) - 2019-11-18</t>
  </si>
  <si>
    <t>Yes: 3,3_Установлен пункт мойки колёс при выезде с объекта, он работает (ЕРЫ) - 2019-11-18</t>
  </si>
  <si>
    <t>Yes: 3,4_На прилегающей территории регулярно проводится уборка (поддерживается чистота) (ЕРЫ) - 2019-11-18</t>
  </si>
  <si>
    <t>Yes: 3,5_Установленны дорожные знаки, контролируется исправность и актуальность (ЕРЫ) - 2019-11-18</t>
  </si>
  <si>
    <t>Yes: 3,6_Пешиходные проходы безопасны и поддерживается порядок (ЕРЫ) - 2019-11-18</t>
  </si>
  <si>
    <t>Yes: 4,1_Ограждения территории объекта не имеют повреждений и обеспечивают защиту от проникновения третьих лиц (ЕРЫ) - 2019-11-18</t>
  </si>
  <si>
    <t>Yes: 4,2_Защитные ограждения зафиксированны и не имеют повреждений не обеспечивающих защитных свойств (ЕРЫ) - 2019-11-18</t>
  </si>
  <si>
    <t>Yes: 4,3_Световая сигнализация исправна. В тёмное и сумеречное время работает исправно (ЕРЫ) - 2019-11-18</t>
  </si>
  <si>
    <t>Yes: 4,4_Пешеходные зоны подсвечиваются в достаточном объёме (ЕРЫ) - 2019-11-18</t>
  </si>
  <si>
    <t>Yes: 4,5_Имеются предупреждающие, рекомендующие и предписывающие знаки (ЕРЫ) - 2019-11-18</t>
  </si>
  <si>
    <t>Евгений Рысев: Заголовок изменен на Инспекция бытовых помещений, прилегающей территории и средств механизации</t>
  </si>
  <si>
    <t>Евгений Рысев: Изменена дата начала на 18.11.2019</t>
  </si>
  <si>
    <t>А2, L1, 7,42, Повторная дефектовка панелей.</t>
  </si>
  <si>
    <t>Приемочный контроль</t>
  </si>
  <si>
    <t>Александр Лесюта: Заголовок изменен на А2, L1, 7,42, Повторная дефектовка панелей.</t>
  </si>
  <si>
    <t>Александр Лесюта: Изменена дата начала на 19.12.2019</t>
  </si>
  <si>
    <t xml:space="preserve">Александр Лесюта: Передефектовка фасадных панелей со СКОЛАМИ:
панели блока А2(Эрбай), L1, внутренний двор, №7, 42, были забракованы при входном контроле как имеющие сколы.
При повторном осмотре нами было обнаружено что сколы тщательно замазаны (замаскированы) герметиком, фото № 1,4,5
Причем четко видно что герметик свежий, он отличается по цвету. 
При вскрытии под свежим герметиком были обнаружены большие сколы, фото2,3,6  кои были ранее
отражены в дефектных ведомостях .
</t>
  </si>
  <si>
    <t>Передефектовка панелей со сколами, А2, L2, №19,27,35.</t>
  </si>
  <si>
    <t>Александр Лесюта: Заголовок изменен на Передефектовка панелей со сколами,</t>
  </si>
  <si>
    <t>Александр Лесюта: Заголовок изменен на Передефектовка панелей со сколами, А2, L2, №19,27,35.</t>
  </si>
  <si>
    <t xml:space="preserve">Александр Лесюта: На фото, которые находятся в приложении изображены панели блока А2,L2, №19,27,35.
Данные панели помечены в дефектовке как имеющие сколы.
Как можно заметить на фото 19.1, 27.1, 35.1, на местах сколов виден свежий силикон, скрывающий их, 
Хотя ранее данные места были освобождены от силикона и промаркированы для дальнейшего облегчения 
Нахождения дефектов. 
При очистке нового силикона обнаружились сколы. См. фото 19.2, 19.3, 27.2(скол внутри тела стекла), 35.2, 35,3, 
По словам и письмам от представителя RC Евгения Кузнецова, данные панели не имеют сколов и критических дефектов,
То есть фактически зарегистрирован второй факт подлога и попытка выдать дефектные конструкции за ликвидные.
В целом 5 из 5 передефектованных панелей имеют сколы. 
</t>
  </si>
  <si>
    <t>Приемка панелей</t>
  </si>
  <si>
    <t>Александр Лесюта: Заголовок изменен на Приемка панелей</t>
  </si>
  <si>
    <t>Александр Лесюта: Изменена дата начала на 07.11.2019</t>
  </si>
  <si>
    <t>Нижнее примыкание, оцинкованный лист.</t>
  </si>
  <si>
    <t>РК-РД-2-АР09.2-05.02-02_комм</t>
  </si>
  <si>
    <t>Александр Лесюта: Заголовок изменен на Нижнее примыкание, оцинкованный лист.</t>
  </si>
  <si>
    <t>Установка финишного алюминиевого профиля и минеральной ваты противопожарной отсечки, А2, L5,	(+16.800),	Эрлайн, Тип-11,	9/1÷10/1 / 1/Б</t>
  </si>
  <si>
    <t>Александр Лесюта: Заголовок изменен на Установка финишного алюминиевого профиля и минеральной ваты противопожарной отсечки, А2, L5,	(+16.800),	Эрлайн, Тип-11,	9/1÷10/1 / 1/Б</t>
  </si>
  <si>
    <t>Александр Лесюта: В ходе приемочного контроля финишного алюминиевого профиля и минеральной ваты противопожарной отсечки, А2, L5,	(+16.800),	Эрлайн, Тип-11,	9/1÷10/1 / 1/Б, критических замечаний  не выявлено, приемка окончена успешно.</t>
  </si>
  <si>
    <t>Окраска монтажных соединений фермы 14/1-15 / 7/Б-У.</t>
  </si>
  <si>
    <t>N/A: 2.1 Отклонения отметок опорных поверхностей колонн и опор от проектных не более 5 мм., опорных узлов не более 10 мм. (АОЛ) - 2019-11-23</t>
  </si>
  <si>
    <t>N/A: 2.2 Смещение осей колонн и опор относительно разбивочных осей в опорном сечении не более 5 мм. (АОЛ) - 2019-11-23</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</si>
  <si>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- 2019-11-23</t>
  </si>
  <si>
    <t>N/A: 2.4 Стрела прогиба (кривизна) конструкции между точками закрепления не более 15 мм (АОЛ) - 2019-11-23</t>
  </si>
  <si>
    <t>N/A: 2.5 Смещение ферм, балок ригелей от осей на оголовках колонн из плоскости рамы не более 15 мм. (АОЛ) - 2019-11-23</t>
  </si>
  <si>
    <t>N/A: 2.6 Отклонений расстояний между прогонами не более 5 мм. от проектных (АОЛ) - 2019-11-23</t>
  </si>
  <si>
    <t>N/A: 3.1 Момент затяжки обычных и высокопрочных болтов соответствует проекту. Зазоры в месте стыков отсутствуют (АОЛ) - 2019-11-23</t>
  </si>
  <si>
    <t>Yes: 3.2 Заводское покрытие элементов конструкций восстановлено (при повреждении в процессе монтажа) (АОЛ) - 2019-11-23</t>
  </si>
  <si>
    <t>Yes: 3.3 Выполнена окраска всех болтов и стыков в соответствии с проектом (АОЛ) - 2019-11-23</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</si>
  <si>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- 2019-11-23</t>
  </si>
  <si>
    <t>N/A: 5,1 Наличие записи в журнале производства работ (АОЛ) - 2019-11-23</t>
  </si>
  <si>
    <t>N/A: 5,2 Наличие записи в журнале выполнения монтажных соединений на болтах с контролируемым натяжением (АОЛ) - 2019-11-23</t>
  </si>
  <si>
    <t>N/A: 5,3 Наличие записи в журнале сварочных работ (АОЛ) - 2019-11-23</t>
  </si>
  <si>
    <t>N/A: 5,4 Наличие записи в журнале работ по монтажу строительных конструкций (АОЛ) - 2019-11-23</t>
  </si>
  <si>
    <t>N/A: 5,5 Наличие акта освидетельствования скрытых работ (АОЛ) - 2019-11-23</t>
  </si>
  <si>
    <t>N/A: 5,6 Наличие акта освидетельствования ответственных конструкций (АОЛ) - 2019-11-23</t>
  </si>
  <si>
    <t>N/A: 5,7 Наличие исполнительной геодезической схемы положения конструкций (АОЛ) - 2019-11-23</t>
  </si>
  <si>
    <t>N/A: 5,8 Наличие документа о контроле качества сварных соединений (АОЛ) - 2019-11-23</t>
  </si>
  <si>
    <t>Александр Олуферов: Заголовок изменен на Окраска монтажных соединений фермы 14/1-15 / 7/Б-У.</t>
  </si>
  <si>
    <t>Проверка нятяжения ВПБ. Блок 2.2. Кровля. Узлы №№285, 291</t>
  </si>
  <si>
    <t>N/A: 2.1 Отклонения отметок опорных поверхностей колонн и опор от проектных не более 5 мм., опорных узлов не более 10 мм. (АОЛ) - 2019-11-25</t>
  </si>
  <si>
    <t>N/A: 2.2 Смещение осей колонн и опор относительно разбивочных осей в опорном сечении не более 5 мм. (АОЛ) - 2019-11-25</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</si>
  <si>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- 2019-11-25</t>
  </si>
  <si>
    <t>N/A: 2.4 Стрела прогиба (кривизна) конструкции между точками закрепления не более 15 мм (АОЛ) - 2019-11-25</t>
  </si>
  <si>
    <t>N/A: 2.5 Смещение ферм, балок ригелей от осей на оголовках колонн из плоскости рамы не более 15 мм. (АОЛ) - 2019-11-25</t>
  </si>
  <si>
    <t>N/A: 2.6 Отклонений расстояний между прогонами не более 5 мм. от проектных (АОЛ) - 2019-11-25</t>
  </si>
  <si>
    <t>Yes: 3.1 Момент затяжки обычных и высокопрочных болтов соответствует проекту. Зазоры в месте стыков отсутствуют (АОЛ) - 2019-11-25</t>
  </si>
  <si>
    <t>No: 3.2 Заводское покрытие элементов конструкций восстановлено (при повреждении в процессе монтажа) (АОЛ) - 2019-11-25</t>
  </si>
  <si>
    <t>No: 3.3 Выполнена окраска всех болтов и стыков в соответствии с проектом (АОЛ) - 2019-11-25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</si>
  <si>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- 2019-11-25</t>
  </si>
  <si>
    <t>No: 5,1 Наличие записи в журнале производства работ (АОЛ) - 2019-11-25</t>
  </si>
  <si>
    <t>Yes: 5,2 Наличие записи в журнале выполнения монтажных соединений на болтах с контролируемым натяжением (АОЛ) - 2019-11-25</t>
  </si>
  <si>
    <t>N/A: 5,3 Наличие записи в журнале сварочных работ (АОЛ) - 2019-11-25</t>
  </si>
  <si>
    <t>Yes: 5,4 Наличие записи в журнале работ по монтажу строительных конструкций (АОЛ) - 2019-11-25</t>
  </si>
  <si>
    <t>No: 5,5 Наличие акта освидетельствования скрытых работ (АОЛ) - 2019-11-25</t>
  </si>
  <si>
    <t>No: 5,6 Наличие акта освидетельствования ответственных конструкций (АОЛ) - 2019-11-25</t>
  </si>
  <si>
    <t>Yes: 5,7 Наличие исполнительной геодезической схемы положения конструкций (АОЛ) - 2019-11-25</t>
  </si>
  <si>
    <t>N/A: 5,8 Наличие документа о контроле качества сварных соединений (АОЛ) - 2019-11-25</t>
  </si>
  <si>
    <t>Александр Олуферов: Заголовок изменен на Проверка нятяжения ВПБ. Блок 2.2. Кровля. Узлы №№285, 291</t>
  </si>
  <si>
    <t>Блок 2.1. Л2. Окраска и герметизация узловых соединений. Узлы 62,63,64,94,95,96</t>
  </si>
  <si>
    <t>N/A: 2.1 Отклонения отметок опорных поверхностей колонн и опор от проектных не более 5 мм., опорных узлов не более 10 мм. (АОЛ) - 2019-12-21</t>
  </si>
  <si>
    <t>N/A: 2.2 Смещение осей колонн и опор относительно разбивочных осей в опорном сечении не более 5 мм. (АОЛ) - 2019-12-21</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</si>
  <si>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- 2019-12-21</t>
  </si>
  <si>
    <t>N/A: 2.4 Стрела прогиба (кривизна) конструкции между точками закрепления не более 15 мм (АОЛ) - 2019-12-21</t>
  </si>
  <si>
    <t>N/A: 2.5 Смещение ферм, балок ригелей от осей на оголовках колонн из плоскости рамы не более 15 мм. (АОЛ) - 2019-12-21</t>
  </si>
  <si>
    <t>N/A: 2.6 Отклонений расстояний между прогонами не более 5 мм. от проектных (АОЛ) - 2019-12-21</t>
  </si>
  <si>
    <t>N/A: 3.1 Момент затяжки обычных и высокопрочных болтов соответствует проекту. Зазоры в месте стыков отсутствуют (АОЛ) - 2019-12-21</t>
  </si>
  <si>
    <t>Yes: 3.2 Заводское покрытие элементов конструкций восстановлено (при повреждении в процессе монтажа) (АОЛ) - 2019-12-21</t>
  </si>
  <si>
    <t>Yes: 3.3 Выполнена окраска всех болтов и стыков в соответствии с проектом (АОЛ) - 2019-12-21</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</si>
  <si>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- 2019-12-21</t>
  </si>
  <si>
    <t>No: 5,1 Наличие записи в журнале производства работ (АОЛ) - 2019-12-21</t>
  </si>
  <si>
    <t>N/A: 5,2 Наличие записи в журнале выполнения монтажных соединений на болтах с контролируемым натяжением (АОЛ) - 2019-12-21</t>
  </si>
  <si>
    <t>N/A: 5,3 Наличие записи в журнале сварочных работ (АОЛ) - 2019-12-21</t>
  </si>
  <si>
    <t>N/A: 5,4 Наличие записи в журнале работ по монтажу строительных конструкций (АОЛ) - 2019-12-21</t>
  </si>
  <si>
    <t>No: 5,5 Наличие акта освидетельствования скрытых работ (АОЛ) - 2019-12-21</t>
  </si>
  <si>
    <t>No: 5,6 Наличие акта освидетельствования ответственных конструкций (АОЛ) - 2019-12-21</t>
  </si>
  <si>
    <t>N/A: 5,7 Наличие исполнительной геодезической схемы положения конструкций (АОЛ) - 2019-12-21</t>
  </si>
  <si>
    <t>N/A: 5,8 Наличие документа о контроле качества сварных соединений (АОЛ) - 2019-12-21</t>
  </si>
  <si>
    <t>Александр Олуферов: Заголовок изменен на Блок 2.1. Л2. Окраска и герметизация узловых соединений. Узлы 62,63,64,94,95,96</t>
  </si>
  <si>
    <t>Александр Олуферов: Изменена дата начала на 21.12.2019</t>
  </si>
  <si>
    <t>Блок 2.1. Л3-4. Затяжка ВПБ фасадных балок верхнего уровня. Узлы 181,182,185,165,164,163</t>
  </si>
  <si>
    <t>Yes: 2.4 Стрела прогиба (кривизна) конструкции между точками закрепления не более 15 мм (АОЛ) - 2019-12-21</t>
  </si>
  <si>
    <t>Yes: 2.5 Смещение ферм, балок ригелей от осей на оголовках колонн из плоскости рамы не более 15 мм. (АОЛ) - 2019-12-21</t>
  </si>
  <si>
    <t>Yes: 3.1 Момент затяжки обычных и высокопрочных болтов соответствует проекту. Зазоры в месте стыков отсутствуют (АОЛ) - 2019-12-21</t>
  </si>
  <si>
    <t>No: 3.2 Заводское покрытие элементов конструкций восстановлено (при повреждении в процессе монтажа) (АОЛ) - 2019-12-21</t>
  </si>
  <si>
    <t>No: 3.3 Выполнена окраска всех болтов и стыков в соответствии с проектом (АОЛ) - 2019-12-21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</si>
  <si>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- 2019-12-21</t>
  </si>
  <si>
    <t>Yes: 5,2 Наличие записи в журнале выполнения монтажных соединений на болтах с контролируемым натяжением (АОЛ) - 2019-12-21</t>
  </si>
  <si>
    <t>Yes: 5,4 Наличие записи в журнале работ по монтажу строительных конструкций (АОЛ) - 2019-12-21</t>
  </si>
  <si>
    <t>Yes: 5,7 Наличие исполнительной геодезической схемы положения конструкций (АОЛ) - 2019-12-21</t>
  </si>
  <si>
    <t>Александр Олуферов: Заголовок изменен на Блок 2.1. Л3-4. Затяжка ВПБ фасадных балок верхнего уровня. Узлы 181,182,185,165,164,163</t>
  </si>
  <si>
    <t>Монтаж ВПБ.  Блок 1. Кровля. Прогоны. Узлы №№741,744,745,746,747,748. L16-L18.</t>
  </si>
  <si>
    <t>N/A: 2.1 Отклонения отметок опорных поверхностей колонн и опор от проектных не более 5 мм., опорных узлов не более 10 мм. (АОЛ) - 2019-12-01</t>
  </si>
  <si>
    <t>N/A: 2.2 Смещение осей колонн и опор относительно разбивочных осей в опорном сечении не более 5 мм. (АОЛ) - 2019-12-01</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</si>
  <si>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- 2019-12-01</t>
  </si>
  <si>
    <t>N/A: 2.4 Стрела прогиба (кривизна) конструкции между точками закрепления не более 15 мм (АОЛ) - 2019-12-01</t>
  </si>
  <si>
    <t>N/A: 2.5 Смещение ферм, балок ригелей от осей на оголовках колонн из плоскости рамы не более 15 мм. (АОЛ) - 2019-12-01</t>
  </si>
  <si>
    <t>Yes: 2.6 Отклонений расстояний между прогонами не более 5 мм. от проектных (АОЛ) - 2019-12-01</t>
  </si>
  <si>
    <t>Yes: 3.1 Момент затяжки обычных и высокопрочных болтов соответствует проекту. Зазоры в месте стыков отсутствуют (АОЛ) - 2019-12-01</t>
  </si>
  <si>
    <t>No: 3.2 Заводское покрытие элементов конструкций восстановлено (при повреждении в процессе монтажа) (АОЛ) - 2019-12-01</t>
  </si>
  <si>
    <t>No: 3.3 Выполнена окраска всех болтов и стыков в соответствии с проектом (АОЛ) - 2019-12-01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</si>
  <si>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- 2019-12-01</t>
  </si>
  <si>
    <t>No: 5,1 Наличие записи в журнале производства работ (АОЛ) - 2019-12-01</t>
  </si>
  <si>
    <t>Yes: 5,2 Наличие записи в журнале выполнения монтажных соединений на болтах с контролируемым натяжением (АОЛ) - 2019-12-01</t>
  </si>
  <si>
    <t>Yes: 5,3 Наличие записи в журнале сварочных работ (АОЛ) - 2019-12-01</t>
  </si>
  <si>
    <t>Yes: 5,4 Наличие записи в журнале работ по монтажу строительных конструкций (АОЛ) - 2019-12-01</t>
  </si>
  <si>
    <t>No: 5,5 Наличие акта освидетельствования скрытых работ (АОЛ) - 2019-12-01</t>
  </si>
  <si>
    <t>No: 5,6 Наличие акта освидетельствования ответственных конструкций (АОЛ) - 2019-12-01</t>
  </si>
  <si>
    <t>Yes: 5,7 Наличие исполнительной геодезической схемы положения конструкций (АОЛ) - 2019-12-01</t>
  </si>
  <si>
    <t>Yes: 5,8 Наличие документа о контроле качества сварных соединений (АОЛ) - 2019-12-01</t>
  </si>
  <si>
    <t>Александр Олуферов: Заголовок изменен на Монтаж ВПБ.  Блок 1. Кровля. Прогоны. Узлы №№741,744,745,746,747,748. L16-L18.</t>
  </si>
  <si>
    <t>Монтаж ВПБ, Блок 2.1. Узел №46. L3.</t>
  </si>
  <si>
    <t>Yes: 2.5 Смещение ферм, балок ригелей от осей на оголовках колонн из плоскости рамы не более 15 мм. (АОЛ) - 2019-12-01</t>
  </si>
  <si>
    <t>N/A: 2.6 Отклонений расстояний между прогонами не более 5 мм. от проектных (АОЛ) - 2019-12-01</t>
  </si>
  <si>
    <t>N/A: 5,3 Наличие записи в журнале сварочных работ (АОЛ) - 2019-12-01</t>
  </si>
  <si>
    <t>N/A: 5,8 Наличие документа о контроле качества сварных соединений (АОЛ) - 2019-12-01</t>
  </si>
  <si>
    <t>Александр Олуферов: Заголовок изменен на Монтаж ВПБ, Блок 2.1. Узел №46. L3.</t>
  </si>
  <si>
    <t>Александр Олуферов: Название категории изменено на Приемочный контроль</t>
  </si>
  <si>
    <t>Монтаж ВПБ.  Блок 1. Кровля. Прогоны. Узлы №№98,99,643</t>
  </si>
  <si>
    <t>Александр Олуферов: Заголовок изменен на Монтаж ВПБ.  Блок 1. Кровля. Прогоны. Узлы №№135.104.136</t>
  </si>
  <si>
    <t>Александр Олуферов: Заголовок изменен на Монтаж ВПБ.  Блок 1. Кровля. Прогоны. Узлы №№98,99,643</t>
  </si>
  <si>
    <t>Проверка натяжения ВПБ устройства лотков ферм ETFE, узлы №№124,125,126,126/1,127,128,129,130,122</t>
  </si>
  <si>
    <t>N/A: 2.1 Отклонения отметок опорных поверхностей колонн и опор от проектных не более 5 мм., опорных узлов не более 10 мм. (АОЛ) - 2020-01-20</t>
  </si>
  <si>
    <t>N/A: 2.2 Смещение осей колонн и опор относительно разбивочных осей в опорном сечении не более 5 мм. (АОЛ) - 2020-01-20</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</si>
  <si>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- 2020-01-20</t>
  </si>
  <si>
    <t>N/A: 2.4 Стрела прогиба (кривизна) конструкции между точками закрепления не более 15 мм (АОЛ) - 2020-01-20</t>
  </si>
  <si>
    <t>N/A: 2.5 Смещение ферм, балок ригелей от осей на оголовках колонн из плоскости рамы не более 15 мм. (АОЛ) - 2020-01-20</t>
  </si>
  <si>
    <t>N/A: 2.6 Отклонений расстояний между прогонами не более 5 мм. от проектных (АОЛ) - 2020-01-20</t>
  </si>
  <si>
    <t>Yes: 3.1 Момент затяжки обычных и высокопрочных болтов соответствует проекту. Зазоры в месте стыков отсутствуют (АОЛ) - 2020-01-20</t>
  </si>
  <si>
    <t>No: 3.2 Заводское покрытие элементов конструкций восстановлено (при повреждении в процессе монтажа) (АОЛ) - 2020-01-20</t>
  </si>
  <si>
    <t>No: 3.3 Выполнена окраска всех болтов и стыков в соответствии с проектом (АОЛ) - 2020-01-20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</si>
  <si>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- 2020-01-20</t>
  </si>
  <si>
    <t>No: 5,1 Наличие записи в журнале производства работ (АОЛ) - 2020-01-20</t>
  </si>
  <si>
    <t>Yes: 5,2 Наличие записи в журнале выполнения монтажных соединений на болтах с контролируемым натяжением (АОЛ) - 2020-01-20</t>
  </si>
  <si>
    <t>N/A: 5,3 Наличие записи в журнале сварочных работ (АОЛ) - 2020-01-20</t>
  </si>
  <si>
    <t>N/A: 5,4 Наличие записи в журнале работ по монтажу строительных конструкций (АОЛ) - 2020-01-20</t>
  </si>
  <si>
    <t>No: 5,5 Наличие акта освидетельствования скрытых работ (АОЛ) - 2020-01-20</t>
  </si>
  <si>
    <t>No: 5,6 Наличие акта освидетельствования ответственных конструкций (АОЛ) - 2020-01-20</t>
  </si>
  <si>
    <t>Yes: 5,7 Наличие исполнительной геодезической схемы положения конструкций (АОЛ) - 2020-01-20</t>
  </si>
  <si>
    <t>N/A: 5,8 Наличие документа о контроле качества сварных соединений (АОЛ) - 2020-01-20</t>
  </si>
  <si>
    <t>Александр Олуферов: Заголовок изменен на Проверка натяжения ВПБ устройства лотков ферм EFTE</t>
  </si>
  <si>
    <t>Александр Олуферов: Заголовок изменен на Проверка натяжения ВПБ устройства лотков ферм EFTE, узлы №№124,125,126,126/1,127,128,129,130,122</t>
  </si>
  <si>
    <t>Александр Олуферов: Заголовок изменен на Проверка натяжения ВПБ устройства лотков ферм ETFE, узлы №№124,125,126,126/1,127,128,129,130,122</t>
  </si>
  <si>
    <t>Пароизоляция лотков ферм ETFE, в узлах 108,110,110.1,111,112</t>
  </si>
  <si>
    <t>N/A: 3.1 Момент затяжки обычных и высокопрочных болтов соответствует проекту. Зазоры в месте стыков отсутствуют (АОЛ) - 2020-01-20</t>
  </si>
  <si>
    <t>N/A: 3.2 Заводское покрытие элементов конструкций восстановлено (при повреждении в процессе монтажа) (АОЛ) - 2020-01-20</t>
  </si>
  <si>
    <t>N/A: 3.3 Выполнена окраска всех болтов и стыков в соответствии с проектом (АОЛ) - 2020-01-20</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</si>
  <si>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- 2020-01-20</t>
  </si>
  <si>
    <t>N/A: 5,1 Наличие записи в журнале производства работ (АОЛ) - 2020-01-20</t>
  </si>
  <si>
    <t>N/A: 5,2 Наличие записи в журнале выполнения монтажных соединений на болтах с контролируемым натяжением (АОЛ) - 2020-01-20</t>
  </si>
  <si>
    <t>N/A: 5,5 Наличие акта освидетельствования скрытых работ (АОЛ) - 2020-01-20</t>
  </si>
  <si>
    <t>N/A: 5,6 Наличие акта освидетельствования ответственных конструкций (АОЛ) - 2020-01-20</t>
  </si>
  <si>
    <t>N/A: 5,7 Наличие исполнительной геодезической схемы положения конструкций (АОЛ) - 2020-01-20</t>
  </si>
  <si>
    <t>Александр Олуферов: Заголовок изменен на Пароизоляция лотков ферм ETFE, в узлах 99-103</t>
  </si>
  <si>
    <t>Александр Олуферов: Заголовок изменен на Пароизоляция лотков ферм ETFE, в узлах 108,110,110.1,111,112</t>
  </si>
  <si>
    <t>Александр Олуферов: Проверено, замечаний нет.</t>
  </si>
  <si>
    <t>Монтаж теплоизоляции лотков кровли ферм ETFE в осях 24-26/ 7/Б-Р, узлы 9,10,11,12,</t>
  </si>
  <si>
    <t>п7.3_теплоизоляция кровли</t>
  </si>
  <si>
    <t>Yes: 2,1. Произведен монтаж утеплителя, успешно прошедшего входной контроль и соответствующий требованиям РД (АОЛ) - 2020-01-06</t>
  </si>
  <si>
    <t>Yes: 2,2. Монтаж утеплителя  выполнен в соответствии с технологией производителя и технологической картой (АОЛ) - 2020-01-06</t>
  </si>
  <si>
    <t>Yes: 2,3. Характеристики утеплителя соответствуют требованиям РД по теплопроводности, плотности, толщине, сжимаемости (АОЛ) - 2020-01-06</t>
  </si>
  <si>
    <t>Yes: 3,1. Наличие записей в общем журнале работ и журнале входного контроля поступаемых материаллов/оборудования (РД 11-05-2007, СП 48.13330.2011 П.7.1.3) (АОЛ) - 2020-01-06</t>
  </si>
  <si>
    <t>No: 3,2. Наличие актов освидетельствования скрытых работ (АОЛ) - 2020-01-06</t>
  </si>
  <si>
    <t>Yes: 3,3. Разрешение выполнения последующих работ (АОЛ) - 2020-01-06</t>
  </si>
  <si>
    <t>Yes: 4. Нормативная документация: . СП 71.13330.2011 «Изоляционные и отделочные покрытия». ТК «Контроль качества работ при устройстве кровель» (АОЛ) - 2020-01-06</t>
  </si>
  <si>
    <t>Александр Олуферов: Заголовок изменен на Монтаж теплоизоляции лотков кровли ферм ETFE</t>
  </si>
  <si>
    <t>Александр Олуферов: Заголовок изменен на Монтаж теплоизоляции лотков кровли ферм ETFE в осях 24-26/ 7/Б-Р, узлы</t>
  </si>
  <si>
    <t>Александр Олуферов: Заголовок изменен на Монтаж теплоизоляции лотков кровли ферм ETFE в осях 24-26/ 7/Б-Р, узлы 10,17,19,26,28</t>
  </si>
  <si>
    <t>Александр Олуферов: Заголовок изменен на Монтаж теплоизоляции лотков кровли ферм ETFE в осях 24-26/ 7/Б-Р, узлы 10,17,19,26,28,35</t>
  </si>
  <si>
    <t>Александр Олуферов: Изменена дата начала на 22.01.2020</t>
  </si>
  <si>
    <t>Александр Олуферов: Изменена дата начала на 22.12.2019</t>
  </si>
  <si>
    <t>Александр Олуферов: Изменена дата завершения на 22.12.2019</t>
  </si>
  <si>
    <t>Александр Олуферов: Заголовок изменен на Монтаж теплоизоляции лотков кровли ферм ETFE в осях 24-26/ 7/Б-Р, узлы 9,10,11,12,</t>
  </si>
  <si>
    <t>Монтаж ВПБ лотков кровли ферм ETFE в осях 27-28/ 7/Б-Р, узлы  71,73,84,77,79,87,88</t>
  </si>
  <si>
    <t>N/A: 2.1 Отклонения отметок опорных поверхностей колонн и опор от проектных не более 5 мм., опорных узлов не более 10 мм. (АОЛ) - 2020-01-06</t>
  </si>
  <si>
    <t>N/A: 2.2 Смещение осей колонн и опор относительно разбивочных осей в опорном сечении не более 5 мм. (АОЛ) - 2020-01-06</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</si>
  <si>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- 2020-01-06</t>
  </si>
  <si>
    <t>Yes: 2.4 Стрела прогиба (кривизна) конструкции между точками закрепления не более 15 мм (АОЛ) - 2020-01-06</t>
  </si>
  <si>
    <t>Yes: 2.5 Смещение ферм, балок ригелей от осей на оголовках колонн из плоскости рамы не более 15 мм. (АОЛ) - 2020-01-06</t>
  </si>
  <si>
    <t>N/A: 2.6 Отклонений расстояний между прогонами не более 5 мм. от проектных (АОЛ) - 2020-01-06</t>
  </si>
  <si>
    <t>Yes: 3.1 Момент затяжки обычных и высокопрочных болтов соответствует проекту. Зазоры в месте стыков отсутствуют (АОЛ) - 2020-01-06</t>
  </si>
  <si>
    <t>No: 3.2 Заводское покрытие элементов конструкций восстановлено (при повреждении в процессе монтажа) (АОЛ) - 2020-01-06</t>
  </si>
  <si>
    <t>No: 3.3 Выполнена окраска всех болтов и стыков в соответствии с проектом (АОЛ) - 2020-01-06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</si>
  <si>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- 2020-01-06</t>
  </si>
  <si>
    <t>No: 5,1 Наличие записи в журнале производства работ (АОЛ) - 2020-01-06</t>
  </si>
  <si>
    <t>Yes: 5,2 Наличие записи в журнале выполнения монтажных соединений на болтах с контролируемым натяжением (АОЛ) - 2020-01-06</t>
  </si>
  <si>
    <t>No: 5,3 Наличие записи в журнале сварочных работ (АОЛ) - 2020-01-06</t>
  </si>
  <si>
    <t>Yes: 5,4 Наличие записи в журнале работ по монтажу строительных конструкций (АОЛ) - 2020-01-06</t>
  </si>
  <si>
    <t>No: 5,5 Наличие акта освидетельствования скрытых работ (АОЛ) - 2020-01-06</t>
  </si>
  <si>
    <t>No: 5,6 Наличие акта освидетельствования ответственных конструкций (АОЛ) - 2020-01-06</t>
  </si>
  <si>
    <t>Yes: 5,7 Наличие исполнительной геодезической схемы положения конструкций (АОЛ) - 2020-01-06</t>
  </si>
  <si>
    <t>N/A: 5,8 Наличие документа о контроле качества сварных соединений (АОЛ) - 2020-01-06</t>
  </si>
  <si>
    <t>Александр Олуферов: Заголовок изменен на Монтаж ВПБ лотков кровли ферм ETFE в осях 27-28/ 7/Б-Р, узлы  71,</t>
  </si>
  <si>
    <t>Александр Олуферов: Заголовок изменен на Монтаж ВПБ лотков кровли ферм ETFE в осях 27-28/ 7/Б-Р, узлы  71,73,84,</t>
  </si>
  <si>
    <t>Александр Олуферов: Заголовок изменен на Монтаж ВПБ лотков кровли ферм ETFE в осях 27-28/ 7/Б-Р, узлы  71,73,84,77,79,87,88</t>
  </si>
  <si>
    <t>Монтаж пароизоляционной ленты лотков кровли ферм ETFE в осях 24-26/ 7/Б-Р, узлы 10,17,19,26,28,35</t>
  </si>
  <si>
    <t>Yes: 2,1. При производстве работ использован материал, прошедший входной контроль (АОЛ) - 2020-01-06</t>
  </si>
  <si>
    <t>N/A: 2,2. Сопряжение смежных полотнищ выполнено с нахлесткой не менее 100 мм; торцевой нахлест полотнищ составляет не менее 150 мм (АОЛ) - 2020-01-06</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</si>
  <si>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(АОЛ) - 2020-01-06</t>
  </si>
  <si>
    <t>Yes: 2,4. Отсутствуют расслоения в местах швов.
При применении шлицевой отвертки инструмент не
проникает между полотнищами в местах швов (АОЛ) - 2020-01-06</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</si>
  <si>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(АОЛ) - 2020-01-06</t>
  </si>
  <si>
    <t>Yes: 2,6. Углы конструкций примыкания сглаженные и
ровные, с отсутствием острых углов (АОЛ) - 2020-01-06</t>
  </si>
  <si>
    <t>No: 3,1. Наличие исполнительной документации, акта освидетельствования скрытых работ (АОЛ) - 2020-01-06</t>
  </si>
  <si>
    <t>No: 3,2. Наличие записи в журнале производства работ (АОЛ) - 2020-01-06</t>
  </si>
  <si>
    <t>Yes: Нормативная документация: СП 71.13330.2017 «Изоляционные и отделочные покрытия» (АОЛ) - 2020-01-06</t>
  </si>
  <si>
    <t>Александр Олуферов: Заголовок изменен на Монтаж гидроизоляционной ленты лотков кровли ферм ETFE в осях 24-26/ 7/Б-Р, узлы 10,17,19,26,28,35</t>
  </si>
  <si>
    <t>Александр Олуферов: Заголовок изменен на Монтаж пароизоляционной ленты лотков кровли ферм ETFE в осях 24-26/ 7/Б-Р, узлы 10,17,19,26,28,35</t>
  </si>
  <si>
    <t>Монтаж ВПБ лотков кровли ферм ETFE в осях 27-28/ 7/Б-Р, узлы опор 61,62,63,64,65,66,69,70,71,73</t>
  </si>
  <si>
    <t>N/A: 5,3 Наличие записи в журнале сварочных работ (АОЛ) - 2020-01-06</t>
  </si>
  <si>
    <t>N/A: 5,4 Наличие записи в журнале работ по монтажу строительных конструкций (АОЛ) - 2020-01-06</t>
  </si>
  <si>
    <t>Александр Олуферов: Заголовок изменен на Монтаж ВПБ лотков кровли ферм ETFE в осях 27-28/ 7/Б-Р, узлы 10,17,19,26,28,35</t>
  </si>
  <si>
    <t>Александр Олуферов: Заголовок изменен на Монтаж ВПБ лотков кровли ферм ETFE в осях 27-28/ 7/Б-Р, узлы опор 61,62,63,64,65,66,69,70,71,73</t>
  </si>
  <si>
    <t>Затяжка ВПБ. Блок 2.2. Кровля. Балки. Узел 190.</t>
  </si>
  <si>
    <t>РК-РД-2-КМ2.1.10-012-00</t>
  </si>
  <si>
    <t>Металлоконструкции кровли блок 2.2</t>
  </si>
  <si>
    <t>N/A: 2.1 Отклонения отметок опорных поверхностей колонн и опор от проектных не более 5 мм., опорных узлов не более 10 мм. (АОЛ) - 2019-11-19</t>
  </si>
  <si>
    <t>N/A: 2.2 Смещение осей колонн и опор относительно разбивочных осей в опорном сечении не более 5 мм. (АОЛ) - 2019-11-19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</si>
  <si>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(АОЛ) - 2019-11-19</t>
  </si>
  <si>
    <t>N/A: 2.4 Стрела прогиба (кривизна) конструкции между точками закрепления не более 15 мм (АОЛ) - 2019-11-19</t>
  </si>
  <si>
    <t>N/A: 2.5 Смещение ферм, балок ригелей от осей на оголовках колонн из плоскости рамы не более 15 мм. (АОЛ) - 2019-11-19</t>
  </si>
  <si>
    <t>N/A: 2.6 Отклонений расстояний между прогонами не более 5 мм. от проектных (АОЛ) - 2019-11-19</t>
  </si>
  <si>
    <t>Yes: 3.1 Момент затяжки обычных и высокопрочных болтов соответствует проекту. Зазоры в месте стыков отсутствуют (АОЛ) - 2019-11-19</t>
  </si>
  <si>
    <t>No: 3.2 Заводское покрытие элементов конструкций восстановлено (при повреждении в процессе монтажа) (АОЛ) - 2019-11-19</t>
  </si>
  <si>
    <t>No: 3.3 Выполнена окраска всех болтов и стыков в соответствии с проектом (АОЛ) - 2019-11-19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</si>
  <si>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(АОЛ) - 2019-11-19</t>
  </si>
  <si>
    <t>No: 5,1 Наличие записи в журнале производства работ (АОЛ) - 2019-11-19</t>
  </si>
  <si>
    <t>Yes: 5,2 Наличие записи в журнале выполнения монтажных соединений на болтах с контролируемым натяжением (АОЛ) - 2019-11-19</t>
  </si>
  <si>
    <t>N/A: 5,3 Наличие записи в журнале сварочных работ (АОЛ) - 2019-11-19</t>
  </si>
  <si>
    <t>Yes: 5,4 Наличие записи в журнале работ по монтажу строительных конструкций (АОЛ) - 2019-11-19</t>
  </si>
  <si>
    <t>No: 5,5 Наличие акта освидетельствования скрытых работ (АОЛ) - 2019-11-19</t>
  </si>
  <si>
    <t>No: 5,6 Наличие акта освидетельствования ответственных конструкций (АОЛ) - 2019-11-19</t>
  </si>
  <si>
    <t>Yes: 5,7 Наличие исполнительной геодезической схемы положения конструкций (АОЛ) - 2019-11-19</t>
  </si>
  <si>
    <t>N/A: 5,8 Наличие документа о контроле качества сварных соединений (АОЛ) - 2019-11-19</t>
  </si>
  <si>
    <t>Александр Олуферов: Заголовок изменен на Затяжка ВПБ. Блок 2.2. Кровля. Балки. Узел 190.</t>
  </si>
  <si>
    <t>Александр Олуферов: Изменена дата начала на 17.11.2019</t>
  </si>
  <si>
    <t>Александр Олуферов: План изменен на РК-РД-2-КМ2.1.10-012-00</t>
  </si>
  <si>
    <t>Александр Олуферов: Местоположение изменено на Кровля_Блок 3_B2</t>
  </si>
  <si>
    <t>Александр Олуферов: Местоположение изменено на Кровля_Блок 2_C</t>
  </si>
  <si>
    <t>Проверка натяжения ВПТ. Блок 2.2. Кровля, отм. +37.650. Узлы 19, 21, 23.</t>
  </si>
  <si>
    <t>Александр Олуферов: Заголовок изменен на Проверка натяжения ВПТ. Блок 2.2. Кровля, отм. +37.650. Узлы 19, 21, 23.</t>
  </si>
  <si>
    <t>Проверка натяжения высокопрочных болтов. Блок 2.2. Кровля. Узел 122</t>
  </si>
  <si>
    <t>N/A: 2,1 Укрупнённая сборка отдельных конструктивных элементов и монтажных блоков соответствует проектным требованиям  (АОЛ) - 2019-11-19</t>
  </si>
  <si>
    <t>N/A: 2,2 Установка и проектное закрепление отдельных конструктивных элементов и блоков в проектное положение соответствует проектным требованиям  (АОЛ) - 2019-11-19</t>
  </si>
  <si>
    <t>N/A: 2,3 Контактные поверхности соединяемых элементов очищены от загрязнения, заусенцев, льда и других неровностей, препятствующих плотному их прилеганию (АОЛ) - 2019-11-19</t>
  </si>
  <si>
    <t>Yes: 2,4 При проверке закрепления конструктивных элементов щуп толщиной 0,3 мм не проходит между собранными деталями на глубину более 20 мм (АОЛ) - 2019-11-19</t>
  </si>
  <si>
    <t>Yes: 2,5 Стержень болта выступает из гайки не менее 3 мм.  (АОЛ) - 2019-11-19</t>
  </si>
  <si>
    <t>N/A: 2,6 Отсутствует смещение болтов при их отстукивании молотком массой 0,4 кг (АОЛ) - 2019-11-19</t>
  </si>
  <si>
    <t>Yes: 2,7 Монтажные соединения на высокопрочных болтах с контролируемым натяжением: (АОЛ) - 2019-11-19</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</si>
  <si>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(АОЛ) - 2019-11-19</t>
  </si>
  <si>
    <t>Yes: 2,9 Размещение крепежных изделий соответствует проектным требованиям (АОЛ) - 2019-11-19</t>
  </si>
  <si>
    <t>Yes: 2,1 Натяжение болтов соответствует проектным требованиям (АОЛ) - 2019-11-19</t>
  </si>
  <si>
    <t>N/A: 2,11 Сварные швы соответствуют нормативным требованиям (АОЛ) - 2019-11-19</t>
  </si>
  <si>
    <t>Yes: 3,1 Работы выполняются на основе утвержденного ППР (АОЛ) - 2019-11-19</t>
  </si>
  <si>
    <t>No: 3,2 Наличие записи в журнале производства работ (АОЛ) - 2019-11-19</t>
  </si>
  <si>
    <t>N/A: 3,3 Наличие записи в журнале сварочных работ (АОЛ) - 2019-11-19</t>
  </si>
  <si>
    <t>Yes: 3,4 Наличие записи в журнале работ по монтажу строительных конструкций (АОЛ) - 2019-11-19</t>
  </si>
  <si>
    <t>Yes: 3,5 Наличие записи в журнале выполнения монтажных соединений на болтах с контролируемым натяжением. (АОЛ) - 2019-11-19</t>
  </si>
  <si>
    <t>Александр Олуферов: Заголовок изменен на Проверка натяжения высокопрочных болтов. Блок 2.2. Кровля. Узел 122</t>
  </si>
  <si>
    <t>Проверка натяжения ВПБ. Кровля. Блок 1. Узел 522.</t>
  </si>
  <si>
    <t>Александр Олуферов: Местоположение изменено на Кровля_Блок 1_A1</t>
  </si>
  <si>
    <t>Александр Олуферов: Изменена дата начала на 10.11.2019</t>
  </si>
  <si>
    <t>Александр Олуферов: Заголовок изменен на Проверка натяжения ВПБ. Кровля. Блок 1. Узел 522.</t>
  </si>
  <si>
    <t>Проверка сборки фермы кровли внутреннего двора в осях 21-22/7Б-10Б</t>
  </si>
  <si>
    <t>N/A: 3.2 Заводское покрытие элементов конструкций восстановлено (при повреждении в процессе монтажа) (АОЛ) - 2019-11-19</t>
  </si>
  <si>
    <t>N/A: 3.3 Выполнена окраска всех болтов и стыков в соответствии с проектом (АОЛ) - 2019-11-19</t>
  </si>
  <si>
    <t>No: 5,2 Наличие записи в журнале выполнения монтажных соединений на болтах с контролируемым натяжением (АОЛ) - 2019-11-19</t>
  </si>
  <si>
    <t>N/A: 5,4 Наличие записи в журнале работ по монтажу строительных конструкций (АОЛ) - 2019-11-19</t>
  </si>
  <si>
    <t>N/A: 5,5 Наличие акта освидетельствования скрытых работ (АОЛ) - 2019-11-19</t>
  </si>
  <si>
    <t>N/A: 5,6 Наличие акта освидетельствования ответственных конструкций (АОЛ) - 2019-11-19</t>
  </si>
  <si>
    <t>N/A: 5,7 Наличие исполнительной геодезической схемы положения конструкций (АОЛ) - 2019-11-19</t>
  </si>
  <si>
    <t>Александр Олуферов: Заголовок изменен на Проверка сборки фермы кровли внутреннего двора в осях 21-22/7Б-10Б</t>
  </si>
  <si>
    <t>Александр Олуферов: Местоположение изменено на Кровля_Блок 3_A3</t>
  </si>
  <si>
    <t>Монтаж фасадных панелей на отм. +46.170. Блок 1. Тип 4, в осях 1/И-Л. (1 шт.)</t>
  </si>
  <si>
    <t>Yes: 2,1. Устройство конструкции выполнено в соответствии с проектом (АОЛ) - 2020-01-12</t>
  </si>
  <si>
    <t>Yes: 2,2. При выполнении работ использовались материалы, прошедшие входной контроль (АОЛ) - 2020-01-12</t>
  </si>
  <si>
    <t>Yes: 2,3. Конструкция проверена на соответствие проектным требованиям. Замечаний нет.  (АОЛ) - 2020-01-12</t>
  </si>
  <si>
    <t>Yes: 2,4. Плановое положение и высотные отметки конструкции соответствует проекту. Отклонения не превышают нормативных (АОЛ) - 2020-01-12</t>
  </si>
  <si>
    <t>No: 4,1. Наличие актов освидетельствования скрытых работ (АОЛ) - 2020-01-12</t>
  </si>
  <si>
    <t>Yes: 4,2. Наличие и корректность исполнительной геодезической схемы (АОЛ) - 2020-01-12</t>
  </si>
  <si>
    <t>No: 4,3. Наличие записей в журналах работ (АОЛ) - 2020-01-12</t>
  </si>
  <si>
    <t>Yes: 4,4. Наличие паспортов и сертификатов на конструкцию и ее элементы (АОЛ) - 2020-01-12</t>
  </si>
  <si>
    <t>Александр Олуферов: Заголовок изменен на Монтаж фасадных панелей на отм. +. Блок 1.</t>
  </si>
  <si>
    <t>Александр Олуферов: Заголовок изменен на Монтаж фасадных панелей на отм. +46.170. Блок 1. Тип 4, в осях 1/И-Л.</t>
  </si>
  <si>
    <t>Александр Олуферов: Изменена дата начала на 12.01.2020</t>
  </si>
  <si>
    <t>Александр Олуферов: Заголовок изменен на Монтаж фасадных панелей на отм. +46.170. Блок 1. Тип 4, в осях 1/И-Л. (1 шт.)</t>
  </si>
  <si>
    <t>Проверка натяжения ВПБ устройства лотков (№1-25) ферм ETFE, узлы №204,205,206,207,208,210</t>
  </si>
  <si>
    <t>Александр Олуферов: Заголовок изменен на Проверка натяжения ВПБ устройства лотков (№1-25) ферм ETFE, узлы №211,212,213,214,215,216,217,218</t>
  </si>
  <si>
    <t>Александр Олуферов: Заголовок изменен на Проверка натяжения ВПБ устройства лотков (№1-25) ферм ETFE, узлы №204,205,206,207,208,210</t>
  </si>
  <si>
    <t>Монтаж фасадных панелей на отм. +37.770. Блок 1. Тип 2, в осях 6/1 /Л-П. (3 шт.)</t>
  </si>
  <si>
    <t>Yes: 2,1. Устройство конструкции выполнено в соответствии с проектом (АОЛ) - 2020-02-09</t>
  </si>
  <si>
    <t>Yes: 2,2. При выполнении работ использовались материалы, прошедшие входной контроль (АОЛ) - 2020-02-09</t>
  </si>
  <si>
    <t>Yes: 2,3. Конструкция проверена на соответствие проектным требованиям. Замечаний нет.  (АОЛ) - 2020-02-09</t>
  </si>
  <si>
    <t>Yes: 2,4. Плановое положение и высотные отметки конструкции соответствует проекту. Отклонения не превышают нормативных (АОЛ) - 2020-02-09</t>
  </si>
  <si>
    <t>No: 4,1. Наличие актов освидетельствования скрытых работ (АОЛ) - 2020-02-09</t>
  </si>
  <si>
    <t>Yes: 4,2. Наличие и корректность исполнительной геодезической схемы (АОЛ) - 2020-02-09</t>
  </si>
  <si>
    <t>No: 4,3. Наличие записей в журналах работ (АОЛ) - 2020-02-09</t>
  </si>
  <si>
    <t>Yes: 4,4. Наличие паспортов и сертификатов на конструкцию и ее элементы (АОЛ) - 2020-02-09</t>
  </si>
  <si>
    <t>Александр Олуферов: Заголовок изменен на Монтаж фасадных панелей на отм. +37.770. Блок 1. Тип 2, в осях 6/1 /Л-П. (3 шт.)</t>
  </si>
  <si>
    <t>Александр Олуферов: Изменена дата начала на 09.02.2020</t>
  </si>
  <si>
    <t>Утепление лотков ферм ETFE в осях 32-33/ 7Б-Р, лоток 1-26</t>
  </si>
  <si>
    <t>Yes: 2,1. Произведен монтаж утеплителя, успешно прошедшего входной контроль и соответствующий требованиям РД (АОЛ) - 2020-02-09</t>
  </si>
  <si>
    <t>Yes: 2,2. Монтаж утеплителя  выполнен в соответствии с технологией производителя и технологической картой (АОЛ) - 2020-02-09</t>
  </si>
  <si>
    <t>Yes: 2,3. Характеристики утеплителя соответствуют требованиям РД по теплопроводности, плотности, толщине, сжимаемости (АОЛ) - 2020-02-09</t>
  </si>
  <si>
    <t>Yes: 3,1. Наличие записей в общем журнале работ и журнале входного контроля поступаемых материаллов/оборудования (РД 11-05-2007, СП 48.13330.2011 П.7.1.3) (АОЛ) - 2020-02-09</t>
  </si>
  <si>
    <t>No: 3,2. Наличие актов освидетельствования скрытых работ (АОЛ) - 2020-02-09</t>
  </si>
  <si>
    <t>Yes: 3,3. Разрешение выполнения последующих работ (АОЛ) - 2020-02-09</t>
  </si>
  <si>
    <t>Yes: 4. Нормативная документация: . СП 71.13330.2011 «Изоляционные и отделочные покрытия». ТК «Контроль качества работ при устройстве кровель» (АОЛ) - 2020-02-09</t>
  </si>
  <si>
    <t>Александр Олуферов: Заголовок изменен на Утепление лотков ферм ETFE, узлы №211-216, в осях 32-33/</t>
  </si>
  <si>
    <t>Александр Олуферов: Заголовок изменен на Утепление лотков ферм ETFE, узлы №211-216, в осях 32-33/ 7Б-Р</t>
  </si>
  <si>
    <t>Александр Олуферов: Заголовок изменен на Утепление лотков ферм ETFE в осях 31-32/ 7Б-Р, лоток 1-25</t>
  </si>
  <si>
    <t>Александр Олуферов: Удаленное изображение</t>
  </si>
  <si>
    <t>Александр Олуферов: Заголовок изменен на Утепление лотков ферм ETFE в осях 31-32/ 7Б-Р, лоток 1-24</t>
  </si>
  <si>
    <t>Александр Олуферов: Заголовок изменен на Утепление лотков ферм ETFE в осях 32-33/ 7Б-Р, лоток 1-25</t>
  </si>
  <si>
    <t>Александр Олуферов: Заголовок изменен на Утепление лотков ферм ETFE в осях 32-33/ 7Б-Р, лоток 1-26</t>
  </si>
  <si>
    <t>Монтаж фасадных панелей на отм. +12.570. Блок 1. Тип 4, в осях 3/Э-Ш. (2 шт.)</t>
  </si>
  <si>
    <t>Александр Олуферов: Заголовок изменен на Монтаж фасадных панелей на отм. +12.570. Блок 1. Тип 4, в осях 3/Э-Ш. (2 шт.)</t>
  </si>
  <si>
    <t>Утепление лотков ферм ETFE, в узлах 99-103</t>
  </si>
  <si>
    <t>Yes: 2,1. Произведен монтаж утеплителя, успешно прошедшего входной контроль и соответствующий требованиям РД (АОЛ) - 2020-01-20</t>
  </si>
  <si>
    <t>Yes: 2,2. Монтаж утеплителя  выполнен в соответствии с технологией производителя и технологической картой (АОЛ) - 2020-01-20</t>
  </si>
  <si>
    <t>Yes: 2,3. Характеристики утеплителя соответствуют требованиям РД по теплопроводности, плотности, толщине, сжимаемости (АОЛ) - 2020-01-20</t>
  </si>
  <si>
    <t>No: 3,1. Наличие записей в общем журнале работ и журнале входного контроля поступаемых материаллов/оборудования (РД 11-05-2007, СП 48.13330.2011 П.7.1.3) (АОЛ) - 2020-01-20</t>
  </si>
  <si>
    <t>No: 3,2. Наличие актов освидетельствования скрытых работ (АОЛ) - 2020-01-20</t>
  </si>
  <si>
    <t>Yes: 3,3. Разрешение выполнения последующих работ (АОЛ) - 2020-01-20</t>
  </si>
  <si>
    <t>Yes: 4. Нормативная документация: . СП 71.13330.2011 «Изоляционные и отделочные покрытия». ТК «Контроль качества работ при устройстве кровель» (АОЛ) - 2020-01-20</t>
  </si>
  <si>
    <t>Александр Олуферов: Заголовок изменен на Утепление лотков ферм ETFE, в узлах 99-103</t>
  </si>
  <si>
    <t>На участке длинной 4,5 м от стены В/о Л-Р/1, толщина щебеночного основания менее 300мм" (Согласно РД щебень фракции 20-40 мм -300мм.</t>
  </si>
  <si>
    <t>Щебеночная Подготовка Под Основание КРМ-8</t>
  </si>
  <si>
    <t>Александр Светашов: На участке длинной 4,5 м от стены В/о Л-Р/1, толщина щебеночного основания менее 300мм" (Согласно РД щебень фракции 20-40 мм -300мм.</t>
  </si>
  <si>
    <t>Вентилируемый фасад. Монтаж аквапанели</t>
  </si>
  <si>
    <t>Not set: Монтаж аквапанели (АСВ) - 2019-12-10</t>
  </si>
  <si>
    <t>Александр Светашов: Вентилируемый фасад. Монтаж аквапанели</t>
  </si>
  <si>
    <t>Геотекстиль, мембрана плантер гео</t>
  </si>
  <si>
    <t>Not set: Геотекстиль, мембрана плантер гео (АСВ) - 2019-11-19</t>
  </si>
  <si>
    <t>Александр Светашов: Заголовок изменен на Геотекстиль, мембрана плантер гео</t>
  </si>
  <si>
    <t>Пароизоляция пирога кровли пандуса. Замечания убрать воду и грязь с пароизоляции</t>
  </si>
  <si>
    <t>Yes: Пароизоляция пирога кровли пандуса. Замечания убрать воду и грязь с пароизоляции (АСВ) - 2019-11-19</t>
  </si>
  <si>
    <t xml:space="preserve">Александр Светашов: #п8.13_оклеечная_гидроизоляция </t>
  </si>
  <si>
    <t>Александр Светашов: Заголовок изменен на Пароизоляция пирога кровли пандуса. Замечания убрать воду и грязь с пароизоляции</t>
  </si>
  <si>
    <t>Монтаж м/к Блок 1 L16 (платформа под оборудование)</t>
  </si>
  <si>
    <t>п5.1_монтаж_металлических_конструкций</t>
  </si>
  <si>
    <t>Yes: 2.1 Отклонения отметок опорных поверхностей колонн и опор от проектных не более 5 мм., опорных узлов не более 10 мм. (АБИ) - 2019-12-17</t>
  </si>
  <si>
    <t>Yes: 2.2 Смещение осей колонн и опор относительно разбивочных осей в опорном сечении не более 5 мм. (АБИ) - 2019-12-17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</si>
  <si>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- 2019-12-17</t>
  </si>
  <si>
    <t>Yes: 2.4 Стрела прогиба (кривизна) конструкции между точками закрепления не более 15 мм (АБИ) - 2019-12-17</t>
  </si>
  <si>
    <t>Yes: 2.5 Смещение ферм, балок ригелей от осей на оголовках колонн из плоскости рамы не более 15 мм. (АБИ) - 2019-12-17</t>
  </si>
  <si>
    <t>Yes: 2.6 Отклонений расстояний между прогонами не более 5 мм. от проектных (АБИ) - 2019-12-17</t>
  </si>
  <si>
    <t>Yes: 3.1 Момент затяжки обычных и высокопрочных болтов соответствует проекту. Зазоры в месте стыков отсутствуют (АБИ) - 2019-12-17</t>
  </si>
  <si>
    <t>Yes: 3.2 Заводское покрытие элементов конструкций восстановлено (при повреждении в процессе монтажа) (АБИ) - 2019-12-17</t>
  </si>
  <si>
    <t>Yes: 3.3 Выполнена окраска всех болтов и стыков в соответствии с проектом (АБИ) - 2019-12-17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</si>
  <si>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- 2019-12-17</t>
  </si>
  <si>
    <t>Yes: 5,1 Наличие записи в журнале производства работ (АБИ) - 2019-12-17</t>
  </si>
  <si>
    <t>Yes: 5,2 Наличие записи в журнале выполнения монтажных соединений на болтах с контролируемым натяжением (АБИ) - 2019-12-17</t>
  </si>
  <si>
    <t>Yes: 5,3 Наличие записи в журнале сварочных работ (АБИ) - 2019-12-17</t>
  </si>
  <si>
    <t>Yes: 5,4 Наличие записи в журнале работ по монтажу строительных конструкций (АБИ) - 2019-12-17</t>
  </si>
  <si>
    <t>No: 5,5 Наличие акта освидетельствования скрытых работ (АБИ) - 2019-12-17</t>
  </si>
  <si>
    <t>No: 5,6 Наличие акта освидетельствования ответственных конструкций (АБИ) - 2019-12-17</t>
  </si>
  <si>
    <t>No: 5,7 Наличие исполнительной геодезической схемы положения конструкций (АБИ) - 2019-12-17</t>
  </si>
  <si>
    <t>No: 5,8 Наличие документа о контроле качества сварных соединений (АБИ) - 2019-12-17</t>
  </si>
  <si>
    <t>Алексей Бирюков: Заголовок изменен на Монтаж м</t>
  </si>
  <si>
    <t>Алексей Бирюков: Заголовок изменен на Монтаж м/к</t>
  </si>
  <si>
    <t>Алексей Бирюков: Дата начала изменена на 17 декабря 2019 г.</t>
  </si>
  <si>
    <t>Алексей Бирюков: Заголовок изменен на Монтаж м/к Блок 1 L16 (платформа под оборудование)</t>
  </si>
  <si>
    <t>Устройство вертикальной г/и в/о П-М по оси 34/1 отм -4,250</t>
  </si>
  <si>
    <t>Yes: 2,1. При производстве работ использован материал, прошедший входной контроль (АБИ) - 2019-12-17</t>
  </si>
  <si>
    <t>Yes: 2,2. Сопряжение смежных полотнищ выполнено с нахлесткой не менее 100 мм; торцевой нахлест полотнищ составляет не менее 150 мм (АБИ) - 2019-12-17</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</si>
  <si>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- 2019-12-17</t>
  </si>
  <si>
    <t>Yes: 2,4. Отсутствуют расслоения в местах швов.
При применении шлицевой отвертки инструмент не
проникает между полотнищами в местах швов (АБИ) - 2019-12-17</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</si>
  <si>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- 2019-12-17</t>
  </si>
  <si>
    <t>Yes: 2,6. Углы конструкций примыкания сглаженные и
ровные, с отсутствием острых углов (АБИ) - 2019-12-17</t>
  </si>
  <si>
    <t>No: 3,1. Наличие исполнительной документации, акта освидетельствования скрытых работ (АБИ) - 2019-12-17</t>
  </si>
  <si>
    <t>Yes: 3,2. Наличие записи в журнале производства работ (АБИ) - 2019-12-17</t>
  </si>
  <si>
    <t>Yes: Нормативная документация: СП 71.13330.2017 «Изоляционные и отделочные покрытия» (АБИ) - 2019-12-17</t>
  </si>
  <si>
    <t>Yes: 1.1 Работы выполняются на основе утвержденного ППР (АБИ) - 2019-12-17</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</si>
  <si>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- 2019-12-17</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</si>
  <si>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- 2019-12-17</t>
  </si>
  <si>
    <t>Yes: 1.4 Укладка рулонных материалов  выполняется в направлении «на себя» (АБИ) - 2019-12-17</t>
  </si>
  <si>
    <t>Yes: 1.5 Оклеечная гидроизоляция на мастике наклеивается сразу после ее нанесения (АБИ) - 2019-12-17</t>
  </si>
  <si>
    <t>Yes: 1.6 Толщина слоя мастики соответствует нормативным требованиям (АБИ) - 2019-12-17</t>
  </si>
  <si>
    <t>Yes: 1.7 Сопряжение смежных полотнищ выполняется с нахлесткой не менее 100 мм; торцевой нахлест полотнищ составляет не менее 150 мм (АБИ) - 2019-12-17</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</si>
  <si>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- 2019-12-17</t>
  </si>
  <si>
    <t>Yes: 1.9 При наплавлении рулонных материалов вяжущее вещество из-под боковой кромки материала вытекает на 5-15 мм (АБИ) - 2019-12-17</t>
  </si>
  <si>
    <t>Yes: 1.10 Наличие записи в журнале производства работ (АБИ) - 2019-12-17</t>
  </si>
  <si>
    <t xml:space="preserve">Алексей Бирюков: Заголовок изменен на Оконечная г/и в/о </t>
  </si>
  <si>
    <t>Алексей Бирюков: Заголовок изменен на Оконечная г/и в/о П-М по оси 34/1 отм -4,250</t>
  </si>
  <si>
    <t>Алексей Бирюков: Заголовок изменен на Устройство вертикальной г/и в/о П-М по оси 34/1 отм -4,250</t>
  </si>
  <si>
    <t>Армирование ростверка См-12 отм -0,250</t>
  </si>
  <si>
    <t>Yes: 1.1 Вертикальный и горизонтальный шаг арматуры соответствует проекту. Отклонение между рядами арматуры не более 10 мм (АБИ) - 2019-12-17</t>
  </si>
  <si>
    <t>Yes: 1.2 Длина арматурных элементов соответствуют проекту. Длины нахлестов/анкеровки арматуры составляют не менее 5% длины арматуры (ГОСТ 10922-2012) (АБИ) - 2019-12-17</t>
  </si>
  <si>
    <t>Yes: 1.3 Отклонение толщины защитного слоя бетона от проектной не более 15 мм и не менее 5 мм при толщине бетона более 300 мм (АБИ) - 2019-12-17</t>
  </si>
  <si>
    <t>No: 1.4 Сварные соединения соответствуют проекту и требованиям ГОСТ 14098—2014 (АБИ) - 2019-12-17</t>
  </si>
  <si>
    <t>No: 1.5 Закладные элементы , в том числе приспособления для устройства гидроизоляции швов, установлены в соответствии с проектом и закреплены (АБИ) - 2019-12-17</t>
  </si>
  <si>
    <t>Yes: 2.1 Наличие записи в общем журнале работ (АБИ) - 2019-12-17</t>
  </si>
  <si>
    <t>Yes: 3.1 Разрешается проведение последующих работ по устройству опалубки  или бетонированию конструкции (АБИ) - 2019-12-17</t>
  </si>
  <si>
    <t>Алексей Бирюков: Заголовок изменен на Армирование ростверк См-12 отм -0,250</t>
  </si>
  <si>
    <t>Алексей Бирюков: Заголовок изменен на Армирование ростверка См-12 отм -0,250</t>
  </si>
  <si>
    <t>Монтаж  уплотнительной  резины и стартового профиля в/о И-Л в доль оси 15/1 отм +8,370</t>
  </si>
  <si>
    <t>Yes: 2,1. Устройство конструкции выполнено в соответствии с проектом (АБИ) - 2019-11-21</t>
  </si>
  <si>
    <t>Yes: 2,2. При выполнении работ использовались материалы, прошедшие входной контроль (АБИ) - 2019-11-21</t>
  </si>
  <si>
    <t>Yes: 2,3. Конструкция проверена на соответствие проектным требованиям. Замечаний нет.  (АБИ) - 2019-11-21</t>
  </si>
  <si>
    <t>Yes: 2,4. Плановое положение и высотные отметки конструкции соответствует проекту. Отклонения не превышают нормативных (АБИ) - 2019-11-21</t>
  </si>
  <si>
    <t>No: 4,1. Наличие актов освидетельствования скрытых работ (АБИ) - 2019-11-21</t>
  </si>
  <si>
    <t>Yes: 4,2. Наличие и корректность исполнительной геодезической схемы (АБИ) - 2019-11-21</t>
  </si>
  <si>
    <t>Yes: 4,3. Наличие записей в журналах работ (АБИ) - 2019-11-21</t>
  </si>
  <si>
    <t>Yes: 4,4. Наличие паспортов и сертификатов на конструкцию и ее элементы (АБИ) - 2019-11-21</t>
  </si>
  <si>
    <t>Алексей Бирюков: Заголовок изменен на Монтаж   седловидной  резины</t>
  </si>
  <si>
    <t>Алексей Бирюков: Дата начала изменена на нояб. 21, 2019</t>
  </si>
  <si>
    <t>Алексей Бирюков: Заголовок изменен на Монтаж  уплотнительной  резины в/о И-Л в доль оси 15/1 отм +8,370</t>
  </si>
  <si>
    <t>Алексей Бирюков: Заголовок изменен на Монтаж  уплотнительной  резины и стартового профиля в/о И-Л в доль оси 15/1 отм +8,370</t>
  </si>
  <si>
    <t>Армирование парапета ПРМ 4а в/о И-Л м/о 31-33 отм -0,650</t>
  </si>
  <si>
    <t>в3.1_арматура_для_монолитных_жб</t>
  </si>
  <si>
    <t>Yes: 2,1 В сопроводительных документах о качестве указаны:
- наименование заказчика;
- наименование продукции и номер заказа;
- номер и объем партии;
- номинальный диаметр и форма периодического профиля;
- группа предельных отклонений по массе 1 м. длины;
- класс проката с указанием доп. набора тех. требований;
- штамп технического контроля качества (АБИ) - 2019-11-22</t>
  </si>
  <si>
    <t>Yes: 2,2 В сопроводительных документах есть данные о результатах испытаний (АБИ) - 2019-11-22</t>
  </si>
  <si>
    <t>Yes: 2,3 Арматура соответствует требованиям проекта (АБИ) - 2019-11-22</t>
  </si>
  <si>
    <t>Yes: 2,4 Наличие записи в "Журнале входного учета и контроля качества получаемых деталей, материалов, конструкций и оборудования" (АБИ) - 2019-11-22</t>
  </si>
  <si>
    <t>Not set: 3,1 Допускается к производству работ (АБИ) - 2019-11-22</t>
  </si>
  <si>
    <t>Алексей Бирюков: Заголовок изменен на Армирование парапета ПРМ 2</t>
  </si>
  <si>
    <t>Алексей Бирюков: Дата начала изменена на нояб. 22, 2019</t>
  </si>
  <si>
    <t>Алексей Бирюков: Заголовок изменен на Армирование парапета ПРМ 4а</t>
  </si>
  <si>
    <t>Алексей Бирюков: Заголовок изменен на Армирование парапета ПРМ 4а в/о И-Л м/о 31-33 отм -0,650</t>
  </si>
  <si>
    <t>Оклеечная Г/И КРМ-10 (4,5 м в стор Оси У/1)</t>
  </si>
  <si>
    <t>Yes: 1.1 Работы выполняются на основе утвержденного ППР (АБИ) - 2019-11-22</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</si>
  <si>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- 2019-11-22</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</si>
  <si>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- 2019-11-22</t>
  </si>
  <si>
    <t>Yes: 1.4 Укладка рулонных материалов  выполняется в направлении «на себя» (АБИ) - 2019-11-22</t>
  </si>
  <si>
    <t>Yes: 1.5 Оклеечная гидроизоляция на мастике наклеивается сразу после ее нанесения (АБИ) - 2019-11-22</t>
  </si>
  <si>
    <t>Yes: 1.6 Толщина слоя мастики соответствует нормативным требованиям (АБИ) - 2019-11-22</t>
  </si>
  <si>
    <t>Yes: 1.7 Сопряжение смежных полотнищ выполняется с нахлесткой не менее 100 мм; торцевой нахлест полотнищ составляет не менее 150 мм (АБИ) - 2019-11-22</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</si>
  <si>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- 2019-11-22</t>
  </si>
  <si>
    <t>Yes: 1.9 При наплавлении рулонных материалов вяжущее вещество из-под боковой кромки материала вытекает на 5-15 мм (АБИ) - 2019-11-22</t>
  </si>
  <si>
    <t>Yes: 1.10 Наличие записи в журнале производства работ (АБИ) - 2019-11-22</t>
  </si>
  <si>
    <t>Yes: Нормативная документация: СП 71.13330.2017 «Изоляционные и отделочные покрытия» (АБИ) - 2019-11-22</t>
  </si>
  <si>
    <t>Алексей Бирюков: Заголовок изменен на Оклеечная Г/И КРМ-10</t>
  </si>
  <si>
    <t>Алексей Бирюков: Заголовок изменен на Оклеечная Г/И КРМ-10 (4,5 М В Стор Оси У/1)</t>
  </si>
  <si>
    <t>Алексей Бирюков: Заголовок изменен на Оклеечная Г/И КРМ-10 (4,5 м в стор Оси У/1)</t>
  </si>
  <si>
    <t>Проверка натяжения Простых И ВП Болтов УЗЕЛ 321,322,327,328,179,182,183,185,188,189,194,195,196-204</t>
  </si>
  <si>
    <t>о5.1_монтаж_металлических_конструкций</t>
  </si>
  <si>
    <t>Yes: 2,1 Укрупнённая сборка отдельных конструктивных элементов и монтажных блоков соответствует проектным требованиям  (АБИ) - 2019-11-23</t>
  </si>
  <si>
    <t>Yes: 2,2 Установка и проектное закрепление отдельных конструктивных элементов и блоков в проектное положение соответствует проектным требованиям  (АБИ) - 2019-11-23</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</si>
  <si>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(АБИ) - 2019-11-23</t>
  </si>
  <si>
    <t>Yes: 2,4 При проверке закрепления конструктивных элементов щуп толщиной 0,3 мм не проходит между собранными деталями на глубину более 20 мм (АБИ) - 2019-11-23</t>
  </si>
  <si>
    <t>Yes: 2,5 Стержень болта выступает из гайки не менее 3 мм.  (АБИ) - 2019-11-23</t>
  </si>
  <si>
    <t>Yes: 2,6 Отсутствует смещение болтов при их отстукивании молотком массой 0,4 кг (АБИ) - 2019-11-23</t>
  </si>
  <si>
    <t>Yes: 2,7 Монтажные соединения на высокопрочных болтах с контролируемым натяжением: (АБИ) - 2019-11-23</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</si>
  <si>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(АБИ) - 2019-11-23</t>
  </si>
  <si>
    <t>Yes: 2,9 Размещение крепежных изделий соответствует проектным требованиям (АБИ) - 2019-11-23</t>
  </si>
  <si>
    <t>Yes: 2,1 Натяжение болтов соответствует проектным требованиям (АБИ) - 2019-11-23</t>
  </si>
  <si>
    <t>Yes: 2,11 Сварные швы соответствуют нормативным требованиям (АБИ) - 2019-11-23</t>
  </si>
  <si>
    <t>Yes: 3,1 Работы выполняются на основе утвержденного ППР (АБИ) - 2019-11-23</t>
  </si>
  <si>
    <t>Yes: 3,2 Наличие записи в журнале производства работ (АБИ) - 2019-11-23</t>
  </si>
  <si>
    <t>Yes: 3,3 Наличие записи в журнале сварочных работ (АБИ) - 2019-11-23</t>
  </si>
  <si>
    <t>Yes: 3,4 Наличие записи в журнале работ по монтажу строительных конструкций (АБИ) - 2019-11-23</t>
  </si>
  <si>
    <t>Yes: 3,5 Наличие записи в журнале выполнения монтажных соединений на болтах с контролируемым натяжением. (АБИ) - 2019-11-23</t>
  </si>
  <si>
    <t>Алексей Бирюков: Заголовок изменен на Проверка натяжения Простых ИВП болтов</t>
  </si>
  <si>
    <t>Алексей Бирюков: Заголовок изменен на Проверка натяжения Простых И ВП Болтов УЗЕЛ 321,322,327,328,179,182,183,185,188,189,194,195,196-204</t>
  </si>
  <si>
    <t>Основание под Колодец НВК-6 КОЛОДЕЦ 56</t>
  </si>
  <si>
    <t>Yes: 3,1 Допускается к производству работ (АБИ) - 2019-11-22</t>
  </si>
  <si>
    <t>Алексей Бирюков: Заголовок изменен на Основание под Колодец НВК-6 КОЛОДЕЦ 56</t>
  </si>
  <si>
    <t>Окраска ВПУ Блок 2.2 Узел 172,173,182-186,188,194,195,282,284,286,288,290,298,302,304,431-436,439,440,442,443,590,591,594,595,600,606,610-613</t>
  </si>
  <si>
    <t>п8.6_малярные_работы</t>
  </si>
  <si>
    <t>Yes: 2,1.При производстве работ использована краска, прошедшая входной контроль (АБИ) - 2019-11-23</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</si>
  <si>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- 2019-11-23</t>
  </si>
  <si>
    <t>Yes: 2,3. На окрешенной поверхности отсутствуют полосы, пятна, подтеки, брызги (АБИ) - 2019-11-23</t>
  </si>
  <si>
    <t>Yes: 2,4.На окрешенной поверхности отсутствубт трешины, утолщения, другие видимые дефекты (АБИ) - 2019-11-23</t>
  </si>
  <si>
    <t>No: 3,1. Наличие полного комплекта исполнительной документации (АБИ) - 2019-11-23</t>
  </si>
  <si>
    <t>Алексей Бирюков: Заголовок изменен на Окраска ВПУ</t>
  </si>
  <si>
    <t>Алексей Бирюков: Заголовок изменен на Окраска ВПУ Блок 2.2 Узел 172,173,182-186,188,194,195,282,284,286,288,290,298,302,304,431-436,439,440,442,443,590,591,594,595,600,606,610-613</t>
  </si>
  <si>
    <t>Армирование Надстраеваемых Стен Иперекрытий В/о 14-15/А</t>
  </si>
  <si>
    <t>Yes: 1.1 Вертикальный и горизонтальный шаг арматуры соответствует проекту. Отклонение между рядами арматуры не более 10 мм (АБИ) - 2019-11-23</t>
  </si>
  <si>
    <t>Yes: 1.2 Длина арматурных элементов соответствуют проекту. Длины нахлестов/анкеровки арматуры составляют не менее 5% длины арматуры (ГОСТ 10922-2012) (АБИ) - 2019-11-23</t>
  </si>
  <si>
    <t>Yes: 1.3 Отклонение толщины защитного слоя бетона от проектной не более 15 мм и не менее 5 мм при толщине бетона более 300 мм (АБИ) - 2019-11-23</t>
  </si>
  <si>
    <t>Yes: 1.4 Сварные соединения соответствуют проекту и требованиям ГОСТ 14098—2014 (АБИ) - 2019-11-23</t>
  </si>
  <si>
    <t>Yes: 1.5 Закладные элементы , в том числе приспособления для устройства гидроизоляции швов, установлены в соответствии с проектом и закреплены (АБИ) - 2019-11-23</t>
  </si>
  <si>
    <t>Yes: 2.1 Наличие записи в общем журнале работ (АБИ) - 2019-11-23</t>
  </si>
  <si>
    <t>Yes: 3.1 Разрешается проведение последующих работ по устройству опалубки  или бетонированию конструкции (АБИ) - 2019-11-23</t>
  </si>
  <si>
    <t>Алексей Бирюков: Заголовок изменен на Армирование Надстраеваемых Стен Иперекрытий В/о 14-15/А</t>
  </si>
  <si>
    <t>Устройство противопожарной отсечки из мин.ваты в/о 23-27 по оси 13/Б Блок Б2 отм -0,250</t>
  </si>
  <si>
    <t>Yes: 2,1. Устройство конструкции выполнено в соответствии с проектом (АБИ) - 2020-01-26</t>
  </si>
  <si>
    <t>Yes: 2,2. При выполнении работ использовались материалы, прошедшие входной контроль (АБИ) - 2020-01-26</t>
  </si>
  <si>
    <t>Yes: 2,3. Конструкция проверена на соответствие проектным требованиям. Замечаний нет.  (АБИ) - 2020-01-26</t>
  </si>
  <si>
    <t>Yes: 2,4. Плановое положение и высотные отметки конструкции соответствует проекту. Отклонения не превышают нормативных (АБИ) - 2020-01-26</t>
  </si>
  <si>
    <t>No: 4,1. Наличие актов освидетельствования скрытых работ (АБИ) - 2020-01-26</t>
  </si>
  <si>
    <t>No: 4,2. Наличие и корректность исполнительной геодезической схемы (АБИ) - 2020-01-26</t>
  </si>
  <si>
    <t>Yes: 4,3. Наличие записей в журналах работ (АБИ) - 2020-01-26</t>
  </si>
  <si>
    <t>Yes: 4,4. Наличие паспортов и сертификатов на конструкцию и ее элементы (АБИ) - 2020-01-26</t>
  </si>
  <si>
    <t>Алексей Бирюков: Заголовок изменен на Устройство противопожарной отсечки из мин.ваты в/о 23-29 по оси 13/Б Блок Б2 отм -0,250</t>
  </si>
  <si>
    <t>Алексей Бирюков: Заголовок изменен на Устройство противопожарной отсечки из мин.ваты в/о 23-27 по оси 13/Б Блок Б2 отм -0,250</t>
  </si>
  <si>
    <t>Монтаж панелей фасада в о 16-13 м/о С-Т Блок 2 отм +12,450</t>
  </si>
  <si>
    <t>Yes: 4,2. Наличие и корректность исполнительной геодезической схемы (АБИ) - 2020-01-26</t>
  </si>
  <si>
    <t>Алексей Бирюков: Заголовок изменен на Монтаж панелей фасада в о 16-13 м/о С-Т Блок 2 отм +12,450</t>
  </si>
  <si>
    <t>Монтаж м/к (ферм)</t>
  </si>
  <si>
    <t>Yes: 2.1 Отклонения отметок опорных поверхностей колонн и опор от проектных не более 5 мм., опорных узлов не более 10 мм. (АБИ) - 2019-12-19</t>
  </si>
  <si>
    <t>N/A: 2.2 Смещение осей колонн и опор относительно разбивочных осей в опорном сечении не более 5 мм. (АБИ) - 2019-12-19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</si>
  <si>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- 2019-12-19</t>
  </si>
  <si>
    <t>Yes: 2.4 Стрела прогиба (кривизна) конструкции между точками закрепления не более 15 мм (АБИ) - 2019-12-19</t>
  </si>
  <si>
    <t>Yes: 2.5 Смещение ферм, балок ригелей от осей на оголовках колонн из плоскости рамы не более 15 мм. (АБИ) - 2019-12-19</t>
  </si>
  <si>
    <t>Yes: 2.6 Отклонений расстояний между прогонами не более 5 мм. от проектных (АБИ) - 2019-12-19</t>
  </si>
  <si>
    <t>Yes: 3.1 Момент затяжки обычных и высокопрочных болтов соответствует проекту. Зазоры в месте стыков отсутствуют (АБИ) - 2019-12-19</t>
  </si>
  <si>
    <t>Yes: 3.2 Заводское покрытие элементов конструкций восстановлено (при повреждении в процессе монтажа) (АБИ) - 2019-12-19</t>
  </si>
  <si>
    <t>Yes: 3.3 Выполнена окраска всех болтов и стыков в соответствии с проектом (АБИ) - 2019-12-19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</si>
  <si>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- 2019-12-19</t>
  </si>
  <si>
    <t>Yes: 5,1 Наличие записи в журнале производства работ (АБИ) - 2019-12-19</t>
  </si>
  <si>
    <t>Yes: 5,2 Наличие записи в журнале выполнения монтажных соединений на болтах с контролируемым натяжением (АБИ) - 2019-12-19</t>
  </si>
  <si>
    <t>N/A: 5,3 Наличие записи в журнале сварочных работ (АБИ) - 2019-12-19</t>
  </si>
  <si>
    <t>N/A: 5,4 Наличие записи в журнале работ по монтажу строительных конструкций (АБИ) - 2019-12-19</t>
  </si>
  <si>
    <t>No: 5,5 Наличие акта освидетельствования скрытых работ (АБИ) - 2019-12-19</t>
  </si>
  <si>
    <t>No: 5,6 Наличие акта освидетельствования ответственных конструкций (АБИ) - 2019-12-19</t>
  </si>
  <si>
    <t>Yes: 5,7 Наличие исполнительной геодезической схемы положения конструкций (АБИ) - 2019-12-19</t>
  </si>
  <si>
    <t>N/A: 5,8 Наличие документа о контроле качества сварных соединений (АБИ) - 2019-12-19</t>
  </si>
  <si>
    <t>Алексей Бирюков: Заголовок изменен на Монтаж м/к (ферм)</t>
  </si>
  <si>
    <t>Алексей Бирюков: Дата начала изменена на 19 декабря 2019 г.</t>
  </si>
  <si>
    <t>Монтаж кронштейна</t>
  </si>
  <si>
    <t>Yes: 2,1. Устройство конструкции выполнено в соответствии с проектом (АБИ) - 2019-12-20</t>
  </si>
  <si>
    <t>Yes: 2,2. При выполнении работ использовались материалы, прошедшие входной контроль (АБИ) - 2019-12-20</t>
  </si>
  <si>
    <t>Yes: 2,3. Конструкция проверена на соответствие проектным требованиям. Замечаний нет.  (АБИ) - 2019-12-20</t>
  </si>
  <si>
    <t>Yes: 2,4. Плановое положение и высотные отметки конструкции соответствует проекту. Отклонения не превышают нормативных (АБИ) - 2019-12-20</t>
  </si>
  <si>
    <t>No: 4,1. Наличие актов освидетельствования скрытых работ (АБИ) - 2019-12-20</t>
  </si>
  <si>
    <t>Yes: 4,2. Наличие и корректность исполнительной геодезической схемы (АБИ) - 2019-12-20</t>
  </si>
  <si>
    <t>Yes: 4,3. Наличие записей в журналах работ (АБИ) - 2019-12-20</t>
  </si>
  <si>
    <t>Yes: 4,4. Наличие паспортов и сертификатов на конструкцию и ее элементы (АБИ) - 2019-12-20</t>
  </si>
  <si>
    <t>Алексей Бирюков: Заголовок изменен на Монтаж кронштейна</t>
  </si>
  <si>
    <t>Монтаж панелей фасада в/о 15-17 в доль оси 1/Г с отм +4.170 до отм +8,370 Блок 2;в/о 18-20 по 3/А и Д-И по 19/1 отм 16,800 Блок №2</t>
  </si>
  <si>
    <t>от2_проверка_документаци_от_и_тб</t>
  </si>
  <si>
    <t>Not set: 1,1_Наличие Акта-допуска (акта передачи строительной площадки). (АБИ) - 2019-12-20</t>
  </si>
  <si>
    <t>Not set: 1,2_Наличие  и своевременное заполнение журналов инструктажей по ОТ и ПБ. (АБИ) - 2019-12-20</t>
  </si>
  <si>
    <t>Not set: 1,3_Наличие ППР (технологической карты) на выполнение работ. (АБИ) - 2019-12-20</t>
  </si>
  <si>
    <t>Not set: 1,4_Имеется договор со специализированной организацией на вывоз строительного мусора и отходов. (АБИ) - 2019-12-20</t>
  </si>
  <si>
    <t>Not set: 1,5_Имеется договор на утилизацию I, II, III класса опасности. (Если образуются отходы данных классов опасности) (АБИ) - 2019-12-20</t>
  </si>
  <si>
    <t>Not set: 1,6_Работники ознакомлены с ППР, имеется роспись в листе ознакомления. (АБИ) - 2019-12-20</t>
  </si>
  <si>
    <t>Not set: 2,1_Назначение ответственного за безопасное производство работ (приказ). (АБИ) - 2019-12-20</t>
  </si>
  <si>
    <t>Not set: 2,2_Назначение ответственного за выдачу наряда-допуска (приказ). (АБИ) - 2019-12-20</t>
  </si>
  <si>
    <t>Not set: 2,3_Охрана труда (удостоверение и приказ). (АБИ) - 2019-12-20</t>
  </si>
  <si>
    <t>Not set: 2,4_Пожарная безопасность (удостоверение и приказ). (АБИ) - 2019-12-20</t>
  </si>
  <si>
    <t>Not set: 2,5_Электробезопасность (удостоверение  и приказ). (АБИ) - 2019-12-20</t>
  </si>
  <si>
    <t>Not set: 2,6_Безопасное производство земляных работ (удостоверение  и приказ). (АБИ) - 2019-12-20</t>
  </si>
  <si>
    <t>Not set: 2,7_Безопасное производство огневых и сварочных работ (удостоверение  и приказ). (АБИ) - 2019-12-20</t>
  </si>
  <si>
    <t>Not set: 2,8_Безопасное производство работ на высоте (удостоверение  и приказ). (АБИ) - 2019-12-20</t>
  </si>
  <si>
    <t>Not set: 2,9_Безопасная эксплуатация сосудов, работающих под давлением (удостоверение  и приказ). (АБИ) - 2019-12-20</t>
  </si>
  <si>
    <t>Not set: 2,10_Безопасное производство работ подъемными сооружениями (удостоверение  и приказ). (АБИ) - 2019-12-20</t>
  </si>
  <si>
    <t>Not set: 2,11_Приказ о назначении ответственного за электрохозяйство (АБИ) - 2019-12-20</t>
  </si>
  <si>
    <t>Not set: 3,1_Программы инструктажа на рабочем месте (АБИ) - 2019-12-20</t>
  </si>
  <si>
    <t>Not set: 3,2_Программы обучения по охране труда рабочих (АБИ) - 2019-12-20</t>
  </si>
  <si>
    <t>Not set: 3,3_Протоколы проверки знаний (АБИ) - 2019-12-20</t>
  </si>
  <si>
    <t>Not set: 3,4_Инструкции по охране труда и пожарной безопасности (с визой работников об ознакомлении). (АБИ) - 2019-12-20</t>
  </si>
  <si>
    <t>Not set: 3,5_Наличие удостоверений по ОТ, ПБ (также по протоколам обучений) (АБИ) - 2019-12-20</t>
  </si>
  <si>
    <t>Not set: 3,6_Распоряжения о проведении стажировки, допуске к самостоятельной работе (АБИ) - 2019-12-20</t>
  </si>
  <si>
    <t>Not set: 3,7_Утвержденные нормы СИЗ. Личные карточки  по СИЗ (АБИ) - 2019-12-20</t>
  </si>
  <si>
    <t>Not set: 3,8_Утвержденный список лиц, допущенных к работе на станках, с приспособлениями, с электро-/газосварочным инструментом (АБИ) - 2019-12-20</t>
  </si>
  <si>
    <t>Not set: 3,9_План эвакуации на случай пожара или ЧС (АБИ) - 2019-12-20</t>
  </si>
  <si>
    <t>Not set: 2,1. Устройство конструкции выполнено в соответствии с проектом (АБИ) - 2019-12-20</t>
  </si>
  <si>
    <t>Not set: 2,2. При выполнении работ использовались материалы, прошедшие входной контроль (АБИ) - 2019-12-20</t>
  </si>
  <si>
    <t>Not set: 2,3. Конструкция проверена на соответствие проектным требованиям. Замечаний нет.  (АБИ) - 2019-12-20</t>
  </si>
  <si>
    <t>Not set: 2,4. Плановое положение и высотные отметки конструкции соответствует проекту. Отклонения не превышают нормативных (АБИ) - 2019-12-20</t>
  </si>
  <si>
    <t>Not set: 4,1. Наличие актов освидетельствования скрытых работ (АБИ) - 2019-12-20</t>
  </si>
  <si>
    <t>Not set: 4,2. Наличие и корректность исполнительной геодезической схемы (АБИ) - 2019-12-20</t>
  </si>
  <si>
    <t>Not set: 4,3. Наличие записей в журналах работ (АБИ) - 2019-12-20</t>
  </si>
  <si>
    <t>Not set: 4,4. Наличие паспортов и сертификатов на конструкцию и ее элементы (АБИ) - 2019-12-20</t>
  </si>
  <si>
    <t>N/A: 4,1. Наличие актов освидетельствования скрытых работ (АБИ) - 2019-12-20</t>
  </si>
  <si>
    <t>Алексей Бирюков: Заголовок изменен на Монтаж панелей фасада в/о 15-17 в доль оси 1/Г с отм +4.170 до отм +8,370 Блок 2</t>
  </si>
  <si>
    <t>Алексей Бирюков: Заголовок изменен на Монтаж панелей фасада в/о 15-17 в доль оси 1/Г с отм +4.170 до отм +8,370 Блок 2;в/о 18-20 по 3/А и Д-И по 19/1 отм 16,800 Блок №2</t>
  </si>
  <si>
    <t>Армирование парапета Прм-4а в/о А-Б м/о 22-26 на отм.-0,650</t>
  </si>
  <si>
    <t>Yes: 1.1 Вертикальный и горизонтальный шаг арматуры соответствует проекту. Отклонение между рядами арматуры не более 10 мм (АБИ) - 2019-11-25</t>
  </si>
  <si>
    <t>Yes: 1.2 Длина арматурных элементов соответствуют проекту. Длины нахлестов/анкеровки арматуры составляют не менее 5% длины арматуры (ГОСТ 10922-2012) (АБИ) - 2019-11-25</t>
  </si>
  <si>
    <t>Yes: 1.3 Отклонение толщины защитного слоя бетона от проектной не более 15 мм и не менее 5 мм при толщине бетона более 300 мм (АБИ) - 2019-11-25</t>
  </si>
  <si>
    <t>No: 1.4 Сварные соединения соответствуют проекту и требованиям ГОСТ 14098—2014 (АБИ) - 2019-11-25</t>
  </si>
  <si>
    <t>Yes: 1.5 Закладные элементы , в том числе приспособления для устройства гидроизоляции швов, установлены в соответствии с проектом и закреплены (АБИ) - 2019-11-25</t>
  </si>
  <si>
    <t>Yes: 2.1 Наличие записи в общем журнале работ (АБИ) - 2019-11-25</t>
  </si>
  <si>
    <t>Yes: 3.1 Разрешается проведение последующих работ по устройству опалубки  или бетонированию конструкции (АБИ) - 2019-11-25</t>
  </si>
  <si>
    <t>Алексей Бирюков: Заголовок изменен на Армирование парапета Прм-4а в/о А-Б м/о 22-26 на отм.-0,650</t>
  </si>
  <si>
    <t>Алексей Бирюков: Изменена дата начала на 25.11.2019</t>
  </si>
  <si>
    <t>Проверка натяжения ВП и обычных болтов М/К  Блок 2.2 Узел №130;193;285/1;Блок 1 Узел №37;38;40;Кровля-84 узла (см. чек-лист)</t>
  </si>
  <si>
    <t>Yes: 2.1 Отклонения отметок опорных поверхностей колонн и опор от проектных не более 5 мм., опорных узлов не более 10 мм. (АБИ) - 2019-11-25</t>
  </si>
  <si>
    <t>Yes: 2.2 Смещение осей колонн и опор относительно разбивочных осей в опорном сечении не более 5 мм. (АБИ) - 2019-11-25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</si>
  <si>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- 2019-11-25</t>
  </si>
  <si>
    <t>Yes: 2.4 Стрела прогиба (кривизна) конструкции между точками закрепления не более 15 мм (АБИ) - 2019-11-25</t>
  </si>
  <si>
    <t>Yes: 2.5 Смещение ферм, балок ригелей от осей на оголовках колонн из плоскости рамы не более 15 мм. (АБИ) - 2019-11-25</t>
  </si>
  <si>
    <t>Yes: 2.6 Отклонений расстояний между прогонами не более 5 мм. от проектных (АБИ) - 2019-11-25</t>
  </si>
  <si>
    <t>Yes: 3.1 Момент затяжки обычных и высокопрочных болтов соответствует проекту. Зазоры в месте стыков отсутствуют (АБИ) - 2019-11-25</t>
  </si>
  <si>
    <t>Yes: 3.2 Заводское покрытие элементов конструкций восстановлено (при повреждении в процессе монтажа) (АБИ) - 2019-11-25</t>
  </si>
  <si>
    <t>No: 3.3 Выполнена окраска всех болтов и стыков в соответствии с проектом (АБИ) - 2019-11-25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</si>
  <si>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- 2019-11-25</t>
  </si>
  <si>
    <t>Yes: 5,1 Наличие записи в журнале производства работ (АБИ) - 2019-11-25</t>
  </si>
  <si>
    <t>Yes: 5,2 Наличие записи в журнале выполнения монтажных соединений на болтах с контролируемым натяжением (АБИ) - 2019-11-25</t>
  </si>
  <si>
    <t>No: 5,3 Наличие записи в журнале сварочных работ (АБИ) - 2019-11-25</t>
  </si>
  <si>
    <t>Yes: 5,4 Наличие записи в журнале работ по монтажу строительных конструкций (АБИ) - 2019-11-25</t>
  </si>
  <si>
    <t>No: 5,5 Наличие акта освидетельствования скрытых работ (АБИ) - 2019-11-25</t>
  </si>
  <si>
    <t>No: 5,6 Наличие акта освидетельствования ответственных конструкций (АБИ) - 2019-11-25</t>
  </si>
  <si>
    <t>Yes: 5,7 Наличие исполнительной геодезической схемы положения конструкций (АБИ) - 2019-11-25</t>
  </si>
  <si>
    <t>No: 5,8 Наличие документа о контроле качества сварных соединений (АБИ) - 2019-11-25</t>
  </si>
  <si>
    <t>Алексей Бирюков: Заголовок изменен на Проверка натяжения ВП и обычных болтов М/К  Блок 2.2 Узел №130;193;285/1;Блок 1 Узел №37;38;40;Кровля-84 узла (см. чек-лист)</t>
  </si>
  <si>
    <t>Шпатлёвка 13L3.2.27,26,25,11L3.2.042</t>
  </si>
  <si>
    <t>п8.6_малярные работы</t>
  </si>
  <si>
    <t>Yes: 2,1.При производстве работ использована краска, прошедшая входной контроль (АБИ) - 2019-11-25</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</si>
  <si>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- 2019-11-25</t>
  </si>
  <si>
    <t>Yes: 2,3. На окрешенной поверхности отсутствуют полосы, пятна, подтеки, брызги (АБИ) - 2019-11-25</t>
  </si>
  <si>
    <t>Yes: 2,4.На окрешенной поверхности отсутствубт трешины, утолщения, другие видимые дефекты (АБИ) - 2019-11-25</t>
  </si>
  <si>
    <t>Yes: 3,1. Наличие полного комплекта исполнительной документации (АБИ) - 2019-11-25</t>
  </si>
  <si>
    <t>Алексей Бирюков: Заголовок изменен на Шпатлёвка</t>
  </si>
  <si>
    <t>Алексей Бирюков: Заголовок изменен на Шпатлёвка 13L3.2.27,26,25</t>
  </si>
  <si>
    <t>Алексей Бирюков: Заголовок изменен на Шпатлёвка 13L3.2.27,26,25,11L3.2.042</t>
  </si>
  <si>
    <t>Монтаж м/к (ферма) Узел №6.8;7.15;3.78-3.82;14;16;17;307-310</t>
  </si>
  <si>
    <t>Yes: 2.1 Отклонения отметок опорных поверхностей колонн и опор от проектных не более 5 мм., опорных узлов не более 10 мм. (АБИ) - 2019-12-20</t>
  </si>
  <si>
    <t>Yes: 2.2 Смещение осей колонн и опор относительно разбивочных осей в опорном сечении не более 5 мм. (АБИ) - 2019-12-20</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</si>
  <si>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- 2019-12-20</t>
  </si>
  <si>
    <t>Yes: 2.4 Стрела прогиба (кривизна) конструкции между точками закрепления не более 15 мм (АБИ) - 2019-12-20</t>
  </si>
  <si>
    <t>Yes: 2.5 Смещение ферм, балок ригелей от осей на оголовках колонн из плоскости рамы не более 15 мм. (АБИ) - 2019-12-20</t>
  </si>
  <si>
    <t>Yes: 2.6 Отклонений расстояний между прогонами не более 5 мм. от проектных (АБИ) - 2019-12-20</t>
  </si>
  <si>
    <t>Yes: 3.1 Момент затяжки обычных и высокопрочных болтов соответствует проекту. Зазоры в месте стыков отсутствуют (АБИ) - 2019-12-20</t>
  </si>
  <si>
    <t>Yes: 3.2 Заводское покрытие элементов конструкций восстановлено (при повреждении в процессе монтажа) (АБИ) - 2019-12-20</t>
  </si>
  <si>
    <t>No: 3.3 Выполнена окраска всех болтов и стыков в соответствии с проектом (АБИ) - 2019-12-20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</si>
  <si>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- 2019-12-20</t>
  </si>
  <si>
    <t>Yes: 5,1 Наличие записи в журнале производства работ (АБИ) - 2019-12-20</t>
  </si>
  <si>
    <t>Yes: 5,2 Наличие записи в журнале выполнения монтажных соединений на болтах с контролируемым натяжением (АБИ) - 2019-12-20</t>
  </si>
  <si>
    <t>Yes: 5,3 Наличие записи в журнале сварочных работ (АБИ) - 2019-12-20</t>
  </si>
  <si>
    <t>Yes: 5,4 Наличие записи в журнале работ по монтажу строительных конструкций (АБИ) - 2019-12-20</t>
  </si>
  <si>
    <t>N/A: 5,5 Наличие акта освидетельствования скрытых работ (АБИ) - 2019-12-20</t>
  </si>
  <si>
    <t>N/A: 5,6 Наличие акта освидетельствования ответственных конструкций (АБИ) - 2019-12-20</t>
  </si>
  <si>
    <t>Yes: 5,7 Наличие исполнительной геодезической схемы положения конструкций (АБИ) - 2019-12-20</t>
  </si>
  <si>
    <t>Yes: 5,8 Наличие документа о контроле качества сварных соединений (АБИ) - 2019-12-20</t>
  </si>
  <si>
    <t xml:space="preserve">Алексей Бирюков: Заголовок изменен на Монтаж м/к </t>
  </si>
  <si>
    <t>Алексей Бирюков: Заголовок изменен на Монтаж м/к (ферма) Узел №6.8;7.15;3.78-3.82;14;16;17;307-310</t>
  </si>
  <si>
    <t>Устройство огнезащиты (огракс) мет.конструкций  Блок  1 отм L-15 в/о Р-С м/о 1-2;в/о Л-И  по оси 1</t>
  </si>
  <si>
    <t>Алексей Бирюков: Заголовок изменен на Устройство огнезащиты (огракс) мет.конструкций  Блок  1 отм L-15 в/о Р-С м/о 1-2;в/о Л-И  по оси 1</t>
  </si>
  <si>
    <t>Алексей Бирюков: Изменена дата начала на 26.11.2019</t>
  </si>
  <si>
    <t>Проверка  натяжения ВП и обычных болтов  Блок 1 25 узлов,согласно  приложенного списка  Блок №1 Узел №149-154;82-91;93;95;39;41;74;73475;78;79;65461;59</t>
  </si>
  <si>
    <t>Yes: 2.1 Отклонения отметок опорных поверхностей колонн и опор от проектных не более 5 мм., опорных узлов не более 10 мм. (АБИ) - 2019-11-26</t>
  </si>
  <si>
    <t>Yes: 2.2 Смещение осей колонн и опор относительно разбивочных осей в опорном сечении не более 5 мм. (АБИ) - 2019-11-26</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</si>
  <si>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- 2019-11-26</t>
  </si>
  <si>
    <t>Yes: 2.4 Стрела прогиба (кривизна) конструкции между точками закрепления не более 15 мм (АБИ) - 2019-11-26</t>
  </si>
  <si>
    <t>Yes: 2.5 Смещение ферм, балок ригелей от осей на оголовках колонн из плоскости рамы не более 15 мм. (АБИ) - 2019-11-26</t>
  </si>
  <si>
    <t>Yes: 2.6 Отклонений расстояний между прогонами не более 5 мм. от проектных (АБИ) - 2019-11-26</t>
  </si>
  <si>
    <t>Yes: 3.1 Момент затяжки обычных и высокопрочных болтов соответствует проекту. Зазоры в месте стыков отсутствуют (АБИ) - 2019-11-26</t>
  </si>
  <si>
    <t>Yes: 3.2 Заводское покрытие элементов конструкций восстановлено (при повреждении в процессе монтажа) (АБИ) - 2019-11-26</t>
  </si>
  <si>
    <t>No: 3.3 Выполнена окраска всех болтов и стыков в соответствии с проектом (АБИ) - 2019-11-26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</si>
  <si>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- 2019-11-26</t>
  </si>
  <si>
    <t>Yes: 5,1 Наличие записи в журнале производства работ (АБИ) - 2019-11-26</t>
  </si>
  <si>
    <t>Yes: 5,2 Наличие записи в журнале выполнения монтажных соединений на болтах с контролируемым натяжением (АБИ) - 2019-11-26</t>
  </si>
  <si>
    <t>Yes: 5,3 Наличие записи в журнале сварочных работ (АБИ) - 2019-11-26</t>
  </si>
  <si>
    <t>Yes: 5,4 Наличие записи в журнале работ по монтажу строительных конструкций (АБИ) - 2019-11-26</t>
  </si>
  <si>
    <t>No: 5,5 Наличие акта освидетельствования скрытых работ (АБИ) - 2019-11-26</t>
  </si>
  <si>
    <t>No: 5,6 Наличие акта освидетельствования ответственных конструкций (АБИ) - 2019-11-26</t>
  </si>
  <si>
    <t>Yes: 5,7 Наличие исполнительной геодезической схемы положения конструкций (АБИ) - 2019-11-26</t>
  </si>
  <si>
    <t>No: 5,8 Наличие документа о контроле качества сварных соединений (АБИ) - 2019-11-26</t>
  </si>
  <si>
    <t>Алексей Бирюков: Заголовок изменен на Проверка  натяжения ВП и обычных болтов  Блок 1 25 узлов,согласно  приложенного списка  Блок №1 Узел №149-154;82-91;93;95;39;41;74;73475;78;79;65461;59</t>
  </si>
  <si>
    <t>Монтаж  панелей фасадов в/о Е-К в доль оси 19/1 с отм +16.770 до отм +20,970 Блок 2</t>
  </si>
  <si>
    <t>Yes: 2,1. Устройство конструкции выполнено в соответствии с проектом (АБИ) - 2019-11-29</t>
  </si>
  <si>
    <t>Yes: 2,2. При выполнении работ использовались материалы, прошедшие входной контроль (АБИ) - 2019-11-29</t>
  </si>
  <si>
    <t>Yes: 2,3. Конструкция проверена на соответствие проектным требованиям. Замечаний нет.  (АБИ) - 2019-11-29</t>
  </si>
  <si>
    <t>Yes: 2,4. Плановое положение и высотные отметки конструкции соответствует проекту. Отклонения не превышают нормативных (АБИ) - 2019-11-29</t>
  </si>
  <si>
    <t>No: 4,1. Наличие актов освидетельствования скрытых работ (АБИ) - 2019-11-29</t>
  </si>
  <si>
    <t>Yes: 4,2. Наличие и корректность исполнительной геодезической схемы (АБИ) - 2019-11-29</t>
  </si>
  <si>
    <t>Yes: 4,3. Наличие записей в журналах работ (АБИ) - 2019-11-29</t>
  </si>
  <si>
    <t>Yes: 4,4. Наличие паспортов и сертификатов на конструкцию и ее элементы (АБИ) - 2019-11-29</t>
  </si>
  <si>
    <t>Алексей Бирюков: Изменена дата начала на 29.11.2019</t>
  </si>
  <si>
    <t>Алексей Бирюков: Заголовок изменен на Монтаж  панелей фасадов в/о Е-К в доль оси 19/1 с отм +16.770 до отм +20,970 Блок 2</t>
  </si>
  <si>
    <t>Монтаж м/к (ферм) Узлы №7.16;2.131-2.135</t>
  </si>
  <si>
    <t>Yes: 2.1 Отклонения отметок опорных поверхностей колонн и опор от проектных не более 5 мм., опорных узлов не более 10 мм. (АБИ) - 2019-12-24</t>
  </si>
  <si>
    <t>Yes: 2.2 Смещение осей колонн и опор относительно разбивочных осей в опорном сечении не более 5 мм. (АБИ) - 2019-12-24</t>
  </si>
  <si>
    <t>No: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- 2019-12-24</t>
  </si>
  <si>
    <t>Yes: 2.4 Стрела прогиба (кривизна) конструкции между точками закрепления не более 15 мм (АБИ) - 2019-12-24</t>
  </si>
  <si>
    <t>Yes: 2.5 Смещение ферм, балок ригелей от осей на оголовках колонн из плоскости рамы не более 15 мм. (АБИ) - 2019-12-24</t>
  </si>
  <si>
    <t>Yes: 2.6 Отклонений расстояний между прогонами не более 5 мм. от проектных (АБИ) - 2019-12-24</t>
  </si>
  <si>
    <t>Yes: 3.1 Момент затяжки обычных и высокопрочных болтов соответствует проекту. Зазоры в месте стыков отсутствуют (АБИ) - 2019-12-24</t>
  </si>
  <si>
    <t>N/A: 3.2 Заводское покрытие элементов конструкций восстановлено (при повреждении в процессе монтажа) (АБИ) - 2019-12-24</t>
  </si>
  <si>
    <t>N/A: 3.3 Выполнена окраска всех болтов и стыков в соответствии с проектом (АБИ) - 2019-12-24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</si>
  <si>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- 2019-12-24</t>
  </si>
  <si>
    <t>Yes: 5,1 Наличие записи в журнале производства работ (АБИ) - 2019-12-24</t>
  </si>
  <si>
    <t>Yes: 5,2 Наличие записи в журнале выполнения монтажных соединений на болтах с контролируемым натяжением (АБИ) - 2019-12-24</t>
  </si>
  <si>
    <t>No: 5,3 Наличие записи в журнале сварочных работ (АБИ) - 2019-12-24</t>
  </si>
  <si>
    <t>Yes: 5,4 Наличие записи в журнале работ по монтажу строительных конструкций (АБИ) - 2019-12-24</t>
  </si>
  <si>
    <t>N/A: 5,5 Наличие акта освидетельствования скрытых работ (АБИ) - 2019-12-24</t>
  </si>
  <si>
    <t>N/A: 5,6 Наличие акта освидетельствования ответственных конструкций (АБИ) - 2019-12-24</t>
  </si>
  <si>
    <t>Yes: 5,7 Наличие исполнительной геодезической схемы положения конструкций (АБИ) - 2019-12-24</t>
  </si>
  <si>
    <t>No: 5,8 Наличие документа о контроле качества сварных соединений (АБИ) - 2019-12-24</t>
  </si>
  <si>
    <t xml:space="preserve">Алексей Бирюков: Заголовок изменен на Монтаж м/к (ферм) </t>
  </si>
  <si>
    <t>Алексей Бирюков: Дата начала изменена на 24 декабря 2019 г.</t>
  </si>
  <si>
    <t>Алексей Бирюков: Заголовок изменен на Монтаж м/к (ферм) Узлы №7.16;2.131-2.135</t>
  </si>
  <si>
    <t>Опалубка и армирование основания бетонной подготовки колодца 57-57А отм -4,200</t>
  </si>
  <si>
    <t>Yes: 2,1. Устройство конструкции выполнено в соответствии с проектом (АБИ) - 2019-12-24</t>
  </si>
  <si>
    <t>Yes: 2,2. При выполнении работ использовались материалы, прошедшие входной контроль (АБИ) - 2019-12-24</t>
  </si>
  <si>
    <t>Yes: 2,3. Конструкция проверена на соответствие проектным требованиям. Замечаний нет.  (АБИ) - 2019-12-24</t>
  </si>
  <si>
    <t>Yes: 2,4. Плановое положение и высотные отметки конструкции соответствует проекту. Отклонения не превышают нормативных (АБИ) - 2019-12-24</t>
  </si>
  <si>
    <t>No: 4,1. Наличие актов освидетельствования скрытых работ (АБИ) - 2019-12-24</t>
  </si>
  <si>
    <t>Yes: 4,2. Наличие и корректность исполнительной геодезической схемы (АБИ) - 2019-12-24</t>
  </si>
  <si>
    <t>Yes: 4,3. Наличие записей в журналах работ (АБИ) - 2019-12-24</t>
  </si>
  <si>
    <t>Yes: 4,4. Наличие паспортов и сертификатов на конструкцию и ее элементы (АБИ) - 2019-12-24</t>
  </si>
  <si>
    <t>Алексей Бирюков: Заголовок изменен на Опалубка и армирование основания бетонной подготовки колодца 57-57А</t>
  </si>
  <si>
    <t xml:space="preserve">Алексей Бирюков: Заголовок изменен на Опалубка и армирование основания бетонной подготовки колодца 57-57А </t>
  </si>
  <si>
    <t>Алексей Бирюков: Дата окончания изменена на 23 декабря 2019 г.</t>
  </si>
  <si>
    <t>Алексей Бирюков: Заголовок изменен на Опалубка и армирование основания бетонной подготовки колодца 57-57А отм -4,200</t>
  </si>
  <si>
    <t>Монтаж  панелей фасада в/о 17-20 в доль оси 3/А с отм +6,312 до отм +8,370 Блок 2;в/о 10-13 в доль оси И с отм+0.120 до отм+4.170 Блок 2</t>
  </si>
  <si>
    <t>Yes: 2,1. Устройство конструкции выполнено в соответствии с проектом (АБИ) - 2019-11-30</t>
  </si>
  <si>
    <t>Yes: 2,2. При выполнении работ использовались материалы, прошедшие входной контроль (АБИ) - 2019-11-30</t>
  </si>
  <si>
    <t>Yes: 2,3. Конструкция проверена на соответствие проектным требованиям. Замечаний нет.  (АБИ) - 2019-11-30</t>
  </si>
  <si>
    <t>Yes: 2,4. Плановое положение и высотные отметки конструкции соответствует проекту. Отклонения не превышают нормативных (АБИ) - 2019-11-30</t>
  </si>
  <si>
    <t>No: 4,1. Наличие актов освидетельствования скрытых работ (АБИ) - 2019-11-30</t>
  </si>
  <si>
    <t>Yes: 4,2. Наличие и корректность исполнительной геодезической схемы (АБИ) - 2019-11-30</t>
  </si>
  <si>
    <t>Yes: 4,3. Наличие записей в журналах работ (АБИ) - 2019-11-30</t>
  </si>
  <si>
    <t>Yes: 4,4. Наличие паспортов и сертификатов на конструкцию и ее элементы (АБИ) - 2019-11-30</t>
  </si>
  <si>
    <t>Алексей Бирюков: Заголовок изменен на Монтаж  панелей фасада в/о 17-20 в доль оси 3/А с отм +6,312 до отм +8,370 Блок 2;в/о 10-13 в доль оси И с отм+0.120 до отм+4.170 Блок 2</t>
  </si>
  <si>
    <t>Алексей Бирюков: Изменена дата начала на 30.11.2019</t>
  </si>
  <si>
    <t>Монтаж кронштейнов  КРН 04Х в/о Д-Л  вдоль оси 15/1 на отм +25.050 блок 2</t>
  </si>
  <si>
    <t>Алексей Бирюков: Заголовок изменен на Монтаж кронштейнов  КРН 04Х в/о Д-Л  вдоль оси 15/1 на отм +25.050 блок 2</t>
  </si>
  <si>
    <t>Контроль натяжения обычных и ВПБ Блок №1 Кровля Узел №578;329;534;537;548;147;638;647;637;648;701;712</t>
  </si>
  <si>
    <t>Yes: 2,1 Укрупнённая сборка отдельных конструктивных элементов и монтажных блоков соответствует проектным требованиям  (АБИ) - 2019-12-01</t>
  </si>
  <si>
    <t>Yes: 2,2 Установка и проектное закрепление отдельных конструктивных элементов и блоков в проектное положение соответствует проектным требованиям  (АБИ) - 2019-12-01</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</si>
  <si>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(АБИ) - 2019-12-01</t>
  </si>
  <si>
    <t>Yes: 2,4 При проверке закрепления конструктивных элементов щуп толщиной 0,3 мм не проходит между собранными деталями на глубину более 20 мм (АБИ) - 2019-12-01</t>
  </si>
  <si>
    <t>Yes: 2,5 Стержень болта выступает из гайки не менее 3 мм.  (АБИ) - 2019-12-01</t>
  </si>
  <si>
    <t>Yes: 2,6 Отсутствует смещение болтов при их отстукивании молотком массой 0,4 кг (АБИ) - 2019-12-01</t>
  </si>
  <si>
    <t>Yes: 2,7 Монтажные соединения на высокопрочных болтах с контролируемым натяжением: (АБИ) - 2019-12-01</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</si>
  <si>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(АБИ) - 2019-12-01</t>
  </si>
  <si>
    <t>Yes: 2,9 Размещение крепежных изделий соответствует проектным требованиям (АБИ) - 2019-12-01</t>
  </si>
  <si>
    <t>Yes: 2,1 Натяжение болтов соответствует проектным требованиям (АБИ) - 2019-12-01</t>
  </si>
  <si>
    <t>Yes: 2,11 Сварные швы соответствуют нормативным требованиям (АБИ) - 2019-12-01</t>
  </si>
  <si>
    <t>Yes: 3,1 Работы выполняются на основе утвержденного ППР (АБИ) - 2019-12-01</t>
  </si>
  <si>
    <t>Yes: 3,2 Наличие записи в журнале производства работ (АБИ) - 2019-12-01</t>
  </si>
  <si>
    <t>Yes: 3,3 Наличие записи в журнале сварочных работ (АБИ) - 2019-12-01</t>
  </si>
  <si>
    <t>Yes: 3,4 Наличие записи в журнале работ по монтажу строительных конструкций (АБИ) - 2019-12-01</t>
  </si>
  <si>
    <t>Yes: 3,5 Наличие записи в журнале выполнения монтажных соединений на болтах с контролируемым натяжением. (АБИ) - 2019-12-01</t>
  </si>
  <si>
    <t>Алексей Бирюков: Заголовок изменен на Контроль натяжения обычных и ВПБ Блок №1 Кровля Узел №578;329;534;537;548;147;638;647;637;648;701;712</t>
  </si>
  <si>
    <t>Алексей Бирюков: Изменена дата начала на 01.12.2019</t>
  </si>
  <si>
    <t>Монтаж фасадных панелей в/о Е-К в доль оси 15/1 отм +15.794</t>
  </si>
  <si>
    <t>Yes: 1,1. Работы производятся на основе РД, утвержденной в производство работ (АБИ) - 2019-12-25</t>
  </si>
  <si>
    <t>Yes: 1,2. При выполнении работ применяются материалы, прошедшие входной контроль (АБИ) - 2019-12-25</t>
  </si>
  <si>
    <t>Yes: 1,3. Соблюдается технология выполнения работ в соответствии с проектом, ППР, рекомендациями производителя (АБИ) - 2019-12-25</t>
  </si>
  <si>
    <t>Yes: 1,4. Плановое положение и высотные отметки элементов возводимой конструкции соответствуют проекту (АБИ) - 2019-12-25</t>
  </si>
  <si>
    <t>Алексей Бирюков: Заголовок изменен на Монтаж фасадных панелей в/о Е-К в доль оси 15/1 отм +15.794</t>
  </si>
  <si>
    <t>Yes: 2.1 Отклонения отметок опорных поверхностей колонн и опор от проектных не более 5 мм., опорных узлов не более 10 мм. (АБИ) - 2019-12-25</t>
  </si>
  <si>
    <t>No: 2.2 Смещение осей колонн и опор относительно разбивочных осей в опорном сечении не более 5 мм. (АБИ) - 2019-12-25</t>
  </si>
  <si>
    <t>No: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- 2019-12-25</t>
  </si>
  <si>
    <t>Yes: 2.4 Стрела прогиба (кривизна) конструкции между точками закрепления не более 15 мм (АБИ) - 2019-12-25</t>
  </si>
  <si>
    <t>Yes: 2.5 Смещение ферм, балок ригелей от осей на оголовках колонн из плоскости рамы не более 15 мм. (АБИ) - 2019-12-25</t>
  </si>
  <si>
    <t>Yes: 2.6 Отклонений расстояний между прогонами не более 5 мм. от проектных (АБИ) - 2019-12-25</t>
  </si>
  <si>
    <t>Yes: 3.1 Момент затяжки обычных и высокопрочных болтов соответствует проекту. Зазоры в месте стыков отсутствуют (АБИ) - 2019-12-25</t>
  </si>
  <si>
    <t>No: 3.2 Заводское покрытие элементов конструкций восстановлено (при повреждении в процессе монтажа) (АБИ) - 2019-12-25</t>
  </si>
  <si>
    <t>No: 3.3 Выполнена окраска всех болтов и стыков в соответствии с проектом (АБИ) - 2019-12-25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</si>
  <si>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- 2019-12-25</t>
  </si>
  <si>
    <t>Yes: 5,1 Наличие записи в журнале производства работ (АБИ) - 2019-12-25</t>
  </si>
  <si>
    <t>Yes: 5,2 Наличие записи в журнале выполнения монтажных соединений на болтах с контролируемым натяжением (АБИ) - 2019-12-25</t>
  </si>
  <si>
    <t>No: 5,3 Наличие записи в журнале сварочных работ (АБИ) - 2019-12-25</t>
  </si>
  <si>
    <t>Yes: 5,4 Наличие записи в журнале работ по монтажу строительных конструкций (АБИ) - 2019-12-25</t>
  </si>
  <si>
    <t>No: 5,5 Наличие акта освидетельствования скрытых работ (АБИ) - 2019-12-25</t>
  </si>
  <si>
    <t>No: 5,6 Наличие акта освидетельствования ответственных конструкций (АБИ) - 2019-12-25</t>
  </si>
  <si>
    <t>Yes: 5,7 Наличие исполнительной геодезической схемы положения конструкций (АБИ) - 2019-12-25</t>
  </si>
  <si>
    <t>No: 5,8 Наличие документа о контроле качества сварных соединений (АБИ) - 2019-12-25</t>
  </si>
  <si>
    <t>Монтаж решетчатого настила в/о 25-29 м/о 6/Б-1/Б;21-23 м/о 1/Б-6/Б  Кровля А3</t>
  </si>
  <si>
    <t xml:space="preserve">Алексей Бирюков: Заголовок изменен на Монтаж решетчатого настила </t>
  </si>
  <si>
    <t>Алексей Бирюков: Заголовок изменен на Монтаж решетчатого настила в/о 25-29 м/о 6/Б-1/Б;21-23 м/о 1/Б-6/Б  Кровля А3</t>
  </si>
  <si>
    <t>Монтаж м/к</t>
  </si>
  <si>
    <t>Окраска Узлов ВПБ №5;8;28;42;43;44;45;46;49;67;68;50;51;52;53;54;55;69;70;2 отм +66,850 Блок №1</t>
  </si>
  <si>
    <t>Yes: 2,1.При производстве работ использована краска, прошедшая входной контроль (АБИ) - 2019-12-27</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</si>
  <si>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- 2019-12-27</t>
  </si>
  <si>
    <t>Yes: 2,3. На окрешенной поверхности отсутствуют полосы, пятна, подтеки, брызги (АБИ) - 2019-12-27</t>
  </si>
  <si>
    <t>Yes: 2,4.На окрешенной поверхности отсутствубт трешины, утолщения, другие видимые дефекты (АБИ) - 2019-12-27</t>
  </si>
  <si>
    <t>No: 3,1. Наличие полного комплекта исполнительной документации (АБИ) - 2019-12-27</t>
  </si>
  <si>
    <t>Алексей Бирюков: Заголовок изменен на Окраска</t>
  </si>
  <si>
    <t>Алексей Бирюков: Заголовок изменен на Окраска Узлов ВПБ №5;8;28;42;43;44;45;46;49;67;68;50;51;52;53;54;55;69;70;2 отм +66,850 Блок №1</t>
  </si>
  <si>
    <t>ОЗ (Огракс) и финишное покрытие м/к  в/о  1-5 м/о В-Е отм +64,800 блок 1</t>
  </si>
  <si>
    <t>Yes: 2,1. Устройство конструкции выполнено в соответствии с проектом (АБИ) - 2019-12-03</t>
  </si>
  <si>
    <t>Yes: 2,4. Плановое положение и высотные отметки конструкции соответствует проекту. Отклонения не превышают нормативных (АБИ) - 2019-12-03</t>
  </si>
  <si>
    <t>No: 4,2. Наличие и корректность исполнительной геодезической схемы (АБИ) - 2019-12-03</t>
  </si>
  <si>
    <t>Алексей Бирюков: Заголовок изменен на ОЗ (Огракс) и финишное покрытие м/к  в/о  1-5 м/о В-Е отм +64,800 блок 1</t>
  </si>
  <si>
    <t>Проверка натяжения ВП и обычных  болтов  Блок 2.2 кровля Узел №449;453;454;455;17</t>
  </si>
  <si>
    <t>_SFPB9~V</t>
  </si>
  <si>
    <t>Алексей Бирюков: Заголовок изменен на Проверка натяжения ВП и обычных  болтов  Блок 2.2 кровля Узел №449;453;454;455;17</t>
  </si>
  <si>
    <t>Устройство г/и кровли в /о 27-29 м/о 13/Б-14/Б отм -0,250 Блок №3</t>
  </si>
  <si>
    <t>Yes: 2,1. При производстве работ использован материал, прошедший входной контроль (АБИ) - 2019-12-28</t>
  </si>
  <si>
    <t>Yes: 2,2. Сопряжение смежных полотнищ выполнено с нахлесткой не менее 100 мм; торцевой нахлест полотнищ составляет не менее 150 мм (АБИ) - 2019-12-28</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</si>
  <si>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- 2019-12-28</t>
  </si>
  <si>
    <t>Yes: 2,4. Отсутствуют расслоения в местах швов.
При применении шлицевой отвертки инструмент не
проникает между полотнищами в местах швов (АБИ) - 2019-12-28</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</si>
  <si>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- 2019-12-28</t>
  </si>
  <si>
    <t>Yes: 2,6. Углы конструкций примыкания сглаженные и
ровные, с отсутствием острых углов (АБИ) - 2019-12-28</t>
  </si>
  <si>
    <t>No: 3,1. Наличие исполнительной документации, акта освидетельствования скрытых работ (АБИ) - 2019-12-28</t>
  </si>
  <si>
    <t>Yes: 3,2. Наличие записи в журнале производства работ (АБИ) - 2019-12-28</t>
  </si>
  <si>
    <t>Yes: Нормативная документация: СП 71.13330.2017 «Изоляционные и отделочные покрытия» (АБИ) - 2019-12-28</t>
  </si>
  <si>
    <t>Алексей Бирюков: Заголовок изменен на Устройство г/и кровли в /о 27-29 м/о 13/Б-14/Б отм -0,250 Блок №3</t>
  </si>
  <si>
    <t>Шпатлёвка 13 L2.3.020</t>
  </si>
  <si>
    <t>Алексей Бирюков: Заголовок изменен на Шпатлёвка 13 L2.3.020</t>
  </si>
  <si>
    <t xml:space="preserve"> Монтаж утеплителя вент фасада в/о 27-29 м/о 1/Б-3/Б L3 Блок №3</t>
  </si>
  <si>
    <t>Yes: 2,1. Устройство конструкции выполнено в соответствии с проектом (АБИ) - 2019-12-28</t>
  </si>
  <si>
    <t>Yes: 2,2. При выполнении работ использовались материалы, прошедшие входной контроль (АБИ) - 2019-12-28</t>
  </si>
  <si>
    <t>Yes: 2,3. Конструкция проверена на соответствие проектным требованиям. Замечаний нет.  (АБИ) - 2019-12-28</t>
  </si>
  <si>
    <t>Yes: 2,4. Плановое положение и высотные отметки конструкции соответствует проекту. Отклонения не превышают нормативных (АБИ) - 2019-12-28</t>
  </si>
  <si>
    <t>No: 4,1. Наличие актов освидетельствования скрытых работ (АБИ) - 2019-12-28</t>
  </si>
  <si>
    <t>No: 4,2. Наличие и корректность исполнительной геодезической схемы (АБИ) - 2019-12-28</t>
  </si>
  <si>
    <t>Yes: 4,3. Наличие записей в журналах работ (АБИ) - 2019-12-28</t>
  </si>
  <si>
    <t>Yes: 4,4. Наличие паспортов и сертификатов на конструкцию и ее элементы (АБИ) - 2019-12-28</t>
  </si>
  <si>
    <t xml:space="preserve">Алексей Бирюков: Заголовок изменен на  Монтаж утеплителя </t>
  </si>
  <si>
    <t>Алексей Бирюков: Заголовок изменен на  Монтаж утеплителя вент фасада в/о 27-29 м/о 1/Б-3/Б L3 Блок №3</t>
  </si>
  <si>
    <t>Окраска м/к блок 2 (согласно приложенного списка)</t>
  </si>
  <si>
    <t>Yes: 2,1.При производстве работ использована краска, прошедшая входной контроль (АБИ) - 2019-12-04</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</si>
  <si>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- 2019-12-04</t>
  </si>
  <si>
    <t>Yes: 2,3. На окрешенной поверхности отсутствуют полосы, пятна, подтеки, брызги (АБИ) - 2019-12-04</t>
  </si>
  <si>
    <t>Yes: 2,4.На окрешенной поверхности отсутствубт трешины, утолщения, другие видимые дефекты (АБИ) - 2019-12-04</t>
  </si>
  <si>
    <t>No: 3,1. Наличие полного комплекта исполнительной документации (АБИ) - 2019-12-04</t>
  </si>
  <si>
    <t xml:space="preserve">Алексей Бирюков: Заголовок изменен на Окраска м/к </t>
  </si>
  <si>
    <t>Алексей Бирюков: Заголовок изменен на Окраска м/к блок 2 (согласно приложенного списка)</t>
  </si>
  <si>
    <t>Затяжка ВПБ и болтов без контролируемого натяжения Блок №1 Кровля Узел №898;897;896;899;893;900;901;894;895;902;750;891;890;889;892</t>
  </si>
  <si>
    <t>Yes: 2.1 Отклонения отметок опорных поверхностей колонн и опор от проектных не более 5 мм., опорных узлов не более 10 мм. (АБИ) - 2019-12-04</t>
  </si>
  <si>
    <t>Yes: 2.2 Смещение осей колонн и опор относительно разбивочных осей в опорном сечении не более 5 мм. (АБИ) - 2019-12-04</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</si>
  <si>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- 2019-12-04</t>
  </si>
  <si>
    <t>Yes: 2.4 Стрела прогиба (кривизна) конструкции между точками закрепления не более 15 мм (АБИ) - 2019-12-04</t>
  </si>
  <si>
    <t>Yes: 2.5 Смещение ферм, балок ригелей от осей на оголовках колонн из плоскости рамы не более 15 мм. (АБИ) - 2019-12-04</t>
  </si>
  <si>
    <t>Yes: 2.6 Отклонений расстояний между прогонами не более 5 мм. от проектных (АБИ) - 2019-12-04</t>
  </si>
  <si>
    <t>Yes: 3.1 Момент затяжки обычных и высокопрочных болтов соответствует проекту. Зазоры в месте стыков отсутствуют (АБИ) - 2019-12-04</t>
  </si>
  <si>
    <t>Yes: 3.2 Заводское покрытие элементов конструкций восстановлено (при повреждении в процессе монтажа) (АБИ) - 2019-12-04</t>
  </si>
  <si>
    <t>Yes: 3.3 Выполнена окраска всех болтов и стыков в соответствии с проектом (АБИ) - 2019-12-04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</si>
  <si>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- 2019-12-04</t>
  </si>
  <si>
    <t>Yes: 5,1 Наличие записи в журнале производства работ (АБИ) - 2019-12-04</t>
  </si>
  <si>
    <t>Yes: 5,2 Наличие записи в журнале выполнения монтажных соединений на болтах с контролируемым натяжением (АБИ) - 2019-12-04</t>
  </si>
  <si>
    <t>No: 5,3 Наличие записи в журнале сварочных работ (АБИ) - 2019-12-04</t>
  </si>
  <si>
    <t>Yes: 5,4 Наличие записи в журнале работ по монтажу строительных конструкций (АБИ) - 2019-12-04</t>
  </si>
  <si>
    <t>No: 5,5 Наличие акта освидетельствования скрытых работ (АБИ) - 2019-12-04</t>
  </si>
  <si>
    <t>No: 5,6 Наличие акта освидетельствования ответственных конструкций (АБИ) - 2019-12-04</t>
  </si>
  <si>
    <t>N/A: 5,7 Наличие исполнительной геодезической схемы положения конструкций (АБИ) - 2019-12-04</t>
  </si>
  <si>
    <t>N/A: 5,8 Наличие документа о контроле качества сварных соединений (АБИ) - 2019-12-04</t>
  </si>
  <si>
    <t>Алексей Бирюков: Заголовок изменен на Затяжка ВПБ</t>
  </si>
  <si>
    <t>Алексей Бирюков: Заголовок изменен на Затяжка ВПБ и болтов без контролируемого натяжения Блок №1 Кровля Узел №898;897;896;899;893;900;901;894;895;902;750;891;890;889;892</t>
  </si>
  <si>
    <t>Монтаж и пароизоляция стыков лотков в/о 24-25 по оси 7/Б</t>
  </si>
  <si>
    <t>Yes: 2,1 Укрупнённая сборка отдельных конструктивных элементов и монтажных блоков соответствует проектным требованиям  (АБИ) - 2019-12-04</t>
  </si>
  <si>
    <t>Yes: 2,2 Установка и проектное закрепление отдельных конструктивных элементов и блоков в проектное положение соответствует проектным требованиям  (АБИ) - 2019-12-04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</si>
  <si>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(АБИ) - 2019-12-04</t>
  </si>
  <si>
    <t>Yes: 2,4 При проверке закрепления конструктивных элементов щуп толщиной 0,3 мм не проходит между собранными деталями на глубину более 20 мм (АБИ) - 2019-12-04</t>
  </si>
  <si>
    <t>Yes: 2,5 Стержень болта выступает из гайки не менее 3 мм.  (АБИ) - 2019-12-04</t>
  </si>
  <si>
    <t>Yes: 2,6 Отсутствует смещение болтов при их отстукивании молотком массой 0,4 кг (АБИ) - 2019-12-04</t>
  </si>
  <si>
    <t>Yes: 2,7 Монтажные соединения на высокопрочных болтах с контролируемым натяжением: (АБИ) - 2019-12-04</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</si>
  <si>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(АБИ) - 2019-12-04</t>
  </si>
  <si>
    <t>Yes: 2,9 Размещение крепежных изделий соответствует проектным требованиям (АБИ) - 2019-12-04</t>
  </si>
  <si>
    <t>Yes: 2,1 Натяжение болтов соответствует проектным требованиям (АБИ) - 2019-12-04</t>
  </si>
  <si>
    <t>No: 2,11 Сварные швы соответствуют нормативным требованиям (АБИ) - 2019-12-04</t>
  </si>
  <si>
    <t>Yes: 3,1 Работы выполняются на основе утвержденного ППР (АБИ) - 2019-12-04</t>
  </si>
  <si>
    <t>No: 3,2 Наличие записи в журнале производства работ (АБИ) - 2019-12-04</t>
  </si>
  <si>
    <t>No: 3,3 Наличие записи в журнале сварочных работ (АБИ) - 2019-12-04</t>
  </si>
  <si>
    <t>Yes: 3,4 Наличие записи в журнале работ по монтажу строительных конструкций (АБИ) - 2019-12-04</t>
  </si>
  <si>
    <t>N/A: 3,5 Наличие записи в журнале выполнения монтажных соединений на болтах с контролируемым натяжением. (АБИ) - 2019-12-04</t>
  </si>
  <si>
    <t>Алексей Бирюков: Заголовок изменен на Монтаж и г/и лотков</t>
  </si>
  <si>
    <t>Алексей Бирюков: Заголовок изменен на Монтаж и пароизоляция стыков лотков</t>
  </si>
  <si>
    <t>Алексей Бирюков: Заголовок изменен на Монтаж и пароизоляция стыков лотков в/о 24-25 по оси 7/Б</t>
  </si>
  <si>
    <t>Устройство полов МЭРО 13 L2.3.003</t>
  </si>
  <si>
    <t xml:space="preserve">Алексей Бирюков: Заголовок изменен на Устройство полов МЭРО </t>
  </si>
  <si>
    <t>Алексей Бирюков: Заголовок изменен на Устройство полов МЭРО 13 L2.3.003</t>
  </si>
  <si>
    <t>Монтаж панелей фасада в/о Е-3/А по оси 15/1 Блок 2.2 отм L3; в/о Л-К по оси 19/1 L5 Блок 2.2</t>
  </si>
  <si>
    <t>Алексей Бирюков: Заголовок изменен на Монтаж панелей фасада в/о Е-3/А по оси 15/1 Блок 2.2 отм L3</t>
  </si>
  <si>
    <t>Алексей Бирюков: Заголовок изменен на Монтаж панелей фасада в/о Е-3/А по оси 15/1 Блок 2.2 отм L3; в/о Л-К по оси 19/1 L5 Блок 2.2</t>
  </si>
  <si>
    <t>Проверка натяжения ВПБ  Блок №1 (прогоны) Узел №605;606;7;8;22;23;24;36;37;38 отм +46,050 Узел №1;3;6;8;15;18;19;21;22;24</t>
  </si>
  <si>
    <t>РК-РД-1-ОВ4.2.01-03.07-09</t>
  </si>
  <si>
    <t>Yes: 2.1 Отклонения отметок опорных поверхностей колонн и опор от проектных не более 5 мм., опорных узлов не более 10 мм. (АБИ) - 2019-11-05</t>
  </si>
  <si>
    <t>Yes: 2.2 Смещение осей колонн и опор относительно разбивочных осей в опорном сечении не более 5 мм. (АБИ) - 2019-11-05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</si>
  <si>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- 2019-11-05</t>
  </si>
  <si>
    <t>Yes: 2.4 Стрела прогиба (кривизна) конструкции между точками закрепления не более 15 мм (АБИ) - 2019-11-05</t>
  </si>
  <si>
    <t>Yes: 2.5 Смещение ферм, балок ригелей от осей на оголовках колонн из плоскости рамы не более 15 мм. (АБИ) - 2019-11-05</t>
  </si>
  <si>
    <t>Yes: 2.6 Отклонений расстояний между прогонами не более 5 мм. от проектных (АБИ) - 2019-11-05</t>
  </si>
  <si>
    <t>Yes: 3.1 Момент затяжки обычных и высокопрочных болтов соответствует проекту. Зазоры в месте стыков отсутствуют (АБИ) - 2019-11-05</t>
  </si>
  <si>
    <t>Yes: 3.2 Заводское покрытие элементов конструкций восстановлено (при повреждении в процессе монтажа) (АБИ) - 2019-11-05</t>
  </si>
  <si>
    <t>No: 3.3 Выполнена окраска всех болтов и стыков в соответствии с проектом (АБИ) - 2019-11-05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</si>
  <si>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- 2019-11-05</t>
  </si>
  <si>
    <t>Yes: 5,1 Наличие записи в журнале производства работ (АБИ) - 2019-11-05</t>
  </si>
  <si>
    <t>Yes: 5,2 Наличие записи в журнале выполнения монтажных соединений на болтах с контролируемым натяжением (АБИ) - 2019-11-05</t>
  </si>
  <si>
    <t>No: 5,3 Наличие записи в журнале сварочных работ (АБИ) - 2019-11-05</t>
  </si>
  <si>
    <t>Yes: 5,4 Наличие записи в журнале работ по монтажу строительных конструкций (АБИ) - 2019-11-05</t>
  </si>
  <si>
    <t>No: 5,5 Наличие акта освидетельствования скрытых работ (АБИ) - 2019-11-05</t>
  </si>
  <si>
    <t>No: 5,6 Наличие акта освидетельствования ответственных конструкций (АБИ) - 2019-11-05</t>
  </si>
  <si>
    <t>Yes: 5,7 Наличие исполнительной геодезической схемы положения конструкций (АБИ) - 2019-11-05</t>
  </si>
  <si>
    <t>Yes: 5,8 Наличие документа о контроле качества сварных соединений (АБИ) - 2019-11-05</t>
  </si>
  <si>
    <t>Yes: Проверка натяжения ВПБ (АБИ) - 2019-11-05</t>
  </si>
  <si>
    <t>Алексей Бирюков: Completed task</t>
  </si>
  <si>
    <t>Алексей Бирюков: Changed priority to priority 3</t>
  </si>
  <si>
    <t>Алексей Бирюков: Рабочая сила изменена на 0 man-hours</t>
  </si>
  <si>
    <t>Алексей Бирюков: План изменен на РК-РД-1-ОВ4.2.01-02.09-10</t>
  </si>
  <si>
    <t>Алексей Бирюков: Изменена дата начала на 05.11.2019</t>
  </si>
  <si>
    <t>Алексей Бирюков: Заголовок изменен на Проверка натяжения ВПБ (ПРОГОНЫ) БЛОК 1</t>
  </si>
  <si>
    <t>Алексей Бирюков: Численность персонала изменена на 6 человеко-часы</t>
  </si>
  <si>
    <t>Алексей Бирюков: Заголовок изменен на Проверка натяжения ВПБ</t>
  </si>
  <si>
    <t>Алексей Бирюков: Проверка</t>
  </si>
  <si>
    <t>Алексей Бирюков: Удалено вложение</t>
  </si>
  <si>
    <t>Алексей Бирюков: Удалено фото</t>
  </si>
  <si>
    <t>Алексей Бирюков: Заголовок изменен на Проверка натяжения ВПБ  Блок №1 (прогоны) Узел №605;606;7;8;22;23;24;36;37;38 отм +46,050 Узел №1;3;6;8;15;18;19;21;22;24</t>
  </si>
  <si>
    <t>Монтаж кронштейнов в/о151-19 по оси 3А Блок 2 том+25,200</t>
  </si>
  <si>
    <t>Алексей Бирюков: Заголовок изменен на Монтаж кронштейнов в/о151-19 по оси 3А Блок 2 том+25,200</t>
  </si>
  <si>
    <t>Монтаж фасадных панелей L4 в/о 21-28 по оси 7/Б</t>
  </si>
  <si>
    <t>Алексей Бирюков: Заголовок изменен на Монтаж фасадных панелей L4 в/о 21-28 по оси 7/Б</t>
  </si>
  <si>
    <t>Гидроизоляция плиты КРМ-5</t>
  </si>
  <si>
    <t>Yes: 2,1. При производстве работ использован материал, прошедший входной контроль (АБИ) - 2019-11-06</t>
  </si>
  <si>
    <t>Yes: 2,2. Сопряжение смежных полотнищ выполнено с нахлесткой не менее 100 мм; торцевой нахлест полотнищ составляет не менее 150 мм (АБИ) - 2019-11-06</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</si>
  <si>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- 2019-11-06</t>
  </si>
  <si>
    <t>Yes: 2,4. Отсутствуют расслоения в местах швов.
При применении шлицевой отвертки инструмент не
проникает между полотнищами в местах швов (АБИ) - 2019-11-06</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</si>
  <si>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- 2019-11-06</t>
  </si>
  <si>
    <t>Yes: 2,6. Углы конструкций примыкания сглаженные и
ровные, с отсутствием острых углов (АБИ) - 2019-11-06</t>
  </si>
  <si>
    <t>Yes: 3,1. Наличие исполнительной документации, акта освидетельствования скрытых работ (АБИ) - 2019-11-06</t>
  </si>
  <si>
    <t>Yes: 3,2. Наличие записи в журнале производства работ (АБИ) - 2019-11-06</t>
  </si>
  <si>
    <t>Yes: Нормативная документация: СП 71.13330.2017 «Изоляционные и отделочные покрытия» (АБИ) - 2019-11-06</t>
  </si>
  <si>
    <t>Алексей Бирюков: Заголовок изменен на Гидроизоляция</t>
  </si>
  <si>
    <t>Алексей Бирюков: Заголовок изменен на Гидроизоляция плиты КРМ-5</t>
  </si>
  <si>
    <t>Контроль натяжения ВПБ в узлах М/К Блок №2.2  Кровля Узел №436;172;196;198;257;451;271;198;73;40;30;86;88;90;108 Блок №1 отм +46,050 Узел №25;27;16;13</t>
  </si>
  <si>
    <t>Yes: 2.1 Отклонения отметок опорных поверхностей колонн и опор от проектных не более 5 мм., опорных узлов не более 10 мм. (АБИ) - 2019-11-06</t>
  </si>
  <si>
    <t>Yes: 2.2 Смещение осей колонн и опор относительно разбивочных осей в опорном сечении не более 5 мм. (АБИ) - 2019-11-06</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</si>
  <si>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- 2019-11-06</t>
  </si>
  <si>
    <t>Yes: 2.4 Стрела прогиба (кривизна) конструкции между точками закрепления не более 15 мм (АБИ) - 2019-11-06</t>
  </si>
  <si>
    <t>Yes: 2.5 Смещение ферм, балок ригелей от осей на оголовках колонн из плоскости рамы не более 15 мм. (АБИ) - 2019-11-06</t>
  </si>
  <si>
    <t>Yes: 2.6 Отклонений расстояний между прогонами не более 5 мм. от проектных (АБИ) - 2019-11-06</t>
  </si>
  <si>
    <t>Yes: 3.1 Момент затяжки обычных и высокопрочных болтов соответствует проекту. Зазоры в месте стыков отсутствуют (АБИ) - 2019-11-06</t>
  </si>
  <si>
    <t>No: 3.2 Заводское покрытие элементов конструкций восстановлено (при повреждении в процессе монтажа) (АБИ) - 2019-11-06</t>
  </si>
  <si>
    <t>No: 3.3 Выполнена окраска всех болтов и стыков в соответствии с проектом (АБИ) - 2019-11-06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</si>
  <si>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- 2019-11-06</t>
  </si>
  <si>
    <t>Yes: 5,1 Наличие записи в журнале производства работ (АБИ) - 2019-11-06</t>
  </si>
  <si>
    <t>Yes: 5,2 Наличие записи в журнале выполнения монтажных соединений на болтах с контролируемым натяжением (АБИ) - 2019-11-06</t>
  </si>
  <si>
    <t>No: 5,3 Наличие записи в журнале сварочных работ (АБИ) - 2019-11-06</t>
  </si>
  <si>
    <t>Yes: 5,4 Наличие записи в журнале работ по монтажу строительных конструкций (АБИ) - 2019-11-06</t>
  </si>
  <si>
    <t>No: 5,5 Наличие акта освидетельствования скрытых работ (АБИ) - 2019-11-06</t>
  </si>
  <si>
    <t>No: 5,6 Наличие акта освидетельствования ответственных конструкций (АБИ) - 2019-11-06</t>
  </si>
  <si>
    <t>Yes: 5,7 Наличие исполнительной геодезической схемы положения конструкций (АБИ) - 2019-11-06</t>
  </si>
  <si>
    <t>No: 5,8 Наличие документа о контроле качества сварных соединений (АБИ) - 2019-11-06</t>
  </si>
  <si>
    <t>Алексей Бирюков: Заголовок изменен на Контроль натяжения ВПБ в узлах М/К</t>
  </si>
  <si>
    <t>Алексей Бирюков: Заголовок изменен на Контроль натяжения ВПБ в узлах М/К Блок №2.2  Кровля Узел №436;172;196;198;257;4</t>
  </si>
  <si>
    <t>Алексей Бирюков: Заголовок изменен на Контроль натяжения ВПБ в узлах М/К Блок №2.2  Кровля Узел №436;172;196;198;257;451;271;198;73;40;30;86;88;90;108 Блок №1 отм +46,050 Узел №25;27;16;13</t>
  </si>
  <si>
    <t>Ремонт  ОЗП "Огракс" Блок 1 Отм +16,650 В/о  Ш/2-8/1</t>
  </si>
  <si>
    <t>Yes: Огнезащита "Огракс" (АБИ) - 2019-11-06</t>
  </si>
  <si>
    <t>Алексей Бирюков: Заголовок изменен на Ремонт  ОЗП "Огракс" Блок 1 Отм +16,650 В/о  Ш/2-8/1</t>
  </si>
  <si>
    <t>Владимир Собченко: Название категории изменено на Приемочный контроль</t>
  </si>
  <si>
    <t>Проверка натяжения ВПБ блок№1 кровля</t>
  </si>
  <si>
    <t>Yes: 2.1 Отклонения отметок опорных поверхностей колонн и опор от проектных не более 5 мм., опорных узлов не более 10 мм. (АБИ) - 2019-12-07</t>
  </si>
  <si>
    <t>Yes: 2.2 Смещение осей колонн и опор относительно разбивочных осей в опорном сечении не более 5 мм. (АБИ) - 2019-12-07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</si>
  <si>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- 2019-12-07</t>
  </si>
  <si>
    <t>Yes: 2.4 Стрела прогиба (кривизна) конструкции между точками закрепления не более 15 мм (АБИ) - 2019-12-07</t>
  </si>
  <si>
    <t>Yes: 2.5 Смещение ферм, балок ригелей от осей на оголовках колонн из плоскости рамы не более 15 мм. (АБИ) - 2019-12-07</t>
  </si>
  <si>
    <t>Yes: 2.6 Отклонений расстояний между прогонами не более 5 мм. от проектных (АБИ) - 2019-12-07</t>
  </si>
  <si>
    <t>Yes: 3.1 Момент затяжки обычных и высокопрочных болтов соответствует проекту. Зазоры в месте стыков отсутствуют (АБИ) - 2019-12-07</t>
  </si>
  <si>
    <t>Yes: 3.2 Заводское покрытие элементов конструкций восстановлено (при повреждении в процессе монтажа) (АБИ) - 2019-12-07</t>
  </si>
  <si>
    <t>Yes: 3.3 Выполнена окраска всех болтов и стыков в соответствии с проектом (АБИ) - 2019-12-07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</si>
  <si>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- 2019-12-07</t>
  </si>
  <si>
    <t>Yes: 5,1 Наличие записи в журнале производства работ (АБИ) - 2019-12-07</t>
  </si>
  <si>
    <t>Yes: 5,2 Наличие записи в журнале выполнения монтажных соединений на болтах с контролируемым натяжением (АБИ) - 2019-12-07</t>
  </si>
  <si>
    <t>Yes: 5,3 Наличие записи в журнале сварочных работ (АБИ) - 2019-12-07</t>
  </si>
  <si>
    <t>Yes: 5,4 Наличие записи в журнале работ по монтажу строительных конструкций (АБИ) - 2019-12-07</t>
  </si>
  <si>
    <t>No: 5,5 Наличие акта освидетельствования скрытых работ (АБИ) - 2019-12-07</t>
  </si>
  <si>
    <t>No: 5,6 Наличие акта освидетельствования ответственных конструкций (АБИ) - 2019-12-07</t>
  </si>
  <si>
    <t>Yes: 5,7 Наличие исполнительной геодезической схемы положения конструкций (АБИ) - 2019-12-07</t>
  </si>
  <si>
    <t>Yes: 5,8 Наличие документа о контроле качества сварных соединений (АБИ) - 2019-12-07</t>
  </si>
  <si>
    <t xml:space="preserve">Алексей Бирюков: Заголовок изменен на Проверка натяжения ВПБ </t>
  </si>
  <si>
    <t>Алексей Бирюков: Заголовок изменен на Проверка натяжения ВПБ блок№1 кровля</t>
  </si>
  <si>
    <t>Г/и плиты ГОиЧС том -4.200 и том -9.200</t>
  </si>
  <si>
    <t>в8.11_изоляционные_рулонные_материалы</t>
  </si>
  <si>
    <t>Yes: 2,1. В сопроводительных документах о качестве товарного бетона указаны:
- Наименование производителя;
- наименование и марка (тип) материала;
- дата изготовления материала;
- номер и объем партии;
- штамп технического контроля изготовителя. (АБИ) - 2019-12-07</t>
  </si>
  <si>
    <t>Yes: 2,2. Материал соответствует проектным требования (АБИ) - 2019-12-07</t>
  </si>
  <si>
    <t>Yes: 2,3. Условия хранения материала соблюдены (АБИ) - 2019-12-07</t>
  </si>
  <si>
    <t>Yes: 2,4. Наличие записи в "Журнале входного учета и контроля качества получаемых деталей, материалов, конструкций и оборудования" (АБИ) - 2019-12-07</t>
  </si>
  <si>
    <t>Yes: 3,1. Материал допускается к производству работ (АБИ) - 2019-12-07</t>
  </si>
  <si>
    <t>Yes: Нормативная документация: ГОСТ 30547-97 «Материалы рулонные кровельные и гидроизоляционные. Общие технические условия». ГОСТ 24297-2013 «Верификация закупленной продукции. Организация проведения и методы контроля». (АБИ) - 2019-12-07</t>
  </si>
  <si>
    <t>Алексей Бирюков: Заголовок изменен на Г/и плиты ГОиЧС том -4.200</t>
  </si>
  <si>
    <t>Алексей Бирюков: Заголовок изменен на Г/и плиты ГОиЧС том -4.200 и том -9.200</t>
  </si>
  <si>
    <t>Устройство противопожарной отсечки и монтаж мембраны в/о 21-25 по оси 10/Б Блок 2.2 томи+12,600;в/о 14-17 по оси 7/Б Блок 2 том +8.400</t>
  </si>
  <si>
    <t>Yes: 2,1. Устройство конструкции выполнено в соответствии с проектом (АБИ) - 2019-12-08</t>
  </si>
  <si>
    <t>Yes: 2,2. При выполнении работ использовались материалы, прошедшие входной контроль (АБИ) - 2019-12-08</t>
  </si>
  <si>
    <t>Yes: 2,3. Конструкция проверена на соответствие проектным требованиям. Замечаний нет.  (АБИ) - 2019-12-08</t>
  </si>
  <si>
    <t>N/A: 2,4. Плановое положение и высотные отметки конструкции соответствует проекту. Отклонения не превышают нормативных (АБИ) - 2019-12-08</t>
  </si>
  <si>
    <t>No: 4,1. Наличие актов освидетельствования скрытых работ (АБИ) - 2019-12-08</t>
  </si>
  <si>
    <t>N/A: 4,2. Наличие и корректность исполнительной геодезической схемы (АБИ) - 2019-12-08</t>
  </si>
  <si>
    <t>Yes: 4,3. Наличие записей в журналах работ (АБИ) - 2019-12-08</t>
  </si>
  <si>
    <t>Yes: 4,4. Наличие паспортов и сертификатов на конструкцию и ее элементы (АБИ) - 2019-12-08</t>
  </si>
  <si>
    <t>Алексей Бирюков: Заголовок изменен на Устройство противопожарной отсечки в/о</t>
  </si>
  <si>
    <t>Алексей Бирюков: Дата начала изменена на 8 декабря 2019 г.</t>
  </si>
  <si>
    <t>Алексей Бирюков: Заголовок изменен на Устройство противопожарной отсечки и монтаж мембраны в/о 21-25 по оси 10/Б Блок 2.2 томи+12,600</t>
  </si>
  <si>
    <t>Алексей Бирюков: Заголовок изменен на Устройство противопожарной отсечки и монтаж мембраны в/о 21-25 по оси 10/Б Блок 2.2 томи+12,600;в/о 14-17 по оси 7/Б Блок 2 том +8.400</t>
  </si>
  <si>
    <t>Монтаж панелей фасада в/о 19-17 по оси 3/А том +16,800 Блок №2</t>
  </si>
  <si>
    <t>Yes: 2,4. Плановое положение и высотные отметки конструкции соответствует проекту. Отклонения не превышают нормативных (АБИ) - 2019-12-08</t>
  </si>
  <si>
    <t>Yes: 4,2. Наличие и корректность исполнительной геодезической схемы (АБИ) - 2019-12-08</t>
  </si>
  <si>
    <t xml:space="preserve">Алексей Бирюков: Заголовок изменен на Монтаж панелей фасада </t>
  </si>
  <si>
    <t>Алексей Бирюков: Заголовок изменен на Монтаж панелей фасада в/о 19-17 по оси 3/А том +16,800 Блок №2</t>
  </si>
  <si>
    <t>Каркас подшивного потолка 05.L1.2.028;07.L1.3.100;...143;09L2.2.004;</t>
  </si>
  <si>
    <t>Yes: 2,1. Работы выполнены в соответствии с РД, утвержденной в производство работ (АБИ) - 2020-01-18</t>
  </si>
  <si>
    <t>Yes: 2,2. При производстве работ использован материал, прошедший входной контроль (АБИ) - 2020-01-18</t>
  </si>
  <si>
    <t>Yes: 2,3. Швы между листами и панелями равномерные и строго прямолинейные (АБИ) - 2020-01-18</t>
  </si>
  <si>
    <t>Yes: 2,4. Плоскость облицованной поверхности ровная, без провесов в стыках (АБИ) - 2020-01-18</t>
  </si>
  <si>
    <t>Yes: 2,5. Трещины, царапины, пятна на поверхности облицовки отсутствуют (АБИ) - 2020-01-18</t>
  </si>
  <si>
    <t>Yes: 2,6. Отсутствие сколов, щелей в местах примыкания плит, панелей к элементам инженерных коммуникаций (АБИ) - 2020-01-18</t>
  </si>
  <si>
    <t>Yes: 2,7. В местах сопряжения подвесных потолков с трубопроводами водоснабжения, отопления установлены гильзы из несгораемых материалов. Края гильз находятся на одном уровне с поверхностью потолка (АБИ) - 2020-01-18</t>
  </si>
  <si>
    <t>Yes: 2,8. Допустимый прогиб всей конструкции  не более 1/250 длины пролета (АБИ) - 2020-01-18</t>
  </si>
  <si>
    <t>Yes: 3,1. Наличие записи в журнале производства работ (АБИ) - 2020-01-18</t>
  </si>
  <si>
    <t>No: 3,2. Наличие исполнительной геодезицеской схемы (АБИ) - 2020-01-18</t>
  </si>
  <si>
    <t>No: 3,3. Наличие исполнительной документации,включая акт освидетельствования скрытых работ (АБИ) - 2020-01-18</t>
  </si>
  <si>
    <t>Алексей Бирюков: Заголовок изменен на Каркас подшивного потолка 05.L1.2.028</t>
  </si>
  <si>
    <t>Алексей Бирюков: Заголовок изменен на Каркас подшивного потолка 05.L1.2.028;07.L1.3.100</t>
  </si>
  <si>
    <t>Алексей Бирюков: Заголовок изменен на Каркас подшивного потолка 05.L1.2.028;07.L1.3.100;...143;</t>
  </si>
  <si>
    <t>Алексей Бирюков: Заголовок изменен на Каркас подшивного потолка 05.L1.2.028;07.L1.3.100;...143;09L2.2.004;</t>
  </si>
  <si>
    <t>Проверка  затяжки  ВПБ Блок №1 Узел №258;263;264;306;307;308;309;310;311;313-317; Блок 2.2 Узел №9;15;29;91;99;174;147;148;145;146;149;144;38;175;305;439;440;441;442</t>
  </si>
  <si>
    <t>Yes: 2.1 Отклонения отметок опорных поверхностей колонн и опор от проектных не более 5 мм., опорных узлов не более 10 мм. (АБИ) - 2019-11-08</t>
  </si>
  <si>
    <t>Yes: 2.2 Смещение осей колонн и опор относительно разбивочных осей в опорном сечении не более 5 мм. (АБИ) - 2019-11-08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</si>
  <si>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- 2019-11-08</t>
  </si>
  <si>
    <t>Yes: 2.4 Стрела прогиба (кривизна) конструкции между точками закрепления не более 15 мм (АБИ) - 2019-11-08</t>
  </si>
  <si>
    <t>Yes: 2.5 Смещение ферм, балок ригелей от осей на оголовках колонн из плоскости рамы не более 15 мм. (АБИ) - 2019-11-08</t>
  </si>
  <si>
    <t>Yes: 2.6 Отклонений расстояний между прогонами не более 5 мм. от проектных (АБИ) - 2019-11-08</t>
  </si>
  <si>
    <t>Yes: 3.1 Момент затяжки обычных и высокопрочных болтов соответствует проекту. Зазоры в месте стыков отсутствуют (АБИ) - 2019-11-08</t>
  </si>
  <si>
    <t>Yes: 3.2 Заводское покрытие элементов конструкций восстановлено (при повреждении в процессе монтажа) (АБИ) - 2019-11-08</t>
  </si>
  <si>
    <t>No: 3.3 Выполнена окраска всех болтов и стыков в соответствии с проектом (АБИ) - 2019-11-08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</si>
  <si>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- 2019-11-08</t>
  </si>
  <si>
    <t>Yes: 5,1 Наличие записи в журнале производства работ (АБИ) - 2019-11-08</t>
  </si>
  <si>
    <t>Yes: 5,2 Наличие записи в журнале выполнения монтажных соединений на болтах с контролируемым натяжением (АБИ) - 2019-11-08</t>
  </si>
  <si>
    <t>Yes: 5,3 Наличие записи в журнале сварочных работ (АБИ) - 2019-11-08</t>
  </si>
  <si>
    <t>Yes: 5,4 Наличие записи в журнале работ по монтажу строительных конструкций (АБИ) - 2019-11-08</t>
  </si>
  <si>
    <t>Yes: 5,5 Наличие акта освидетельствования скрытых работ (АБИ) - 2019-11-08</t>
  </si>
  <si>
    <t>No: 5,6 Наличие акта освидетельствования ответственных конструкций (АБИ) - 2019-11-08</t>
  </si>
  <si>
    <t>Yes: 5,7 Наличие исполнительной геодезической схемы положения конструкций (АБИ) - 2019-11-08</t>
  </si>
  <si>
    <t>No: 5,8 Наличие документа о контроле качества сварных соединений (АБИ) - 2019-11-08</t>
  </si>
  <si>
    <t>Алексей Бирюков: Изменена дата начала на 08.11.2019</t>
  </si>
  <si>
    <t>Алексей Бирюков: Заголовок изменен на Проверка  затяжки  ВПБ</t>
  </si>
  <si>
    <t>Алексей Бирюков: Заголовок изменен на Проверка  затяжки  ВПБ Блок №1 Узел №258;263;264;306;307;308;309;310;311;313-317; Блок 2.2 Узел №9;15;29;91;99;</t>
  </si>
  <si>
    <t>Алексей Бирюков: Заголовок изменен на Проверка  затяжки  ВПБ Блок №1 Узел №258;263;264;306;307;308;309;310;311;313-317; Блок 2.2 Узел №9;15;29;91;99;174;147;148;145;146;149;144;38;175;305;439;440;441;442</t>
  </si>
  <si>
    <t>Окраска м/к Блок №2.2 Узел №449;429;450;451;452;453;454;455</t>
  </si>
  <si>
    <t>Yes: 2,1.При производстве работ использована краска, прошедшая входной контроль (АБИ) - 2019-12-11</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</si>
  <si>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- 2019-12-11</t>
  </si>
  <si>
    <t>Yes: 2,3. На окрешенной поверхности отсутствуют полосы, пятна, подтеки, брызги (АБИ) - 2019-12-11</t>
  </si>
  <si>
    <t>Yes: 2,4.На окрешенной поверхности отсутствубт трешины, утолщения, другие видимые дефекты (АБИ) - 2019-12-11</t>
  </si>
  <si>
    <t>No: 3,1. Наличие полного комплекта исполнительной документации (АБИ) - 2019-12-11</t>
  </si>
  <si>
    <t>Алексей Бирюков: Заголовок изменен на Окраска м/к Блок №2.2 Узел №449;429;450;451;452;453;454;455</t>
  </si>
  <si>
    <t>Устройство г/и кровли Блок№2 в/о 18-13/Б м/о К-Е отм +25,200</t>
  </si>
  <si>
    <t>Yes: 2,1. Устройство кровли выполнено в соответствии с проектом (АБИ) - 2020-01-19</t>
  </si>
  <si>
    <t>Yes: 2,2. При устройстве кровли использовались материалы, прошедшие входной контроль (АБИ) - 2020-01-19</t>
  </si>
  <si>
    <t>Yes: 2,3. При устройстве кровли использовались материалы, прошедшие входной контроль (АБИ) - 2020-01-19</t>
  </si>
  <si>
    <t>Yes: 2,4. Отвод воды осуществляется по всей поверхности кровли по наружным и внутренним водостокам без застоя воды (АБИ) - 2020-01-19</t>
  </si>
  <si>
    <t>Yes: 2,5. На кровле отсутствуют пузыри, вздутия, воздушные мешки, разрывы, вмятины, проколы, потёки и наплывы покрытия (АБИ) - 2020-01-19</t>
  </si>
  <si>
    <t>Yes: 2,6. Понижения в зоне водоприемных воронок соответствуют проекту (АБИ) - 2020-01-19</t>
  </si>
  <si>
    <t>Yes: 2,7. Чаши водоприёмных воронок внутренних водостоков не выступают над поверхностью кровли (АБИ) - 2020-01-19</t>
  </si>
  <si>
    <t>Yes: 2,8. Отслаивания кровельного ковра в местах сопряжения с выступающими конструкциями кровли и инженерным оборудованием отсутствуют (АБИ) - 2020-01-19</t>
  </si>
  <si>
    <t>Yes: 3,1. Предельные отклонения в положении элементов кровли не превышают нормативных  (АБИ) - 2020-01-19</t>
  </si>
  <si>
    <t>No: 4,1. Наличие актов освидетельствования скрытых работ (АБИ) - 2020-01-19</t>
  </si>
  <si>
    <t>No: 4,2. Наличие и корректность исполнительной геодезической схемы (АБИ) - 2020-01-19</t>
  </si>
  <si>
    <t>Yes: 4,3. Наличие записей в журналах работ (АБИ) - 2020-01-19</t>
  </si>
  <si>
    <t>Yes: 4,4. Наличие гарантийного паспорта на кровлю (АБИ) - 2020-01-19</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</si>
  <si>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- 2020-01-19</t>
  </si>
  <si>
    <t>Алексей Бирюков: Заголовок изменен на Устройство г/и кровли Блок№2 в/о 18-13/Б м/о К-Е отм +25,200</t>
  </si>
  <si>
    <t>Армирование и опалубка парапета  Прм-18.1 и Прм-18.3 в/о А-В м/о 1-5 отм +62,850</t>
  </si>
  <si>
    <t>Not set: 1.1 Вертикальный и горизонтальный шаг арматуры соответствует проекту. Отклонение между рядами арматуры не более 10 мм (АБИ) - 2019-11-08</t>
  </si>
  <si>
    <t>Yes: 1.2 Длина арматурных элементов соответствуют проекту. Длины нахлестов/анкеровки арматуры составляют не менее 5% длины арматуры (ГОСТ 10922-2012) (АБИ) - 2019-11-08</t>
  </si>
  <si>
    <t>Yes: 1.3 Отклонение толщины защитного слоя бетона от проектной не более 15 мм и не менее 5 мм при толщине бетона более 300 мм (АБИ) - 2019-11-08</t>
  </si>
  <si>
    <t>No: 1.4 Сварные соединения соответствуют проекту и требованиям ГОСТ 14098—2014 (АБИ) - 2019-11-08</t>
  </si>
  <si>
    <t>Yes: 1.5 Закладные элементы , в том числе приспособления для устройства гидроизоляции швов, установлены в соответствии с проектом и закреплены (АБИ) - 2019-11-08</t>
  </si>
  <si>
    <t>Yes: 2.1 Наличие записи в общем журнале работ (АБИ) - 2019-11-08</t>
  </si>
  <si>
    <t>Yes: 3.1 Разрешается проведение последующих работ по устройству опалубки  или бетонированию конструкции (АБИ) - 2019-11-08</t>
  </si>
  <si>
    <t>Алексей Бирюков: Приоритет изменен на P3</t>
  </si>
  <si>
    <t>Алексей Бирюков: Заголовок изменен на Армирование и опалубка парапета</t>
  </si>
  <si>
    <t>Алексей Бирюков: Дата начала изменена на нояб. 8, 2019</t>
  </si>
  <si>
    <t>Алексей Бирюков: Заголовок изменен на Армирование и опалубка парапета  Прм-18.1 и Прм-18.3 в/о А-В м/о 1-5 отм +62,850</t>
  </si>
  <si>
    <t>Проверка Натяжения ВПБ Блок №1 Узел №171;172;174;181;183;184;269;503;513 Блок №2.2;43;44;35;36;34;27;28;96;97;98;112;276;302;306;445;77;78;81;82;106;141;142;143;150;151;152;153;154</t>
  </si>
  <si>
    <t>Yes: 2,1 Укрупнённая сборка отдельных конструктивных элементов и монтажных блоков соответствует проектным требованиям  (АБИ) - 2019-11-09</t>
  </si>
  <si>
    <t>Yes: 2,2 Установка и проектное закрепление отдельных конструктивных элементов и блоков в проектное положение соответствует проектным требованиям  (АБИ) - 2019-11-09</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</si>
  <si>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(АБИ) - 2019-11-09</t>
  </si>
  <si>
    <t>Yes: 2,4 При проверке закрепления конструктивных элементов щуп толщиной 0,3 мм не проходит между собранными деталями на глубину более 20 мм (АБИ) - 2019-11-09</t>
  </si>
  <si>
    <t>Yes: 2,5 Стержень болта выступает из гайки не менее 3 мм.  (АБИ) - 2019-11-09</t>
  </si>
  <si>
    <t>Yes: 2,6 Отсутствует смещение болтов при их отстукивании молотком массой 0,4 кг (АБИ) - 2019-11-09</t>
  </si>
  <si>
    <t>Yes: 2,7 Монтажные соединения на высокопрочных болтах с контролируемым натяжением: (АБИ) - 2019-11-09</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</si>
  <si>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(АБИ) - 2019-11-09</t>
  </si>
  <si>
    <t>Yes: 2,9 Размещение крепежных изделий соответствует проектным требованиям (АБИ) - 2019-11-09</t>
  </si>
  <si>
    <t>Yes: 2,1 Натяжение болтов соответствует проектным требованиям (АБИ) - 2019-11-09</t>
  </si>
  <si>
    <t>No: 2,11 Сварные швы соответствуют нормативным требованиям (АБИ) - 2019-11-09</t>
  </si>
  <si>
    <t>Yes: 3,1 Работы выполняются на основе утвержденного ППР (АБИ) - 2019-11-09</t>
  </si>
  <si>
    <t>Yes: 3,2 Наличие записи в журнале производства работ (АБИ) - 2019-11-09</t>
  </si>
  <si>
    <t>No: 3,3 Наличие записи в журнале сварочных работ (АБИ) - 2019-11-09</t>
  </si>
  <si>
    <t>Yes: 3,4 Наличие записи в журнале работ по монтажу строительных конструкций (АБИ) - 2019-11-09</t>
  </si>
  <si>
    <t>Yes: 3,5 Наличие записи в журнале выполнения монтажных соединений на болтах с контролируемым натяжением. (АБИ) - 2019-11-09</t>
  </si>
  <si>
    <t>Алексей Бирюков: Заголовок изменен на Проверка Натяжения ВПБ</t>
  </si>
  <si>
    <t>Алексей Бирюков: Изменена дата начала на 09.11.2019</t>
  </si>
  <si>
    <t>Алексей Бирюков: Заголовок изменен на Проверка Натяжения ВПБ Блок №1 Узел №171;172;174;181;183;184;269;503;513 Блок №2.2;43;44;35;36;34;27;28;96;97;98;112;276;302;306;445;77;78;81;82;106;141;142;143;150;151;152;153;154</t>
  </si>
  <si>
    <t>Монтаж Фасадных Панелей  в/о 1-4/А с отм +41,970 до отм +46,170</t>
  </si>
  <si>
    <t>Not set: монтаж панелей фасада (АБИ) - 2019-11-09</t>
  </si>
  <si>
    <t>Алексей Бирюков: Дата начала изменена на нояб. 9, 2019</t>
  </si>
  <si>
    <t>Алексей Бирюков: Заголовок изменен на Монтаж Фасадных Панелей  в/о 1-4/А сотм +</t>
  </si>
  <si>
    <t>Алексей Бирюков: Заголовок изменен на Монтаж Фасадных Панелей  в/о 1-4/А с отм +41,970 до отм +46,170</t>
  </si>
  <si>
    <t>Монтаж фасадных панелей в/о5/1-6/1 вдоль оси 3А с отм +29,370 до отм +33,570</t>
  </si>
  <si>
    <t>Алексей Бирюков: Заголовок изменен на Монтаж фасадных панелей в</t>
  </si>
  <si>
    <t>Алексей Бирюков: Заголовок изменен на Монтаж фасадных панелей в/о5/1-6/1 вдоль оси 3А с отм +29,370 до отм +33,570</t>
  </si>
  <si>
    <t>Оклеечная Вертикальная Г/И  Входной Группы КРМ-4</t>
  </si>
  <si>
    <t>Yes: 1.1 Работы выполняются на основе утвержденного ППР (АБИ) - 2019-11-09</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</si>
  <si>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(АБИ) - 2019-11-09</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</si>
  <si>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(АБИ) - 2019-11-09</t>
  </si>
  <si>
    <t>Yes: 1.4 Укладка рулонных материалов  выполняется в направлении «на себя» (АБИ) - 2019-11-09</t>
  </si>
  <si>
    <t>Yes: 1.5 Оклеечная гидроизоляция на мастике наклеивается сразу после ее нанесения (АБИ) - 2019-11-09</t>
  </si>
  <si>
    <t>No: 1.6 Толщина слоя мастики соответствует нормативным требованиям (АБИ) - 2019-11-09</t>
  </si>
  <si>
    <t>Yes: 1.7 Сопряжение смежных полотнищ выполняется с нахлесткой не менее 100 мм; торцевой нахлест полотнищ составляет не менее 150 мм (АБИ) - 2019-11-09</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</si>
  <si>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(АБИ) - 2019-11-09</t>
  </si>
  <si>
    <t>Yes: 1.9 При наплавлении рулонных материалов вяжущее вещество из-под боковой кромки материала вытекает на 5-15 мм (АБИ) - 2019-11-09</t>
  </si>
  <si>
    <t>Yes: 1.10 Наличие записи в журнале производства работ (АБИ) - 2019-11-09</t>
  </si>
  <si>
    <t>Yes: Нормативная документация: СП 71.13330.2017 «Изоляционные и отделочные покрытия» (АБИ) - 2019-11-09</t>
  </si>
  <si>
    <t>Алексей Бирюков: Заголовок изменен на Оклеечная Вертикальная Г/И  Входной Группы КРМ-4</t>
  </si>
  <si>
    <t>Утепление лотков кровли внутреннего двора</t>
  </si>
  <si>
    <t>п7.3_теплоизоляция_кровли</t>
  </si>
  <si>
    <t>Yes: 2,1. Произведен монтаж утеплителя, успешно прошедшего входной контроль и соответствующий требованиям РД (АБИ) - 2019-12-11</t>
  </si>
  <si>
    <t>Yes: 2,2. Монтаж утеплителя  выполнен в соответствии с технологией производителя и технологической картой (АБИ) - 2019-12-11</t>
  </si>
  <si>
    <t>Yes: 2,3. Характеристики утеплителя соответствуют требованиям РД по теплопроводности, плотности, толщине, сжимаемости (АБИ) - 2019-12-11</t>
  </si>
  <si>
    <t>Yes: 3,1. Наличие записей в общем журнале работ и журнале входного контроля поступаемых материаллов/оборудования (РД 11-05-2007, СП 48.13330.2011 П.7.1.3) (АБИ) - 2019-12-11</t>
  </si>
  <si>
    <t>No: 3,2. Наличие актов освидетельствования скрытых работ (АБИ) - 2019-12-11</t>
  </si>
  <si>
    <t>Yes: 3,3. Разрешение выполнения последующих работ (АБИ) - 2019-12-11</t>
  </si>
  <si>
    <t>Yes: 4. Нормативная документация: . СП 71.13330.2011 «Изоляционные и отделочные покрытия». ТК «Контроль качества работ при устройстве кровель» (АБИ) - 2019-12-11</t>
  </si>
  <si>
    <t>Алексей Бирюков: Заголовок изменен на Утепление лотков росли внутреннего двора</t>
  </si>
  <si>
    <t>Алексей Бирюков: Заголовок изменен на Утепление лотков кровли внутреннего двора</t>
  </si>
  <si>
    <t>Покраска узлов болтовых соединений М/К Узел №160;159;158;12-37 блок №1 Кровля</t>
  </si>
  <si>
    <t>Yes: 2,1.При производстве работ использована краска, прошедшая входной контроль (АБИ) - 2019-12-12</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</si>
  <si>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- 2019-12-12</t>
  </si>
  <si>
    <t>Yes: 2,3. На окрешенной поверхности отсутствуют полосы, пятна, подтеки, брызги (АБИ) - 2019-12-12</t>
  </si>
  <si>
    <t>Yes: 2,4.На окрешенной поверхности отсутствубт трешины, утолщения, другие видимые дефекты (АБИ) - 2019-12-12</t>
  </si>
  <si>
    <t>No: 3,1. Наличие полного комплекта исполнительной документации (АБИ) - 2019-12-12</t>
  </si>
  <si>
    <t xml:space="preserve">Алексей Бирюков: Заголовок изменен на Покраска м/К </t>
  </si>
  <si>
    <t>Алексей Бирюков: Дата начала изменена на 12 декабря 2019 г.</t>
  </si>
  <si>
    <t>Алексей Бирюков: Заголовок изменен на Покраска узлов болтовых соединений М/К Узел №160;159;158;12-37 блок №1 Кровля</t>
  </si>
  <si>
    <t>Окраска М/К</t>
  </si>
  <si>
    <t>Затяжка ВПБ Блок №1 Кровля Узел №191;162;163;189;188;185;184;183;170;169;168;167 Блок 2.1 Узел №174;173;172</t>
  </si>
  <si>
    <t>Yes: 2.1 Отклонения отметок опорных поверхностей колонн и опор от проектных не более 5 мм., опорных узлов не более 10 мм. (АБИ) - 2019-12-11</t>
  </si>
  <si>
    <t>Yes: 2.2 Смещение осей колонн и опор относительно разбивочных осей в опорном сечении не более 5 мм. (АБИ) - 2019-12-11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</si>
  <si>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- 2019-12-11</t>
  </si>
  <si>
    <t>Yes: 2.4 Стрела прогиба (кривизна) конструкции между точками закрепления не более 15 мм (АБИ) - 2019-12-11</t>
  </si>
  <si>
    <t>Yes: 2.5 Смещение ферм, балок ригелей от осей на оголовках колонн из плоскости рамы не более 15 мм. (АБИ) - 2019-12-11</t>
  </si>
  <si>
    <t>Yes: 2.6 Отклонений расстояний между прогонами не более 5 мм. от проектных (АБИ) - 2019-12-11</t>
  </si>
  <si>
    <t>Yes: 3.1 Момент затяжки обычных и высокопрочных болтов соответствует проекту. Зазоры в месте стыков отсутствуют (АБИ) - 2019-12-11</t>
  </si>
  <si>
    <t>Yes: 3.2 Заводское покрытие элементов конструкций восстановлено (при повреждении в процессе монтажа) (АБИ) - 2019-12-11</t>
  </si>
  <si>
    <t>No: 3.3 Выполнена окраска всех болтов и стыков в соответствии с проектом (АБИ) - 2019-12-11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</si>
  <si>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- 2019-12-11</t>
  </si>
  <si>
    <t>Yes: 5,1 Наличие записи в журнале производства работ (АБИ) - 2019-12-11</t>
  </si>
  <si>
    <t>Yes: 5,2 Наличие записи в журнале выполнения монтажных соединений на болтах с контролируемым натяжением (АБИ) - 2019-12-11</t>
  </si>
  <si>
    <t>No: 5,3 Наличие записи в журнале сварочных работ (АБИ) - 2019-12-11</t>
  </si>
  <si>
    <t>Yes: 5,4 Наличие записи в журнале работ по монтажу строительных конструкций (АБИ) - 2019-12-11</t>
  </si>
  <si>
    <t>No: 5,5 Наличие акта освидетельствования скрытых работ (АБИ) - 2019-12-11</t>
  </si>
  <si>
    <t>No: 5,6 Наличие акта освидетельствования ответственных конструкций (АБИ) - 2019-12-11</t>
  </si>
  <si>
    <t>Yes: 5,7 Наличие исполнительной геодезической схемы положения конструкций (АБИ) - 2019-12-11</t>
  </si>
  <si>
    <t>No: 5,8 Наличие документа о контроле качества сварных соединений (АБИ) - 2019-12-11</t>
  </si>
  <si>
    <t>Алексей Бирюков: Заголовок изменен на Затяжка</t>
  </si>
  <si>
    <t>Алексей Бирюков: Заголовок изменен на Затяжка ВПБ Блок №1 Кровля Узел №191;162;163;189;188;185;184;183;170;169;168;167 Блок 2.1 Узел №174;173;172</t>
  </si>
  <si>
    <t>Монтаж Фасадных Панелей в/о 22-23 в доль оси 1/Б с отм +16,882 до отм +20,9 70 Блок 3; в/о И-Л  в доль оси 15/1  с  отм + 4,170 до отм +8,370 Блок №2</t>
  </si>
  <si>
    <t>Алексей Бирюков: Заголовок изменен на Монтаж Фасадных Панелей в/о 22-23 в доль оси 1/Б с отм +16,882 до отм +20,9 70 Блок 3; в/о И-Л  в доль оси 15/1  с  отм + 4,170 до отм +8,370 Блок №2</t>
  </si>
  <si>
    <t>Проверка натяжения обычных  и ВП болтов Узел №1;2 Отм +62 Блок №1;Узел №180;181;184;186;187;190;191;192;193;461 блок 2.2 Кровля</t>
  </si>
  <si>
    <t>Yes: 2.1 Отклонения отметок опорных поверхностей колонн и опор от проектных не более 5 мм., опорных узлов не более 10 мм. (АБИ) - 2019-11-21</t>
  </si>
  <si>
    <t>Yes: 2.2 Смещение осей колонн и опор относительно разбивочных осей в опорном сечении не более 5 мм. (АБИ) - 2019-11-21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</si>
  <si>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- 2019-11-21</t>
  </si>
  <si>
    <t>Yes: 2.4 Стрела прогиба (кривизна) конструкции между точками закрепления не более 15 мм (АБИ) - 2019-11-21</t>
  </si>
  <si>
    <t>Yes: 2.5 Смещение ферм, балок ригелей от осей на оголовках колонн из плоскости рамы не более 15 мм. (АБИ) - 2019-11-21</t>
  </si>
  <si>
    <t>Yes: 2.6 Отклонений расстояний между прогонами не более 5 мм. от проектных (АБИ) - 2019-11-21</t>
  </si>
  <si>
    <t>Yes: 3.1 Момент затяжки обычных и высокопрочных болтов соответствует проекту. Зазоры в месте стыков отсутствуют (АБИ) - 2019-11-21</t>
  </si>
  <si>
    <t>Yes: 3.2 Заводское покрытие элементов конструкций восстановлено (при повреждении в процессе монтажа) (АБИ) - 2019-11-21</t>
  </si>
  <si>
    <t>Yes: 3.3 Выполнена окраска всех болтов и стыков в соответствии с проектом (АБИ) - 2019-11-21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</si>
  <si>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- 2019-11-21</t>
  </si>
  <si>
    <t>Yes: 5,1 Наличие записи в журнале производства работ (АБИ) - 2019-11-21</t>
  </si>
  <si>
    <t>Yes: 5,2 Наличие записи в журнале выполнения монтажных соединений на болтах с контролируемым натяжением (АБИ) - 2019-11-21</t>
  </si>
  <si>
    <t>Yes: 5,3 Наличие записи в журнале сварочных работ (АБИ) - 2019-11-21</t>
  </si>
  <si>
    <t>Yes: 5,4 Наличие записи в журнале работ по монтажу строительных конструкций (АБИ) - 2019-11-21</t>
  </si>
  <si>
    <t>No: 5,5 Наличие акта освидетельствования скрытых работ (АБИ) - 2019-11-21</t>
  </si>
  <si>
    <t>No: 5,6 Наличие акта освидетельствования ответственных конструкций (АБИ) - 2019-11-21</t>
  </si>
  <si>
    <t>Yes: 5,7 Наличие исполнительной геодезической схемы положения конструкций (АБИ) - 2019-11-21</t>
  </si>
  <si>
    <t>No: 5,8 Наличие документа о контроле качества сварных соединений (АБИ) - 2019-11-21</t>
  </si>
  <si>
    <t>Алексей Бирюков: Заголовок изменен на Проверка натяжения Обычных И ВПБ</t>
  </si>
  <si>
    <t>Алексей Бирюков: Заголовок изменен на Проверка натяжения обычных  и ВП болтов Узел №1;2 Отм +62 Блок №1;Узел №180;181;184;186;187;190;191;192;193;461 блок 2.2 Кровля</t>
  </si>
  <si>
    <t>Окраска Узлов м/К</t>
  </si>
  <si>
    <t>Алексей Бирюков: Заголовок изменен на Окраска Узлов м/К</t>
  </si>
  <si>
    <t>Монтаж лотков Узлы №25;29;30;26</t>
  </si>
  <si>
    <t>Yes: 2.1 Отклонения отметок опорных поверхностей колонн и опор от проектных не более 5 мм., опорных узлов не более 10 мм. (АБИ) - 2019-12-12</t>
  </si>
  <si>
    <t>Yes: 2.2 Смещение осей колонн и опор относительно разбивочных осей в опорном сечении не более 5 мм. (АБИ) - 2019-12-12</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</si>
  <si>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- 2019-12-12</t>
  </si>
  <si>
    <t>Yes: 2.4 Стрела прогиба (кривизна) конструкции между точками закрепления не более 15 мм (АБИ) - 2019-12-12</t>
  </si>
  <si>
    <t>Yes: 2.5 Смещение ферм, балок ригелей от осей на оголовках колонн из плоскости рамы не более 15 мм. (АБИ) - 2019-12-12</t>
  </si>
  <si>
    <t>Yes: 2.6 Отклонений расстояний между прогонами не более 5 мм. от проектных (АБИ) - 2019-12-12</t>
  </si>
  <si>
    <t>Yes: 3.1 Момент затяжки обычных и высокопрочных болтов соответствует проекту. Зазоры в месте стыков отсутствуют (АБИ) - 2019-12-12</t>
  </si>
  <si>
    <t>No: 3.2 Заводское покрытие элементов конструкций восстановлено (при повреждении в процессе монтажа) (АБИ) - 2019-12-12</t>
  </si>
  <si>
    <t>No: 3.3 Выполнена окраска всех болтов и стыков в соответствии с проектом (АБИ) - 2019-12-12</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</si>
  <si>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- 2019-12-12</t>
  </si>
  <si>
    <t>Yes: 5,1 Наличие записи в журнале производства работ (АБИ) - 2019-12-12</t>
  </si>
  <si>
    <t>Yes: 5,2 Наличие записи в журнале выполнения монтажных соединений на болтах с контролируемым натяжением (АБИ) - 2019-12-12</t>
  </si>
  <si>
    <t>No: 5,3 Наличие записи в журнале сварочных работ (АБИ) - 2019-12-12</t>
  </si>
  <si>
    <t>Yes: 5,4 Наличие записи в журнале работ по монтажу строительных конструкций (АБИ) - 2019-12-12</t>
  </si>
  <si>
    <t>No: 5,5 Наличие акта освидетельствования скрытых работ (АБИ) - 2019-12-12</t>
  </si>
  <si>
    <t>No: 5,6 Наличие акта освидетельствования ответственных конструкций (АБИ) - 2019-12-12</t>
  </si>
  <si>
    <t>N/A: 5,7 Наличие исполнительной геодезической схемы положения конструкций (АБИ) - 2019-12-12</t>
  </si>
  <si>
    <t>N/A: 5,8 Наличие документа о контроле качества сварных соединений (АБИ) - 2019-12-12</t>
  </si>
  <si>
    <t>Алексей Бирюков: Заголовок изменен на Монтаж лотков</t>
  </si>
  <si>
    <t>Алексей Бирюков: Заголовок изменен на Монтаж лотков Узлы №25;29;30;26</t>
  </si>
  <si>
    <t>Армирование и опалубка бетонного основания  между колодцами 8о;8а;8кгн ливневой канализации</t>
  </si>
  <si>
    <t>Алексей Бирюков: Заголовок изменен на Армирование Бетонной Подготовк</t>
  </si>
  <si>
    <t>Алексей Бирюков: Заголовок изменен на Армирование И Опалубка Основания Между Колодцами 8о,8а,8кгн Ливневой Канализации</t>
  </si>
  <si>
    <t>Алексей Бирюков: Заголовок изменен на Армирование и опалубка бетонного основания  между колодцами 8о;8а;8кгн ливневой канализации</t>
  </si>
  <si>
    <t>Контроль натяжения болтов Блок №2.2 Узел №49;52;53;</t>
  </si>
  <si>
    <t>Алексей Бирюков: Заголовок изменен на Контроль натяжения болтов</t>
  </si>
  <si>
    <t>Алексей Бирюков: Дата окончания изменена на 12 декабря 2019 г.</t>
  </si>
  <si>
    <t>Алексей Бирюков: Заголовок изменен на Контроль натяжения болтов Блок №2.2 Узел №49;52;53;</t>
  </si>
  <si>
    <t>Монтаж м/к Блок №1 Кровля Узел №869-888;903-906</t>
  </si>
  <si>
    <t>Yes: 2.1 Отклонения отметок опорных поверхностей колонн и опор от проектных не более 5 мм., опорных узлов не более 10 мм. (АБИ) - 2019-12-15</t>
  </si>
  <si>
    <t>Yes: 2.2 Смещение осей колонн и опор относительно разбивочных осей в опорном сечении не более 5 мм. (АБИ) - 2019-12-15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</si>
  <si>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- 2019-12-15</t>
  </si>
  <si>
    <t>Yes: 2.4 Стрела прогиба (кривизна) конструкции между точками закрепления не более 15 мм (АБИ) - 2019-12-15</t>
  </si>
  <si>
    <t>Yes: 2.5 Смещение ферм, балок ригелей от осей на оголовках колонн из плоскости рамы не более 15 мм. (АБИ) - 2019-12-15</t>
  </si>
  <si>
    <t>Yes: 2.6 Отклонений расстояний между прогонами не более 5 мм. от проектных (АБИ) - 2019-12-15</t>
  </si>
  <si>
    <t>Yes: 3.1 Момент затяжки обычных и высокопрочных болтов соответствует проекту. Зазоры в месте стыков отсутствуют (АБИ) - 2019-12-15</t>
  </si>
  <si>
    <t>Yes: 3.2 Заводское покрытие элементов конструкций восстановлено (при повреждении в процессе монтажа) (АБИ) - 2019-12-15</t>
  </si>
  <si>
    <t>N/A: 3.3 Выполнена окраска всех болтов и стыков в соответствии с проектом (АБИ) - 2019-12-15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</si>
  <si>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- 2019-12-15</t>
  </si>
  <si>
    <t>Yes: 5,1 Наличие записи в журнале производства работ (АБИ) - 2019-12-15</t>
  </si>
  <si>
    <t>Yes: 5,2 Наличие записи в журнале выполнения монтажных соединений на болтах с контролируемым натяжением (АБИ) - 2019-12-15</t>
  </si>
  <si>
    <t>Yes: 5,3 Наличие записи в журнале сварочных работ (АБИ) - 2019-12-15</t>
  </si>
  <si>
    <t>Yes: 5,4 Наличие записи в журнале работ по монтажу строительных конструкций (АБИ) - 2019-12-15</t>
  </si>
  <si>
    <t>No: 5,5 Наличие акта освидетельствования скрытых работ (АБИ) - 2019-12-15</t>
  </si>
  <si>
    <t>No: 5,6 Наличие акта освидетельствования ответственных конструкций (АБИ) - 2019-12-15</t>
  </si>
  <si>
    <t>No: 5,7 Наличие исполнительной геодезической схемы положения конструкций (АБИ) - 2019-12-15</t>
  </si>
  <si>
    <t>No: 5,8 Наличие документа о контроле качества сварных соединений (АБИ) - 2019-12-15</t>
  </si>
  <si>
    <t>Алексей Бирюков: Заголовок изменен на Монтаж м/к Блок №1 Кровля Узел №869-888;903-906</t>
  </si>
  <si>
    <t>Монтаж кронштейнов фасадной в/о Л-Н вдоль 6/1 на отм.+38,160; в/о К-Л вдоль оси 6/1 на отм.+42,360</t>
  </si>
  <si>
    <t>Yes: 2,1. Устройство конструкции выполнено в соответствии с проектом (АБИ) - 2020-01-31</t>
  </si>
  <si>
    <t>Yes: 2,2. При выполнении работ использовались материалы, прошедшие входной контроль (АБИ) - 2020-01-31</t>
  </si>
  <si>
    <t>Yes: 2,3. Конструкция проверена на соответствие проектным требованиям. Замечаний нет.  (АБИ) - 2020-01-31</t>
  </si>
  <si>
    <t>Yes: 2,4. Плановое положение и высотные отметки конструкции соответствует проекту. Отклонения не превышают нормативных (АБИ) - 2020-01-31</t>
  </si>
  <si>
    <t>No: 4,1. Наличие актов освидетельствования скрытых работ (АБИ) - 2020-01-31</t>
  </si>
  <si>
    <t>Yes: 4,2. Наличие и корректность исполнительной геодезической схемы (АБИ) - 2020-01-31</t>
  </si>
  <si>
    <t>Yes: 4,3. Наличие записей в журналах работ (АБИ) - 2020-01-31</t>
  </si>
  <si>
    <t>Yes: 4,4. Наличие паспортов и сертификатов на конструкцию и ее элементы (АБИ) - 2020-01-31</t>
  </si>
  <si>
    <t>Алексей Бирюков: Заголовок изменен на Монтаж кронштейнов фасадной в/о Л-Н вдоль 6/1 на отм.+38,160; в/о К-Л вдоль оси 6/1 на отм.+42,360</t>
  </si>
  <si>
    <t>Устройство противопожарной отсечки в/о 28-30 по оси 7/Б отм +12,450 Блок 2.3</t>
  </si>
  <si>
    <t>Yes: 2,1. Устройство конструкции выполнено в соответствии с проектом (АБИ) - 2019-12-16</t>
  </si>
  <si>
    <t>Yes: 2,2. При выполнении работ использовались материалы, прошедшие входной контроль (АБИ) - 2019-12-16</t>
  </si>
  <si>
    <t>Yes: 2,3. Конструкция проверена на соответствие проектным требованиям. Замечаний нет.  (АБИ) - 2019-12-16</t>
  </si>
  <si>
    <t>Yes: 2,4. Плановое положение и высотные отметки конструкции соответствует проекту. Отклонения не превышают нормативных (АБИ) - 2019-12-16</t>
  </si>
  <si>
    <t>No: 4,1. Наличие актов освидетельствования скрытых работ (АБИ) - 2019-12-16</t>
  </si>
  <si>
    <t>No: 4,2. Наличие и корректность исполнительной геодезической схемы (АБИ) - 2019-12-16</t>
  </si>
  <si>
    <t>Yes: 4,3. Наличие записей в журналах работ (АБИ) - 2019-12-16</t>
  </si>
  <si>
    <t>Yes: 4,4. Наличие паспортов и сертификатов на конструкцию и ее элементы (АБИ) - 2019-12-16</t>
  </si>
  <si>
    <t xml:space="preserve">Алексей Бирюков: Заголовок изменен на Устройство противопожарной отсечки в/о </t>
  </si>
  <si>
    <t>Алексей Бирюков: Заголовок изменен на Устройство противопожарной отсечки в/о 28-30 по оси 7/Б</t>
  </si>
  <si>
    <t>Алексей Бирюков: Заголовок изменен на Устройство противопожарной отсечки в/о 28-30 по оси 7/Б отм +12,450 Блок 2.3</t>
  </si>
  <si>
    <t>Алексей Бирюков: Дата начала изменена на 16 декабря 2019 г.</t>
  </si>
  <si>
    <t>Гидравлические испытания замков колодца №69А и №71 системы К-1</t>
  </si>
  <si>
    <t>Алексей Бирюков: Заголовок изменен на Гидравлические испытания замков колодца №69А и №71 системы К-1</t>
  </si>
  <si>
    <t>Монтаж фасадных панелей в/о 12-14 вдоль оси И с отм +0,120 до отм. +4,170 Блок №2</t>
  </si>
  <si>
    <t>Yes: 2,1. Устройство конструкции выполнено в соответствии с проектом (АБИ) - 2020-02-01</t>
  </si>
  <si>
    <t>Yes: 2,2. При выполнении работ использовались материалы, прошедшие входной контроль (АБИ) - 2020-02-01</t>
  </si>
  <si>
    <t>Yes: 2,3. Конструкция проверена на соответствие проектным требованиям. Замечаний нет.  (АБИ) - 2020-02-01</t>
  </si>
  <si>
    <t>Yes: 2,4. Плановое положение и высотные отметки конструкции соответствует проекту. Отклонения не превышают нормативных (АБИ) - 2020-02-01</t>
  </si>
  <si>
    <t>No: 4,1. Наличие актов освидетельствования скрытых работ (АБИ) - 2020-02-01</t>
  </si>
  <si>
    <t>Yes: 4,2. Наличие и корректность исполнительной геодезической схемы (АБИ) - 2020-02-01</t>
  </si>
  <si>
    <t>Yes: 4,3. Наличие записей в журналах работ (АБИ) - 2020-02-01</t>
  </si>
  <si>
    <t>Yes: 4,4. Наличие паспортов и сертификатов на конструкцию и ее элементы (АБИ) - 2020-02-01</t>
  </si>
  <si>
    <t>Алексей Бирюков: Заголовок изменен на Монтаж фасадных панелей в/о 12-14 вдоль оси И с отм +0,120 до отм. +4,170 Блок №2</t>
  </si>
  <si>
    <t>Армирование и монтаж опалубки под оборудование в/о Т-У по оси 1 на отм.-2,500</t>
  </si>
  <si>
    <t>Алексей Бирюков: Заголовок изменен на Армирование и монтаж опалубки под оборудование в/о Т-У по оси 1 на отм.-2,500</t>
  </si>
  <si>
    <t>Проверка натяжения ВПБ Блок №1 отм+66,850 Узел №139;140;141;142;149;150;151;152;153;154</t>
  </si>
  <si>
    <t>Yes: 2.1 Отклонения отметок опорных поверхностей колонн и опор от проектных не более 5 мм., опорных узлов не более 10 мм. (АБИ) - 2020-02-01</t>
  </si>
  <si>
    <t>Yes: 2.2 Смещение осей колонн и опор относительно разбивочных осей в опорном сечении не более 5 мм. (АБИ) - 2020-02-01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</si>
  <si>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- 2020-02-01</t>
  </si>
  <si>
    <t>Yes: 2.4 Стрела прогиба (кривизна) конструкции между точками закрепления не более 15 мм (АБИ) - 2020-02-01</t>
  </si>
  <si>
    <t>Yes: 2.5 Смещение ферм, балок ригелей от осей на оголовках колонн из плоскости рамы не более 15 мм. (АБИ) - 2020-02-01</t>
  </si>
  <si>
    <t>Yes: 2.6 Отклонений расстояний между прогонами не более 5 мм. от проектных (АБИ) - 2020-02-01</t>
  </si>
  <si>
    <t>Yes: 3.1 Момент затяжки обычных и высокопрочных болтов соответствует проекту. Зазоры в месте стыков отсутствуют (АБИ) - 2020-02-01</t>
  </si>
  <si>
    <t>No: 3.2 Заводское покрытие элементов конструкций восстановлено (при повреждении в процессе монтажа) (АБИ) - 2020-02-01</t>
  </si>
  <si>
    <t>No: 3.3 Выполнена окраска всех болтов и стыков в соответствии с проектом (АБИ) - 2020-02-01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</si>
  <si>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- 2020-02-01</t>
  </si>
  <si>
    <t>Yes: 5,1 Наличие записи в журнале производства работ (АБИ) - 2020-02-01</t>
  </si>
  <si>
    <t>Yes: 5,2 Наличие записи в журнале выполнения монтажных соединений на болтах с контролируемым натяжением (АБИ) - 2020-02-01</t>
  </si>
  <si>
    <t>Yes: 5,3 Наличие записи в журнале сварочных работ (АБИ) - 2020-02-01</t>
  </si>
  <si>
    <t>Yes: 5,4 Наличие записи в журнале работ по монтажу строительных конструкций (АБИ) - 2020-02-01</t>
  </si>
  <si>
    <t>No: 5,5 Наличие акта освидетельствования скрытых работ (АБИ) - 2020-02-01</t>
  </si>
  <si>
    <t>No: 5,6 Наличие акта освидетельствования ответственных конструкций (АБИ) - 2020-02-01</t>
  </si>
  <si>
    <t>No: 5,7 Наличие исполнительной геодезической схемы положения конструкций (АБИ) - 2020-02-01</t>
  </si>
  <si>
    <t>No: 5,8 Наличие документа о контроле качества сварных соединений (АБИ) - 2020-02-01</t>
  </si>
  <si>
    <t>Алексей Бирюков: Заголовок изменен на Проверка натяжения ВПБ Блок №1 отм+66,850 Узел №139;140;141;142;149;150;151;152;153;154</t>
  </si>
  <si>
    <t>Монтаж панелей фасада в/о 19/1-20 м/о К-Н с отм +16,770 до отм +20,970</t>
  </si>
  <si>
    <t>Yes: 2,1. Устройство конструкции выполнено в соответствии с проектом (АБИ) - 2020-01-06</t>
  </si>
  <si>
    <t>Yes: 2,2. При выполнении работ использовались материалы, прошедшие входной контроль (АБИ) - 2020-01-06</t>
  </si>
  <si>
    <t>Yes: 2,3. Конструкция проверена на соответствие проектным требованиям. Замечаний нет.  (АБИ) - 2020-01-06</t>
  </si>
  <si>
    <t>Yes: 2,4. Плановое положение и высотные отметки конструкции соответствует проекту. Отклонения не превышают нормативных (АБИ) - 2020-01-06</t>
  </si>
  <si>
    <t>No: 4,1. Наличие актов освидетельствования скрытых работ (АБИ) - 2020-01-06</t>
  </si>
  <si>
    <t>Yes: 4,2. Наличие и корректность исполнительной геодезической схемы (АБИ) - 2020-01-06</t>
  </si>
  <si>
    <t>Yes: 4,3. Наличие записей в журналах работ (АБИ) - 2020-01-06</t>
  </si>
  <si>
    <t>Yes: 4,4. Наличие паспортов и сертификатов на конструкцию и ее элементы (АБИ) - 2020-01-06</t>
  </si>
  <si>
    <t>Алексей Бирюков: Заголовок изменен на Монтаж панелей фасада в/о 19/1-20 м/о К-Н с отм +16,770 до отм +20,970</t>
  </si>
  <si>
    <t>Алексей Бирюков: Дата начала изменена на 6 января 2020 г.</t>
  </si>
  <si>
    <t>Монтаж м/к(пьедесталы под оборудование)L16 Блок №1  F 27.1 ;F 55.1</t>
  </si>
  <si>
    <t>Yes: 2.1 Отклонения отметок опорных поверхностей колонн и опор от проектных не более 5 мм., опорных узлов не более 10 мм. (АБИ) - 2020-01-06</t>
  </si>
  <si>
    <t>No: 2.2 Смещение осей колонн и опор относительно разбивочных осей в опорном сечении не более 5 мм. (АБИ) - 2020-01-06</t>
  </si>
  <si>
    <t>No: 2.3 Отклонение осей колонн от вертикали в верхнем сечении: при длине колонн от 4000 до 8000 мм - не более 10 мм; при длине колонн от 8000 до 16000 мм - не более 12 мм. (АБИ) - 2020-01-06</t>
  </si>
  <si>
    <t>Yes: 2.4 Стрела прогиба (кривизна) конструкции между точками закрепления не более 15 мм (АБИ) - 2020-01-06</t>
  </si>
  <si>
    <t>No: 2.5 Смещение ферм, балок ригелей от осей на оголовках колонн из плоскости рамы не более 15 мм. (АБИ) - 2020-01-06</t>
  </si>
  <si>
    <t>Yes: 2.6 Отклонений расстояний между прогонами не более 5 мм. от проектных (АБИ) - 2020-01-06</t>
  </si>
  <si>
    <t>No: 3.1 Момент затяжки обычных и высокопрочных болтов соответствует проекту. Зазоры в месте стыков отсутствуют (АБИ) - 2020-01-06</t>
  </si>
  <si>
    <t>Yes: 3.2 Заводское покрытие элементов конструкций восстановлено (при повреждении в процессе монтажа) (АБИ) - 2020-01-06</t>
  </si>
  <si>
    <t>Yes: 3.3 Выполнена окраска всех болтов и стыков в соответствии с проектом (АБИ) - 2020-01-06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</si>
  <si>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- 2020-01-06</t>
  </si>
  <si>
    <t>Yes: 5,1 Наличие записи в журнале производства работ (АБИ) - 2020-01-06</t>
  </si>
  <si>
    <t>Yes: 5,2 Наличие записи в журнале выполнения монтажных соединений на болтах с контролируемым натяжением (АБИ) - 2020-01-06</t>
  </si>
  <si>
    <t>No: 5,3 Наличие записи в журнале сварочных работ (АБИ) - 2020-01-06</t>
  </si>
  <si>
    <t>Yes: 5,4 Наличие записи в журнале работ по монтажу строительных конструкций (АБИ) - 2020-01-06</t>
  </si>
  <si>
    <t>No: 5,5 Наличие акта освидетельствования скрытых работ (АБИ) - 2020-01-06</t>
  </si>
  <si>
    <t>N/A: 5,6 Наличие акта освидетельствования ответственных конструкций (АБИ) - 2020-01-06</t>
  </si>
  <si>
    <t>N/A: 5,7 Наличие исполнительной геодезической схемы положения конструкций (АБИ) - 2020-01-06</t>
  </si>
  <si>
    <t>No: 5,8 Наличие документа о контроле качества сварных соединений (АБИ) - 2020-01-06</t>
  </si>
  <si>
    <t>Алексей Бирюков: Заголовок изменен на Монтаж м/к(пьедесталы под оборудование)L16 Блок №1</t>
  </si>
  <si>
    <t>Алексей Бирюков: Заголовок изменен на Монтаж м/к(пьедесталы под оборудование)L16 Блок №1  F 27.1 ;F 55.1</t>
  </si>
  <si>
    <t>Монтаж фасадных панелей в/о 15/1-16 по оси Т с отм +0,120 до отм +4.170;в/о Т-У в доль оси 3/В с отм +0,120 до отм +4,170</t>
  </si>
  <si>
    <t>Yes: 2,1. Устройство конструкции выполнено в соответствии с проектом (АБИ) - 2020-01-08</t>
  </si>
  <si>
    <t>Yes: 2,2. При выполнении работ использовались материалы, прошедшие входной контроль (АБИ) - 2020-01-08</t>
  </si>
  <si>
    <t>Yes: 2,3. Конструкция проверена на соответствие проектным требованиям. Замечаний нет.  (АБИ) - 2020-01-08</t>
  </si>
  <si>
    <t>Yes: 2,4. Плановое положение и высотные отметки конструкции соответствует проекту. Отклонения не превышают нормативных (АБИ) - 2020-01-08</t>
  </si>
  <si>
    <t>No: 4,1. Наличие актов освидетельствования скрытых работ (АБИ) - 2020-01-08</t>
  </si>
  <si>
    <t>Yes: 4,2. Наличие и корректность исполнительной геодезической схемы (АБИ) - 2020-01-08</t>
  </si>
  <si>
    <t>Yes: 4,3. Наличие записей в журналах работ (АБИ) - 2020-01-08</t>
  </si>
  <si>
    <t>Yes: 4,4. Наличие паспортов и сертификатов на конструкцию и ее элементы (АБИ) - 2020-01-08</t>
  </si>
  <si>
    <t>Алексей Бирюков: Заголовок изменен на Монтаж стековых панелей</t>
  </si>
  <si>
    <t>Алексей Бирюков: Заголовок изменен на Монтаж фасадных панелей в/о 15/1-16 по оси Т с отм +0,120 до отм +4.170;в/о Т-У в доль оси 3/В с отм +0,120 до отм +4,170</t>
  </si>
  <si>
    <t>Алексей Бирюков: Дата начала изменена на 8 января 2020 г.</t>
  </si>
  <si>
    <t>Монтаж фасадных панелей</t>
  </si>
  <si>
    <t>Алексей Бирюков: Заголовок изменен на Монтаж фасадных панелей</t>
  </si>
  <si>
    <t>Алексей Бирюков: Дата начала изменена на 3 февраля 2020 г.</t>
  </si>
  <si>
    <t>Проверка натяжения ВПБ Блок №1 отм + №584;587;583;574;573;157;244 (30)</t>
  </si>
  <si>
    <t>Yes: 2.1 Отклонения отметок опорных поверхностей колонн и опор от проектных не более 5 мм., опорных узлов не более 10 мм. (АБИ) - 2020-02-05</t>
  </si>
  <si>
    <t>Not set: 2.2 Смещение осей колонн и опор относительно разбивочных осей в опорном сечении не более 5 мм. (АБИ) - 2020-02-05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</si>
  <si>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(АБИ) - 2020-02-05</t>
  </si>
  <si>
    <t>Yes: 2.4 Стрела прогиба (кривизна) конструкции между точками закрепления не более 15 мм (АБИ) - 2020-02-05</t>
  </si>
  <si>
    <t>No: 2.5 Смещение ферм, балок ригелей от осей на оголовках колонн из плоскости рамы не более 15 мм. (АБИ) - 2020-02-05</t>
  </si>
  <si>
    <t>No: 2.6 Отклонений расстояний между прогонами не более 5 мм. от проектных (АБИ) - 2020-02-05</t>
  </si>
  <si>
    <t>Yes: 3.1 Момент затяжки обычных и высокопрочных болтов соответствует проекту. Зазоры в месте стыков отсутствуют (АБИ) - 2020-02-05</t>
  </si>
  <si>
    <t>No: 3.2 Заводское покрытие элементов конструкций восстановлено (при повреждении в процессе монтажа) (АБИ) - 2020-02-05</t>
  </si>
  <si>
    <t>No: 3.3 Выполнена окраска всех болтов и стыков в соответствии с проектом (АБИ) - 2020-02-05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</si>
  <si>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(АБИ) - 2020-02-05</t>
  </si>
  <si>
    <t>Yes: 5,1 Наличие записи в журнале производства работ (АБИ) - 2020-02-05</t>
  </si>
  <si>
    <t>Yes: 5,2 Наличие записи в журнале выполнения монтажных соединений на болтах с контролируемым натяжением (АБИ) - 2020-02-05</t>
  </si>
  <si>
    <t>No: 5,3 Наличие записи в журнале сварочных работ (АБИ) - 2020-02-05</t>
  </si>
  <si>
    <t>Yes: 5,4 Наличие записи в журнале работ по монтажу строительных конструкций (АБИ) - 2020-02-05</t>
  </si>
  <si>
    <t>N/A: 5,5 Наличие акта освидетельствования скрытых работ (АБИ) - 2020-02-05</t>
  </si>
  <si>
    <t>N/A: 5,6 Наличие акта освидетельствования ответственных конструкций (АБИ) - 2020-02-05</t>
  </si>
  <si>
    <t>No: 5,7 Наличие исполнительной геодезической схемы положения конструкций (АБИ) - 2020-02-05</t>
  </si>
  <si>
    <t>No: 5,8 Наличие документа о контроле качества сварных соединений (АБИ) - 2020-02-05</t>
  </si>
  <si>
    <t xml:space="preserve">Алексей Бирюков: Заголовок изменен на Проверка натяжения ВПБ Блок №1 </t>
  </si>
  <si>
    <t>Алексей Бирюков: Заголовок изменен на Проверка натяжения ВПБ Блок №1 отм + №584;587;583;574;573;157;244 (30)</t>
  </si>
  <si>
    <t>Монтаж панелей фасада в/о Д-К в доль оси 13 Блок 2 отм +8,400</t>
  </si>
  <si>
    <t>Yes: 2,1. Устройство конструкции выполнено в соответствии с проектом (АБИ) - 2020-02-05</t>
  </si>
  <si>
    <t>Yes: 2,2. При выполнении работ использовались материалы, прошедшие входной контроль (АБИ) - 2020-02-05</t>
  </si>
  <si>
    <t>Yes: 2,3. Конструкция проверена на соответствие проектным требованиям. Замечаний нет.  (АБИ) - 2020-02-05</t>
  </si>
  <si>
    <t>Yes: 2,4. Плановое положение и высотные отметки конструкции соответствует проекту. Отклонения не превышают нормативных (АБИ) - 2020-02-05</t>
  </si>
  <si>
    <t>No: 4,1. Наличие актов освидетельствования скрытых работ (АБИ) - 2020-02-05</t>
  </si>
  <si>
    <t>Yes: 4,2. Наличие и корректность исполнительной геодезической схемы (АБИ) - 2020-02-05</t>
  </si>
  <si>
    <t>Yes: 4,3. Наличие записей в журналах работ (АБИ) - 2020-02-05</t>
  </si>
  <si>
    <t>Yes: 4,4. Наличие паспортов и сертификатов на конструкцию и ее элементы (АБИ) - 2020-02-05</t>
  </si>
  <si>
    <t>Алексей Бирюков: Заголовок изменен на Монтаж панелей фасада в/о Д-К в доль оси 13 Блок 2 отм +8,400</t>
  </si>
  <si>
    <t>Армирование плиты перекрытия в/о 9/1-10/1 м/о 3-5 отм +8,400 Блок 1 (проем под К-6)</t>
  </si>
  <si>
    <t>Алексей Бирюков: Заголовок изменен на Армирование плиты перекрытия в/о 9/1-10/1 м/о 3-5 отм +8,400 Блок 1 (проем под К-6)</t>
  </si>
  <si>
    <t>Алексей Бирюков: Дата начала изменена на 4 февраля 2020 г.</t>
  </si>
  <si>
    <t>Устройство керамогранита пола пом.13.L13.1.003</t>
  </si>
  <si>
    <t>Yes: 2,1. Устройство конструкции выполнено в соответствии с проектом (АБИ) - 2020-01-10</t>
  </si>
  <si>
    <t>Yes: 2,2. При выполнении работ использовались материалы, прошедшие входной контроль (АБИ) - 2020-01-10</t>
  </si>
  <si>
    <t>Yes: 2,3. Конструкция проверена на соответствие проектным требованиям. Замечаний нет.  (АБИ) - 2020-01-10</t>
  </si>
  <si>
    <t>Yes: 2,4. Плановое положение и высотные отметки конструкции соответствует проекту. Отклонения не превышают нормативных (АБИ) - 2020-01-10</t>
  </si>
  <si>
    <t>No: 4,1. Наличие актов освидетельствования скрытых работ (АБИ) - 2020-01-10</t>
  </si>
  <si>
    <t>No: 4,2. Наличие и корректность исполнительной геодезической схемы (АБИ) - 2020-01-10</t>
  </si>
  <si>
    <t>Yes: 4,3. Наличие записей в журналах работ (АБИ) - 2020-01-10</t>
  </si>
  <si>
    <t>Yes: 4,4. Наличие паспортов и сертификатов на конструкцию и ее элементы (АБИ) - 2020-01-10</t>
  </si>
  <si>
    <t>Алексей Бирюков: Заголовок изменен на Устройство керамогранита пола пом.13.L13.1.003</t>
  </si>
  <si>
    <t>Устройство перегородок из ГКЛ (каркас+ ГКЛ) пом № 07L3.1 . 060-063;09L3.1.002</t>
  </si>
  <si>
    <t>п8.7_перегородки_каркасно-обшивные</t>
  </si>
  <si>
    <t>Yes: 2,1. Работы выполнены в соответствии с РД, утвержденной в производство работ (АБИ) - 2020-01-10</t>
  </si>
  <si>
    <t>Yes: 2,2. При производстве работ использован материал, прошедший входной контроль (АБИ) - 2020-01-10</t>
  </si>
  <si>
    <t>Yes: 2,3. При производтстве работ соблюдалась технология, что подтверждено инспекциями операционного контроля (АБИ) - 2020-01-10</t>
  </si>
  <si>
    <t>Yes: 2,4. Отклонение мест размещения перегородок и размеров помещений не превышает нормативных (СП 163.1325800.2014 ) (АБИ) - 2020-01-10</t>
  </si>
  <si>
    <t>Yes: 2,5. В местах сопряжения перегородок с трубопроводами водоснабжения, отопления и коммуникациями диаметром более 60 мм установлены гильзы (кожухи) из несгораемых материалов с пределом огнестойкости не менее 30 мин (АБИ) - 2020-01-10</t>
  </si>
  <si>
    <t>Yes: 3,1. Наличие записи в журнале производства работ (АБИ) - 2020-01-10</t>
  </si>
  <si>
    <t>No: 3,2. Наличие исполнительной геодезицеской схемы (АБИ) - 2020-01-10</t>
  </si>
  <si>
    <t>N/A: 3,3. Наличие исполнительной документации,включая акт освидетельствования скрытых работ (АБИ) - 2020-01-10</t>
  </si>
  <si>
    <t>Yes: Нормативная документация: СП 70.13330.2012 «Несущие и ограждающие конструкции». СП 71.13330.2011 «Изоляционные и отделочные покрытия». СП 163.1325800.2014 Конструкции с применением гипсокартонных и гипсоволокнистых листов. Правила проектирования и монтажа. (АБИ) - 2020-01-10</t>
  </si>
  <si>
    <t>Алексей Бирюков: Заголовок изменен на Устройство перегородок из ГКЛ (каркас+ ГКЛ) пом № 07L3.1 . 060-063;09L3.1.002</t>
  </si>
  <si>
    <t>Устройство оклеенной г/и 07L3.1.089-092.1</t>
  </si>
  <si>
    <t>Yes: 2,1. При производстве работ использован материал, прошедший входной контроль (АБИ) - 2020-01-11</t>
  </si>
  <si>
    <t>Yes: 2,2. Сопряжение смежных полотнищ выполнено с нахлесткой не менее 100 мм; торцевой нахлест полотнищ составляет не менее 150 мм (АБИ) - 2020-01-11</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</si>
  <si>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- 2020-01-11</t>
  </si>
  <si>
    <t>Yes: 2,4. Отсутствуют расслоения в местах швов.
При применении шлицевой отвертки инструмент не
проникает между полотнищами в местах швов (АБИ) - 2020-01-11</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</si>
  <si>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- 2020-01-11</t>
  </si>
  <si>
    <t>Yes: 2,6. Углы конструкций примыкания сглаженные и
ровные, с отсутствием острых углов (АБИ) - 2020-01-11</t>
  </si>
  <si>
    <t>N/A: 3,1. Наличие исполнительной документации, акта освидетельствования скрытых работ (АБИ) - 2020-01-11</t>
  </si>
  <si>
    <t>Yes: 3,2. Наличие записи в журнале производства работ (АБИ) - 2020-01-11</t>
  </si>
  <si>
    <t>Yes: Нормативная документация: СП 71.13330.2017 «Изоляционные и отделочные покрытия» (АБИ) - 2020-01-11</t>
  </si>
  <si>
    <t>Алексей Бирюков: Заголовок изменен на Устройство оклеенной г/и 07L3.1.089-092.1</t>
  </si>
  <si>
    <t>Алексей Бирюков: Дата начала изменена на 11 января 2020 г.</t>
  </si>
  <si>
    <t>Шпатлёвка потолка 07L1.1.021;09L1.1.020;09L1.1.09;13;1411L1.2.040</t>
  </si>
  <si>
    <t>Алексей Бирюков: Заголовок изменен на Шпатлёвка потолка 07L1.1.021;09L1.1.020</t>
  </si>
  <si>
    <t>Алексей Бирюков: Заголовок изменен на Шпатлёвка потолка 07L1.1.021;09L1.1.020;</t>
  </si>
  <si>
    <t>Алексей Бирюков: Заголовок изменен на Шпатлёвка потолка 07L1.1.021;09L1.1.020;09L1.1.09;13;14</t>
  </si>
  <si>
    <t>Алексей Бирюков: Заголовок изменен на Шпатлёвка потолка 07L1.1.021;09L1.1.020;09L1.1.09;13;1411L1.2.040</t>
  </si>
  <si>
    <t>Штукатурка в/о 14-15 м/о 1/Б-3 отм -0,250</t>
  </si>
  <si>
    <t>Алексей Бирюков: Заголовок изменен на Штукатурка в/о 14-15 м/о 1/Б-3 отм -0,250</t>
  </si>
  <si>
    <t xml:space="preserve">Облицовка пола и стен керамогранита </t>
  </si>
  <si>
    <t xml:space="preserve">Алексей Бирюков: Заголовок изменен на Облицовка пола и стен керамогранита </t>
  </si>
  <si>
    <t xml:space="preserve">Устройство горизонтальной г/и (ЭПП) отм +25,200 в/о 1/Б-3 м/о Ф-У </t>
  </si>
  <si>
    <t>Yes: 2,1. Устройство кровли выполнено в соответствии с проектом (АБИ) - 2020-02-07</t>
  </si>
  <si>
    <t>Yes: 2,2. При устройстве кровли использовались материалы, прошедшие входной контроль (АБИ) - 2020-02-07</t>
  </si>
  <si>
    <t>Yes: 2,3. При устройстве кровли использовались материалы, прошедшие входной контроль (АБИ) - 2020-02-07</t>
  </si>
  <si>
    <t>Yes: 2,4. Отвод воды осуществляется по всей поверхности кровли по наружным и внутренним водостокам без застоя воды (АБИ) - 2020-02-07</t>
  </si>
  <si>
    <t>Yes: 2,5. На кровле отсутствуют пузыри, вздутия, воздушные мешки, разрывы, вмятины, проколы, потёки и наплывы покрытия (АБИ) - 2020-02-07</t>
  </si>
  <si>
    <t>Yes: 2,6. Понижения в зоне водоприемных воронок соответствуют проекту (АБИ) - 2020-02-07</t>
  </si>
  <si>
    <t>Yes: 2,7. Чаши водоприёмных воронок внутренних водостоков не выступают над поверхностью кровли (АБИ) - 2020-02-07</t>
  </si>
  <si>
    <t>Yes: 2,8. Отслаивания кровельного ковра в местах сопряжения с выступающими конструкциями кровли и инженерным оборудованием отсутствуют (АБИ) - 2020-02-07</t>
  </si>
  <si>
    <t>Yes: 3,1. Предельные отклонения в положении элементов кровли не превышают нормативных  (АБИ) - 2020-02-07</t>
  </si>
  <si>
    <t>Yes: 4,4. Наличие гарантийного паспорта на кровлю (АБИ) - 2020-02-07</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</si>
  <si>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- 2020-02-07</t>
  </si>
  <si>
    <t>Алексей Бирюков: Заголовок изменен на Устройство горизонтальной г/и (ЭПП) отм +25,200 в/о 1-3</t>
  </si>
  <si>
    <t xml:space="preserve">Алексей Бирюков: Заголовок изменен на Устройство горизонтальной г/и (ЭПП) отм +25,200 в/о 1/Б-3 м/о Ф-У </t>
  </si>
  <si>
    <t>Устройство-во кровли в/о 1/Б-1 м/о Е-К отм +54,850</t>
  </si>
  <si>
    <t>Yes: 2,1. Устройство кровли выполнено в соответствии с проектом (АБИ) - 2020-02-08</t>
  </si>
  <si>
    <t>Yes: 2,2. При устройстве кровли использовались материалы, прошедшие входной контроль (АБИ) - 2020-02-08</t>
  </si>
  <si>
    <t>Yes: 2,3. При устройстве кровли использовались материалы, прошедшие входной контроль (АБИ) - 2020-02-08</t>
  </si>
  <si>
    <t>Yes: 2,4. Отвод воды осуществляется по всей поверхности кровли по наружным и внутренним водостокам без застоя воды (АБИ) - 2020-02-08</t>
  </si>
  <si>
    <t>Yes: 2,5. На кровле отсутствуют пузыри, вздутия, воздушные мешки, разрывы, вмятины, проколы, потёки и наплывы покрытия (АБИ) - 2020-02-08</t>
  </si>
  <si>
    <t>Yes: 2,6. Понижения в зоне водоприемных воронок соответствуют проекту (АБИ) - 2020-02-08</t>
  </si>
  <si>
    <t>Yes: 2,7. Чаши водоприёмных воронок внутренних водостоков не выступают над поверхностью кровли (АБИ) - 2020-02-08</t>
  </si>
  <si>
    <t>Yes: 2,8. Отслаивания кровельного ковра в местах сопряжения с выступающими конструкциями кровли и инженерным оборудованием отсутствуют (АБИ) - 2020-02-08</t>
  </si>
  <si>
    <t>Yes: 3,1. Предельные отклонения в положении элементов кровли не превышают нормативных  (АБИ) - 2020-02-08</t>
  </si>
  <si>
    <t>No: 4,1. Наличие актов освидетельствования скрытых работ (АБИ) - 2020-02-08</t>
  </si>
  <si>
    <t>No: 4,2. Наличие и корректность исполнительной геодезической схемы (АБИ) - 2020-02-08</t>
  </si>
  <si>
    <t>Yes: 4,3. Наличие записей в журналах работ (АБИ) - 2020-02-08</t>
  </si>
  <si>
    <t>Yes: 4,4. Наличие гарантийного паспорта на кровлю (АБИ) - 2020-02-08</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</si>
  <si>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- 2020-02-08</t>
  </si>
  <si>
    <t>Алексей Бирюков: Заголовок изменен на Устройство-во кровли в/о 1/Б-1 м/о Е-К отм +54,850</t>
  </si>
  <si>
    <t>Устройство пароизоляции кровли в/о 5-7/Б м/о 3/А -Е отм +58,650 Блок №1</t>
  </si>
  <si>
    <t>Yes: 2,1. Устройство конструкции выполнено в соответствии с проектом (АБИ) - 2020-02-08</t>
  </si>
  <si>
    <t>Yes: 2,2. При выполнении работ использовались материалы, прошедшие входной контроль (АБИ) - 2020-02-08</t>
  </si>
  <si>
    <t>Yes: 2,3. Конструкция проверена на соответствие проектным требованиям. Замечаний нет.  (АБИ) - 2020-02-08</t>
  </si>
  <si>
    <t>Yes: 2,4. Плановое положение и высотные отметки конструкции соответствует проекту. Отклонения не превышают нормативных (АБИ) - 2020-02-08</t>
  </si>
  <si>
    <t>Yes: 4,4. Наличие паспортов и сертификатов на конструкцию и ее элементы (АБИ) - 2020-02-08</t>
  </si>
  <si>
    <t>Алексей Бирюков: Заголовок изменен на Устройство пароизоляции кровли в/о 5-7/Б м/о 3/А -Е отм +58,650 Блок №1</t>
  </si>
  <si>
    <t>Монтаж кронштейнов КПП1</t>
  </si>
  <si>
    <t>Yes: 4,2. Наличие и корректность исполнительной геодезической схемы (АБИ) - 2020-02-08</t>
  </si>
  <si>
    <t>Алексей Бирюков: Заголовок изменен на Монтаж кронштейнов КПП1</t>
  </si>
  <si>
    <t>монтаж панелей фасада в/о отм +33,600 Блок 1</t>
  </si>
  <si>
    <t>Алексей Бирюков: Заголовок изменен на монтаж панелей фасада в/о</t>
  </si>
  <si>
    <t>Алексей Бирюков: Заголовок изменен на монтаж панелей фасада в/о отм +33,600 Блок 1</t>
  </si>
  <si>
    <t>Устройство вертик г/и в/о 21-23 по оси 1/Б до отм -0,960</t>
  </si>
  <si>
    <t>Yes: 2,1. При производстве работ использован материал, прошедший входной контроль (АБИ) - 2020-01-15</t>
  </si>
  <si>
    <t>Yes: 2,2. Сопряжение смежных полотнищ выполнено с нахлесткой не менее 100 мм; торцевой нахлест полотнищ составляет не менее 150 мм (АБИ) - 2020-01-15</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</si>
  <si>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- 2020-01-15</t>
  </si>
  <si>
    <t>Yes: 2,4. Отсутствуют расслоения в местах швов.
При применении шлицевой отвертки инструмент не
проникает между полотнищами в местах швов (АБИ) - 2020-01-15</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</si>
  <si>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- 2020-01-15</t>
  </si>
  <si>
    <t>Yes: 2,6. Углы конструкций примыкания сглаженные и
ровные, с отсутствием острых углов (АБИ) - 2020-01-15</t>
  </si>
  <si>
    <t>No: 3,1. Наличие исполнительной документации, акта освидетельствования скрытых работ (АБИ) - 2020-01-15</t>
  </si>
  <si>
    <t>Yes: 3,2. Наличие записи в журнале производства работ (АБИ) - 2020-01-15</t>
  </si>
  <si>
    <t>Yes: Нормативная документация: СП 71.13330.2017 «Изоляционные и отделочные покрытия» (АБИ) - 2020-01-15</t>
  </si>
  <si>
    <t>Алексей Бирюков: Заголовок изменен на Устройство вертик г/и в/о 21-23 по оси 1/Б</t>
  </si>
  <si>
    <t>Алексей Бирюков: Заголовок изменен на Устройство вертик г/и в/о 21-23 по оси 1/Б до отм -0,960</t>
  </si>
  <si>
    <t>Армирование фундамент.плиты ФМ 1.1 в/о Ш/2-Э по оси 1/Б отм.-8,550</t>
  </si>
  <si>
    <t>Yes: 2,1. Устройство конструкции выполнено в соответствии с проектом (АБИ) - 2020-01-15</t>
  </si>
  <si>
    <t>Yes: 2,2. При выполнении работ использовались материалы, прошедшие входной контроль (АБИ) - 2020-01-15</t>
  </si>
  <si>
    <t>Yes: 2,3. Конструкция проверена на соответствие проектным требованиям. Замечаний нет.  (АБИ) - 2020-01-15</t>
  </si>
  <si>
    <t>Yes: 2,4. Плановое положение и высотные отметки конструкции соответствует проекту. Отклонения не превышают нормативных (АБИ) - 2020-01-15</t>
  </si>
  <si>
    <t>No: 4,1. Наличие актов освидетельствования скрытых работ (АБИ) - 2020-01-15</t>
  </si>
  <si>
    <t>Yes: 4,2. Наличие и корректность исполнительной геодезической схемы (АБИ) - 2020-01-15</t>
  </si>
  <si>
    <t>Yes: 4,3. Наличие записей в журналах работ (АБИ) - 2020-01-15</t>
  </si>
  <si>
    <t>Yes: 4,4. Наличие паспортов и сертификатов на конструкцию и ее элементы (АБИ) - 2020-01-15</t>
  </si>
  <si>
    <t>Алексей Бирюков: Заголовок изменен на Армирование фундамент.плиты ФМ 1.1 в/о Ш/2-Э по оси 1/Б отм.-8,550</t>
  </si>
  <si>
    <t>Алексей Бирюков: Дата начала изменена на 15 января 2020 г.</t>
  </si>
  <si>
    <t>Монтаж опалубки и бетонирование стен в/о Л-Р по оси 1 КРМ-8 отм-4,350;</t>
  </si>
  <si>
    <t>Yes: 2,1. Устройство конструкции выполнено в соответствии с проектом (АБИ) - 2020-01-16</t>
  </si>
  <si>
    <t>Yes: 2,2. При выполнении работ использовались материалы, прошедшие входной контроль (АБИ) - 2020-01-16</t>
  </si>
  <si>
    <t>Yes: 2,3. Конструкция проверена на соответствие проектным требованиям. Замечаний нет.  (АБИ) - 2020-01-16</t>
  </si>
  <si>
    <t>Yes: 2,4. Плановое положение и высотные отметки конструкции соответствует проекту. Отклонения не превышают нормативных (АБИ) - 2020-01-16</t>
  </si>
  <si>
    <t>No: 4,1. Наличие актов освидетельствования скрытых работ (АБИ) - 2020-01-16</t>
  </si>
  <si>
    <t>Yes: 4,2. Наличие и корректность исполнительной геодезической схемы (АБИ) - 2020-01-16</t>
  </si>
  <si>
    <t>Yes: 4,3. Наличие записей в журналах работ (АБИ) - 2020-01-16</t>
  </si>
  <si>
    <t>Yes: 4,4. Наличие паспортов и сертификатов на конструкцию и ее элементы (АБИ) - 2020-01-16</t>
  </si>
  <si>
    <t>Алексей Бирюков: Заголовок изменен на Монтаж опалубки стен в/о Л-Р по оси 1 КРМ-8 отм-4,350</t>
  </si>
  <si>
    <t>Алексей Бирюков: Заголовок изменен на Монтаж опалубки стен в/о Л-Р по оси 1 КРМ-8 отм-4,350;</t>
  </si>
  <si>
    <t>Алексей Бирюков: Заголовок изменен на Монтаж опалубки и бетонирование стен в/о Л-Р по оси 1 КРМ-8 отм-4,350;</t>
  </si>
  <si>
    <t>Монтаж пола МЭР 13L4.1.012</t>
  </si>
  <si>
    <t>Алексей Бирюков: Заголовок изменен на Монтаж пола МЭР</t>
  </si>
  <si>
    <t>Алексей Бирюков: Заголовок изменен на Монтаж пола МЭР 13L4.1.012</t>
  </si>
  <si>
    <t>Гидроизоляция кровли (2 слой +примыкания) в/о 10/Б-18 м/о Л-К отм +25,200 Блок 2</t>
  </si>
  <si>
    <t>Yes: 2,1. При производстве работ использован материал, прошедший входной контроль (АБИ) - 2020-01-18</t>
  </si>
  <si>
    <t>Yes: 2,2. Сопряжение смежных полотнищ выполнено с нахлесткой не менее 100 мм; торцевой нахлест полотнищ составляет не менее 150 мм (АБИ) - 2020-01-18</t>
  </si>
  <si>
    <t>Yes: 2,3. По всей поверхности, в том числе в местах примыканий,
отсутствуют вмятины, прогибы, вздутия, волны, трещины, отслоения, локальные изменения внешнего вида и прочие дефекты (АБИ) - 2020-01-18</t>
  </si>
  <si>
    <t>Yes: 2,4. Отсутствуют расслоения в местах швов.
При применении шлицевой отвертки инструмент не
проникает между полотнищами в местах швов (АБИ) - 2020-01-18</t>
  </si>
  <si>
    <t>Yes: 2,5. В местах примыкания пола к стенам, фундаментам под оборудование, к трубопроводам и другим конструкциям, выступающим над полом, гидроизоляция выполнена непрерывной на высоту не менее 200 мм от уровня покрытия пола (АБИ) - 2020-01-18</t>
  </si>
  <si>
    <t>Yes: 2,6. Углы конструкций примыкания сглаженные и
ровные, с отсутствием острых углов (АБИ) - 2020-01-18</t>
  </si>
  <si>
    <t>No: 3,1. Наличие исполнительной документации, акта освидетельствования скрытых работ (АБИ) - 2020-01-18</t>
  </si>
  <si>
    <t>Yes: 3,2. Наличие записи в журнале производства работ (АБИ) - 2020-01-18</t>
  </si>
  <si>
    <t>Yes: Нормативная документация: СП 71.13330.2017 «Изоляционные и отделочные покрытия» (АБИ) - 2020-01-18</t>
  </si>
  <si>
    <t>Алексей Бирюков: Заголовок изменен на Гидроизоляция кровли (2 слой +примыкания) в/о 10/Б-18 м/о Л-К отм +25,200 Блок 2</t>
  </si>
  <si>
    <t>Монтаж кронштейнов в/о И-Д по оси 19 L8 Б1 (8 шт)</t>
  </si>
  <si>
    <t>Yes: 4,2. Наличие и корректность исполнительной геодезической схемы (АБИ) - 2020-01-18</t>
  </si>
  <si>
    <t>Алексей Бирюков: Заголовок изменен на Монтаж кронштейнов в/о И-Д по оси 19 L8 Б1</t>
  </si>
  <si>
    <t>Алексей Бирюков: Заголовок изменен на Монтаж кронштейнов в/о И-Д по оси 19 L8 Б1 (8 шт)</t>
  </si>
  <si>
    <t>Устройство вент. фасадов(монтаж аквапанелей) в/о 31-34 по оси 5 L5 Блок №3</t>
  </si>
  <si>
    <t>Yes: 2,1. Устройство конструкции выполнено в соответствии с проектом (АБИ) - 2020-01-19</t>
  </si>
  <si>
    <t>Yes: 2,2. При выполнении работ использовались материалы, прошедшие входной контроль (АБИ) - 2020-01-19</t>
  </si>
  <si>
    <t>Yes: 2,3. Конструкция проверена на соответствие проектным требованиям. Замечаний нет.  (АБИ) - 2020-01-19</t>
  </si>
  <si>
    <t>Yes: 2,4. Плановое положение и высотные отметки конструкции соответствует проекту. Отклонения не превышают нормативных (АБИ) - 2020-01-19</t>
  </si>
  <si>
    <t>N/A: 4,1. Наличие актов освидетельствования скрытых работ (АБИ) - 2020-01-19</t>
  </si>
  <si>
    <t>N/A: 4,2. Наличие и корректность исполнительной геодезической схемы (АБИ) - 2020-01-19</t>
  </si>
  <si>
    <t>Yes: 4,4. Наличие паспортов и сертификатов на конструкцию и ее элементы (АБИ) - 2020-01-19</t>
  </si>
  <si>
    <t>Алексей Бирюков: Заголовок изменен на Монтаж аквапанелей навесных фасадов в/о 31-34 по оси 5 L5 Блок №3</t>
  </si>
  <si>
    <t>Алексей Бирюков: Дата начала изменена на 20 января 2020 г.</t>
  </si>
  <si>
    <t>Алексей Бирюков: Заголовок изменен на Монтаж аквапанеле фасадов в/о 31-34 по оси 5 L5 Блок №3</t>
  </si>
  <si>
    <t>Алексей Бирюков: Заголовок изменен на Устройство вент. фасадов(монтаж аквапанелей) в/о 31-34 по оси 5 L5 Блок №3</t>
  </si>
  <si>
    <t xml:space="preserve">Заполнение минватой межэтажные противопожарной отсечки L2 в/о 8/1-8/3 по оси 1/Б </t>
  </si>
  <si>
    <t>Yes: 4,2. Наличие и корректность исполнительной геодезической схемы (АБИ) - 2020-01-19</t>
  </si>
  <si>
    <t xml:space="preserve">Алексей Бирюков: Заголовок изменен на Заполнение минватой межэтажные противопожарной отсечки L2 в/о 8/1-8/3 по оси 1/Б </t>
  </si>
  <si>
    <t>шпатлёвка потолков L2.07.2Е1;7;11L2.2.040;13L4.1.002.</t>
  </si>
  <si>
    <t>Yes: 2,1.При производстве работ использована краска, прошедшая входной контроль (АБИ) - 2020-01-22</t>
  </si>
  <si>
    <t>Yes: 2,2. Цвет окрашенной поверхности соответствует проектным требованиям. Изменения цвета происходит в пределах одного тона по каталогу производителя (АБИ) - 2020-01-22</t>
  </si>
  <si>
    <t>Yes: 2,3. На окрешенной поверхности отсутствуют полосы, пятна, подтеки, брызги (АБИ) - 2020-01-22</t>
  </si>
  <si>
    <t>Yes: 2,4.На окрешенной поверхности отсутствубт трешины, утолщения, другие видимые дефекты (АБИ) - 2020-01-22</t>
  </si>
  <si>
    <t>Yes: 3,1. Наличие полного комплекта исполнительной документации (АБИ) - 2020-01-22</t>
  </si>
  <si>
    <t>Алексей Бирюков: Заголовок изменен на шпатлёвка потолков L2.07.2Е1;7</t>
  </si>
  <si>
    <t>Алексей Бирюков: Заголовок изменен на шпатлёвка потолков L2.07.2Е1;7;11L2.2.040</t>
  </si>
  <si>
    <t>Алексей Бирюков: Заголовок изменен на шпатлёвка потолков L2.07.2Е1;7;11L2.2.040;13L4.1.002;</t>
  </si>
  <si>
    <t>Алексей Бирюков: Заголовок изменен на шпатлёвка потолков L2.07.2Е1;7;11L2.2.040;13L4.1.002.</t>
  </si>
  <si>
    <t>Алексей Бирюков: Дата начала изменена на 22 января 2020 г.</t>
  </si>
  <si>
    <t>Устройство плитки пола 13L4.2.09</t>
  </si>
  <si>
    <t>Yes: 2,1. Устройство конструкции выполнено в соответствии с проектом (АБИ) - 2020-01-22</t>
  </si>
  <si>
    <t>Yes: 2,2. При выполнении работ использовались материалы, прошедшие входной контроль (АБИ) - 2020-01-22</t>
  </si>
  <si>
    <t>Yes: 2,3. Конструкция проверена на соответствие проектным требованиям. Замечаний нет.  (АБИ) - 2020-01-22</t>
  </si>
  <si>
    <t>Yes: 2,4. Плановое положение и высотные отметки конструкции соответствует проекту. Отклонения не превышают нормативных (АБИ) - 2020-01-22</t>
  </si>
  <si>
    <t>No: 4,1. Наличие актов освидетельствования скрытых работ (АБИ) - 2020-01-22</t>
  </si>
  <si>
    <t>No: 4,2. Наличие и корректность исполнительной геодезической схемы (АБИ) - 2020-01-22</t>
  </si>
  <si>
    <t>Yes: 4,3. Наличие записей в журналах работ (АБИ) - 2020-01-22</t>
  </si>
  <si>
    <t>Yes: 4,4. Наличие паспортов и сертификатов на конструкцию и ее элементы (АБИ) - 2020-01-22</t>
  </si>
  <si>
    <t>Алексей Бирюков: Заголовок изменен на Устройство плитки пола 13L4.2.09</t>
  </si>
  <si>
    <t>Устройство полов из арт-винила 13L2.3.015;13L6.1.006</t>
  </si>
  <si>
    <t xml:space="preserve">Алексей Бирюков: Заголовок изменен на Устройство полов из арт-винила </t>
  </si>
  <si>
    <t>Алексей Бирюков: Заголовок изменен на Устройство полов из арт-винила 13L2.3.015</t>
  </si>
  <si>
    <t>Алексей Бирюков: Заголовок изменен на Устройство полов из арт-винила 13L2.3.015;13L6.1.006</t>
  </si>
  <si>
    <t>Устройство перегородок из ГСП пом 14L1.1021;09L1.1003;004;005</t>
  </si>
  <si>
    <t>Yes: 2,1. Работы выполнены в соответствии с РД, утвержденной в производство работ (АБИ) - 2020-01-22</t>
  </si>
  <si>
    <t>Yes: 2,2. При производстве работ использован материал, прошедший входной контроль (АБИ) - 2020-01-22</t>
  </si>
  <si>
    <t>Yes: 2,3. При производтстве работ соблюдалась технология, что подтверждено инспекциями операционного контроля (АБИ) - 2020-01-22</t>
  </si>
  <si>
    <t>Yes: 2,4. Отклонение мест размещения перегородок и размеров помещений не превышает нормативных (СП 163.1325800.2014 ) (АБИ) - 2020-01-22</t>
  </si>
  <si>
    <t>Yes: 2,5. В местах сопряжения перегородок с трубопроводами водоснабжения, отопления и коммуникациями диаметром более 60 мм установлены гильзы (кожухи) из несгораемых материалов с пределом огнестойкости не менее 30 мин (АБИ) - 2020-01-22</t>
  </si>
  <si>
    <t>Yes: 3,1. Наличие записи в журнале производства работ (АБИ) - 2020-01-22</t>
  </si>
  <si>
    <t>No: 3,2. Наличие исполнительной геодезицеской схемы (АБИ) - 2020-01-22</t>
  </si>
  <si>
    <t>No: 3,3. Наличие исполнительной документации,включая акт освидетельствования скрытых работ (АБИ) - 2020-01-22</t>
  </si>
  <si>
    <t>Yes: Нормативная документация: СП 70.13330.2012 «Несущие и ограждающие конструкции». СП 71.13330.2011 «Изоляционные и отделочные покрытия». СП 163.1325800.2014 Конструкции с применением гипсокартонных и гипсоволокнистых листов. Правила проектирования и монтажа. (АБИ) - 2020-01-22</t>
  </si>
  <si>
    <t>Алексей Бирюков: Заголовок изменен на Устройство перегородок из ГСП пом 14L1.1021;09L1.1003;004;005</t>
  </si>
  <si>
    <t>Устройство пола МЭР пом.13L4.1.011</t>
  </si>
  <si>
    <t>Алексей Бирюков: Заголовок изменен на Устройство пола МЭР пом.13L4.1.011</t>
  </si>
  <si>
    <t>Устройство г/и кровли в/о 10Б-18 м/о Н-Л Блок 2 отм +21,000</t>
  </si>
  <si>
    <t>Yes: 2,1. Устройство кровли выполнено в соответствии с проектом (АБИ) - 2020-01-22</t>
  </si>
  <si>
    <t>Yes: 2,2. При устройстве кровли использовались материалы, прошедшие входной контроль (АБИ) - 2020-01-22</t>
  </si>
  <si>
    <t>Yes: 2,3. При устройстве кровли использовались материалы, прошедшие входной контроль (АБИ) - 2020-01-22</t>
  </si>
  <si>
    <t>Yes: 2,4. Отвод воды осуществляется по всей поверхности кровли по наружным и внутренним водостокам без застоя воды (АБИ) - 2020-01-22</t>
  </si>
  <si>
    <t>Yes: 2,5. На кровле отсутствуют пузыри, вздутия, воздушные мешки, разрывы, вмятины, проколы, потёки и наплывы покрытия (АБИ) - 2020-01-22</t>
  </si>
  <si>
    <t>Yes: 2,6. Понижения в зоне водоприемных воронок соответствуют проекту (АБИ) - 2020-01-22</t>
  </si>
  <si>
    <t>Yes: 2,7. Чаши водоприёмных воронок внутренних водостоков не выступают над поверхностью кровли (АБИ) - 2020-01-22</t>
  </si>
  <si>
    <t>Yes: 2,8. Отслаивания кровельного ковра в местах сопряжения с выступающими конструкциями кровли и инженерным оборудованием отсутствуют (АБИ) - 2020-01-22</t>
  </si>
  <si>
    <t>Yes: 3,1. Предельные отклонения в положении элементов кровли не превышают нормативных  (АБИ) - 2020-01-22</t>
  </si>
  <si>
    <t>No: 4,4. Наличие гарантийного паспорта на кровлю (АБИ) - 2020-01-22</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</si>
  <si>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(АБИ) - 2020-01-22</t>
  </si>
  <si>
    <t>Алексей Бирюков: Заголовок изменен на Устройство г/и кровли в/о  Блок 2 отм +21,000</t>
  </si>
  <si>
    <t>Алексей Бирюков: Заголовок изменен на Устройство г/и кровли в/о 10Б-18 м/о Н-Л Блок 2 отм +21,000</t>
  </si>
  <si>
    <t>Устройство огнезащиты (Монокот) в/о Б-Д м/о 1-2 отм +62;850 Блок №1</t>
  </si>
  <si>
    <t>Алексей Бирюков: Заголовок изменен на Устройство огнезащиты (Монокот) в/о Б-Д м/о 1-2 отм +62;850 Блок №1</t>
  </si>
  <si>
    <t>Монтаж ГКЛ потолка 09.L2.2.003</t>
  </si>
  <si>
    <t>Yes: 2,1. Работы выполнены в соответствии с РД, утвержденной в производство работ (АБИ) - 2020-01-23</t>
  </si>
  <si>
    <t>Yes: 2,2. При производстве работ использован материал, прошедший входной контроль (АБИ) - 2020-01-23</t>
  </si>
  <si>
    <t>Yes: 2,3. При производтстве работ соблюдалась технология, что подтверждено инспекциями операционного контроля (АБИ) - 2020-01-23</t>
  </si>
  <si>
    <t>Yes: 2,4. Отклонение мест размещения перегородок и размеров помещений не превышает нормативных (СП 163.1325800.2014 ) (АБИ) - 2020-01-23</t>
  </si>
  <si>
    <t>Yes: 2,5. В местах сопряжения перегородок с трубопроводами водоснабжения, отопления и коммуникациями диаметром более 60 мм установлены гильзы (кожухи) из несгораемых материалов с пределом огнестойкости не менее 30 мин (АБИ) - 2020-01-23</t>
  </si>
  <si>
    <t>Yes: 3,1. Наличие записи в журнале производства работ (АБИ) - 2020-01-23</t>
  </si>
  <si>
    <t>No: 3,2. Наличие исполнительной геодезицеской схемы (АБИ) - 2020-01-23</t>
  </si>
  <si>
    <t>No: 3,3. Наличие исполнительной документации,включая акт освидетельствования скрытых работ (АБИ) - 2020-01-23</t>
  </si>
  <si>
    <t>Yes: Нормативная документация: СП 70.13330.2012 «Несущие и ограждающие конструкции». СП 71.13330.2011 «Изоляционные и отделочные покрытия». СП 163.1325800.2014 Конструкции с применением гипсокартонных и гипсоволокнистых листов. Правила проектирования и монтажа. (АБИ) - 2020-01-23</t>
  </si>
  <si>
    <t>Алексей Бирюков: Заголовок изменен на Монтаж ГКЛ потолка 09.L2.2.003</t>
  </si>
  <si>
    <t>Устройство полов из керамогранита 13L2.1.009;11L2.2.036</t>
  </si>
  <si>
    <t xml:space="preserve">Алексей Бирюков: Заголовок изменен на Устройство полов из керамогранита </t>
  </si>
  <si>
    <t>Алексей Бирюков: Заголовок изменен на Устройство полов из керамогранита 13L2.1.009</t>
  </si>
  <si>
    <t>Алексей Бирюков: Заголовок изменен на Устройство полов из керамогранита 13L2.1.009;11L2.2.036</t>
  </si>
  <si>
    <t>Затяжка высокопрочных болтов Блок 1 отм.+62.650 ( Узлы  23,143,145,117,118,96) отм. +58,450 Узлы 139,167</t>
  </si>
  <si>
    <t>N/A: 2,1 Укрупнённая сборка отдельных конструктивных элементов и монтажных блоков соответствует проектным требованиям  (АФЕ) - 2020-01-25</t>
  </si>
  <si>
    <t>N/A: 2,2 Установка и проектное закрепление отдельных конструктивных элементов и блоков в проектное положение соответствует проектным требованиям  (АФЕ) - 2020-01-25</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</si>
  <si>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- 2020-01-25</t>
  </si>
  <si>
    <t>Yes: 2,4 При проверке закрепления конструктивных элементов щуп толщиной 0,3 мм не проходит между собранными деталями на глубину более 20 мм (АФЕ) - 2020-01-25</t>
  </si>
  <si>
    <t>Yes: 2,5 Стержень болта выступает из гайки не менее 3 мм.  (АФЕ) - 2020-01-25</t>
  </si>
  <si>
    <t>Yes: 2,6 Отсутствует смещение болтов при их отстукивании молотком массой 0,4 кг (АФЕ) - 2020-01-25</t>
  </si>
  <si>
    <t>Yes: 2,7 Монтажные соединения на высокопрочных болтах с контролируемым натяжением: (АФЕ) - 2020-01-25</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</si>
  <si>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- 2020-01-25</t>
  </si>
  <si>
    <t>Yes: 2,9 Размещение крепежных изделий соответствует проектным требованиям (АФЕ) - 2020-01-25</t>
  </si>
  <si>
    <t>Yes: 2,1 Натяжение болтов соответствует проектным требованиям (АФЕ) - 2020-01-25</t>
  </si>
  <si>
    <t>Yes: 2,11 Сварные швы соответствуют нормативным требованиям (АФЕ) - 2020-01-25</t>
  </si>
  <si>
    <t>Yes: 3,1 Работы выполняются на основе утвержденного ППР (АФЕ) - 2020-01-25</t>
  </si>
  <si>
    <t>N/A: 3,2 Наличие записи в журнале производства работ (АФЕ) - 2020-01-25</t>
  </si>
  <si>
    <t>N/A: 3,3 Наличие записи в журнале сварочных работ (АФЕ) - 2020-01-25</t>
  </si>
  <si>
    <t>Yes: 3,4 Наличие записи в журнале работ по монтажу строительных конструкций (АФЕ) - 2020-01-25</t>
  </si>
  <si>
    <t>Yes: 3,5 Наличие записи в журнале выполнения монтажных соединений на болтах с контролируемым натяжением. (АФЕ) - 2020-01-25</t>
  </si>
  <si>
    <t>Антон Федоров: Изменена дата начала на 25.01.2020</t>
  </si>
  <si>
    <t>Антон Федоров: Заголовок изменен на Затяжка высокопрочных болтов Блок 1 отм.+62.650 ( Узлы " 23,143,145,117,118,96) отм. +58,450 Узлы 139,167</t>
  </si>
  <si>
    <t>Антон Федоров: Заголовок изменен на Затяжка высокопрочных болтов Блок 1 отм.+62.650 ( Узлы  23,143,145,117,118,96) отм. +58,450 Узлы 139,167</t>
  </si>
  <si>
    <t>Монтаж опалубки ПС-10 вдоль оси 1</t>
  </si>
  <si>
    <t>Антон Федоров: Заголовок изменен на Монтаж опалубки ПС-10 вдоль оси 1</t>
  </si>
  <si>
    <t>Монтаж фасадных панелей Блок Б2 в\о К-Р вдоль оси 10 с отм.+12,570 до отм. +17,709</t>
  </si>
  <si>
    <t>Антон Федоров: Заголовок изменен на Монтаж фасадных панелей Блок Б2 в\о К-Р вдоль оси 10 с отм.+12,570 до отм. +17,709</t>
  </si>
  <si>
    <t>Монтаж прогонов  Блок 1 Кровля  Узлы №22,37,24,38,25,39,59,80</t>
  </si>
  <si>
    <t>монтаж металлоконструкций</t>
  </si>
  <si>
    <t>Not set: 2,1 Укрупнённая сборка отдельных конструктивных элементов и монтажных блоков соответствует проектным требованиям  (АФЕ) - 2019-11-21</t>
  </si>
  <si>
    <t>Yes: 2,2 Установка и проектное закрепление отдельных конструктивных элементов и блоков в проектное положение соответствует проектным требованиям  (АФЕ) - 2019-11-21</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</si>
  <si>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- 2019-11-21</t>
  </si>
  <si>
    <t>Yes: 2,4 При проверке закрепления конструктивных элементов щуп толщиной 0,3 мм не проходит между собранными деталями на глубину более 20 мм (АФЕ) - 2019-11-21</t>
  </si>
  <si>
    <t>Yes: 2,5 Стержень болта выступает из гайки не менее 3 мм.  (АФЕ) - 2019-11-21</t>
  </si>
  <si>
    <t>Yes: 2,6 Отсутствует смещение болтов при их отстукивании молотком массой 0,4 кг (АФЕ) - 2019-11-21</t>
  </si>
  <si>
    <t>Yes: 2,7 Монтажные соединения на высокопрочных болтах с контролируемым натяжением: (АФЕ) - 2019-11-21</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</si>
  <si>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- 2019-11-21</t>
  </si>
  <si>
    <t>Not set: 2,9 Размещение крепежных изделий соответствует проектным требованиям (АФЕ) - 2019-11-21</t>
  </si>
  <si>
    <t>Yes: 2,1 Натяжение болтов соответствует проектным требованиям (АФЕ) - 2019-11-21</t>
  </si>
  <si>
    <t>Not set: 2,11 Сварные швы соответствуют нормативным требованиям (АФЕ) - 2019-11-21</t>
  </si>
  <si>
    <t>Not set: 3,1 Работы выполняются на основе утвержденного ППР (АФЕ) - 2019-11-21</t>
  </si>
  <si>
    <t>Not set: 3,2 Наличие записи в журнале производства работ (АФЕ) - 2019-11-21</t>
  </si>
  <si>
    <t>Not set: 3,3 Наличие записи в журнале сварочных работ (АФЕ) - 2019-11-21</t>
  </si>
  <si>
    <t>Not set: 3,4 Наличие записи в журнале работ по монтажу строительных конструкций (АФЕ) - 2019-11-21</t>
  </si>
  <si>
    <t>Not set: 3,5 Наличие записи в журнале выполнения монтажных соединений на болтах с контролируемым натяжением. (АФЕ) - 2019-11-21</t>
  </si>
  <si>
    <t>Антон Федоров: Заголовок изменен на Монтаж прогонов, затяжка болтов Блок 1 Кровля Узлы №22,37,24,38,25,39,59,80</t>
  </si>
  <si>
    <t>Антон Федоров: Заголовок изменен на Монтаж прогонов, затяжка болтов Блок 1 Кровля  Узлы №22,37,24,38,25,39,59,80</t>
  </si>
  <si>
    <t>Антон Федоров: План изменен на 6</t>
  </si>
  <si>
    <t>Антон Федоров: Изменена дата начала на 21.11.2019</t>
  </si>
  <si>
    <t>Антон Федоров: Стоимость изменена на 0 ALL</t>
  </si>
  <si>
    <t>Антон Федоров: Заголовок изменен на Монтаж прогонов  Блок 1 Кровля  Узлы №22,37,24,38,25,39,59,80</t>
  </si>
  <si>
    <t>Монтаж прогонов (затяжка болтовых соединений) в\о У-Э\5/1-8/1 отм. +18,078</t>
  </si>
  <si>
    <t>РК-РД-2-АР01-17-01</t>
  </si>
  <si>
    <t>Антон Федоров: Название категории изменено на Приемочный контроль</t>
  </si>
  <si>
    <t>Антон Федоров: Изменена дата начала на 22.11.2019</t>
  </si>
  <si>
    <t>Антон Федоров: Заголовок изменен на Монтаж прогонов (затяжка болтовых соединений) в\о У-Э\5/1-8/1 отм. +18,078</t>
  </si>
  <si>
    <t>Антон Федоров: Сгруппировать измененные атрибуты задания</t>
  </si>
  <si>
    <t>Устройство противопожарной отсечки (верхний оцинкованный лист) Блок B1 уровень  L4 в\о 18-21 вдоль оси 10</t>
  </si>
  <si>
    <t>Антон Федоров: Изменена дата начала на 12.01.2020</t>
  </si>
  <si>
    <t>Антон Федоров: Заголовок изменен на Устройство противопожарной отсечки (верхний оцинкованный лист) Блок B1 уровень  L4 в\о 18-21 вдоль оси 10</t>
  </si>
  <si>
    <t>Затяжка ВПБ Блок 2.2 Кровля Узлы 291,291/1,446,598,599,287,191,283,607,607,147. Затяжка шпилек Блок 2.1 отм. +4,100м. Узлы 20-23</t>
  </si>
  <si>
    <t>РК-РД-2-АР01-18-01</t>
  </si>
  <si>
    <t>N/A: 2.1 Отклонения отметок опорных поверхностей колонн и опор от проектных не более 5 мм., опорных узлов не более 10 мм. (АФЕ) - 2019-11-22</t>
  </si>
  <si>
    <t>Yes: 2.2 Смещение осей колонн и опор относительно разбивочных осей в опорном сечении не более 5 мм. (АФЕ) - 2019-11-22</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</si>
  <si>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- 2019-11-22</t>
  </si>
  <si>
    <t>N/A: 2.4 Стрела прогиба (кривизна) конструкции между точками закрепления не более 15 мм (АФЕ) - 2019-11-22</t>
  </si>
  <si>
    <t>N/A: 2.5 Смещение ферм, балок ригелей от осей на оголовках колонн из плоскости рамы не более 15 мм. (АФЕ) - 2019-11-22</t>
  </si>
  <si>
    <t>N/A: 2.6 Отклонений расстояний между прогонами не более 5 мм. от проектных (АФЕ) - 2019-11-22</t>
  </si>
  <si>
    <t>Yes: 3.1 Момент затяжки обычных и высокопрочных болтов соответствует проекту. Зазоры в месте стыков отсутствуют (АФЕ) - 2019-11-22</t>
  </si>
  <si>
    <t>Yes: 3.2 Заводское покрытие элементов конструкций восстановлено (при повреждении в процессе монтажа) (АФЕ) - 2019-11-22</t>
  </si>
  <si>
    <t>N/A: 3.3 Выполнена окраска всех болтов и стыков в соответствии с проектом (АФЕ) - 2019-11-22</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</si>
  <si>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- 2019-11-22</t>
  </si>
  <si>
    <t>Yes: 5,1 Наличие записи в журнале производства работ (АФЕ) - 2019-11-22</t>
  </si>
  <si>
    <t>Yes: 5,2 Наличие записи в журнале выполнения монтажных соединений на болтах с контролируемым натяжением (АФЕ) - 2019-11-22</t>
  </si>
  <si>
    <t>N/A: 5,3 Наличие записи в журнале сварочных работ (АФЕ) - 2019-11-22</t>
  </si>
  <si>
    <t>Yes: 5,4 Наличие записи в журнале работ по монтажу строительных конструкций (АФЕ) - 2019-11-22</t>
  </si>
  <si>
    <t>N/A: 5,5 Наличие акта освидетельствования скрытых работ (АФЕ) - 2019-11-22</t>
  </si>
  <si>
    <t>N/A: 5,6 Наличие акта освидетельствования ответственных конструкций (АФЕ) - 2019-11-22</t>
  </si>
  <si>
    <t>Yes: 5,7 Наличие исполнительной геодезической схемы положения конструкций (АФЕ) - 2019-11-22</t>
  </si>
  <si>
    <t>N/A: 5,8 Наличие документа о контроле качества сварных соединений (АФЕ) - 2019-11-22</t>
  </si>
  <si>
    <t>Антон Федоров: Заголовок изменен на Затяжка ВПБ Блок 2.2 Кровля Узлы 291,291/1,446,598,599,287,191,283,607,607</t>
  </si>
  <si>
    <t>Антон Федоров: Заголовок изменен на Затяжка ВПБ Блок 2.2 Кровля Узлы 291,291/1,446,598,599,287,191,283,607,607,147. Затяжка шпилек Блок 2.1 отм. +4,100м. Узлы 20-23</t>
  </si>
  <si>
    <t>Затяжка болтов безконтрольного натяжения Блок 1 Узлы 141,142 отм. +62,450м.</t>
  </si>
  <si>
    <t>Антон Федоров: Заголовок изменен на Pfnz;rf ,jknjd ,tprjynhjkmyjuj yfnz;tybz</t>
  </si>
  <si>
    <t>Антон Федоров: Заголовок изменен на Затяжка болтов безконтрольного натяжения Блок 1 Узлы 141,142 отм. +62,450м.</t>
  </si>
  <si>
    <t>Армировние и монтаж опалубки перекрытия в\о3-5/9/1-10/1 отм. -4,350м. Блок 2</t>
  </si>
  <si>
    <t>в3.1_арматура для монолитных жб</t>
  </si>
  <si>
    <t>N/A: 2,1 В сопроводительных документах о качестве указаны:
- наименование заказчика;
- наименование продукции и номер заказа;
- номер и объем партии;
- номинальный диаметр и форма периодического профиля;
- группа предельных отклонений по массе 1 м. длины;
- класс проката с указанием доп. набора тех. требований;
- штамп технического контроля качества (АФЕ) - 2020-01-26</t>
  </si>
  <si>
    <t>N/A: 2,2 В сопроводительных документах есть данные о результатах испытаний (АФЕ) - 2020-01-26</t>
  </si>
  <si>
    <t>Yes: 2,3 Арматура соответствует требованиям проекта (АФЕ) - 2020-01-26</t>
  </si>
  <si>
    <t>N/A: 2,4 Наличие записи в "Журнале входного учета и контроля качества получаемых деталей, материалов, конструкций и оборудования" (АФЕ) - 2020-01-26</t>
  </si>
  <si>
    <t>Yes: 3,1 Допускается к производству работ (АФЕ) - 2020-01-26</t>
  </si>
  <si>
    <t>Антон Федоров: Заголовок изменен на Армировние и монтаж опалубки перекрытия в\о3-5/9/1-10/1 отм. -4,350м. Блок 2</t>
  </si>
  <si>
    <t>Антон Федоров: Изменена дата начала на 26.01.2020</t>
  </si>
  <si>
    <t>Затяжка высокопрочных болтов Блок 2.1 Узлы 118,115,93,178,193</t>
  </si>
  <si>
    <t>Yes: 2.1 Отклонения отметок опорных поверхностей колонн и опор от проектных не более 5 мм., опорных узлов не более 10 мм. (АФЕ) - 2019-12-19</t>
  </si>
  <si>
    <t>Yes: 2.2 Смещение осей колонн и опор относительно разбивочных осей в опорном сечении не более 5 мм. (АФЕ) - 2019-12-19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</si>
  <si>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- 2019-12-19</t>
  </si>
  <si>
    <t>N/A: 2.4 Стрела прогиба (кривизна) конструкции между точками закрепления не более 15 мм (АФЕ) - 2019-12-19</t>
  </si>
  <si>
    <t>N/A: 2.5 Смещение ферм, балок ригелей от осей на оголовках колонн из плоскости рамы не более 15 мм. (АФЕ) - 2019-12-19</t>
  </si>
  <si>
    <t>N/A: 2.6 Отклонений расстояний между прогонами не более 5 мм. от проектных (АФЕ) - 2019-12-19</t>
  </si>
  <si>
    <t>Yes: 3.1 Момент затяжки обычных и высокопрочных болтов соответствует проекту. Зазоры в месте стыков отсутствуют (АФЕ) - 2019-12-19</t>
  </si>
  <si>
    <t>Yes: 3.2 Заводское покрытие элементов конструкций восстановлено (при повреждении в процессе монтажа) (АФЕ) - 2019-12-19</t>
  </si>
  <si>
    <t>N/A: 3.3 Выполнена окраска всех болтов и стыков в соответствии с проектом (АФЕ) - 2019-12-19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</si>
  <si>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- 2019-12-19</t>
  </si>
  <si>
    <t>N/A: 5,1 Наличие записи в журнале производства работ (АФЕ) - 2019-12-19</t>
  </si>
  <si>
    <t>Yes: 5,2 Наличие записи в журнале выполнения монтажных соединений на болтах с контролируемым натяжением (АФЕ) - 2019-12-19</t>
  </si>
  <si>
    <t>Yes: 5,3 Наличие записи в журнале сварочных работ (АФЕ) - 2019-12-19</t>
  </si>
  <si>
    <t>Yes: 5,4 Наличие записи в журнале работ по монтажу строительных конструкций (АФЕ) - 2019-12-19</t>
  </si>
  <si>
    <t>Yes: 5,5 Наличие акта освидетельствования скрытых работ (АФЕ) - 2019-12-19</t>
  </si>
  <si>
    <t>Yes: 5,6 Наличие акта освидетельствования ответственных конструкций (АФЕ) - 2019-12-19</t>
  </si>
  <si>
    <t>Yes: 5,7 Наличие исполнительной геодезической схемы положения конструкций (АФЕ) - 2019-12-19</t>
  </si>
  <si>
    <t>Yes: 5,8 Наличие документа о контроле качества сварных соединений (АФЕ) - 2019-12-19</t>
  </si>
  <si>
    <t>Антон Федоров: Заголовок изменен на Затяжка высокопрочных болтов Блок 2.1</t>
  </si>
  <si>
    <t>Антон Федоров: Заголовок изменен на Затяжка высокопрочных болтов Блок 2.1 Узлы 118,115,93,178,193</t>
  </si>
  <si>
    <t>Затяжка высокопрочных болтов Блок 1 Кровля Узел 519, Блок 2.2 Кровля Узлы 210-216,9,10,11</t>
  </si>
  <si>
    <t>N/A: 2.1 Отклонения отметок опорных поверхностей колонн и опор от проектных не более 5 мм., опорных узлов не более 10 мм. (АФЕ) - 2019-11-26</t>
  </si>
  <si>
    <t>N/A: 2.2 Смещение осей колонн и опор относительно разбивочных осей в опорном сечении не более 5 мм. (АФЕ) - 2019-11-26</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</si>
  <si>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- 2019-11-26</t>
  </si>
  <si>
    <t>N/A: 2.4 Стрела прогиба (кривизна) конструкции между точками закрепления не более 15 мм (АФЕ) - 2019-11-26</t>
  </si>
  <si>
    <t>N/A: 2.5 Смещение ферм, балок ригелей от осей на оголовках колонн из плоскости рамы не более 15 мм. (АФЕ) - 2019-11-26</t>
  </si>
  <si>
    <t>N/A: 2.6 Отклонений расстояний между прогонами не более 5 мм. от проектных (АФЕ) - 2019-11-26</t>
  </si>
  <si>
    <t>Yes: 3.1 Момент затяжки обычных и высокопрочных болтов соответствует проекту. Зазоры в месте стыков отсутствуют (АФЕ) - 2019-11-26</t>
  </si>
  <si>
    <t>Yes: 3.2 Заводское покрытие элементов конструкций восстановлено (при повреждении в процессе монтажа) (АФЕ) - 2019-11-26</t>
  </si>
  <si>
    <t>Yes: 3.3 Выполнена окраска всех болтов и стыков в соответствии с проектом (АФЕ) - 2019-11-26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</si>
  <si>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- 2019-11-26</t>
  </si>
  <si>
    <t>Yes: 5,1 Наличие записи в журнале производства работ (АФЕ) - 2019-11-26</t>
  </si>
  <si>
    <t>Yes: 5,2 Наличие записи в журнале выполнения монтажных соединений на болтах с контролируемым натяжением (АФЕ) - 2019-11-26</t>
  </si>
  <si>
    <t>Yes: 5,3 Наличие записи в журнале сварочных работ (АФЕ) - 2019-11-26</t>
  </si>
  <si>
    <t>Yes: 5,4 Наличие записи в журнале работ по монтажу строительных конструкций (АФЕ) - 2019-11-26</t>
  </si>
  <si>
    <t>N/A: 5,5 Наличие акта освидетельствования скрытых работ (АФЕ) - 2019-11-26</t>
  </si>
  <si>
    <t>N/A: 5,6 Наличие акта освидетельствования ответственных конструкций (АФЕ) - 2019-11-26</t>
  </si>
  <si>
    <t>Yes: 5,7 Наличие исполнительной геодезической схемы положения конструкций (АФЕ) - 2019-11-26</t>
  </si>
  <si>
    <t>Yes: 5,8 Наличие документа о контроле качества сварных соединений (АФЕ) - 2019-11-26</t>
  </si>
  <si>
    <t>Антон Федоров: Заголовок изменен на Затяжка высокопрочных болтов Блок 1 Кровля Узел 519, Блок 2.2 Кровля Узлы 210-216,9,10,11 блок 2.1 (фасадные балки в\о Г-Д/10-13 Узлы 1-4,7,9,11,12,14,16,17,18</t>
  </si>
  <si>
    <t>Антон Федоров: Изменена дата начала на 26.11.2019</t>
  </si>
  <si>
    <t>Антон Федоров: Заголовок изменен на Затяжка высокопрочных болтов Блок 1 Кровля Узел 519, Блок 2.2 Кровля Узлы 210-216,9,10,11</t>
  </si>
  <si>
    <t>Монтаж панелей фасада в\о И-Н\15\1, Е-Л\19\1 отм. +12,600 Блок 2</t>
  </si>
  <si>
    <t>Антон Федоров: Заголовок изменен на Монтаж панелей фасада в\о И-Н\15\1 отм. +12,600 Блок 2, в\о Е-Л\19\1</t>
  </si>
  <si>
    <t>Антон Федоров: Изменена дата начала на 27.11.2019</t>
  </si>
  <si>
    <t>Антон Федоров: Заголовок изменен на Монтаж панелей фасада в\о И-Н\15\1, Е-Л\19\1 отм. +12,600 Блок 2</t>
  </si>
  <si>
    <t>Окраска и герметизация соединений на высокопрочных болтах Блок 2.2 Кровля в\о Д-И\15-19 отм. +41,650м. и в\о  Е-К\15-15/1 отм. +29,050.</t>
  </si>
  <si>
    <t>N/A: 2.1 Отклонения отметок опорных поверхностей колонн и опор от проектных не более 5 мм., опорных узлов не более 10 мм. (АФЕ) - 2019-11-29</t>
  </si>
  <si>
    <t>N/A: 2.2 Смещение осей колонн и опор относительно разбивочных осей в опорном сечении не более 5 мм. (АФЕ) - 2019-11-29</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</si>
  <si>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- 2019-11-29</t>
  </si>
  <si>
    <t>N/A: 2.4 Стрела прогиба (кривизна) конструкции между точками закрепления не более 15 мм (АФЕ) - 2019-11-29</t>
  </si>
  <si>
    <t>N/A: 2.5 Смещение ферм, балок ригелей от осей на оголовках колонн из плоскости рамы не более 15 мм. (АФЕ) - 2019-11-29</t>
  </si>
  <si>
    <t>N/A: 2.6 Отклонений расстояний между прогонами не более 5 мм. от проектных (АФЕ) - 2019-11-29</t>
  </si>
  <si>
    <t>N/A: 3.1 Момент затяжки обычных и высокопрочных болтов соответствует проекту. Зазоры в месте стыков отсутствуют (АФЕ) - 2019-11-29</t>
  </si>
  <si>
    <t>Yes: 3.2 Заводское покрытие элементов конструкций восстановлено (при повреждении в процессе монтажа) (АФЕ) - 2019-11-29</t>
  </si>
  <si>
    <t>Yes: 3.3 Выполнена окраска всех болтов и стыков в соответствии с проектом (АФЕ) - 2019-11-29</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</si>
  <si>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- 2019-11-29</t>
  </si>
  <si>
    <t>Yes: 5,1 Наличие записи в журнале производства работ (АФЕ) - 2019-11-29</t>
  </si>
  <si>
    <t>N/A: 5,2 Наличие записи в журнале выполнения монтажных соединений на болтах с контролируемым натяжением (АФЕ) - 2019-11-29</t>
  </si>
  <si>
    <t>N/A: 5,3 Наличие записи в журнале сварочных работ (АФЕ) - 2019-11-29</t>
  </si>
  <si>
    <t>N/A: 5,4 Наличие записи в журнале работ по монтажу строительных конструкций (АФЕ) - 2019-11-29</t>
  </si>
  <si>
    <t>N/A: 5,5 Наличие акта освидетельствования скрытых работ (АФЕ) - 2019-11-29</t>
  </si>
  <si>
    <t>N/A: 5,6 Наличие акта освидетельствования ответственных конструкций (АФЕ) - 2019-11-29</t>
  </si>
  <si>
    <t>N/A: 5,7 Наличие исполнительной геодезической схемы положения конструкций (АФЕ) - 2019-11-29</t>
  </si>
  <si>
    <t>N/A: 5,8 Наличие документа о контроле качества сварных соединений (АФЕ) - 2019-11-29</t>
  </si>
  <si>
    <t>Антон Федоров: Заголовок изменен на Окраска и герметизация соединений на высокопрочных болтах Блок 2.2 Кровля в\о Д-И\15-19 отм.+41,650м.</t>
  </si>
  <si>
    <t>Антон Федоров: Заголовок изменен на Окраска и герметизация соединений на высокопрочных болтах Блок 2.2 Кровля в\о Д-И\15-19 отм. +41,650м. и в\о  Е-К\15-15/1 отм. +29,050.</t>
  </si>
  <si>
    <t>Антон Федоров: Изменена дата завершения на 29.11.2019</t>
  </si>
  <si>
    <t>Монтаж панелей фасадной системы в\о 3-5\22-25 отм. +12,570м. Блок 3 (Тип 11)</t>
  </si>
  <si>
    <t>Антон Федоров: Заголовок изменен на Монтаж панелей фасадной системы в\о 3-5\22-25 отм. +12,570м. Блок 3 (Тип 11)</t>
  </si>
  <si>
    <t>Затяжка высокопрочных болтов Блок 2.1 отм. +15,241м. Узлы 168-170,159,160,195,196</t>
  </si>
  <si>
    <t>N/A: 2.1 Отклонения отметок опорных поверхностей колонн и опор от проектных не более 5 мм., опорных узлов не более 10 мм. (АФЕ) - 2019-12-24</t>
  </si>
  <si>
    <t>N/A: 2.2 Смещение осей колонн и опор относительно разбивочных осей в опорном сечении не более 5 мм. (АФЕ) - 2019-12-24</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</si>
  <si>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- 2019-12-24</t>
  </si>
  <si>
    <t>N/A: 2.4 Стрела прогиба (кривизна) конструкции между точками закрепления не более 15 мм (АФЕ) - 2019-12-24</t>
  </si>
  <si>
    <t>N/A: 2.5 Смещение ферм, балок ригелей от осей на оголовках колонн из плоскости рамы не более 15 мм. (АФЕ) - 2019-12-24</t>
  </si>
  <si>
    <t>Yes: 2.6 Отклонений расстояний между прогонами не более 5 мм. от проектных (АФЕ) - 2019-12-24</t>
  </si>
  <si>
    <t>Yes: 3.1 Момент затяжки обычных и высокопрочных болтов соответствует проекту. Зазоры в месте стыков отсутствуют (АФЕ) - 2019-12-24</t>
  </si>
  <si>
    <t>Yes: 3.2 Заводское покрытие элементов конструкций восстановлено (при повреждении в процессе монтажа) (АФЕ) - 2019-12-24</t>
  </si>
  <si>
    <t>Yes: 3.3 Выполнена окраска всех болтов и стыков в соответствии с проектом (АФЕ) - 2019-12-24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</si>
  <si>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- 2019-12-24</t>
  </si>
  <si>
    <t>Yes: 5,1 Наличие записи в журнале производства работ (АФЕ) - 2019-12-24</t>
  </si>
  <si>
    <t>Yes: 5,2 Наличие записи в журнале выполнения монтажных соединений на болтах с контролируемым натяжением (АФЕ) - 2019-12-24</t>
  </si>
  <si>
    <t>N/A: 5,3 Наличие записи в журнале сварочных работ (АФЕ) - 2019-12-24</t>
  </si>
  <si>
    <t>Yes: 5,4 Наличие записи в журнале работ по монтажу строительных конструкций (АФЕ) - 2019-12-24</t>
  </si>
  <si>
    <t>N/A: 5,5 Наличие акта освидетельствования скрытых работ (АФЕ) - 2019-12-24</t>
  </si>
  <si>
    <t>N/A: 5,6 Наличие акта освидетельствования ответственных конструкций (АФЕ) - 2019-12-24</t>
  </si>
  <si>
    <t>Yes: 5,7 Наличие исполнительной геодезической схемы положения конструкций (АФЕ) - 2019-12-24</t>
  </si>
  <si>
    <t>N/A: 5,8 Наличие документа о контроле качества сварных соединений (АФЕ) - 2019-12-24</t>
  </si>
  <si>
    <t>Антон Федоров: Заголовок изменен на Затяжка высокопрочных болтов Блок 2.1 отм. +15,241м. Узлы 168-170,159,160,195,196</t>
  </si>
  <si>
    <t>Окраска и герметизация болтовых соединений на кровле Блок 1 в\о узлы 500-545</t>
  </si>
  <si>
    <t>Антон Федоров: Заголовок изменен на Окраска и герметизация болтовых соединений на кровле Блок 1 в\о</t>
  </si>
  <si>
    <t>Антон Федоров: Заголовок изменен на Окраска и герметизация болтовых соединений на кровле Блок 1 в\о узлы 500-545</t>
  </si>
  <si>
    <t>Решетчатый настил типа 16 в\о 21/2-31/10Б-11Б</t>
  </si>
  <si>
    <t>РК-РД-2-АР09-06_комм</t>
  </si>
  <si>
    <t>Антон Федоров: Заголовок изменен на Решетчатый настил типа 16 в\о 21/2-31/10Б-11Б</t>
  </si>
  <si>
    <t>Антон Федоров: Изменена дата завершения на 24.12.2019</t>
  </si>
  <si>
    <t>Виниловое покрытие пола пом. 13.L1.3.020 Укладка плитки пол + стены пом. 09.L1.2.004 Пароизоляция Биполь ( кровля) L8</t>
  </si>
  <si>
    <t>Антон Федоров: Заголовок изменен на Виниловое покрытие пола пом. 13.L1.3.020 Укладка плитки пол + стены пом. 09.L1.2.004 Пароизоляция Биполь ( кровля) L8</t>
  </si>
  <si>
    <t>Антон Федоров: Изменена дата начала на 28.01.2020</t>
  </si>
  <si>
    <t>Окраска и герметизация соединений на ВПБ в\о Г-Д\10-13 Узлы 5,10,13,15</t>
  </si>
  <si>
    <t>No: 2,1 Укрупнённая сборка отдельных конструктивных элементов и монтажных блоков соответствует проектным требованиям  (АФЕ) - 2019-12-04</t>
  </si>
  <si>
    <t>No: 2,2 Установка и проектное закрепление отдельных конструктивных элементов и блоков в проектное положение соответствует проектным требованиям  (АФЕ) - 2019-12-04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</si>
  <si>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- 2019-12-04</t>
  </si>
  <si>
    <t>No: 2,4 При проверке закрепления конструктивных элементов щуп толщиной 0,3 мм не проходит между собранными деталями на глубину более 20 мм (АФЕ) - 2019-12-04</t>
  </si>
  <si>
    <t>No: 2,5 Стержень болта выступает из гайки не менее 3 мм.  (АФЕ) - 2019-12-04</t>
  </si>
  <si>
    <t>No: 2,6 Отсутствует смещение болтов при их отстукивании молотком массой 0,4 кг (АФЕ) - 2019-12-04</t>
  </si>
  <si>
    <t>No: 2,7 Монтажные соединения на высокопрочных болтах с контролируемым натяжением: (АФЕ) - 2019-12-04</t>
  </si>
  <si>
    <t>No: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- 2019-12-04</t>
  </si>
  <si>
    <t>No: 2,9 Размещение крепежных изделий соответствует проектным требованиям (АФЕ) - 2019-12-04</t>
  </si>
  <si>
    <t>N/A: 2,1 Натяжение болтов соответствует проектным требованиям (АФЕ) - 2019-12-04</t>
  </si>
  <si>
    <t>N/A: 2,11 Сварные швы соответствуют нормативным требованиям (АФЕ) - 2019-12-04</t>
  </si>
  <si>
    <t>N/A: 3,1 Работы выполняются на основе утвержденного ППР (АФЕ) - 2019-12-04</t>
  </si>
  <si>
    <t>N/A: 3,2 Наличие записи в журнале производства работ (АФЕ) - 2019-12-04</t>
  </si>
  <si>
    <t>No: 3,3 Наличие записи в журнале сварочных работ (АФЕ) - 2019-12-04</t>
  </si>
  <si>
    <t>No: 3,4 Наличие записи в журнале работ по монтажу строительных конструкций (АФЕ) - 2019-12-04</t>
  </si>
  <si>
    <t>No: 3,5 Наличие записи в журнале выполнения монтажных соединений на болтах с контролируемым натяжением. (АФЕ) - 2019-12-04</t>
  </si>
  <si>
    <t>Антон Федоров: Заголовок изменен на Окраска и герметизация соединений на ВПБ в\о Г-Д\10-13 Узлы 5,10,13,15</t>
  </si>
  <si>
    <t>Антон Федоров: Изменена дата начала на 04.12.2019</t>
  </si>
  <si>
    <t>Монтаж кронштейнов Блок С отм. +12.600м. в\о 13-14/П-С, Л-Р вдоль оси 13</t>
  </si>
  <si>
    <t>Антон Федоров: Заголовок изменен на Монтаж кронштейнов Блок С отм. +12.600м.</t>
  </si>
  <si>
    <t>Антон Федоров: Изменена дата начала на 28.12.2019</t>
  </si>
  <si>
    <t>Антон Федоров: Заголовок изменен на Монтаж кронштейнов Блок С отм. +12.600м. в\о</t>
  </si>
  <si>
    <t>Антон Федоров: Заголовок изменен на Монтаж кронштейнов Блок С отм. +12.600м. в\о С-12\1</t>
  </si>
  <si>
    <t>Антон Федоров: Заголовок изменен на Монтаж кронштейнов Блок С отм. +12.600м. в\о 13-14/П-С, Л-Р вдоль оси 13</t>
  </si>
  <si>
    <t>Затяжка ВПБ. Блок 3.1 Узлы 375. Блок 2.2 Узлы 171,159,177,178,157,158,52,13,433,434 Блок 2.2 77,82,50 - Кровля</t>
  </si>
  <si>
    <t>Not set: 2.1 Отклонения отметок опорных поверхностей колонн и опор от проектных не более 5 мм., опорных узлов не более 10 мм. (АФЕ) - 2019-11-02</t>
  </si>
  <si>
    <t>Not set: 2.2 Смещение осей колонн и опор относительно разбивочных осей в опорном сечении не более 5 мм. (АФЕ) - 2019-11-02</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</si>
  <si>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- 2019-11-02</t>
  </si>
  <si>
    <t>Not set: 2.4 Стрела прогиба (кривизна) конструкции между точками закрепления не более 15 мм (АФЕ) - 2019-11-02</t>
  </si>
  <si>
    <t>Not set: 2.5 Смещение ферм, балок ригелей от осей на оголовках колонн из плоскости рамы не более 15 мм. (АФЕ) - 2019-11-02</t>
  </si>
  <si>
    <t>Not set: 2.6 Отклонений расстояний между прогонами не более 5 мм. от проектных (АФЕ) - 2019-11-02</t>
  </si>
  <si>
    <t>Yes: 3.1 Момент затяжки обычных и высокопрочных болтов соответствует проекту. Зазоры в месте стыков отсутствуют (АФЕ) - 2019-11-02</t>
  </si>
  <si>
    <t>Not set: 3.2 Заводское покрытие элементов конструкций восстановлено (при повреждении в процессе монтажа) (АФЕ) - 2019-11-02</t>
  </si>
  <si>
    <t>Not set: 3.3 Выполнена окраска всех болтов и стыков в соответствии с проектом (АФЕ) - 2019-11-02</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</si>
  <si>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- 2019-11-02</t>
  </si>
  <si>
    <t>Not set: 5,1 Наличие записи в журнале производства работ (АФЕ) - 2019-11-02</t>
  </si>
  <si>
    <t>Not set: 5,2 Наличие записи в журнале выполнения монтажных соединений на болтах с контролируемым натяжением (АФЕ) - 2019-11-02</t>
  </si>
  <si>
    <t>Not set: 5,3 Наличие записи в журнале сварочных работ (АФЕ) - 2019-11-02</t>
  </si>
  <si>
    <t>Not set: 5,4 Наличие записи в журнале работ по монтажу строительных конструкций (АФЕ) - 2019-11-02</t>
  </si>
  <si>
    <t>Not set: 5,5 Наличие акта освидетельствования скрытых работ (АФЕ) - 2019-11-02</t>
  </si>
  <si>
    <t>Not set: 5,6 Наличие акта освидетельствования ответственных конструкций (АФЕ) - 2019-11-02</t>
  </si>
  <si>
    <t>Yes: 5,7 Наличие исполнительной геодезической схемы положения конструкций (АФЕ) - 2019-11-02</t>
  </si>
  <si>
    <t>Not set: 5,8 Наличие документа о контроле качества сварных соединений (АФЕ) - 2019-11-02</t>
  </si>
  <si>
    <t>Антон Федоров: Заголовок изменен на Затяжка ВПБ. Блок 3.1 Узлы 375. Блок 2.2 Узлы 171,159,177,178,157,158,52,13,433,434 Блок 2.2 77,82,50 - Кровля</t>
  </si>
  <si>
    <t>Антон Федоров: Изменена дата начала на 02.11.2019</t>
  </si>
  <si>
    <t>Затяжка ВПБ. Блок 1. Кровля. Узлы № 21,271,-274,277-280,443,505,509</t>
  </si>
  <si>
    <t>Антон Федоров: Заголовок изменен на Затяжка ВПБ</t>
  </si>
  <si>
    <t>Антон Федоров: Заголовок изменен на Затяжка ВПБ. Блок 1. Кровля. Узлы № 21,271,-274,277-280,443,505,509</t>
  </si>
  <si>
    <t>Устройство противопожарных отсечек (утеплитель + оцинкованный лист) в\о К-Л, Р- Т, Ш-Ш\5 вдоль оси 1 Блок 1 этаж  L 2 и в\о Т-И\7 этаж L9 Блок 1</t>
  </si>
  <si>
    <t>Антон Федоров: Заголовок изменен на Устройство противопожарных отсечек (утеплитель + оцинкованный лист) в\о К-Л, Р- Т, Ш-Ш\5 вдоль оси 1 Блок 1 этаж  L 2 и в\о Т-И\7 этаж L9 Блок 1</t>
  </si>
  <si>
    <t>Антон Федоров: Изменена дата завершения на 28.12.2019</t>
  </si>
  <si>
    <t>Затяжка ВПБ Блок 3.1 Кровля Узлы 5,6,7,8,17,18,27-30,31-34,180-186 Блок 2.2 Кровля Узлы 160,172,169,170,167,168,74,179,178,1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</si>
  <si>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(ВСО) - 2019-11-02</t>
  </si>
  <si>
    <t>Yes: 2.6 Отклонений расстояний между прогонами не более 5 мм. от проектных (АФЕ) - 2019-11-02</t>
  </si>
  <si>
    <t>Yes: 5,2 Наличие записи в журнале выполнения монтажных соединений на болтах с контролируемым натяжением (АФЕ) - 2019-11-02</t>
  </si>
  <si>
    <t>Yes: 5,4 Наличие записи в журнале работ по монтажу строительных конструкций (АФЕ) - 2019-11-02</t>
  </si>
  <si>
    <t>Антон Федоров: Заголовок изменен на Затяжка ВПБ Блок 3.1 Кровля Узлы 5,6,7,8,17,18,27-30,31-34,180-186 Блок 2.2 Кровля Узлы 160,172,169,170,167,168,74,179,178,1</t>
  </si>
  <si>
    <t>Вячеслав Сорокин: Приоритет изменен на лриоритет  1</t>
  </si>
  <si>
    <t>Затяжка ВПБ Блок 1 Кровля L18 Узлы №478,481,488,176,178</t>
  </si>
  <si>
    <t>Not set: 2.1 Отклонения отметок опорных поверхностей колонн и опор от проектных не более 5 мм., опорных узлов не более 10 мм. (АФЕ) - 2019-11-03</t>
  </si>
  <si>
    <t>Not set: 2.2 Смещение осей колонн и опор относительно разбивочных осей в опорном сечении не более 5 мм. (АФЕ) - 2019-11-03</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</si>
  <si>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- 2019-11-03</t>
  </si>
  <si>
    <t>Not set: 2.4 Стрела прогиба (кривизна) конструкции между точками закрепления не более 15 мм (АФЕ) - 2019-11-03</t>
  </si>
  <si>
    <t>Not set: 2.5 Смещение ферм, балок ригелей от осей на оголовках колонн из плоскости рамы не более 15 мм. (АФЕ) - 2019-11-03</t>
  </si>
  <si>
    <t>Not set: 2.6 Отклонений расстояний между прогонами не более 5 мм. от проектных (АФЕ) - 2019-11-03</t>
  </si>
  <si>
    <t>Yes: 3.1 Момент затяжки обычных и высокопрочных болтов соответствует проекту. Зазоры в месте стыков отсутствуют (АФЕ) - 2019-11-03</t>
  </si>
  <si>
    <t>Not set: 3.2 Заводское покрытие элементов конструкций восстановлено (при повреждении в процессе монтажа) (АФЕ) - 2019-11-03</t>
  </si>
  <si>
    <t>Not set: 3.3 Выполнена окраска всех болтов и стыков в соответствии с проектом (АФЕ) - 2019-11-03</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</si>
  <si>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- 2019-11-03</t>
  </si>
  <si>
    <t>Not set: 5,1 Наличие записи в журнале производства работ (АФЕ) - 2019-11-03</t>
  </si>
  <si>
    <t>Not set: 5,2 Наличие записи в журнале выполнения монтажных соединений на болтах с контролируемым натяжением (АФЕ) - 2019-11-03</t>
  </si>
  <si>
    <t>Not set: 5,3 Наличие записи в журнале сварочных работ (АФЕ) - 2019-11-03</t>
  </si>
  <si>
    <t>Not set: 5,4 Наличие записи в журнале работ по монтажу строительных конструкций (АФЕ) - 2019-11-03</t>
  </si>
  <si>
    <t>Not set: 5,5 Наличие акта освидетельствования скрытых работ (АФЕ) - 2019-11-03</t>
  </si>
  <si>
    <t>Not set: 5,6 Наличие акта освидетельствования ответственных конструкций (АФЕ) - 2019-11-03</t>
  </si>
  <si>
    <t>Yes: 5,7 Наличие исполнительной геодезической схемы положения конструкций (АФЕ) - 2019-11-03</t>
  </si>
  <si>
    <t>Not set: 5,8 Наличие документа о контроле качества сварных соединений (АФЕ) - 2019-11-03</t>
  </si>
  <si>
    <t>Антон Федоров: Заголовок изменен на Затяжка ВПБ Блок 1 Кровля L18 Узлы №478,481,488,176,178</t>
  </si>
  <si>
    <t>Затяжка ВПБ Блок 1 Кровля узлы 39,417</t>
  </si>
  <si>
    <t>Not set: 2,1 Укрупнённая сборка отдельных конструктивных элементов и монтажных блоков соответствует проектным требованиям  (АФЕ) - 2019-12-05</t>
  </si>
  <si>
    <t>Not set: 2,2 Установка и проектное закрепление отдельных конструктивных элементов и блоков в проектное положение соответствует проектным требованиям  (АФЕ) - 2019-12-05</t>
  </si>
  <si>
    <t>Not set: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- 2019-12-05</t>
  </si>
  <si>
    <t>Not set: 2,4 При проверке закрепления конструктивных элементов щуп толщиной 0,3 мм не проходит между собранными деталями на глубину более 20 мм (АФЕ) - 2019-12-05</t>
  </si>
  <si>
    <t>Yes: 2,5 Стержень болта выступает из гайки не менее 3 мм.  (АФЕ) - 2019-12-05</t>
  </si>
  <si>
    <t>Not set: 2,6 Отсутствует смещение болтов при их отстукивании молотком массой 0,4 кг (АФЕ) - 2019-12-05</t>
  </si>
  <si>
    <t>Yes: 2,7 Монтажные соединения на высокопрочных болтах с контролируемым натяжением: (АФЕ) - 2019-12-05</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</si>
  <si>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- 2019-12-05</t>
  </si>
  <si>
    <t>Yes: 2,9 Размещение крепежных изделий соответствует проектным требованиям (АФЕ) - 2019-12-05</t>
  </si>
  <si>
    <t>Yes: 2,1 Натяжение болтов соответствует проектным требованиям (АФЕ) - 2019-12-05</t>
  </si>
  <si>
    <t>Not set: 2,11 Сварные швы соответствуют нормативным требованиям (АФЕ) - 2019-12-05</t>
  </si>
  <si>
    <t>Not set: 3,1 Работы выполняются на основе утвержденного ППР (АФЕ) - 2019-12-05</t>
  </si>
  <si>
    <t>Not set: 3,2 Наличие записи в журнале производства работ (АФЕ) - 2019-12-05</t>
  </si>
  <si>
    <t>Not set: 3,3 Наличие записи в журнале сварочных работ (АФЕ) - 2019-12-05</t>
  </si>
  <si>
    <t>Yes: 3,4 Наличие записи в журнале работ по монтажу строительных конструкций (АФЕ) - 2019-12-05</t>
  </si>
  <si>
    <t>Not set: 3,5 Наличие записи в журнале выполнения монтажных соединений на болтах с контролируемым натяжением. (АФЕ) - 2019-12-05</t>
  </si>
  <si>
    <t>Антон Федоров: Заголовок изменен на Затяжка ВПБ Блок 1 Кровля узлы 39,417</t>
  </si>
  <si>
    <t>Антон Федоров: Изменена дата начала на 05.12.2019</t>
  </si>
  <si>
    <t>Монтаж опалубки и армирование парапета в\о А-Б\15/1-20 отм.  -0.500м.</t>
  </si>
  <si>
    <t>Антон Федоров: Заголовок изменен на Монтаж опалубки и армирование парапета в\о А-Б\15/1-20 отмю -0.500м.</t>
  </si>
  <si>
    <t>Антон Федоров: Заголовок изменен на Монтаж опалубки и армирование парапета в\о А-Б\15/1-20 отм.  -0.500м.</t>
  </si>
  <si>
    <t>Монтаж панелей фасадной системы 33\1-34\1 вдоль оси 7\Б Блок 3 отм. +12.600м. в\о 20\1-20 вдоль оси 10Б отм. +8,370м.</t>
  </si>
  <si>
    <t>Антон Федоров: Заголовок изменен на Монтаж панелей фасадной системы 33\1-34\1 вдоль оси 7\Б Блок 3 отм. +12.600м. в\о 20\1-20 вдоль оси 10Б отм. +8,370м.</t>
  </si>
  <si>
    <t>Антон Федоров: Изменена дата завершения на 29.12.2019</t>
  </si>
  <si>
    <t>Окраска болтовых соединений Блок 3.1 Узлы 177,280,9,10,11,14,18,27-34,372,375</t>
  </si>
  <si>
    <t>Not set: 2,1.При производстве работ использована краска, прошедшая входной контроль (АФЕ) - 2019-11-06</t>
  </si>
  <si>
    <t>Not set: 2,2. Цвет окрашенной поверхности соответствует проектным требованиям. Изменения цвета происходит в пределах одного тона по каталогу производителя (АФЕ) - 2019-11-06</t>
  </si>
  <si>
    <t>Yes: 2,3. На окрешенной поверхности отсутствуют полосы, пятна, подтеки, брызги (АФЕ) - 2019-11-06</t>
  </si>
  <si>
    <t>Yes: 2,4.На окрешенной поверхности отсутствубт трешины, утолщения, другие видимые дефекты (АФЕ) - 2019-11-06</t>
  </si>
  <si>
    <t>Not set: 3,1. Наличие полного комплекта исполнительной документации (АФЕ) - 2019-11-06</t>
  </si>
  <si>
    <t>Антон Федоров: Заголовок изменен на Окраска болтовых соединений Блок 3.1</t>
  </si>
  <si>
    <t>Антон Федоров: Заголовок изменен на Окраска болтовых соединений Блок 3.1 Узлы 177,280,9,10,11,14,18,27-34,372,375</t>
  </si>
  <si>
    <t>Антон Федоров: Изменена дата начала на 06.11.2019</t>
  </si>
  <si>
    <t>Антон Федоров: Рабочая сила изменена на 0 man-hours</t>
  </si>
  <si>
    <t>Затяжка болтовых соединений Блок 1 Кровля Узлы № 538,540,230,231,196,197</t>
  </si>
  <si>
    <t>Yes: 2,1 Укрупнённая сборка отдельных конструктивных элементов и монтажных блоков соответствует проектным требованиям  (АФЕ) - 2019-12-08</t>
  </si>
  <si>
    <t>Yes: 2,2 Установка и проектное закрепление отдельных конструктивных элементов и блоков в проектное положение соответствует проектным требованиям  (АФЕ) - 2019-12-08</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</si>
  <si>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- 2019-12-08</t>
  </si>
  <si>
    <t>Yes: 2,4 При проверке закрепления конструктивных элементов щуп толщиной 0,3 мм не проходит между собранными деталями на глубину более 20 мм (АФЕ) - 2019-12-08</t>
  </si>
  <si>
    <t>Yes: 2,5 Стержень болта выступает из гайки не менее 3 мм.  (АФЕ) - 2019-12-08</t>
  </si>
  <si>
    <t>Yes: 2,6 Отсутствует смещение болтов при их отстукивании молотком массой 0,4 кг (АФЕ) - 2019-12-08</t>
  </si>
  <si>
    <t>N/A: 2,7 Монтажные соединения на высокопрочных болтах с контролируемым натяжением: (АФЕ) - 2019-12-08</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</si>
  <si>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- 2019-12-08</t>
  </si>
  <si>
    <t>Yes: 2,9 Размещение крепежных изделий соответствует проектным требованиям (АФЕ) - 2019-12-08</t>
  </si>
  <si>
    <t>Yes: 2,1 Натяжение болтов соответствует проектным требованиям (АФЕ) - 2019-12-08</t>
  </si>
  <si>
    <t>N/A: 2,11 Сварные швы соответствуют нормативным требованиям (АФЕ) - 2019-12-08</t>
  </si>
  <si>
    <t>Yes: 3,1 Работы выполняются на основе утвержденного ППР (АФЕ) - 2019-12-08</t>
  </si>
  <si>
    <t>Yes: 3,2 Наличие записи в журнале производства работ (АФЕ) - 2019-12-08</t>
  </si>
  <si>
    <t>N/A: 3,3 Наличие записи в журнале сварочных работ (АФЕ) - 2019-12-08</t>
  </si>
  <si>
    <t>Yes: 3,4 Наличие записи в журнале работ по монтажу строительных конструкций (АФЕ) - 2019-12-08</t>
  </si>
  <si>
    <t>Yes: 3,5 Наличие записи в журнале выполнения монтажных соединений на болтах с контролируемым натяжением. (АФЕ) - 2019-12-08</t>
  </si>
  <si>
    <t>Антон Федоров: Заголовок изменен на Затяжка болтовых соединений Блок 1 Кровля Узлы № 538,540,230,231,196,197</t>
  </si>
  <si>
    <t>Антон Федоров: Изменена дата начала на 08.12.2019</t>
  </si>
  <si>
    <t>Затяжка ВПБ Кровля Блок 2.2 Узлы №37,49,53,62,41,432,591,604 Блок 1 Кровля Узлы 318,324,468,483,493,494,497,512</t>
  </si>
  <si>
    <t>Not set: 2.1 Отклонения отметок опорных поверхностей колонн и опор от проектных не более 5 мм., опорных узлов не более 10 мм. (АФЕ) - 2019-11-07</t>
  </si>
  <si>
    <t>Not set: 2.2 Смещение осей колонн и опор относительно разбивочных осей в опорном сечении не более 5 мм. (АФЕ) - 2019-11-07</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</si>
  <si>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- 2019-11-07</t>
  </si>
  <si>
    <t>Not set: 2.4 Стрела прогиба (кривизна) конструкции между точками закрепления не более 15 мм (АФЕ) - 2019-11-07</t>
  </si>
  <si>
    <t>Not set: 2.5 Смещение ферм, балок ригелей от осей на оголовках колонн из плоскости рамы не более 15 мм. (АФЕ) - 2019-11-07</t>
  </si>
  <si>
    <t>Not set: 2.6 Отклонений расстояний между прогонами не более 5 мм. от проектных (АФЕ) - 2019-11-07</t>
  </si>
  <si>
    <t>Yes: 3.1 Момент затяжки обычных и высокопрочных болтов соответствует проекту. Зазоры в месте стыков отсутствуют (АФЕ) - 2019-11-07</t>
  </si>
  <si>
    <t>Not set: 3.2 Заводское покрытие элементов конструкций восстановлено (при повреждении в процессе монтажа) (АФЕ) - 2019-11-07</t>
  </si>
  <si>
    <t>Not set: 3.3 Выполнена окраска всех болтов и стыков в соответствии с проектом (АФЕ) - 2019-11-07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</si>
  <si>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- 2019-11-07</t>
  </si>
  <si>
    <t>Not set: 5,1 Наличие записи в журнале производства работ (АФЕ) - 2019-11-07</t>
  </si>
  <si>
    <t>Not set: 5,2 Наличие записи в журнале выполнения монтажных соединений на болтах с контролируемым натяжением (АФЕ) - 2019-11-07</t>
  </si>
  <si>
    <t>Not set: 5,3 Наличие записи в журнале сварочных работ (АФЕ) - 2019-11-07</t>
  </si>
  <si>
    <t>Not set: 5,4 Наличие записи в журнале работ по монтажу строительных конструкций (АФЕ) - 2019-11-07</t>
  </si>
  <si>
    <t>Not set: 5,5 Наличие акта освидетельствования скрытых работ (АФЕ) - 2019-11-07</t>
  </si>
  <si>
    <t>Not set: 5,6 Наличие акта освидетельствования ответственных конструкций (АФЕ) - 2019-11-07</t>
  </si>
  <si>
    <t>Not set: 5,7 Наличие исполнительной геодезической схемы положения конструкций (АФЕ) - 2019-11-07</t>
  </si>
  <si>
    <t>Not set: 5,8 Наличие документа о контроле качества сварных соединений (АФЕ) - 2019-11-07</t>
  </si>
  <si>
    <t>Антон Федоров: Заголовок изменен на Затяжка ВПБ Кровля Блок 2.2 Узлы №37,49,53,62,41,432,591,604 Блок 1 Кровля Узлы 318,324,468,483,493,494,497,512</t>
  </si>
  <si>
    <t>Антон Федоров: Изменена дата начала на 07.11.2019</t>
  </si>
  <si>
    <t>Армирование плиты перекрытия в\о А-В\1-5 отм. +62,850м.</t>
  </si>
  <si>
    <t>Yes: 1.1 Вертикальный и горизонтальный шаг арматуры соответствует проекту. Отклонение между рядами арматуры не более 10 мм (АФЕ) - 2019-11-07</t>
  </si>
  <si>
    <t>Yes: 1.2 Длина арматурных элементов соответствуют проекту. Длины нахлестов/анкеровки арматуры составляют не менее 5% длины арматуры (ГОСТ 10922-2012) (АФЕ) - 2019-11-07</t>
  </si>
  <si>
    <t>Yes: 1.3 Отклонение толщины защитного слоя бетона от проектной не более 15 мм и не менее 5 мм при толщине бетона более 300 мм (АФЕ) - 2019-11-07</t>
  </si>
  <si>
    <t>Yes: 1.4 Сварные соединения соответствуют проекту и требованиям ГОСТ 14098—2014 (АФЕ) - 2019-11-07</t>
  </si>
  <si>
    <t>Not set: 1.5 Закладные элементы , в том числе приспособления для устройства гидроизоляции швов, установлены в соответствии с проектом и закреплены (АФЕ) - 2019-11-07</t>
  </si>
  <si>
    <t>Not set: 2.1 Наличие записи в общем журнале работ (АФЕ) - 2019-11-07</t>
  </si>
  <si>
    <t>Yes: 3.1 Разрешается проведение последующих работ по устройству опалубки  или бетонированию конструкции (АФЕ) - 2019-11-07</t>
  </si>
  <si>
    <t>Антон Федоров: Заголовок изменен на Армирование плиты перекрытия в\о А-В\1-5 отм. +62,850м.</t>
  </si>
  <si>
    <t>Монтаж прогонов проверка сварных соединений и затяжки болтов Узлы 268,297,296,269,270,295,294,271,273,274,290,289</t>
  </si>
  <si>
    <t>РК-РД-2-КМ1.1.12-012-00</t>
  </si>
  <si>
    <t>Металлоконструкции блока 1</t>
  </si>
  <si>
    <t>N/A: 2,1 Укрупнённая сборка отдельных конструктивных элементов и монтажных блоков соответствует проектным требованиям  (АФЕ) - 2019-12-09</t>
  </si>
  <si>
    <t>Yes: 2,2 Установка и проектное закрепление отдельных конструктивных элементов и блоков в проектное положение соответствует проектным требованиям  (АФЕ) - 2019-12-09</t>
  </si>
  <si>
    <t>N/A: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- 2019-12-09</t>
  </si>
  <si>
    <t>Yes: 2,4 При проверке закрепления конструктивных элементов щуп толщиной 0,3 мм не проходит между собранными деталями на глубину более 20 мм (АФЕ) - 2019-12-09</t>
  </si>
  <si>
    <t>Yes: 2,5 Стержень болта выступает из гайки не менее 3 мм.  (АФЕ) - 2019-12-09</t>
  </si>
  <si>
    <t>Yes: 2,6 Отсутствует смещение болтов при их отстукивании молотком массой 0,4 кг (АФЕ) - 2019-12-09</t>
  </si>
  <si>
    <t>N/A: 2,7 Монтажные соединения на высокопрочных болтах с контролируемым натяжением: (АФЕ) - 2019-12-09</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</si>
  <si>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- 2019-12-09</t>
  </si>
  <si>
    <t>Yes: 2,9 Размещение крепежных изделий соответствует проектным требованиям (АФЕ) - 2019-12-09</t>
  </si>
  <si>
    <t>Yes: 2,1 Натяжение болтов соответствует проектным требованиям (АФЕ) - 2019-12-09</t>
  </si>
  <si>
    <t>Yes: 2,11 Сварные швы соответствуют нормативным требованиям (АФЕ) - 2019-12-09</t>
  </si>
  <si>
    <t>Yes: 3,1 Работы выполняются на основе утвержденного ППР (АФЕ) - 2019-12-09</t>
  </si>
  <si>
    <t>Yes: 3,2 Наличие записи в журнале производства работ (АФЕ) - 2019-12-09</t>
  </si>
  <si>
    <t>Yes: 3,3 Наличие записи в журнале сварочных работ (АФЕ) - 2019-12-09</t>
  </si>
  <si>
    <t>Yes: 3,4 Наличие записи в журнале работ по монтажу строительных конструкций (АФЕ) - 2019-12-09</t>
  </si>
  <si>
    <t>N/A: 3,5 Наличие записи в журнале выполнения монтажных соединений на болтах с контролируемым натяжением. (АФЕ) - 2019-12-09</t>
  </si>
  <si>
    <t>Антон Федоров: Заголовок изменен на Монтаж прогонов проверка сварных соединений и затяжки болтов Узлы 268,297,296,269,270,295,294,271,273,274,290,289</t>
  </si>
  <si>
    <t>Антон Федоров: Изменена дата начала на 09.12.2019</t>
  </si>
  <si>
    <t>Монтаж панелей фасадной системы в\о Д-К-19\1 отм. +20,970м.</t>
  </si>
  <si>
    <t>Антон Федоров: Изменена дата начала на 31.12.2019</t>
  </si>
  <si>
    <t>Антон Федоров: Заголовок изменен на Монтаж панелей фасадной системы в\о Д-К-19\1 отм. +20,970м.</t>
  </si>
  <si>
    <t>Затяжка ВПБ (световой колодец) отм. +46,050м. Узел 4,5 Блок 1, Блок 2.2 Узлы 48,80,106,116,280,278,195 Кровля</t>
  </si>
  <si>
    <t>Not set: 2.1 Отклонения отметок опорных поверхностей колонн и опор от проектных не более 5 мм., опорных узлов не более 10 мм. (АФЕ) - 2019-11-09</t>
  </si>
  <si>
    <t>Not set: 2.2 Смещение осей колонн и опор относительно разбивочных осей в опорном сечении не более 5 мм. (АФЕ) - 2019-11-09</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</si>
  <si>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- 2019-11-09</t>
  </si>
  <si>
    <t>Not set: 2.4 Стрела прогиба (кривизна) конструкции между точками закрепления не более 15 мм (АФЕ) - 2019-11-09</t>
  </si>
  <si>
    <t>Not set: 2.5 Смещение ферм, балок ригелей от осей на оголовках колонн из плоскости рамы не более 15 мм. (АФЕ) - 2019-11-09</t>
  </si>
  <si>
    <t>Not set: 2.6 Отклонений расстояний между прогонами не более 5 мм. от проектных (АФЕ) - 2019-11-09</t>
  </si>
  <si>
    <t>Yes: 3.1 Момент затяжки обычных и высокопрочных болтов соответствует проекту. Зазоры в месте стыков отсутствуют (АФЕ) - 2019-11-09</t>
  </si>
  <si>
    <t>Not set: 3.2 Заводское покрытие элементов конструкций восстановлено (при повреждении в процессе монтажа) (АФЕ) - 2019-11-09</t>
  </si>
  <si>
    <t>Not set: 3.3 Выполнена окраска всех болтов и стыков в соответствии с проектом (АФЕ) - 2019-11-09</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</si>
  <si>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- 2019-11-09</t>
  </si>
  <si>
    <t>Not set: 5,1 Наличие записи в журнале производства работ (АФЕ) - 2019-11-09</t>
  </si>
  <si>
    <t>Yes: 5,2 Наличие записи в журнале выполнения монтажных соединений на болтах с контролируемым натяжением (АФЕ) - 2019-11-09</t>
  </si>
  <si>
    <t>Not set: 5,3 Наличие записи в журнале сварочных работ (АФЕ) - 2019-11-09</t>
  </si>
  <si>
    <t>Not set: 5,4 Наличие записи в журнале работ по монтажу строительных конструкций (АФЕ) - 2019-11-09</t>
  </si>
  <si>
    <t>Not set: 5,5 Наличие акта освидетельствования скрытых работ (АФЕ) - 2019-11-09</t>
  </si>
  <si>
    <t>Not set: 5,6 Наличие акта освидетельствования ответственных конструкций (АФЕ) - 2019-11-09</t>
  </si>
  <si>
    <t>Yes: 5,7 Наличие исполнительной геодезической схемы положения конструкций (АФЕ) - 2019-11-09</t>
  </si>
  <si>
    <t>Not set: 5,8 Наличие документа о контроле качества сварных соединений (АФЕ) - 2019-11-09</t>
  </si>
  <si>
    <t>Антон Федоров: Заголовок изменен на Затяжка ВПБ (световой колодец) отм. +46,050м. Узел 4,5 Блок 1, Блок 2.2 Узлы 48,80,106,116,280,278,195 Кровля</t>
  </si>
  <si>
    <t>Антон Федоров: Изменена дата начала на 09.11.2019</t>
  </si>
  <si>
    <t>Монтаж кронштейнов Блок 1 отм. +54,450 в\о Б-В\1, в\о1-6\1\4А отм. +50,250м. Блок 2. отм. +4,050м. в\о Л-Р\10, Монтаж панелей в\о 1-1\5\4\А отм +41,970м.</t>
  </si>
  <si>
    <t>Антон Федоров: Заголовок изменен на Монтаж кронштейнов Блок 1 отм. +54,450 в\о Б-В\1, в\о1-6\1\4А отм. +50,250м. Блок 2. отм. +4,050м. в\о Л-Р\10, Монтаж панелей в\о 1-1\5\4\А отм +41,970м.</t>
  </si>
  <si>
    <t>Монтаж панелей в\о Е-К\19\1 отм. +4,200м. Монтаж кронщтейнов в\о 17-20/3А отм. +8,250м.</t>
  </si>
  <si>
    <t>Антон Федоров: Заголовок изменен на Монтаж панелей в\о Е-К\19\1 отм. +4,200м. Монтаж кронщтейнов в\о 17-20/3А отм. +8,250м.</t>
  </si>
  <si>
    <t>Антон Федоров: Изменена дата начала на 10.11.2019</t>
  </si>
  <si>
    <t>Устройство оклеечной гидроизоляции в\о 18-21, 12-14 по северной стороне</t>
  </si>
  <si>
    <t>Yes: 1.1 Работы выполняются на основе утвержденного ППР (АФЕ) - 2020-01-21</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</si>
  <si>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(АФЕ) - 2020-01-21</t>
  </si>
  <si>
    <t>N/A: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(АФЕ) - 2020-01-21</t>
  </si>
  <si>
    <t>Yes: 1.4 Укладка рулонных материалов  выполняется в направлении «на себя» (АФЕ) - 2020-01-21</t>
  </si>
  <si>
    <t>Yes: 1.5 Оклеечная гидроизоляция на мастике наклеивается сразу после ее нанесения (АФЕ) - 2020-01-21</t>
  </si>
  <si>
    <t>Yes: 1.6 Толщина слоя мастики соответствует нормативным требованиям (АФЕ) - 2020-01-21</t>
  </si>
  <si>
    <t>Yes: 1.7 Сопряжение смежных полотнищ выполняется с нахлесткой не менее 100 мм; торцевой нахлест полотнищ составляет не менее 150 мм (АФЕ) - 2020-01-21</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</si>
  <si>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(АФЕ) - 2020-01-21</t>
  </si>
  <si>
    <t>Yes: 1.9 При наплавлении рулонных материалов вяжущее вещество из-под боковой кромки материала вытекает на 5-15 мм (АФЕ) - 2020-01-21</t>
  </si>
  <si>
    <t>N/A: 1.10 Наличие записи в журнале производства работ (АФЕ) - 2020-01-21</t>
  </si>
  <si>
    <t>Yes: Нормативная документация: СП 71.13330.2017 «Изоляционные и отделочные покрытия» (АФЕ) - 2020-01-21</t>
  </si>
  <si>
    <t>Антон Федоров: Изменена дата начала на 21.01.2020</t>
  </si>
  <si>
    <t>Антон Федоров: Заголовок изменен на Устройство оклеечной гидроизоляции</t>
  </si>
  <si>
    <t>Антон Федоров: Заголовок изменен на Устройство оклеечной гидроизоляции в\о 18-21, 12-14 по северной стороне</t>
  </si>
  <si>
    <t>Монтаж кронштейнов фасадной системы Блок 1 отм. +58,650 в\о В-Д\6, отм. +8,250 в\о 6-7\3А, отм. -4,450м. 5-7\3А, отм. +20,850м. 15-19\1-3А</t>
  </si>
  <si>
    <t>Антон Федоров: Заголовок изменен на Монтаж кронштейнов фасадной системы Блок 1 отм. +58,650 в\о В-Д\6, отм. +8,250 в\о 6-7\3А, отм. -4,450м. 5-7\3А, отм. +20,850м. 15-19\1-3А</t>
  </si>
  <si>
    <t>Затяжка высокопрочных болтов м\к Блок 2.2 Кровля Узлы №293,289,192,279,605,606</t>
  </si>
  <si>
    <t>No: 2,1 Укрупнённая сборка отдельных конструктивных элементов и монтажных блоков соответствует проектным требованиям  (АФЕ) - 2019-11-21</t>
  </si>
  <si>
    <t>Yes: 2,9 Размещение крепежных изделий соответствует проектным требованиям (АФЕ) - 2019-11-21</t>
  </si>
  <si>
    <t>No: 2,11 Сварные швы соответствуют нормативным требованиям (АФЕ) - 2019-11-21</t>
  </si>
  <si>
    <t>Yes: 3,1 Работы выполняются на основе утвержденного ППР (АФЕ) - 2019-11-21</t>
  </si>
  <si>
    <t>Yes: 3,2 Наличие записи в журнале производства работ (АФЕ) - 2019-11-21</t>
  </si>
  <si>
    <t>No: 3,3 Наличие записи в журнале сварочных работ (АФЕ) - 2019-11-21</t>
  </si>
  <si>
    <t>Yes: 3,4 Наличие записи в журнале работ по монтажу строительных конструкций (АФЕ) - 2019-11-21</t>
  </si>
  <si>
    <t>Yes: 3,5 Наличие записи в журнале выполнения монтажных соединений на болтах с контролируемым натяжением. (АФЕ) - 2019-11-21</t>
  </si>
  <si>
    <t>Антон Федоров: Заголовок изменен на Затяжка высокопрочных болтов м\к Блок 2.2 Кровля Узлы №293,289,192,279,605,606</t>
  </si>
  <si>
    <t>Затяжка высокопрочных болтов Кровля БЛОК 1 Узлы 527,530,532,535,543</t>
  </si>
  <si>
    <t>No: 2,1 Укрупнённая сборка отдельных конструктивных элементов и монтажных блоков соответствует проектным требованиям  (АФЕ) - 2019-12-13</t>
  </si>
  <si>
    <t>Yes: 2,2 Установка и проектное закрепление отдельных конструктивных элементов и блоков в проектное положение соответствует проектным требованиям  (АФЕ) - 2019-12-13</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</si>
  <si>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- 2019-12-13</t>
  </si>
  <si>
    <t>Yes: 2,4 При проверке закрепления конструктивных элементов щуп толщиной 0,3 мм не проходит между собранными деталями на глубину более 20 мм (АФЕ) - 2019-12-13</t>
  </si>
  <si>
    <t>Yes: 2,5 Стержень болта выступает из гайки не менее 3 мм.  (АФЕ) - 2019-12-13</t>
  </si>
  <si>
    <t>Yes: 2,6 Отсутствует смещение болтов при их отстукивании молотком массой 0,4 кг (АФЕ) - 2019-12-13</t>
  </si>
  <si>
    <t>Yes: 2,7 Монтажные соединения на высокопрочных болтах с контролируемым натяжением: (АФЕ) - 2019-12-13</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</si>
  <si>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- 2019-12-13</t>
  </si>
  <si>
    <t>Yes: 2,9 Размещение крепежных изделий соответствует проектным требованиям (АФЕ) - 2019-12-13</t>
  </si>
  <si>
    <t>Yes: 2,1 Натяжение болтов соответствует проектным требованиям (АФЕ) - 2019-12-13</t>
  </si>
  <si>
    <t>Yes: 2,11 Сварные швы соответствуют нормативным требованиям (АФЕ) - 2019-12-13</t>
  </si>
  <si>
    <t>Yes: 3,1 Работы выполняются на основе утвержденного ППР (АФЕ) - 2019-12-13</t>
  </si>
  <si>
    <t>Yes: 3,2 Наличие записи в журнале производства работ (АФЕ) - 2019-12-13</t>
  </si>
  <si>
    <t>Yes: 3,3 Наличие записи в журнале сварочных работ (АФЕ) - 2019-12-13</t>
  </si>
  <si>
    <t>Yes: 3,4 Наличие записи в журнале работ по монтажу строительных конструкций (АФЕ) - 2019-12-13</t>
  </si>
  <si>
    <t>Yes: 3,5 Наличие записи в журнале выполнения монтажных соединений на болтах с контролируемым натяжением. (АФЕ) - 2019-12-13</t>
  </si>
  <si>
    <t>Антон Федоров: Заголовок изменен на Затяжка высокопрочных болтов Кровля БЛОК 1 Узлы 527,530,532,535,543</t>
  </si>
  <si>
    <t>Антон Федоров: Изменена дата начала на 13.12.2019</t>
  </si>
  <si>
    <t>Монтаж панелей фасадной системы Блок 1 (тип-11) отм. +12,570 в\о У-ш\7</t>
  </si>
  <si>
    <t>Антон Федоров: Заголовок изменен на Монтаж панелей фасадной системы Блок 1 (тип-11) отм. +12,570 в\о У-ш\7</t>
  </si>
  <si>
    <t>Затяжка ВПБ Кровля Блок 1 Узлы 529,229. Блок 2.2 Кровля Узлы 173,176,175,284,601,79,5,142 Блок 2.1 Узлы 42,35 Кровля</t>
  </si>
  <si>
    <t>Not set: 2.1 Отклонения отметок опорных поверхностей колонн и опор от проектных не более 5 мм., опорных узлов не более 10 мм. (АФЕ) - 2019-11-13</t>
  </si>
  <si>
    <t>Not set: 2.2 Смещение осей колонн и опор относительно разбивочных осей в опорном сечении не более 5 мм. (АФЕ) - 2019-11-13</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</si>
  <si>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- 2019-11-13</t>
  </si>
  <si>
    <t>Not set: 2.4 Стрела прогиба (кривизна) конструкции между точками закрепления не более 15 мм (АФЕ) - 2019-11-13</t>
  </si>
  <si>
    <t>Not set: 2.5 Смещение ферм, балок ригелей от осей на оголовках колонн из плоскости рамы не более 15 мм. (АФЕ) - 2019-11-13</t>
  </si>
  <si>
    <t>Not set: 2.6 Отклонений расстояний между прогонами не более 5 мм. от проектных (АФЕ) - 2019-11-13</t>
  </si>
  <si>
    <t>Yes: 3.1 Момент затяжки обычных и высокопрочных болтов соответствует проекту. Зазоры в месте стыков отсутствуют (АФЕ) - 2019-11-13</t>
  </si>
  <si>
    <t>Not set: 3.2 Заводское покрытие элементов конструкций восстановлено (при повреждении в процессе монтажа) (АФЕ) - 2019-11-13</t>
  </si>
  <si>
    <t>Not set: 3.3 Выполнена окраска всех болтов и стыков в соответствии с проектом (АФЕ) - 2019-11-13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</si>
  <si>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- 2019-11-13</t>
  </si>
  <si>
    <t>Not set: 5,1 Наличие записи в журнале производства работ (АФЕ) - 2019-11-13</t>
  </si>
  <si>
    <t>Not set: 5,2 Наличие записи в журнале выполнения монтажных соединений на болтах с контролируемым натяжением (АФЕ) - 2019-11-13</t>
  </si>
  <si>
    <t>Not set: 5,3 Наличие записи в журнале сварочных работ (АФЕ) - 2019-11-13</t>
  </si>
  <si>
    <t>Not set: 5,4 Наличие записи в журнале работ по монтажу строительных конструкций (АФЕ) - 2019-11-13</t>
  </si>
  <si>
    <t>Not set: 5,5 Наличие акта освидетельствования скрытых работ (АФЕ) - 2019-11-13</t>
  </si>
  <si>
    <t>Not set: 5,6 Наличие акта освидетельствования ответственных конструкций (АФЕ) - 2019-11-13</t>
  </si>
  <si>
    <t>Not set: 5,7 Наличие исполнительной геодезической схемы положения конструкций (АФЕ) - 2019-11-13</t>
  </si>
  <si>
    <t>Not set: 5,8 Наличие документа о контроле качества сварных соединений (АФЕ) - 2019-11-13</t>
  </si>
  <si>
    <t>Антон Федоров: Заголовок изменен на Затяжка ВПБ Кровля Блок 1 Узлы 529,229. Блок 2.2 Кровля Узлы 173,176,175,284,601,79,5,142 Блок 2.1 Узлы 42,35 Кровля</t>
  </si>
  <si>
    <t>Антон Федоров: Изменена дата начала на 13.11.2019</t>
  </si>
  <si>
    <t>Затяжка  прогонов Блок 1 Кровля Узлы 816-861, 346,353,372,378 , Затяжка высокопрочных болтов Блок 2.1 Узлы 177,176,94,96</t>
  </si>
  <si>
    <t>Yes: 2.1 Отклонения отметок опорных поверхностей колонн и опор от проектных не более 5 мм., опорных узлов не более 10 мм. (АФЕ) - 2019-12-16</t>
  </si>
  <si>
    <t>No: 2.2 Смещение осей колонн и опор относительно разбивочных осей в опорном сечении не более 5 мм. (АФЕ) - 2019-12-16</t>
  </si>
  <si>
    <t>No: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- 2019-12-16</t>
  </si>
  <si>
    <t>Yes: 2.4 Стрела прогиба (кривизна) конструкции между точками закрепления не более 15 мм (АФЕ) - 2019-12-16</t>
  </si>
  <si>
    <t>N/A: 2.5 Смещение ферм, балок ригелей от осей на оголовках колонн из плоскости рамы не более 15 мм. (АФЕ) - 2019-12-16</t>
  </si>
  <si>
    <t>Yes: 2.6 Отклонений расстояний между прогонами не более 5 мм. от проектных (АФЕ) - 2019-12-16</t>
  </si>
  <si>
    <t>Yes: 3.1 Момент затяжки обычных и высокопрочных болтов соответствует проекту. Зазоры в месте стыков отсутствуют (АФЕ) - 2019-12-16</t>
  </si>
  <si>
    <t>Yes: 3.2 Заводское покрытие элементов конструкций восстановлено (при повреждении в процессе монтажа) (АФЕ) - 2019-12-16</t>
  </si>
  <si>
    <t>Yes: 3.3 Выполнена окраска всех болтов и стыков в соответствии с проектом (АФЕ) - 2019-12-16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</si>
  <si>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- 2019-12-16</t>
  </si>
  <si>
    <t>Yes: 5,1 Наличие записи в журнале производства работ (АФЕ) - 2019-12-16</t>
  </si>
  <si>
    <t>Yes: 5,2 Наличие записи в журнале выполнения монтажных соединений на болтах с контролируемым натяжением (АФЕ) - 2019-12-16</t>
  </si>
  <si>
    <t>Yes: 5,3 Наличие записи в журнале сварочных работ (АФЕ) - 2019-12-16</t>
  </si>
  <si>
    <t>Yes: 5,4 Наличие записи в журнале работ по монтажу строительных конструкций (АФЕ) - 2019-12-16</t>
  </si>
  <si>
    <t>No: 5,5 Наличие акта освидетельствования скрытых работ (АФЕ) - 2019-12-16</t>
  </si>
  <si>
    <t>N/A: 5,6 Наличие акта освидетельствования ответственных конструкций (АФЕ) - 2019-12-16</t>
  </si>
  <si>
    <t>Yes: 5,7 Наличие исполнительной геодезической схемы положения конструкций (АФЕ) - 2019-12-16</t>
  </si>
  <si>
    <t>Yes: 5,8 Наличие документа о контроле качества сварных соединений (АФЕ) - 2019-12-16</t>
  </si>
  <si>
    <t>Антон Федоров: Заголовок изменен на Затяжка  прогонов Блок 1 Кровля Узлы 816-861, 346,353,372,378 , Затяжка высокопрочных болтов Блок 2.1 Узлы 177,176,94,96</t>
  </si>
  <si>
    <t>Затяжка ВПБ кровля Блок 1 Узлы 167,194,196,202,203,204,205,206,207,208,209,82,579, 36,40</t>
  </si>
  <si>
    <t>Not set: 2.1 Отклонения отметок опорных поверхностей колонн и опор от проектных не более 5 мм., опорных узлов не более 10 мм. (АФЕ) - 2019-11-14</t>
  </si>
  <si>
    <t>Not set: 2.2 Смещение осей колонн и опор относительно разбивочных осей в опорном сечении не более 5 мм. (АФЕ) - 2019-11-14</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</si>
  <si>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- 2019-11-14</t>
  </si>
  <si>
    <t>Not set: 2.4 Стрела прогиба (кривизна) конструкции между точками закрепления не более 15 мм (АФЕ) - 2019-11-14</t>
  </si>
  <si>
    <t>Not set: 2.5 Смещение ферм, балок ригелей от осей на оголовках колонн из плоскости рамы не более 15 мм. (АФЕ) - 2019-11-14</t>
  </si>
  <si>
    <t>Not set: 2.6 Отклонений расстояний между прогонами не более 5 мм. от проектных (АФЕ) - 2019-11-14</t>
  </si>
  <si>
    <t>Yes: 3.1 Момент затяжки обычных и высокопрочных болтов соответствует проекту. Зазоры в месте стыков отсутствуют (АФЕ) - 2019-11-14</t>
  </si>
  <si>
    <t>Yes: 3.2 Заводское покрытие элементов конструкций восстановлено (при повреждении в процессе монтажа) (АФЕ) - 2019-11-14</t>
  </si>
  <si>
    <t>Not set: 3.3 Выполнена окраска всех болтов и стыков в соответствии с проектом (АФЕ) - 2019-11-14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</si>
  <si>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- 2019-11-14</t>
  </si>
  <si>
    <t>Not set: 5,1 Наличие записи в журнале производства работ (АФЕ) - 2019-11-14</t>
  </si>
  <si>
    <t>Not set: 5,2 Наличие записи в журнале выполнения монтажных соединений на болтах с контролируемым натяжением (АФЕ) - 2019-11-14</t>
  </si>
  <si>
    <t>Not set: 5,3 Наличие записи в журнале сварочных работ (АФЕ) - 2019-11-14</t>
  </si>
  <si>
    <t>Not set: 5,4 Наличие записи в журнале работ по монтажу строительных конструкций (АФЕ) - 2019-11-14</t>
  </si>
  <si>
    <t>Not set: 5,5 Наличие акта освидетельствования скрытых работ (АФЕ) - 2019-11-14</t>
  </si>
  <si>
    <t>Not set: 5,6 Наличие акта освидетельствования ответственных конструкций (АФЕ) - 2019-11-14</t>
  </si>
  <si>
    <t>Not set: 5,7 Наличие исполнительной геодезической схемы положения конструкций (АФЕ) - 2019-11-14</t>
  </si>
  <si>
    <t>Not set: 5,8 Наличие документа о контроле качества сварных соединений (АФЕ) - 2019-11-14</t>
  </si>
  <si>
    <t>Антон Федоров: Заголовок изменен на Затяжка ВПБ кровля Блок 1 Узлы 167,194,196,202,203,204,205,206,207,208,209,82,579</t>
  </si>
  <si>
    <t>Антон Федоров: Изменена дата начала на 14.11.2019</t>
  </si>
  <si>
    <t>Антон Федоров: Заголовок изменен на Затяжка ВПБ кровля Блок 1 Узлы 167,194,196,202,203,204,205,206,207,208,209,82,579, 36,40</t>
  </si>
  <si>
    <t>Окраска и герметизация болтовых соединений Кровля Узлы 24,25,30-39,330-337,252,259,260,265,266</t>
  </si>
  <si>
    <t>Not set: 2,1 Укрупнённая сборка отдельных конструктивных элементов и монтажных блоков соответствует проектным требованиям  (АФЕ) - 2019-11-14</t>
  </si>
  <si>
    <t>Not set: 2,2 Установка и проектное закрепление отдельных конструктивных элементов и блоков в проектное положение соответствует проектным требованиям  (АФЕ) - 2019-11-14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</si>
  <si>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- 2019-11-14</t>
  </si>
  <si>
    <t>Not set: 2,4 При проверке закрепления конструктивных элементов щуп толщиной 0,3 мм не проходит между собранными деталями на глубину более 20 мм (АФЕ) - 2019-11-14</t>
  </si>
  <si>
    <t>Not set: 2,5 Стержень болта выступает из гайки не менее 3 мм.  (АФЕ) - 2019-11-14</t>
  </si>
  <si>
    <t>Not set: 2,6 Отсутствует смещение болтов при их отстукивании молотком массой 0,4 кг (АФЕ) - 2019-11-14</t>
  </si>
  <si>
    <t>Not set: 2,7 Монтажные соединения на высокопрочных болтах с контролируемым натяжением: (АФЕ) - 2019-11-14</t>
  </si>
  <si>
    <t>Not set: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- 2019-11-14</t>
  </si>
  <si>
    <t>Not set: 2,9 Размещение крепежных изделий соответствует проектным требованиям (АФЕ) - 2019-11-14</t>
  </si>
  <si>
    <t>Not set: 2,1 Натяжение болтов соответствует проектным требованиям (АФЕ) - 2019-11-14</t>
  </si>
  <si>
    <t>Not set: 2,11 Сварные швы соответствуют нормативным требованиям (АФЕ) - 2019-11-14</t>
  </si>
  <si>
    <t>Not set: 3,1 Работы выполняются на основе утвержденного ППР (АФЕ) - 2019-11-14</t>
  </si>
  <si>
    <t>Not set: 3,2 Наличие записи в журнале производства работ (АФЕ) - 2019-11-14</t>
  </si>
  <si>
    <t>Not set: 3,3 Наличие записи в журнале сварочных работ (АФЕ) - 2019-11-14</t>
  </si>
  <si>
    <t>Not set: 3,4 Наличие записи в журнале работ по монтажу строительных конструкций (АФЕ) - 2019-11-14</t>
  </si>
  <si>
    <t>Not set: 3,5 Наличие записи в журнале выполнения монтажных соединений на болтах с контролируемым натяжением. (АФЕ) - 2019-11-14</t>
  </si>
  <si>
    <t>Not set: 3.1 Момент затяжки обычных и высокопрочных болтов соответствует проекту. Зазоры в месте стыков отсутствуют (АФЕ) - 2019-11-14</t>
  </si>
  <si>
    <t>Not set: 3.2 Заводское покрытие элементов конструкций восстановлено (при повреждении в процессе монтажа) (АФЕ) - 2019-11-14</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</si>
  <si>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- 2019-11-14</t>
  </si>
  <si>
    <t>Антон Федоров: Заголовок изменен на Окраска и герметизация болтовых соединений Кровля Узлы 24,25,30-39</t>
  </si>
  <si>
    <t>Антон Федоров: Заголовок изменен на Окраска и герметизация болтовых соединений Кровля Узлы 24,25,30-39,330-337,252,259,260,265,266</t>
  </si>
  <si>
    <t>Затяжка ВПБ Блок 2.2 Кровля Узлы 602,603,126,127,141,2,3,4,173,176,175</t>
  </si>
  <si>
    <t>Антон Федоров: Заголовок изменен на Затяжка ВПБ Блок 2.2 Кровля Узлы 602,603,126,127,141,2,3,4,173,176,175</t>
  </si>
  <si>
    <t>Монтаж панелей+резина в\о П-Н/ 15/1 +12,600 Блок B1 в\о С-П/ 15/1 +8,400 в\о 4.1-1.1/ В.1, 2.1-4.1/А.1 КПП отм. +0,000</t>
  </si>
  <si>
    <t>Антон Федоров: Заголовок изменен на Монтаж панелей+резина</t>
  </si>
  <si>
    <t>Антон Федоров: Заголовок изменен на Монтаж панелей+резина в\о П-Н/ 15/1</t>
  </si>
  <si>
    <t>Антон Федоров: Заголовок изменен на Монтаж панелей+резина в\о П-Н/ 15/1 +12,600 Блок B1 в\о</t>
  </si>
  <si>
    <t>Антон Федоров: Заголовок изменен на Монтаж панелей+резина в\о П-Н/ 15/1 +12,600 Блок B1 в\о С-П/ 15/1 +8,400</t>
  </si>
  <si>
    <t>Антон Федоров: Заголовок изменен на Монтаж панелей+резина в\о П-Н/ 15/1 +12,600 Блок B1 в\о С-П/ 15/1 +8,400 в\о 4.1-1.1/ В.1 КПП</t>
  </si>
  <si>
    <t>Антон Федоров: Заголовок изменен на Монтаж панелей+резина в\о П-Н/ 15/1 +12,600 Блок B1 в\о С-П/ 15/1 +8,400 в\о 4.1-1.1/ В.1, 2.1-4.1/А.1 КПП</t>
  </si>
  <si>
    <t>Антон Федоров: Заголовок изменен на Монтаж панелей+резина в\о П-Н/ 15/1 +12,600 Блок B1 в\о С-П/ 15/1 +8,400 в\о 4.1-1.1/ В.1, 2.1-4.1/А.1 КПП отм. +0,000</t>
  </si>
  <si>
    <t>Монтаж панелей фасадной системы в\о Д-К\15\1 Блок 2 отм. +16,800</t>
  </si>
  <si>
    <t>Антон Федоров: Заголовок изменен на Монтаж панелей фасадной системы в\о Д-К\15\1 Блок 2 отм. +16,800</t>
  </si>
  <si>
    <t>Антон Федоров: Изменена дата начала на 04.01.2020</t>
  </si>
  <si>
    <t>Монтаж панелей и седловидного уплотнителя в\о   9/1-10/1 вдоль оси 1/Б отм. +12,570</t>
  </si>
  <si>
    <t>Антон Федоров: Заголовок изменен на Монтаж панелей и седловидного уплотнителя</t>
  </si>
  <si>
    <t>Антон Федоров: Заголовок изменен на Монтаж панелей и седловидного уплотнителя в\о 9/1-10/1 / 1/Б отм. +12,000</t>
  </si>
  <si>
    <t>Антон Федоров: Изменена дата начала на 05.01.2020</t>
  </si>
  <si>
    <t>Антон Федоров: Заголовок изменен на Монтаж панелей и седловидного уплотнителя в\о   9/1-10/1 вдоль оси 1/Б отм. +12,570</t>
  </si>
  <si>
    <t>Установка верхнего оцинкованного листа противопожарной отсечки в\о  В-И / 1,  Г-И / 7 отм. +46,000, в\о К-П / 1  Р-Т / 1   Ш/2-Ш/5 / 1 отм. +4,000</t>
  </si>
  <si>
    <t>Антон Федоров: Заголовок изменен на Установка верхнего оцинкованного листа противопожарной отсечки</t>
  </si>
  <si>
    <t>Антон Федоров: Заголовок изменен на Установка верхнего оцинкованного листа противопожарной отсечки в\о  В-И / 1,&amp;nbsp;&amp;nbsp;Г-И / 7 отм. +46,000</t>
  </si>
  <si>
    <t>Антон Федоров: Заголовок изменен на Установка верхнего оцинкованного листа противопожарной отсечки в\о  В-И / 1,&amp;nbsp;&amp;nbsp;Г-И / 7 отм. +46,000, в\о К-П / 1&amp;nbsp;&amp;nbsp;Р-Т / 1&amp;nbsp;&amp;nbsp; Ш/2-Ш/5 / 1 отм. +4,000</t>
  </si>
  <si>
    <t>Монтаж кронштейнов АнК-42 в\о 8/3-9/1 вдоль оси 1/Б отм +13,090м.</t>
  </si>
  <si>
    <t>Антон Федоров: Заголовок изменен на Монтаж кронштейнов АнК-42 в\о 8/3-9/1 вдоль оси 1/Б отм +13,090м.</t>
  </si>
  <si>
    <t>Установка мембраны противопожарной отсечки в\о 8/3-9/1/1/Б отм. +12,600 Блок А2, в\о Ш\2-Ш\4\1\Б отм. +12,600 Блок А1  Установка минеральной ваты противопожарной отсечки в\о В-К/1 отм. +54,600м.</t>
  </si>
  <si>
    <t>Антон Федоров: Заголовок изменен на Установка мембраны противопожарной отсечки в\о 8/3-9/1/1/Б отм. +12,600 Блок А2, в\о Ш\2-Ш\4\1\Б отм. +12,600 Блок А1  Установка минеральной ваты противопожарной отсечки в\о В-К/1 отм. +54,600м.</t>
  </si>
  <si>
    <t>Монтаж панелей фасадной системы и резинового уплотнителя Блок 1 в\о Г-Е\1 и Б-Д\1  отм +54,570м.</t>
  </si>
  <si>
    <t>Антон Федоров: Заголовок изменен на Монтаж панелей фасадной системы и резинового уплотнителя Блок 1 в\о Г-Е\1 и Б-Д\1  отм +54,570м.</t>
  </si>
  <si>
    <t>Антон Федоров: Изменена дата начала на 17.11.2019</t>
  </si>
  <si>
    <t>Окраска и герметизация соединений Блок 1 Кровля Узлы № 50-55,71-76,92-97,112-117</t>
  </si>
  <si>
    <t>Антон Федоров: Заголовок изменен на Окраска и герметизация соединений Блок 1 Кровля Узлы № 50-55,71-76,92-97,112-117</t>
  </si>
  <si>
    <t>МОнтаж кронштейнов  в\о 22-29 отм. +15,178 Блок 3, в\о Б-В \ 6\1 Блок 1 отм. +50,250м.</t>
  </si>
  <si>
    <t>Антон Федоров: Заголовок изменен на МОнтаж кронштейнов  в\о 22-29 отм. +15,178 Блок 3, в\о Б-В \ 6\1 Блок 1 отм. +50,250м.</t>
  </si>
  <si>
    <t>Затяжка ВПБ в\о Д-И\15 отм. +16,450м. Узлы № 2,4,5,7</t>
  </si>
  <si>
    <t>Not set: 2,1 Укрупнённая сборка отдельных конструктивных элементов и монтажных блоков соответствует проектным требованиям  (АФЕ) - 2019-11-17</t>
  </si>
  <si>
    <t>Not set: 2,2 Установка и проектное закрепление отдельных конструктивных элементов и блоков в проектное положение соответствует проектным требованиям  (АФЕ) - 2019-11-17</t>
  </si>
  <si>
    <t>Not set: 2,3 Контактные поверхности соединяемых элементов очищены от загрязнения, заусенцев, льда и других неровностей, препятствующих плотному их прилеганию (АФЕ) - 2019-11-17</t>
  </si>
  <si>
    <t>Yes: 2,4 При проверке закрепления конструктивных элементов щуп толщиной 0,3 мм не проходит между собранными деталями на глубину более 20 мм (АФЕ) - 2019-11-17</t>
  </si>
  <si>
    <t>Not set: 2,5 Стержень болта выступает из гайки не менее 3 мм.  (АФЕ) - 2019-11-17</t>
  </si>
  <si>
    <t>Not set: 2,6 Отсутствует смещение болтов при их отстукивании молотком массой 0,4 кг (АФЕ) - 2019-11-17</t>
  </si>
  <si>
    <t>Yes: 2,7 Монтажные соединения на высокопрочных болтах с контролируемым натяжением: (АФЕ) - 2019-11-17</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</si>
  <si>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(АФЕ) - 2019-11-17</t>
  </si>
  <si>
    <t>Not set: 2,9 Размещение крепежных изделий соответствует проектным требованиям (АФЕ) - 2019-11-17</t>
  </si>
  <si>
    <t>Not set: 2,1 Натяжение болтов соответствует проектным требованиям (АФЕ) - 2019-11-17</t>
  </si>
  <si>
    <t>Not set: 2,11 Сварные швы соответствуют нормативным требованиям (АФЕ) - 2019-11-17</t>
  </si>
  <si>
    <t>Not set: 3,1 Работы выполняются на основе утвержденного ППР (АФЕ) - 2019-11-17</t>
  </si>
  <si>
    <t>Not set: 3,2 Наличие записи в журнале производства работ (АФЕ) - 2019-11-17</t>
  </si>
  <si>
    <t>Not set: 3,3 Наличие записи в журнале сварочных работ (АФЕ) - 2019-11-17</t>
  </si>
  <si>
    <t>Not set: 3,4 Наличие записи в журнале работ по монтажу строительных конструкций (АФЕ) - 2019-11-17</t>
  </si>
  <si>
    <t>Not set: 3,5 Наличие записи в журнале выполнения монтажных соединений на болтах с контролируемым натяжением. (АФЕ) - 2019-11-17</t>
  </si>
  <si>
    <t>Антон Федоров: Заголовок изменен на Затяжка ВПБ в\о Д-И\15 отм. +16,450м. Узлы № 2,4,5,7</t>
  </si>
  <si>
    <t>Монтаж прогонов в\о Д-Л\5-6\1 отм. +47,123</t>
  </si>
  <si>
    <t>Антон Федоров: Заголовок изменен на Монтаж прогонов в\о Д-Л\5-6\1 отм. +47,123</t>
  </si>
  <si>
    <t>Антон Федоров: Изменена дата начала на 18.11.2019</t>
  </si>
  <si>
    <t>Затяжка опорных столиков кровельных ферм №4-8 в\о 7б-10б\26-29</t>
  </si>
  <si>
    <t>Антон Федоров: Заголовок изменен на Затяжка опорных столиков кровельных ферм №4-8 в\о 7б-10б\26-29</t>
  </si>
  <si>
    <t>Монтаж и крепление настилов кровли ТИП - 16 Блок 3 в\о 1б-2б-28\33\1</t>
  </si>
  <si>
    <t>Антон Федоров: Заголовок изменен на Монтаж и крепление настилов кровли ТИП - 16 Блок 3 в\о 1б-2б-28\33\1</t>
  </si>
  <si>
    <t>Монтаж профнастила перекрытия в\о В-И\1-1\6 отм. L15,L16 Блок1</t>
  </si>
  <si>
    <t>Антон Федоров: Изменена дата начала на 06.02.2020</t>
  </si>
  <si>
    <t>Антон Федоров: Заголовок изменен на Монтаж профлиста в\о В-И\1-1\6 отм. L15,L16 Блок1</t>
  </si>
  <si>
    <t>Антон Федоров: Заголовок изменен на Монтаж профнастила перекрытия в\о В-И\1-1\6 отм. L15,L16 Блок1</t>
  </si>
  <si>
    <t>Монтаж опалубки ПС-10 в\о В-Д\1 отм. -6.200м.</t>
  </si>
  <si>
    <t>Антон Федоров: Заголовок изменен на Монтаж опалубки ПС-10 в\о В-Д\1 отм. -6.200м.</t>
  </si>
  <si>
    <t>Устройство песчаного основания под трубопроводы между колодцами 11,12,13</t>
  </si>
  <si>
    <t>Антон Федоров: Заголовок изменен на Устройство песчаного основания под трубопроводы между колодцами 11,12,13</t>
  </si>
  <si>
    <t>Монтаж панелей в\о Д-И\13 отм. +12,570 Блок С</t>
  </si>
  <si>
    <t>Антон Федоров: Заголовок изменен на Монтаж панелей в\о Д-И\13 отм. +12,570 Блок С</t>
  </si>
  <si>
    <t>Фальш полы МЕРО пом. 13.L4.1.006, плитка пол. ЛК 2.10, сетка + керамзит Блок В1 в\о 10б-13б</t>
  </si>
  <si>
    <t>Антон Федоров: Заголовок изменен на Фальш полы МЕРО пом. 13.L4.1.006, плитка пол.</t>
  </si>
  <si>
    <t>Антон Федоров: Заголовок изменен на Фальш полы МЕРО пом. 13.L4.1.006, плитка пол. ЛК 2.10</t>
  </si>
  <si>
    <t>Антон Федоров: Изменена дата начала на 14.01.2020</t>
  </si>
  <si>
    <t>Антон Федоров: Заголовок изменен на Фальш полы МЕРО пом. 13.L4.1.006, плитка пол. ЛК 2.10, сетка + керамзит Блок В1 в\о 10б-13б</t>
  </si>
  <si>
    <t>Монтаж каркаса перегородок под гипсокартон пом. 07.L2.3.036,037,038,039,09.L2.3.001.</t>
  </si>
  <si>
    <t>Антон Федоров: Изменена дата начала на 15.01.2020</t>
  </si>
  <si>
    <t>Антон Федоров: Заголовок изменен на Монтаж каркаса под облицовку гипсокартоном</t>
  </si>
  <si>
    <t>Антон Федоров: Заголовок изменен на Монтаж каркаса перегородок под гипсокартон пом. 07.L2.3.036,037,038,039,09.L2.3.001</t>
  </si>
  <si>
    <t>Антон Федоров: Заголовок изменен на Монтаж каркаса перегородок под гипсокартон пом. 07.L2.3.036,037,038,039,09.L2.3.001.</t>
  </si>
  <si>
    <t>Монтаж фальшполов МЭРО пом. 13.L4.1.007. Монтаж каркаса на потолок под гипсокартон пом. 07.L1.1.143,100</t>
  </si>
  <si>
    <t>Антон Федоров: Заголовок изменен на Монтаж фальшполов МЭРО пом. 13.L4.1.007. Монтаж каркаса на потолок под гипсокартон пом. 07.L1.1.143,100</t>
  </si>
  <si>
    <t>Оклеечная гидроизоляция со стороны оси 1\Б с отм -4.550 до -3.550м.</t>
  </si>
  <si>
    <t>Yes: 1.1 Работы выполняются на основе утвержденного ППР (АФЕ) - 2020-01-22</t>
  </si>
  <si>
    <t>Yes: 1.2 Укладка производится на подготовленную поверхность, очищенную от загрязнений. Углы конструкций примыкания сглаженные и
ровные, с отсутствием острых углов (АФЕ) - 2020-01-22</t>
  </si>
  <si>
    <t>Yes: 1.3 Устройство гидроизоляционного покрытия проводят после грунтовки основания. Вид грунтовки
соответствует виду применяемого гидроизоляционного материала (АФЕ) - 2020-01-22</t>
  </si>
  <si>
    <t>Yes: 1.4 Укладка рулонных материалов  выполняется в направлении «на себя» (АФЕ) - 2020-01-22</t>
  </si>
  <si>
    <t>Yes: 1.5 Оклеечная гидроизоляция на мастике наклеивается сразу после ее нанесения (АФЕ) - 2020-01-22</t>
  </si>
  <si>
    <t>Yes: 1.6 Толщина слоя мастики соответствует нормативным требованиям (АФЕ) - 2020-01-22</t>
  </si>
  <si>
    <t>Yes: 1.7 Сопряжение смежных полотнищ выполняется с нахлесткой не менее 100 мм; торцевой нахлест полотнищ составляет не менее 150 мм (АФЕ) - 2020-01-22</t>
  </si>
  <si>
    <t>Yes: 1.8 В местах примыкания пола к стенам, фундаментам под оборудование, к трубопроводам и другим конструкциям, выступающим над полом, гидроизоляция выполняется непрерывной на высоту не менее 200 мм от уровня покрытия пола (АФЕ) - 2020-01-22</t>
  </si>
  <si>
    <t>Yes: 1.9 При наплавлении рулонных материалов вяжущее вещество из-под боковой кромки материала вытекает на 5-15 мм (АФЕ) - 2020-01-22</t>
  </si>
  <si>
    <t>Not set: 1.10 Наличие записи в журнале производства работ (АФЕ) - 2020-01-22</t>
  </si>
  <si>
    <t>Yes: Нормативная документация: СП 71.13330.2017 «Изоляционные и отделочные покрытия» (АФЕ) - 2020-01-22</t>
  </si>
  <si>
    <t>Антон Федоров: Заголовок изменен на Оклеечная гидроизоляция со стороны оси 1\Б с отм -4.550 до -3.550м.</t>
  </si>
  <si>
    <t>Антон Федоров: Изменена дата начала на 22.01.2020</t>
  </si>
  <si>
    <t>Монтаж опалубки подпорной стены   ПС-10 вдоль оси 1\ Е-К отм. -6.650м.</t>
  </si>
  <si>
    <t>Антон Федоров: Заголовок изменен на Монтаж опалубки ПС-10</t>
  </si>
  <si>
    <t>Антон Федоров: Заголовок изменен на Монтаж опалубки подпорной стены   ПС-10 вдоль оси 1</t>
  </si>
  <si>
    <t>Антон Федоров: Заголовок изменен на Монтаж опалубки подпорной стены   ПС-10 вдоль оси 1\ Е-К отм. -6.650м.</t>
  </si>
  <si>
    <t>Монтаж металлического настила кровли Блок 3 в\о 21/2-27/11/Б-12/Б</t>
  </si>
  <si>
    <t>Антон Федоров: Заголовок изменен на Монтаж металлического настила кровли Блок 3 в\о 21/2-27/11/Б-12/Б</t>
  </si>
  <si>
    <t>Монтаж панелей и седлового уплотнителя 3.1</t>
  </si>
  <si>
    <t>РК-РД-2-АР09.2-05.01-06_комм</t>
  </si>
  <si>
    <t>Вячеслав Сорокин: Заголовок изменен на Монтаж панелей и седлового уплотнителя</t>
  </si>
  <si>
    <t>Вячеслав Сорокин: Заголовок изменен на Монтаж панелей и седлового уплотнителя 3.2</t>
  </si>
  <si>
    <t>Вячеслав Сорокин: План изменен на РК-РД-2-АР09.1-05.04-09 с комментариями</t>
  </si>
  <si>
    <t>Вячеслав Сорокин: План изменен на РК-РД-2-АР09.2-05.02-02_комм</t>
  </si>
  <si>
    <t>Вячеслав Сорокин: План изменен на РК-РД-2-АР09.2-05.01-06_комм</t>
  </si>
  <si>
    <t>Вячеслав Сорокин: Заголовок изменен на Монтаж панелей и седлового уплотнителя 3.1</t>
  </si>
  <si>
    <t>Вячеслав Сорокин: Изменена дата начала на 23.11.2019</t>
  </si>
  <si>
    <t>Вячеслав Сорокин: Изменена дата завершения на 24.11.2019</t>
  </si>
  <si>
    <t>Устройство опалубки  плиты перекрытия в/о Ш/2-Э/1/Б на отм. -4,750.</t>
  </si>
  <si>
    <t>Вячеслав Сорокин: Заголовок изменен на Устройство опалубки  плиты перекрытия в/о Ш/2-Э/1/Б на отм. -4,750.</t>
  </si>
  <si>
    <t>Вячеслав Сорокин: Изменена дата начала на 21.12.2019</t>
  </si>
  <si>
    <t>Огнезащита металлоконструкций кровли КПП1 в/о А.1-В.1/1.1-4.1</t>
  </si>
  <si>
    <t>РК-РД-2-ОЗ4.1.02-002-00</t>
  </si>
  <si>
    <t>Огнезащита  металлоконструкций</t>
  </si>
  <si>
    <t>Вячеслав Сорокин: Заголовок изменен на Огнезащита металлоконструкций</t>
  </si>
  <si>
    <t>Вячеслав Сорокин: Заголовок изменен на Огнезащита металлоконструкций КПП1 в/о А.1-В.1/1.1-4.1</t>
  </si>
  <si>
    <t>Вячеслав Сорокин: Заголовок изменен на Огнезащита металлоконструкций кровли КПП1 в/о А.1-В.1/1.1-4.1</t>
  </si>
  <si>
    <t>Вячеслав Сорокин: Изменена дата начала на 15.11.2019</t>
  </si>
  <si>
    <t>Пароизоляция узлов соединения лотков ETFE узел107-128.</t>
  </si>
  <si>
    <t>Вячеслав Сорокин: Заголовок изменен на Пароизоляция узлов соединения лотков ETFE узел107-128.</t>
  </si>
  <si>
    <t>Оклеечная гидроизоляция лотка топливопровода</t>
  </si>
  <si>
    <t>Александр Светашов: Оклеечная гидроизоляция лотка топливопровода</t>
  </si>
  <si>
    <t>Александр Светашов: Ответственное лицо замещено Евгений Рысев</t>
  </si>
  <si>
    <t>Гидроизоляция свай</t>
  </si>
  <si>
    <t>Александр Светашов: Гидроизоляция свай</t>
  </si>
  <si>
    <t>Подготовка основания песком под фундаментную плиту КПП-2 в/о Е.2-В.2/1.2-3.2 отм.-2,650.</t>
  </si>
  <si>
    <t>Вячеслав Сорокин: Заголовок изменен на Подготовка основания песком под фундаментную плиту КПП-2 в/о Е.2-В.2/1.2-3.2 отм.-2,650.</t>
  </si>
  <si>
    <t>Вячеслав Сорокин: Сменить ответственное лицо на Евгений Кузнецов</t>
  </si>
  <si>
    <t>Подготовка щебеночного основания  под фундаментную плиту КПП-2 в/о Е.2-В.2/ 1.2-3.2 на отм.-2,650.</t>
  </si>
  <si>
    <t>Вячеслав Сорокин: Заголовок изменен на Подготовка щебеночного основания  под фундаментную плиту КПП-2 в/о Е.2-В.2/ 1.2-3.2 на отм.-2,650.</t>
  </si>
  <si>
    <t>Армирование плиты перекрытия в/о Ш/2-Э/1/Б на отм. -4,750.</t>
  </si>
  <si>
    <t>Вячеслав Сорокин: Заголовок изменен на Армирование плиты перекрытия в/о Ш/2-Э/1/Б на отм. -4,750.</t>
  </si>
  <si>
    <t>Yes: Подготовка основания под битум (АСВ) - 2019-11-28</t>
  </si>
  <si>
    <t>Yes: Оконечная гидроизоляция наружной стены (АСВ) - 2019-11-28</t>
  </si>
  <si>
    <t>Yes: Гидроизоляция битумом (АСВ) - 2019-12-06</t>
  </si>
  <si>
    <t>Александр Светашов: Дата начала изменена на дек. 6, 2019</t>
  </si>
  <si>
    <t>Монтаж противопожарных дверей L1, L2</t>
  </si>
  <si>
    <t>Вячеслав Сорокин: Заголовок изменен на Монтаж противопожарных дверей L1, L2</t>
  </si>
  <si>
    <t>Вячеслав Сорокин: Сменить уполномоченное лицо на Евгений Кузнецов</t>
  </si>
  <si>
    <t>Вячеслав Сорокин: Дата начала изменена на 9 декабря 2019 г.</t>
  </si>
  <si>
    <t>Армирование</t>
  </si>
  <si>
    <t>Yes: 1.1 Вертикальный и горизонтальный шаг арматуры соответствует проекту. Отклонение между рядами арматуры не более 10 мм (ВСО) - 2019-12-09</t>
  </si>
  <si>
    <t>Yes: 1.2 Длина арматурных элементов соответствуют проекту. Длины нахлестов/анкеровки арматуры составляют не менее 5% длины арматуры (ГОСТ 10922-2012) (ВСО) - 2019-12-09</t>
  </si>
  <si>
    <t>Yes: 1.3 Отклонение толщины защитного слоя бетона от проектной не более 15 мм и не менее 5 мм при толщине бетона более 300 мм (ВСО) - 2019-12-09</t>
  </si>
  <si>
    <t>N/A: 1.4 Сварные соединения соответствуют проекту и требованиям ГОСТ 14098—2014 (ВСО) - 2019-12-09</t>
  </si>
  <si>
    <t>N/A: 1.5 Закладные элементы , в том числе приспособления для устройства гидроизоляции швов, установлены в соответствии с проектом и закреплены (ВСО) - 2019-12-09</t>
  </si>
  <si>
    <t>Yes: 2.1 Наличие записи в общем журнале работ (ВСО) - 2019-12-09</t>
  </si>
  <si>
    <t>Yes: 3.1 Разрешается проведение последующих работ по устройству опалубки  или бетонированию конструкции (ВСО) - 2019-12-09</t>
  </si>
  <si>
    <t>Вячеслав Сорокин: Заголовок изменен на Армирование</t>
  </si>
  <si>
    <t>Вячеслав Сорокин: Заголовок изменен на Армирование фундаментной плиты в/о Ш/3-Э/1/Б-2/Б отм. -4,400.</t>
  </si>
  <si>
    <t>Вячеслав Сорокин: Изменена дата начала на 09.12.2019</t>
  </si>
  <si>
    <t>Yes: 2,1. Устройство конструкции выполнено в соответствии с проектом (АБИ) - 2019-11-22</t>
  </si>
  <si>
    <t>Yes: 2,2. При выполнении работ использовались материалы, прошедшие входной контроль (АБИ) - 2019-11-22</t>
  </si>
  <si>
    <t>Yes: 2,3. Конструкция проверена на соответствие проектным требованиям. Замечаний нет.  (АБИ) - 2019-11-22</t>
  </si>
  <si>
    <t>Yes: 2,4. Плановое положение и высотные отметки конструкции соответствует проекту. Отклонения не превышают нормативных (АБИ) - 2019-11-22</t>
  </si>
  <si>
    <t>No: 4,1. Наличие актов освидетельствования скрытых работ (АБИ) - 2019-11-22</t>
  </si>
  <si>
    <t>Yes: 4,2. Наличие и корректность исполнительной геодезической схемы (АБИ) - 2019-11-22</t>
  </si>
  <si>
    <t>Yes: 4,3. Наличие записей в журналах работ (АБИ) - 2019-11-22</t>
  </si>
  <si>
    <t>Yes: 4,4. Наличие паспортов и сертификатов на конструкцию и ее элементы (АБИ) - 2019-11-22</t>
  </si>
  <si>
    <t>Алексей Бирюков: Заголовок изменен на Щебеночная Подготовка Под Основание КРМ-8</t>
  </si>
  <si>
    <t>Алексей Бирюков: Удалено отметить пункт - "На расстоянии 4,5 м от стены, толщина щеб.основания менее 300мм"</t>
  </si>
  <si>
    <t>Александр Светашов: Сменить ответственное лицо на КЖ Renaissance Construction</t>
  </si>
  <si>
    <t>Гидроизоляция битумом наружной стены здания</t>
  </si>
  <si>
    <t>Александр Светашов: Гидроизоляция битумом наружной стены здания</t>
  </si>
  <si>
    <t>Александр Светашов: Дата начала изменена на нояб. 21, 2019</t>
  </si>
  <si>
    <t>Плита фундамента туннеля бомбоубежища в/о Ш/2-3/1/Б на отм -9200</t>
  </si>
  <si>
    <t>No: Очистить арматуру от керасина (АСВ) - 2019-12-10</t>
  </si>
  <si>
    <t>No: Согласовать холодный шов, и шпонку (АСВ) - 2019-12-10</t>
  </si>
  <si>
    <t>Александр Светашов: Плита фундамента туннеля бомбоубежища в/о Ш/2-3/1/Б на отм -9200</t>
  </si>
  <si>
    <t>Евгений Кузнецов: https://share.rencons.com/?ShareToken=514BD27B9B4A723638AB40F98BB6669EB398F239</t>
  </si>
  <si>
    <t>Евгений Кузнецов: Замечания устранены.  Арматура от диз.топлива  почищена. РШБ и шпонка согласовано с АН.(см.вложение)</t>
  </si>
  <si>
    <t>Армирование стен Ст-2А,Ст-2В,Ст-2С,Ст-2В на отм.-4,350.</t>
  </si>
  <si>
    <t>Yes: 1.1 Вертикальный и горизонтальный шаг арматуры соответствует проекту. Отклонение между рядами арматуры не более 10 мм (ВСО) - 2020-01-03</t>
  </si>
  <si>
    <t>Yes: 1.2 Длина арматурных элементов соответствуют проекту. Длины нахлестов/анкеровки арматуры составляют не менее 5% длины арматуры (ГОСТ 10922-2012) (ВСО) - 2020-01-03</t>
  </si>
  <si>
    <t>Yes: 1.3 Отклонение толщины защитного слоя бетона от проектной не более 15 мм и не менее 5 мм при толщине бетона более 300 мм (ВСО) - 2020-01-03</t>
  </si>
  <si>
    <t>N/A: 1.4 Сварные соединения соответствуют проекту и требованиям ГОСТ 14098—2014 (ВСО) - 2020-01-03</t>
  </si>
  <si>
    <t>Yes: 1.5 Закладные элементы , в том числе приспособления для устройства гидроизоляции швов, установлены в соответствии с проектом и закреплены (ВСО) - 2020-01-03</t>
  </si>
  <si>
    <t>Yes: 2.1 Наличие записи в общем журнале работ (ВСО) - 2020-01-03</t>
  </si>
  <si>
    <t>Yes: 3.1 Разрешается проведение последующих работ по устройству опалубки  или бетонированию конструкции (ВСО) - 2020-01-03</t>
  </si>
  <si>
    <t>Вячеслав Сорокин: Заголовок изменен на Армирование люк</t>
  </si>
  <si>
    <t>Вячеслав Сорокин: Заголовок изменен на Армирование стен Ст2А,</t>
  </si>
  <si>
    <t>Вячеслав Сорокин: Заголовок изменен на Армирование стен Ст-2А,Ст-2В,Ст-2С,Ст-2В на отм.-4,350.</t>
  </si>
  <si>
    <t>Вячеслав Сорокин: Изменена дата начала на 03.01.2020</t>
  </si>
  <si>
    <t>Армирование стены Стм-1.1 КПП2 в/о B.2-Д.2/2.2-3.2 отм.-1,400.</t>
  </si>
  <si>
    <t xml:space="preserve">Вячеслав Сорокин: Заголовок изменен на Стена армирование </t>
  </si>
  <si>
    <t>Вячеслав Сорокин: Заголовок изменен на Армирование стены Стм-1.1 КПП2 в/о</t>
  </si>
  <si>
    <t>Вячеслав Сорокин: Заголовок изменен на Армирование стены Стм-1.1 КПП2 в/о B.2-Д.2/2.2-3.2 отм.-1,400.</t>
  </si>
  <si>
    <t>оклеечная гидроизоляция</t>
  </si>
  <si>
    <t>Yes: Вертикальная гидроизоляция наружной стены здания (АСВ) - 2019-11-19</t>
  </si>
  <si>
    <t>Yes: В/о У-Т (АСВ) - 2019-11-19</t>
  </si>
  <si>
    <t xml:space="preserve">Александр Светашов: #о8.13_оклеечная_гидроизоляция </t>
  </si>
  <si>
    <t>Александр Светашов: Заголовок изменен на оклеечная гидроизоляция</t>
  </si>
  <si>
    <t>Александр Светашов: Отмеченный пункт изменен с "Вертикальная гидроизоляция наружной стены сдания" на "Вертикальная гидроизоляция наружной стены здания"</t>
  </si>
  <si>
    <t>Not set: Вертикальная оконечная гидроизоляция наружной стены здания в/о Ф-Ш (АСВ) - 2019-11-19</t>
  </si>
  <si>
    <t>Оклеечная гидроизоляция вводов ВОЛС</t>
  </si>
  <si>
    <t>Александр Светашов: Оклеечная гидроизоляция вводов ВОЛС</t>
  </si>
  <si>
    <t>Огнезащитное покрытие М/К " Монокль" В/О</t>
  </si>
  <si>
    <t>Вячеслав Сорокин: Заголовок изменен на Монокот Моста</t>
  </si>
  <si>
    <t>Вячеслав Сорокин: Дата окончания изменена на февр. 7, 2020</t>
  </si>
  <si>
    <t>Вячеслав Сорокин: Заголовок изменен на Огнезащитное покрытие М/К " Монокль" В/О</t>
  </si>
  <si>
    <t xml:space="preserve">Устройство утепления ферм ETFE, 1 этап, в осях 24-26/С-У, узлы 9-12. </t>
  </si>
  <si>
    <t xml:space="preserve">Александр Светашов: Устройство утепления ферм ETFE, 1 этап, в осях 24-26/С-У, узлы 9-12. </t>
  </si>
  <si>
    <t>Затяжка соединений на высокопрочных болтах Блок 2.1 отм.+15,241 Узлы №190,189,188,187,186,179,107</t>
  </si>
  <si>
    <t>Yes: 2.1 Отклонения отметок опорных поверхностей колонн и опор от проектных не более 5 мм., опорных узлов не более 10 мм. (АФЕ) - 2019-12-20</t>
  </si>
  <si>
    <t>Yes: 2.2 Смещение осей колонн и опор относительно разбивочных осей в опорном сечении не более 5 мм. (АФЕ) - 2019-12-20</t>
  </si>
  <si>
    <t>N/A: 2.3 Отклонение осей колонн от вертикали в верхнем сечении: при длине колонн от 4000 до 8000 мм - не более 10 мм; при длине колонн от 8000 до 16000 мм - не более 12 мм. (АФЕ) - 2019-12-20</t>
  </si>
  <si>
    <t>N/A: 2.4 Стрела прогиба (кривизна) конструкции между точками закрепления не более 15 мм (АФЕ) - 2019-12-20</t>
  </si>
  <si>
    <t>N/A: 2.5 Смещение ферм, балок ригелей от осей на оголовках колонн из плоскости рамы не более 15 мм. (АФЕ) - 2019-12-20</t>
  </si>
  <si>
    <t>N/A: 2.6 Отклонений расстояний между прогонами не более 5 мм. от проектных (АФЕ) - 2019-12-20</t>
  </si>
  <si>
    <t>Yes: 3.1 Момент затяжки обычных и высокопрочных болтов соответствует проекту. Зазоры в месте стыков отсутствуют (АФЕ) - 2019-12-20</t>
  </si>
  <si>
    <t>Yes: 3.2 Заводское покрытие элементов конструкций восстановлено (при повреждении в процессе монтажа) (АФЕ) - 2019-12-20</t>
  </si>
  <si>
    <t>Yes: 3.3 Выполнена окраска всех болтов и стыков в соответствии с проектом (АФЕ) - 2019-12-20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</si>
  <si>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(АФЕ) - 2019-12-20</t>
  </si>
  <si>
    <t>Yes: 5,1 Наличие записи в журнале производства работ (АФЕ) - 2019-12-20</t>
  </si>
  <si>
    <t>Yes: 5,2 Наличие записи в журнале выполнения монтажных соединений на болтах с контролируемым натяжением (АФЕ) - 2019-12-20</t>
  </si>
  <si>
    <t>N/A: 5,3 Наличие записи в журнале сварочных работ (АФЕ) - 2019-12-20</t>
  </si>
  <si>
    <t>Yes: 5,4 Наличие записи в журнале работ по монтажу строительных конструкций (АФЕ) - 2019-12-20</t>
  </si>
  <si>
    <t>N/A: 5,5 Наличие акта освидетельствования скрытых работ (АФЕ) - 2019-12-20</t>
  </si>
  <si>
    <t>N/A: 5,6 Наличие акта освидетельствования ответственных конструкций (АФЕ) - 2019-12-20</t>
  </si>
  <si>
    <t>Yes: 5,7 Наличие исполнительной геодезической схемы положения конструкций (АФЕ) - 2019-12-20</t>
  </si>
  <si>
    <t>N/A: 5,8 Наличие документа о контроле качества сварных соединений (АФЕ) - 2019-12-20</t>
  </si>
  <si>
    <t>Антон Федоров: Заголовок изменен на Затяжка соединений на высокопрочных болтах Блок 2.1 отм.+15,241 Узлы №190,189,188,187,186,179,107</t>
  </si>
  <si>
    <t>Антон Федоров: Изменена дата начала на 20.12.2019</t>
  </si>
  <si>
    <t>Окраска и герметизация монтажных  соединений в\о Л-Е\2Б-6Б Блок 1 кровля</t>
  </si>
  <si>
    <t>Антон Федоров: Заголовок изменен на Окраска и герметизация соединений на болтах в\о Л-Е\2Б-6Б Блок 1 кровля</t>
  </si>
  <si>
    <t>Антон Федоров: Заголовок изменен на Окраска и герметизация монтажных  соединений в\о Л-Е\2Б-6Б Блок 1 кровля</t>
  </si>
  <si>
    <t>Освидетельствование монтажа металлических прогонов кровли Блока 1</t>
  </si>
  <si>
    <t>Yes: 2.1 Отклонения отметок опорных поверхностей колонн и опор от проектных не более 5 мм., опорных узлов не более 10 мм. (ВСО) - 2019-11-28</t>
  </si>
  <si>
    <t>Yes: 2.2 Смещение осей колонн и опор относительно разбивочных осей в опорном сечении не более 5 мм. (ВСО) - 2019-11-28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</si>
  <si>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(ВСО) - 2019-11-28</t>
  </si>
  <si>
    <t>Yes: 2.4 Стрела прогиба (кривизна) конструкции между точками закрепления не более 15 мм (ВСО) - 2019-11-28</t>
  </si>
  <si>
    <t>N/A: 2.5 Смещение ферм, балок ригелей от осей на оголовках колонн из плоскости рамы не более 15 мм. (ВСО) - 2019-11-28</t>
  </si>
  <si>
    <t>Yes: 2.6 Отклонений расстояний между прогонами не более 5 мм. от проектных (ВСО) - 2019-11-28</t>
  </si>
  <si>
    <t>Yes: 3.1 Момент затяжки обычных и высокопрочных болтов соответствует проекту. Зазоры в месте стыков отсутствуют (ВСО) - 2019-11-28</t>
  </si>
  <si>
    <t>No: 3.2 Заводское покрытие элементов конструкций восстановлено (при повреждении в процессе монтажа) (ВСО) - 2019-11-28</t>
  </si>
  <si>
    <t>No: 3.3 Выполнена окраска всех болтов и стыков в соответствии с проектом (ВСО) - 2019-11-28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</si>
  <si>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(ВСО) - 2019-11-28</t>
  </si>
  <si>
    <t>Yes: 5,1 Наличие записи в журнале производства работ (ВСО) - 2019-11-28</t>
  </si>
  <si>
    <t>Yes: 5,2 Наличие записи в журнале выполнения монтажных соединений на болтах с контролируемым натяжением (ВСО) - 2019-11-28</t>
  </si>
  <si>
    <t>Yes: 5,3 Наличие записи в журнале сварочных работ (ВСО) - 2019-11-28</t>
  </si>
  <si>
    <t>Yes: 5,4 Наличие записи в журнале работ по монтажу строительных конструкций (ВСО) - 2019-11-28</t>
  </si>
  <si>
    <t>No: 5,5 Наличие акта освидетельствования скрытых работ (ВСО) - 2019-11-28</t>
  </si>
  <si>
    <t>N/A: 5,6 Наличие акта освидетельствования ответственных конструкций (ВСО) - 2019-11-28</t>
  </si>
  <si>
    <t>Yes: 5,7 Наличие исполнительной геодезической схемы положения конструкций (ВСО) - 2019-11-28</t>
  </si>
  <si>
    <t>Yes: 5,8 Наличие документа о контроле качества сварных соединений (ВСО) - 2019-11-28</t>
  </si>
  <si>
    <t>Вячеслав Сорокин: Удаленное вложение</t>
  </si>
  <si>
    <t>Вячеслав Сорокин: Изменена дата начала на 27.11.2019</t>
  </si>
  <si>
    <t>Вячеслав Сорокин: Изменена дата завершения на 28.11.2019</t>
  </si>
  <si>
    <t>Вячеслав Сорокин: Заголовок изменен на Освидетельствование монтажа металлических прогонов кровли Блока 1</t>
  </si>
  <si>
    <t>Вячеслав Сорокин: План изменен на РК-РД-2-КМ1.1.12-012-00</t>
  </si>
  <si>
    <t>Проверка натяжения ВПБ металлических балок крепления фасадных конструкций в/о 1/Б/14 на отм. +13.900</t>
  </si>
  <si>
    <t>РК-РД-2-КМ5.1.07-004-01</t>
  </si>
  <si>
    <t>Балки крепления фасадных элементов</t>
  </si>
  <si>
    <t>Yes: 2.5 Смещение ферм, балок ригелей от осей на оголовках колонн из плоскости рамы не более 15 мм. (ВСО) - 2019-11-28</t>
  </si>
  <si>
    <t>N/A: 5,3 Наличие записи в журнале сварочных работ (ВСО) - 2019-11-28</t>
  </si>
  <si>
    <t>N/A: 5,8 Наличие документа о контроле качества сварных соединений (ВСО) - 2019-11-28</t>
  </si>
  <si>
    <t>Вячеслав Сорокин: Заголовок изменен на Проверка натяжения ВПБ металлических балок крепления фасадных конструкций в/о 1/Б/14 на отм. +</t>
  </si>
  <si>
    <t>Вячеслав Сорокин: Заголовок изменен на Проверка натяжения ВПБ металлических балок крепления фасадных конструкций в/о 1/Б/14 на отм. +13.900</t>
  </si>
  <si>
    <t>Монтаж настила кровли блока А3 в/о 6/Б-7/Б/22-26.</t>
  </si>
  <si>
    <t>РК-РД-2-АР09.6-200-03-Тип 16-Схема раскладки настилов 1</t>
  </si>
  <si>
    <t>Монтаж настила кровли блока А3 в/о 2/Б-6/Б/33/1-34/1 .</t>
  </si>
  <si>
    <t>Вячеслав Сорокин: Монтаж настила кровли блока А3 в/о 6/Б-7/Б/22-26.</t>
  </si>
  <si>
    <t>Вячеслав Сорокин: План изменен на РК-РД-2-АР09.6-200-03-Тип 16-Схема раскладки настилов 1</t>
  </si>
  <si>
    <t>Вячеслав Сорокин: Стоимость изменена на 0 ALL</t>
  </si>
  <si>
    <t>Освидетельствование работ монтажа прогонов кровли блока 2.2 в/о Д-Е/15-15/1 .</t>
  </si>
  <si>
    <t>РК-РД-2-КМ2.1.10-015-01</t>
  </si>
  <si>
    <t>Вячеслав Сорокин: Заголовок изменен на Освидетельствование работ монтажа прогонов кровли блока 2.2 в/о Д-Е/15-15/1 .</t>
  </si>
  <si>
    <t>Покрытие кровли ETFE</t>
  </si>
  <si>
    <t>РК-РД-2-АР09.9-02-04</t>
  </si>
  <si>
    <t>N/A: Прошу предьявить чек-лист (КRE) - 2020-01-20</t>
  </si>
  <si>
    <t>Антон Федоров: Заголовок изменен на Ферма</t>
  </si>
  <si>
    <t>Антон Федоров: Заголовок изменен на Покрытие кровли ETFE</t>
  </si>
  <si>
    <t>Антон Федоров: Изменена дата завершения на 31.12.2019</t>
  </si>
  <si>
    <t>Антон Федоров: В ходе приемочного контроля лотков фермы ETFE выявлены следующие замечания:
1. Используется непроектный герметик для устранения зазоров
2. Зазоры (0.5 мм. согл. учетному листу ЖАН №46) скрываются с помощью цинковой краски ( узлы 72,83 ось 27/Т)
3. Зазоры в опорных частях лотка больше 0.5 мм. ( узел 68 ось 27)</t>
  </si>
  <si>
    <t>КМ Renaissance: узел №72 сдан 29.12, узел №83 сдан 27.12, узел №68(опора) сдан 27.12.</t>
  </si>
  <si>
    <t>Монтаж м/к балок крепления фасадных конструкций в/о Е-И/13/1 на отм.+6,900.</t>
  </si>
  <si>
    <t>РК-РД-2-КМ5.1.07-005-00</t>
  </si>
  <si>
    <t>Вячеслав Сорокин: Заголовок изменен на Монтаж м/к балок крепления фасадных конструкций в/о Е-И/13/1 на отм.+6,900.</t>
  </si>
  <si>
    <t>Приемка натяжения высокопрочных болтов м/к балок крепления фасадных элементов +4,100 узел 27,28,29,30,31,34</t>
  </si>
  <si>
    <t>Yes: 2.1 Отклонения отметок опорных поверхностей колонн и опор от проектных не более 5 мм., опорных узлов не более 10 мм. (ВСО) - 2019-11-20</t>
  </si>
  <si>
    <t>Yes: 2.2 Смещение осей колонн и опор относительно разбивочных осей в опорном сечении не более 5 мм. (ВСО) - 2019-11-20</t>
  </si>
  <si>
    <t>Yes: 2.4 Стрела прогиба (кривизна) конструкции между точками закрепления не более 15 мм (ВСО) - 2019-11-20</t>
  </si>
  <si>
    <t>Yes: 2.5 Смещение ферм, балок ригелей от осей на оголовках колонн из плоскости рамы не более 15 мм. (ВСО) - 2019-11-20</t>
  </si>
  <si>
    <t>Yes: 2.6 Отклонений расстояний между прогонами не более 5 мм. от проектных (ВСО) - 2019-11-20</t>
  </si>
  <si>
    <t>Yes: 3.1 Момент затяжки обычных и высокопрочных болтов соответствует проекту. Зазоры в месте стыков отсутствуют (ВСО) - 2019-11-20</t>
  </si>
  <si>
    <t>No: 3.2 Заводское покрытие элементов конструкций восстановлено (при повреждении в процессе монтажа) (ВСО) - 2019-11-20</t>
  </si>
  <si>
    <t>No: 3.3 Выполнена окраска всех болтов и стыков в соответствии с проектом (ВСО) - 2019-11-20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</si>
  <si>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(ВСО) - 2019-11-20</t>
  </si>
  <si>
    <t>Yes: 5,1 Наличие записи в журнале производства работ (ВСО) - 2019-11-20</t>
  </si>
  <si>
    <t>Yes: 5,2 Наличие записи в журнале выполнения монтажных соединений на болтах с контролируемым натяжением (ВСО) - 2019-11-20</t>
  </si>
  <si>
    <t>No: 5,3 Наличие записи в журнале сварочных работ (ВСО) - 2019-11-20</t>
  </si>
  <si>
    <t>Yes: 5,4 Наличие записи в журнале работ по монтажу строительных конструкций (ВСО) - 2019-11-20</t>
  </si>
  <si>
    <t>No: 5,5 Наличие акта освидетельствования скрытых работ (ВСО) - 2019-11-20</t>
  </si>
  <si>
    <t>No: 5,6 Наличие акта освидетельствования ответственных конструкций (ВСО) - 2019-11-20</t>
  </si>
  <si>
    <t>Yes: 5,7 Наличие исполнительной геодезической схемы положения конструкций (ВСО) - 2019-11-20</t>
  </si>
  <si>
    <t>No: 5,8 Наличие документа о контроле качества сварных соединений (ВСО) - 2019-11-20</t>
  </si>
  <si>
    <t>Вячеслав Сорокин: Заголовок изменен на Приемка натяжения высокопрочных болтов м/к балок крепления фасадных элементов +4,100 узел 27,28,29,30,31,34</t>
  </si>
  <si>
    <t>Вячеслав Сорокин: Изменена дата завершения на 20.11.2019</t>
  </si>
  <si>
    <t>Освидетельствование натяжения высокопрочных болтов металлоконструкции кровли в/о Л/1-Н/17-18</t>
  </si>
  <si>
    <t>L5_Блок 2_B1</t>
  </si>
  <si>
    <t>Вячеслав Сорокин: Дата начала изменена на 12 ноября 2019 г.</t>
  </si>
  <si>
    <t>Вячеслав Сорокин: Заголовок изменен на Освидетельствование натяжения высокопрочных болтов металлоконструкции кровли в/о Л/1-Н/17-18</t>
  </si>
  <si>
    <t>Вячеслав Сорокин: Заголовок изменен на Монтаж настила</t>
  </si>
  <si>
    <t>Вячеслав Сорокин: Дата начала изменена на 20 ноября 2019 г.</t>
  </si>
  <si>
    <t>Вячеслав Сорокин: Заголовок изменен на Монтаж настила кровли блока А3 в/о 2/Б-6/Б/33/1-34/1 .</t>
  </si>
  <si>
    <t>Монтаж прогонов кровли блока 1.</t>
  </si>
  <si>
    <t>Yes: 5,3 Наличие записи в журнале сварочных работ (ВСО) - 2019-11-20</t>
  </si>
  <si>
    <t>Yes: 5,8 Наличие документа о контроле качества сварных соединений (ВСО) - 2019-11-20</t>
  </si>
  <si>
    <t>Вячеслав Сорокин: Заголовок изменен на Монтаж пригонов кровли</t>
  </si>
  <si>
    <t>Вячеслав Сорокин: Заголовок изменен на Монтаж прогонов кровли</t>
  </si>
  <si>
    <t>Вячеслав Сорокин: Заголовок изменен на Монтаж прогонов кровли блок 1 в/о Г-Е/</t>
  </si>
  <si>
    <t>Вячеслав Сорокин: Заголовок изменен на Монтаж прогонов кровли блока 1.</t>
  </si>
  <si>
    <t>Монтаж м/к балок кровли блок 2.2 узел 183,184,28,297,294,450,597.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</si>
  <si>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(ВСО) - 2019-11-20</t>
  </si>
  <si>
    <t>N/A: 5,3 Наличие записи в журнале сварочных работ (ВСО) - 2019-11-20</t>
  </si>
  <si>
    <t>N/A: 5,8 Наличие документа о контроле качества сварных соединений (ВСО) - 2019-11-20</t>
  </si>
  <si>
    <t>Вячеслав Сорокин: Заголовок изменен на Монтаж 2.2. Верхний ярус</t>
  </si>
  <si>
    <t>Вячеслав Сорокин: Заголовок изменен на Монтаж м/к балок кровли блок 2.2 узел 183,184,28,297,294,450,597.</t>
  </si>
  <si>
    <t>Вячеслав Сорокин: План изменен на РК-РД-2-КМ2.1.10-012-00</t>
  </si>
  <si>
    <t>Вячеслав Сорокин: Изменена дата начала на 20.11.2019</t>
  </si>
  <si>
    <t>Монтаж м/к балок на отм. +41,650 узел 128,131,132,137.</t>
  </si>
  <si>
    <t>РК-РД-2-КМ2.1.10-010-01</t>
  </si>
  <si>
    <t>N/A: 5,5 Наличие акта освидетельствования скрытых работ (ВСО) - 2019-11-20</t>
  </si>
  <si>
    <t>N/A: 5,6 Наличие акта освидетельствования ответственных конструкций (ВСО) - 2019-11-20</t>
  </si>
  <si>
    <t xml:space="preserve">Вячеслав Сорокин: Заголовок изменен на Монтаж 2.2 </t>
  </si>
  <si>
    <t>Вячеслав Сорокин: Удаленное изображение</t>
  </si>
  <si>
    <t>Вячеслав Сорокин: Заголовок изменен на Монтаж м/к балок на отм. +41,650 узел 128,131,132,137.</t>
  </si>
  <si>
    <t>Вячеслав Сорокин: План изменен на РК-РД-2-КМ2.1.10-010-01</t>
  </si>
  <si>
    <t>Приемка работ по натяжению высокопрочных болтов металлоконструкций кровли блока 2.2 в/о Г-Е/15-18 узел 124,125,286,281</t>
  </si>
  <si>
    <t>Вячеслав Сорокин: Заголовок изменен на Приемка работ по натяжению высокопрочных болтов металлоконструкций кровли блока 2.2 в/о Г-Е/15-18 узел 124,125,286,281</t>
  </si>
  <si>
    <t>Приемка работ по натяжению высокопрочных болтов  металлоконструкции кровли Блока 1 в/о У-Ш/1/Б-2/Б.</t>
  </si>
  <si>
    <t>Вячеслав Сорокин: Заголовок изменен на Приемка работ по натяжению высокопрочных болтов  металлоконструкции кровли Блока 1 в/о У-Ш/1/Б-2/Б.</t>
  </si>
  <si>
    <t>Вячеслав Сорокин: Изменена дата начала на 16.11.2019</t>
  </si>
  <si>
    <t>Пароизоляция. Монтаж клип-опор</t>
  </si>
  <si>
    <t>РК-РД-2-АР09.7-09-04</t>
  </si>
  <si>
    <t>Фальцевая кровля</t>
  </si>
  <si>
    <t>Вячеслав Сорокин: Заголовок изменен на Пароизоляция. Монтаж клип</t>
  </si>
  <si>
    <t>Вячеслав Сорокин: Заголовок изменен на Пароизоляция. Монтаж клипопор</t>
  </si>
  <si>
    <t>Вячеслав Сорокин: Заголовок изменен на Пароизоляция. Монтаж клип-опор</t>
  </si>
  <si>
    <t>Освидетельствование работ по натяжению высокопрочных болтов металлоконструкции кровли блока 2.2 узел 281/1,285</t>
  </si>
  <si>
    <t>Yes: 2.2 Смещение осей колонн и опор относительно разбивочных осей в опорном сечении не более 5 мм. (ВСО) - 2019-11-19</t>
  </si>
  <si>
    <t>Yes: 2.3 Отклонение осей колонн от вертикали в верхнем сечении: при длине колонн от 4000 до 8000 мм - не более 10 мм; при длине колонн от 8000 до 16000 мм - не более 12 мм. (ВСО) - 2019-11-19</t>
  </si>
  <si>
    <t>Yes: 2.4 Стрела прогиба (кривизна) конструкции между точками закрепления не более 15 мм (ВСО) - 2019-11-19</t>
  </si>
  <si>
    <t>Yes: 2.6 Отклонений расстояний между прогонами не более 5 мм. от проектных (ВСО) - 2019-11-19</t>
  </si>
  <si>
    <t>Yes: 3.1 Момент затяжки обычных и высокопрочных болтов соответствует проекту. Зазоры в месте стыков отсутствуют (ВСО) - 2019-11-19</t>
  </si>
  <si>
    <t>Not set: 3.3 Выполнена окраска всех болтов и стыков в соответствии с проектом (КRE) - 2019-11-19</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</si>
  <si>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(ВСО) - 2019-11-19</t>
  </si>
  <si>
    <t>Yes: 5,1 Наличие записи в журнале производства работ (ВСО) - 2019-11-19</t>
  </si>
  <si>
    <t>Yes: 5,2 Наличие записи в журнале выполнения монтажных соединений на болтах с контролируемым натяжением (ВСО) - 2019-11-19</t>
  </si>
  <si>
    <t>Yes: 5,4 Наличие записи в журнале работ по монтажу строительных конструкций (ВСО) - 2019-11-19</t>
  </si>
  <si>
    <t>Yes: 5,7 Наличие исполнительной геодезической схемы положения конструкций (ВСО) - 2019-11-19</t>
  </si>
  <si>
    <t>Вячеслав Сорокин: Заголовок изменен на Освидетельствование работ по натяжению высокопрочных болтов металлоконструкции кровли блока 2.2 узел 281/1,285</t>
  </si>
  <si>
    <t>Освидетельствование работ по натяжению высокопрочных болтов металлоконструкции кровли блока 2.2 узел 117,129.</t>
  </si>
  <si>
    <t>Вячеслав Сорокин: Заголовок изменен на Освидетельствование работ по натяжению высокопрочных болтов металлоконструкции кровли блока 2.2 узел 117,129.</t>
  </si>
  <si>
    <t>Затяжка резьбовых соединений фермы в/о У-Ш/11-13.</t>
  </si>
  <si>
    <t>Вячеслав Сорокин: Заголовок изменен на Затяжка резьбовых соединений фермы в/о У-Ш/11-13.</t>
  </si>
  <si>
    <t>Вячеслав Сорокин: Дата начала изменена на 9 января 2020 г.</t>
  </si>
  <si>
    <t>Гидроизоляция лотков кровли ETFE №21,22,23,24,25 в/о 24-27/7/Б-10/Б.</t>
  </si>
  <si>
    <t xml:space="preserve">Вячеслав Сорокин: Заголовок изменен на Гидроизоляция лотков </t>
  </si>
  <si>
    <t>Вячеслав Сорокин: Изменена дата начала на 06.02.2020</t>
  </si>
  <si>
    <t>Вячеслав Сорокин: Изменена дата завершения на 07.02.2020</t>
  </si>
  <si>
    <t>Вячеслав Сорокин: Заголовок изменен на Гидроизоляция лотков кровли ETFE №21,22,23,24,25 в/о 24-27/7/Б-10/Б.</t>
  </si>
  <si>
    <t>Антикоррозийная защита болтовых соединений узел 716,244,31,30,139,140,141,133,134,144,715,15,151 отм. +62,850.</t>
  </si>
  <si>
    <t>Вячеслав Сорокин: Заголовок изменен на Окраска Соединения</t>
  </si>
  <si>
    <t>Вячеслав Сорокин: Заголовок изменен на Антикоррозийная</t>
  </si>
  <si>
    <t>Вячеслав Сорокин: Заголовок изменен на Антикоррозийная защита болтовых соединений узел 716,244,31,30,139,140,141,133,134,144,715,15,151 отм. +62,850.</t>
  </si>
  <si>
    <t>Теплоизоляция лотка кровли ETFE узел 15-113</t>
  </si>
  <si>
    <t>Вячеслав Сорокин: Заголовок изменен на Утеплитель лотка</t>
  </si>
  <si>
    <t>Вячеслав Сорокин: Заголовок изменен на Теплоизоляция лотка кровли ETFE узел 15-113</t>
  </si>
  <si>
    <t>Монтаж рельсов системы СОФ 1 в/о 10/Б-13/Б-М/21-34/1</t>
  </si>
  <si>
    <t>Вячеслав Сорокин: Заголовок изменен на Рельсы</t>
  </si>
  <si>
    <t>Вячеслав Сорокин: Заголовок изменен на Монтаж рельсов системы СОФ 1</t>
  </si>
  <si>
    <t>Вячеслав Сорокин: Заголовок изменен на Монтаж рельсов системы СОФ 1 в/о 10/Б-13/Б-М/21-34/1</t>
  </si>
  <si>
    <t>Монтаж несущих лотков узел 105-116</t>
  </si>
  <si>
    <t>Вячеслав Сорокин: Заголовок изменен на Монтаж лотка</t>
  </si>
  <si>
    <t>Вячеслав Сорокин: Заголовок изменен на Монтаж</t>
  </si>
  <si>
    <t>Вячеслав Сорокин: Заголовок изменен на Монтаж несущих лотков узел 105-116</t>
  </si>
  <si>
    <t>Монтаж конструкции лотков узел 131,133</t>
  </si>
  <si>
    <t>Вячеслав Сорокин: Заголовок изменен на Монтаж. Конструкции лотков</t>
  </si>
  <si>
    <t>Вячеслав Сорокин: Заголовок изменен на Монтаж конструкции лотков узел 131,133</t>
  </si>
  <si>
    <t>Вячеслав Сорокин: Дата начала изменена на 22 января 2020 г.</t>
  </si>
  <si>
    <t>#АУПТ.  Система АПТ L3.05. Трубопроводы</t>
  </si>
  <si>
    <t>#аупт._апт трубопроводы</t>
  </si>
  <si>
    <t>Yes: Диаметры трубопроводов соответствуют РД (КВА) - 2020-01-24</t>
  </si>
  <si>
    <t>No: Расположение спринклеров соответствует РД (КВА) - 2020-01-24</t>
  </si>
  <si>
    <t>Yes: В местах прохождения трубопроводов через стены установлены гильзы (КВА) - 2020-01-24</t>
  </si>
  <si>
    <t>Yes: Все соединения затянуты с соответствующем моментом затяжки. (КВА) - 2020-01-24</t>
  </si>
  <si>
    <t>Yes: Крепления трубопроводов устоновлены согласно СТО Мариоф на монтаж трубопроводов (КВА) - 2020-01-24</t>
  </si>
  <si>
    <t>Yes: Соблюдены минимальные расстояния между смежными сетями (КВА) - 2020-01-24</t>
  </si>
  <si>
    <t>Yes: Все изменения внесены в ИД и заверены АН (КВА) - 2020-01-24</t>
  </si>
  <si>
    <t>Yes: Марка и тип трубопроводов соответствует РД (КВА) - 2020-01-24</t>
  </si>
  <si>
    <t>Кирилл Васенков: Заголовок изменен на #АУПТ.  Система АПТ L3.05. Трубопроводы</t>
  </si>
  <si>
    <t>Кирилл Васенков: Не завершён монтаж участка фасадных спринклеров</t>
  </si>
  <si>
    <t>Кирилл Васенков: Изменена дата начала на 23.01.2020</t>
  </si>
  <si>
    <t>Yes: Диаметр трубопроводов соответствует РД (КВА) - 2020-02-05</t>
  </si>
  <si>
    <t>Yes: Расстановка насадок соответствует РД (КВА) - 2020-02-05</t>
  </si>
  <si>
    <t>No: Трассировка трубопроводов соответствует РД (КВА) - 2020-02-05</t>
  </si>
  <si>
    <t>No: Крепления установлены в соответствии с НТД и РД. (КВА) - 2020-02-05</t>
  </si>
  <si>
    <t>No: Все изменения внесены в ИД и согласованы. (КВА) - 2020-02-05</t>
  </si>
  <si>
    <t>Yes: Тип креплений соответствует РД. (КВА) - 2020-02-05</t>
  </si>
  <si>
    <t>Yes: Сварные соединения соответствует ГОСТу (КВА) - 2020-02-05</t>
  </si>
  <si>
    <t>Кирилл Васенков: Заголовок изменен на #гпт. Направление 44. Трубопроводы.</t>
  </si>
  <si>
    <t>Кирилл Васенков: Проверить на возможность прохода сквозь балку.</t>
  </si>
  <si>
    <t>Кирилл Васенков: согласно бим модели пройти можно.</t>
  </si>
  <si>
    <t>Газоходы ДГУ и ДДИБП</t>
  </si>
  <si>
    <t>Not set: Материал газоходов соответствует РД (КВА) - 2020-01-14</t>
  </si>
  <si>
    <t>Not set: Трассировка Газоходов соответствует РД (КВА) - 2020-01-14</t>
  </si>
  <si>
    <t>Not set: Все изменения согласованы АН (КВА) - 2020-01-14</t>
  </si>
  <si>
    <t>Not set: Опоры газоходов соответствуют РД (КВА) - 2020-01-14</t>
  </si>
  <si>
    <t>Not set: Сварные соединения соответствуют ГОСТ (КВА) - 2020-01-14</t>
  </si>
  <si>
    <t>Кирилл Васенков: Заголовок изменен на Газоходы ДГУ и ДДИБП</t>
  </si>
  <si>
    <t>ПНР. П5-3.3.</t>
  </si>
  <si>
    <t>Yes: 2,1. Произведен монтаж оборудования, успешно прошедшего входной контроль (КВА) - 2020-01-24</t>
  </si>
  <si>
    <t>Yes: 2,2. Закрепление оборудования выполнено в соответствии с проектом и рекомендациями производителя (КВА) - 2020-01-24</t>
  </si>
  <si>
    <t>Yes: 2,3. Выполнен весь комплекс пусконалодочных работ (КВА) - 2020-01-24</t>
  </si>
  <si>
    <t>Yes: 3,1. Места размещения  оборудования соответствуют проекту (КВА) - 2020-01-24</t>
  </si>
  <si>
    <t>Кирилл Васенков: Заголовок изменен на ПНР. П5-3.3.</t>
  </si>
  <si>
    <t>Кирилл Васенков: шум в сети воздуховодов.</t>
  </si>
  <si>
    <t>ПНР. П5-1.6</t>
  </si>
  <si>
    <t>Кирилл Васенков: Заголовок изменен на ПНР. П5-1.6</t>
  </si>
  <si>
    <t>ПНР. П4-2.5</t>
  </si>
  <si>
    <t>Кирилл Васенков: Заголовок изменен на ПНР. П4-2.5</t>
  </si>
  <si>
    <t>Кирилл Васенков: Шум в сети воздуховодов</t>
  </si>
  <si>
    <t>#АУПТ.  Система АПТ L2.03. Трубопроводы</t>
  </si>
  <si>
    <t>Yes: Расположение спринклеров соответствует РД (КВА) - 2020-01-24</t>
  </si>
  <si>
    <t>Кирилл Васенков: Заголовок изменен на #АУПТ. L</t>
  </si>
  <si>
    <t>Кирилл Васенков: Заголовок изменен на #АУПТ.  Система АПТ L2.03. Трубопроводы</t>
  </si>
  <si>
    <t>#ГПТ. Направление 30, Испытание трубопроводы, помещение 13.B1.1.048</t>
  </si>
  <si>
    <t>ГПТ направление 30, трубопроводы, помещение 13.B1.1.048</t>
  </si>
  <si>
    <t>Кирилл Васенков: Заголовок изменен на #ГПТ. Направление 30, Испытание трубопроводы, помещение 13.B1.1.048</t>
  </si>
  <si>
    <t>Кирилл Васенков: успешно</t>
  </si>
  <si>
    <t>#АУПТ. ВПВ В1.01. Промывка.</t>
  </si>
  <si>
    <t>#аупт.</t>
  </si>
  <si>
    <t>Yes: промывка произведена. Взвезей и масленных следав в воде не обнаружено. (КВА) - 2020-01-24</t>
  </si>
  <si>
    <t>Кирилл Васенков: Заголовок изменен на #АУПТ. ВПВ В1.01. Промывка.</t>
  </si>
  <si>
    <t>#ГПТ. Направление 41. Трубопроводы</t>
  </si>
  <si>
    <t>РК-РД-2-ПТ4.2.01-16-01</t>
  </si>
  <si>
    <t>#гпт. Направление 41. Испытание трубопроводов.</t>
  </si>
  <si>
    <t>Yes: Диаметр трубопроводов соответствует РД (КВА) - 2020-01-24</t>
  </si>
  <si>
    <t>Yes: Расстановка насадок соответствует РД (КВА) - 2020-01-24</t>
  </si>
  <si>
    <t>Yes: Трассировка трубопроводов соответствует РД (КВА) - 2020-01-24</t>
  </si>
  <si>
    <t>Yes: Крепления установлены в соответствии с НТД и РД. (КВА) - 2020-01-24</t>
  </si>
  <si>
    <t>Yes: Все изменения внесены в ИД и согласованы. (КВА) - 2020-01-24</t>
  </si>
  <si>
    <t>Yes: Тип креплений соответствует РД. (КВА) - 2020-01-24</t>
  </si>
  <si>
    <t>Yes: Сварные соединения соответствует ГОСТу (КВА) - 2020-01-24</t>
  </si>
  <si>
    <t>Кирилл Васенков: Заголовок изменен на #ГПТ. Направление 41. Трубопроводы</t>
  </si>
  <si>
    <t>ПНР.  П5-1.1./В5-1.1</t>
  </si>
  <si>
    <t>Yes: 2,3. Выполнен весь комплекс пусконалодочных работ (КВА) - 2019-12-19</t>
  </si>
  <si>
    <t>Yes: 3,1. Места размещения  оборудования соответствуют проекту (КВА) - 2019-12-19</t>
  </si>
  <si>
    <t>Кирилл Васенков: Заголовок изменен на ПНР.  П5-1.1./В5-1.1</t>
  </si>
  <si>
    <t>Кирилл Васенков: Изменена дата начала на 19.12.2019</t>
  </si>
  <si>
    <t>Кирилл Васенков: Стоимость изменена на 0 ALL</t>
  </si>
  <si>
    <t>ПНР. П5-3.4</t>
  </si>
  <si>
    <t>Yes: 2,1. Произведен монтаж оборудования, успешно прошедшего входной контроль (КВА) - 2020-01-28</t>
  </si>
  <si>
    <t>Yes: 2,2. Закрепление оборудования выполнено в соответствии с проектом и рекомендациями производителя (КВА) - 2020-01-28</t>
  </si>
  <si>
    <t>Yes: 2,3. Выполнен весь комплекс пусконалодочных работ (КВА) - 2020-01-28</t>
  </si>
  <si>
    <t>Yes: 3,1. Места размещения  оборудования соответствуют проекту (КВА) - 2020-01-28</t>
  </si>
  <si>
    <t>Кирилл Васенков: Заголовок изменен на ПНР. П5-3.4</t>
  </si>
  <si>
    <t>Кирилл Васенков: Изменена дата начала на 28.01.2020</t>
  </si>
  <si>
    <t>Кирилл Васенков: шум в распред сети</t>
  </si>
  <si>
    <t>ПНР. К2-3.3</t>
  </si>
  <si>
    <t>Кирилл Васенков: Заголовок изменен на ПНР. К2-3.3</t>
  </si>
  <si>
    <t>Кирилл Васенков: Изменена дата начала на 27.12.2019</t>
  </si>
  <si>
    <t>ПНР. П5-1.4</t>
  </si>
  <si>
    <t>Кирилл Васенков: Заголовок изменен на ПНР. П5-1.4</t>
  </si>
  <si>
    <t>ПНР. П3-1</t>
  </si>
  <si>
    <t>п13.1_монтаж технологического оборудования</t>
  </si>
  <si>
    <t>Кирилл Васенков: Заголовок изменен на ПНР. П3-1</t>
  </si>
  <si>
    <t>ПНР. П4-2.2</t>
  </si>
  <si>
    <t>Кирилл Васенков: Заголовок изменен на ПНР. П4-2.2</t>
  </si>
  <si>
    <t>Кирилл Васенков: Рабочая сила изменена на 0 man-hours</t>
  </si>
  <si>
    <t>ПНР. П5-1.3</t>
  </si>
  <si>
    <t>Кирилл Васенков: Заголовок изменен на ПНР. П5-1.3</t>
  </si>
  <si>
    <t>Yes: оборудование установлено согласно РД (КВА) - 2020-01-29</t>
  </si>
  <si>
    <t>Yes: воздуховоды смонтированы согласно РД (КВА) - 2020-01-29</t>
  </si>
  <si>
    <t>Yes: изоляция на воздуховодах соотвествует РД и смонтирована согласно ТР. (КВА) - 2020-01-29</t>
  </si>
  <si>
    <t>Yes: Крепления установлены согласно РД и нормативам. (КВА) - 2020-01-29</t>
  </si>
  <si>
    <t>Yes: соблюдены минимальные расстояния между смежными сетями (КВА) - 2020-01-29</t>
  </si>
  <si>
    <t>Yes: оборудование и состовляющие установлены согласно РД (КВА) - 2020-01-29</t>
  </si>
  <si>
    <t>Кирилл Васенков: Заголовок изменен на Вентиляция. Венткамера 13.L5.3.001</t>
  </si>
  <si>
    <t>Кирилл Васенков: Изменена дата завершения на 03.02.2020</t>
  </si>
  <si>
    <t>ПНР. П2-5/В2-5</t>
  </si>
  <si>
    <t>Кирилл Васенков: Заголовок изменен на ПНР. П5-1.2</t>
  </si>
  <si>
    <t>Кирилл Васенков: Заголовок изменен на ПНР. П2-5/В2-5</t>
  </si>
  <si>
    <t>Кирилл Васенков: Изменена дата завершения на 27.12.2019</t>
  </si>
  <si>
    <t>РК-РД-1-ПТ4.2.01-34-04</t>
  </si>
  <si>
    <t>Yes: материал трубопроводов соответствует РД (КВА) - 2020-01-09</t>
  </si>
  <si>
    <t>Yes: изменение трассировки трубопроводов внесены в ИД (КВА) - 2020-01-09</t>
  </si>
  <si>
    <t>Yes: сварные швы соответсвтуют требованиям ГОСТ (КВА) - 2020-01-09</t>
  </si>
  <si>
    <t>Yes: расстановка креплений соответствует РД (КВА) - 2020-01-09</t>
  </si>
  <si>
    <t>Yes: соблюдены все минимальные расстояния между смежными сетями (КВА) - 2020-01-09</t>
  </si>
  <si>
    <t>Кирилл Васенков: Заголовок изменен на ГПТ направление 30</t>
  </si>
  <si>
    <t>Кирилл Васенков: Заголовок изменен на ГПТ направление 30, помещение 13.B1.1.048</t>
  </si>
  <si>
    <t>Кирилл Васенков: Заголовок изменен на ГПТ направление 30, трубопроводы, помещение 13.B1.1.048</t>
  </si>
  <si>
    <t>Кирилл Васенков: Изменена дата начала на 17.01.2020</t>
  </si>
  <si>
    <t>#ГПТ. Направление 42. Испытание трубопроводов.</t>
  </si>
  <si>
    <t>Кирилл Васенков: Заголовок изменен на #ГПТ. Направление 42. Испытание трубопроводов.</t>
  </si>
  <si>
    <t>Кирилл Васенков: Успешно</t>
  </si>
  <si>
    <t>Кирилл Васенков: План изменен на РК-РД-2-ПТ4.2.01-17-01</t>
  </si>
  <si>
    <t>#АУПТ. Система АПТ. L2.01. Трубопроводы.</t>
  </si>
  <si>
    <t>Yes: Диаметры трубопроводов соответствуют РД (КВА) - 2020-02-05</t>
  </si>
  <si>
    <t>Yes: Расположение спринклеров соответствует РД (КВА) - 2020-02-05</t>
  </si>
  <si>
    <t>Yes: В местах прохождения трубопроводов через стены установлены гильзы (КВА) - 2020-02-05</t>
  </si>
  <si>
    <t>Yes: Все соединения затянуты с соответствующем моментом затяжки. (КВА) - 2020-02-05</t>
  </si>
  <si>
    <t>Yes: Крепления трубопроводов устоновлены согласно СТО Мариоф на монтаж трубопроводов (КВА) - 2020-02-05</t>
  </si>
  <si>
    <t>Yes: Соблюдены минимальные расстояния между смежными сетями (КВА) - 2020-02-05</t>
  </si>
  <si>
    <t>Yes: Все изменения внесены в ИД и заверены АН (КВА) - 2020-02-05</t>
  </si>
  <si>
    <t>Yes: Марка и тип трубопроводов соответствует РД (КВА) - 2020-02-05</t>
  </si>
  <si>
    <t>Кирилл Васенков: Заголовок изменен на #АУПТ. АПТ. L2.01. Трубопроводы.</t>
  </si>
  <si>
    <t>Кирилл Васенков: Изменена дата начала на 04.02.2020</t>
  </si>
  <si>
    <t>Кирилл Васенков: Заголовок изменен на #АУПТ. Система АПТ. L2.01. Трубопроводы.</t>
  </si>
  <si>
    <t>Кирилл Васенков: Заголовок изменен на #гпт. Испытание. Направление 41</t>
  </si>
  <si>
    <t>Кирилл Васенков: Заголовок изменен на #гпт. Испытание трубопроводов. Направление 41</t>
  </si>
  <si>
    <t>Кирилл Васенков: Успешно.</t>
  </si>
  <si>
    <t>Кирилл Васенков: Заголовок изменен на #гпт. Направление 41. Испытание трубопроводов.</t>
  </si>
  <si>
    <t>#гпт. Направление 39. Трубопроводы</t>
  </si>
  <si>
    <t>РК-РД-2-ПТ4.2.01-14-01</t>
  </si>
  <si>
    <t>#гпт. Направление 39. Испытание Трубопроводов</t>
  </si>
  <si>
    <t>Yes: Трассировка трубопроводов соответствует РД (КВА) - 2020-02-05</t>
  </si>
  <si>
    <t>Yes: Крепления установлены в соответствии с НТД и РД. (КВА) - 2020-02-05</t>
  </si>
  <si>
    <t>Yes: Все изменения внесены в ИД и согласованы. (КВА) - 2020-02-05</t>
  </si>
  <si>
    <t>Кирилл Васенков: Заголовок изменен на #гпт. Направление 39. Трубопроводы</t>
  </si>
  <si>
    <t>Кирилл Васенков: Удаленный комментарий - "Ок."</t>
  </si>
  <si>
    <t>Кирилл Васенков: Заголовок изменен на #гпт. Направление 33. Испытания трубопроводов</t>
  </si>
  <si>
    <t>Кирилл Васенков: Дата начала изменена на февр. 5, 2020</t>
  </si>
  <si>
    <t>Кирилл Васенков: Заголовок изменен на #гпт. Направление 39. Испытание Трубопроводов</t>
  </si>
  <si>
    <t>#гпт. Направление 40. Трубопроводы.</t>
  </si>
  <si>
    <t>РК-РД-2-ПТ4.2.01-15-01</t>
  </si>
  <si>
    <t>#гпт. Направление 40. Испытание трубопроводов.</t>
  </si>
  <si>
    <t>Кирилл Васенков: Заголовок изменен на #гпт. Направление 40. Трубопроводы.</t>
  </si>
  <si>
    <t>Кирилл Васенков: Удаленный комментарий - "Монтаж ок."</t>
  </si>
  <si>
    <t>#гпт. Направление 43. Трубопроводы</t>
  </si>
  <si>
    <t>РК-РД-2-ПТ4.2.01-18-01</t>
  </si>
  <si>
    <t>#гпт. Направление 43. Испытание трубопроводов.</t>
  </si>
  <si>
    <t>Кирилл Васенков: Заголовок изменен на #гпт. Направление 43. Трубопроводы</t>
  </si>
  <si>
    <t>Кирилл Васенков: Удаленный комментарий - "Монтаж ок"</t>
  </si>
  <si>
    <t>Кирилл Васенков: Заголовок изменен на #гпт. Направление 40. Испытание трубопроводов.</t>
  </si>
  <si>
    <t>#гпт. Направление 35. Трубопроводы.</t>
  </si>
  <si>
    <t>РК-РД-2-ПТ4.2.01-10-01</t>
  </si>
  <si>
    <t>#гпт. Направление 35. Испытание трубопроводов.</t>
  </si>
  <si>
    <t>Кирилл Васенков: Заголовок изменен на #гпт. Направление 35. Трубопроводы.</t>
  </si>
  <si>
    <t>Кирилл Васенков: Заголовок изменен на #гпт. Направление 43. Испытание трубопроводов.</t>
  </si>
  <si>
    <t>Кирилл Васенков: Заголовок изменен на #гпт. Направление 35. Испытание трубопроводов.</t>
  </si>
  <si>
    <t>#АУПТ. ВПВ L2.01. Промывка.</t>
  </si>
  <si>
    <t>Yes: Промывка произведена. Взвесей, осадка и масленной пленки не обнаружено. (КВА) - 2020-02-06</t>
  </si>
  <si>
    <t>Кирилл Васенков: Заголовок изменен на #АУПТ. ВПВ L2.01</t>
  </si>
  <si>
    <t>Кирилл Васенков: Заголовок изменен на #АУПТ. ВПВ L2.01. Промывка.</t>
  </si>
  <si>
    <t>Кирилл Васенков: Заголовок изменен на #гпт. Направление 38. Испытание трубопроводов.</t>
  </si>
  <si>
    <t>Кирилл Васенков: Без подтверждения монтажа.</t>
  </si>
  <si>
    <t>Кирилл Васенков: Замечание 1042.</t>
  </si>
  <si>
    <t>Кирилл Васенков: Отклонения от РД согласованы</t>
  </si>
  <si>
    <t>Кирилл Васенков: Заголовок изменен на #ГПТ. Направление 38. Трубопроводы.</t>
  </si>
  <si>
    <t>13.L4.1.011</t>
  </si>
  <si>
    <t>Кирилл Васенков: Заголовок изменен на #ГПТ. Направление 42.</t>
  </si>
  <si>
    <t>Кирилл Васенков: Заголовок изменен на #ГПТ. Направление 42. Трубопроводы.</t>
  </si>
  <si>
    <t>Кирилл Васенков: Местоположение изменено на 13.L4.1.011</t>
  </si>
  <si>
    <t>#АУПТ.  АПТ L2.01. Промывка трубопроводов.</t>
  </si>
  <si>
    <t>Yes: Промывка произведена. Взвесей, осадка и масленной пленки не обнаружено (КВА) - 2020-02-06</t>
  </si>
  <si>
    <t>Кирилл Васенков: Заголовок изменен на #АУПТ. L2.01</t>
  </si>
  <si>
    <t>Кирилл Васенков: Заголовок изменен на #АУПТ.  АПТ L2.01</t>
  </si>
  <si>
    <t>Кирилл Васенков: Заголовок изменен на #АУПТ.  АПТ L2.01. Промывка трубопроводов.</t>
  </si>
  <si>
    <t>Yes: Диаметры трубопроводов соответствуют РД (КВА) - 2020-01-16</t>
  </si>
  <si>
    <t>Yes: Расстановка и типы  креплений соответствует РД (КВА) - 2020-01-16</t>
  </si>
  <si>
    <t>Yes: Сварные соединения соответствуют требованиям ГОСТ (КВА) - 2020-01-16</t>
  </si>
  <si>
    <t>Yes: Трассировка трубопроводов соответствует РД (КВА) - 2020-01-16</t>
  </si>
  <si>
    <t>Кирилл Васенков: Заголовок изменен на Участок Трубопроводов СТВ 3-1 И СХВ3-1</t>
  </si>
  <si>
    <t>Кирилл Васенков: Дата окончания изменена на янв. 28, 2020</t>
  </si>
  <si>
    <t>ПНР П5-1.2</t>
  </si>
  <si>
    <t>Кирилл Васенков: Заголовок изменен на ПНР П5-1.2</t>
  </si>
  <si>
    <t>Кирилл Васенков: Удаленный комментарий - "Вентситема П5-1.2"</t>
  </si>
  <si>
    <t># АУПТ. АПТ L1.05. Трубопроводы</t>
  </si>
  <si>
    <t>РК-РД-2-ПТ4.1.03-03.00-03</t>
  </si>
  <si>
    <t>Yes: Диаметры трубопроводов соответствуют РД (КВА) - 2020-01-22</t>
  </si>
  <si>
    <t>Yes: Расположение спринклеров соответствует РД (КВА) - 2020-01-22</t>
  </si>
  <si>
    <t>Yes: В местах прохождения трубопроводов через стены установлены гильзы (КВА) - 2020-01-22</t>
  </si>
  <si>
    <t>Yes: Все соединения затянуты с соответствующем моментом затяжки. (КВА) - 2020-01-22</t>
  </si>
  <si>
    <t>Yes: Крепления трубопроводов устоновлены согласно СТО Мариоф на монтаж трубопроводов (КВА) - 2020-01-22</t>
  </si>
  <si>
    <t>Yes: Соблюдены минимальные расстояния между смежными сетями (КВА) - 2020-01-22</t>
  </si>
  <si>
    <t>Yes: Все изменения внесены в ИД и заверены АН (КВА) - 2020-01-22</t>
  </si>
  <si>
    <t>Yes: Марка и тип трубопроводов соответствует РД (КВА) - 2020-01-22</t>
  </si>
  <si>
    <t>Кирилл Васенков: Заголовок изменен на # АУПТ. АПТ L1.05</t>
  </si>
  <si>
    <t>Кирилл Васенков: Изменена дата начала на 22.01.2020</t>
  </si>
  <si>
    <t>Кирилл Васенков: Заголовок изменен на # АУПТ. АПТ L1.05. Трубопроводы</t>
  </si>
  <si>
    <t># АУПТ. Система АПТ L1.03</t>
  </si>
  <si>
    <t>Кирилл Васенков: Заголовок изменен на # АУПТ. Система АПТ L1.03</t>
  </si>
  <si>
    <t>ПНР. К2-3.4</t>
  </si>
  <si>
    <t>Кирилл Васенков: Заголовок изменен на ПНР. П5-3.2</t>
  </si>
  <si>
    <t>Кирилл Васенков: присутствует шум в сети воздуховодов</t>
  </si>
  <si>
    <t>Кирилл Васенков: Заголовок изменен на ПНР. К2-3.4</t>
  </si>
  <si>
    <t>Плитка лк ядро 4</t>
  </si>
  <si>
    <t>Вячеслав Сорокин: Заголовок изменен на Плитка лк</t>
  </si>
  <si>
    <t>Вячеслав Сорокин: Изменена дата начала на 24.01.2020</t>
  </si>
  <si>
    <t>Вячеслав Сорокин: Изменена дата завершения на 05.02.2020</t>
  </si>
  <si>
    <t>Вячеслав Сорокин: Сменить ответственное лицо на Отделка Renaissance Construction</t>
  </si>
  <si>
    <t>Вячеслав Сорокин: Заголовок изменен на Плитка лк ядро 4</t>
  </si>
  <si>
    <t xml:space="preserve">Плитка 07.L2.2.036, 07.L2.2.037, 07.L2.2.038, 07.L3.1.063, 07.L3.1.062 </t>
  </si>
  <si>
    <t>Вячеслав Сорокин: Заголовок изменен на Плитка</t>
  </si>
  <si>
    <t>Вячеслав Сорокин: Дата начала изменена на 31 января 2020 г.</t>
  </si>
  <si>
    <t>Вячеслав Сорокин: Заголовок изменен на Плитка 07.L2.2.036</t>
  </si>
  <si>
    <t>Вячеслав Сорокин: Заголовок изменен на Плитка 07.L2.2.036, 07L2.2.037</t>
  </si>
  <si>
    <t>Вячеслав Сорокин: Заголовок изменен на Плитка 07.L2.2.036, 07.L2.2.037, 07.L2.2.038</t>
  </si>
  <si>
    <t xml:space="preserve">Вячеслав Сорокин: Заголовок изменен на Плитка 07.L2.2.036, 07.L2.2.037, 07.L2.2.038, 07.L3.1.063, 07.L3.1.062 </t>
  </si>
  <si>
    <t>Устройство плитки пола, стен</t>
  </si>
  <si>
    <t>Александр Светашов: Устройство плитки пола, стен</t>
  </si>
  <si>
    <t xml:space="preserve">Устройство фальшполов МЭРО   </t>
  </si>
  <si>
    <t xml:space="preserve">Александр Светашов: Устройство фальшполов МЭРО   </t>
  </si>
  <si>
    <t>Плитка стен, пола</t>
  </si>
  <si>
    <t>Александр Светашов: Плитка стен, пола</t>
  </si>
  <si>
    <t xml:space="preserve">Наливной эпоксидный пол    </t>
  </si>
  <si>
    <t xml:space="preserve">Александр Светашов: Наливной эпоксидный пол    </t>
  </si>
  <si>
    <t>Гипсокартон не перегородки</t>
  </si>
  <si>
    <t>Not set: Устройство каркаса, звукоизоляция (АСВ) - 2019-11-26</t>
  </si>
  <si>
    <t>Александр Светашов: Гипсокартон не перегородки</t>
  </si>
  <si>
    <t>Александр Светашов: Дата начала изменена на нояб. 26, 2019</t>
  </si>
  <si>
    <t>Противопожарные двери L1 and L2. (согласно приложенному   реестру.)</t>
  </si>
  <si>
    <t>Вячеслав Сорокин: Заголовок изменен на Дверь</t>
  </si>
  <si>
    <t>Вячеслав Сорокин: Заголовок изменен на Противопожарные двери. (согласно приложенному   реестру.)</t>
  </si>
  <si>
    <t>Вячеслав Сорокин: Заголовок изменен на Противопожарные двери L1 and L2. (согласно приложенному   реестру.)</t>
  </si>
  <si>
    <t>Монтаж фальшполов на B1 and B2.</t>
  </si>
  <si>
    <t>Вячеслав Сорокин: Заголовок изменен на Монтаж фальшполов на B1 and B2.</t>
  </si>
  <si>
    <t>Плитка стен</t>
  </si>
  <si>
    <t>Not set: Плитка стена, пол (АСВ) - 2019-11-26</t>
  </si>
  <si>
    <t>Александр Светашов: Плитка стен</t>
  </si>
  <si>
    <t xml:space="preserve">Гипсокартон не перегородки </t>
  </si>
  <si>
    <t>Not set: Каркас, гипсокартон, звукоизоляция (АСВ) - 2019-11-26</t>
  </si>
  <si>
    <t xml:space="preserve">Александр Светашов: Гипсокартон не перегородки </t>
  </si>
  <si>
    <t xml:space="preserve">Наливной эпоксидный пол  </t>
  </si>
  <si>
    <t>Not set: Чистота основания, устройство второго слоя (АСВ) - 2019-11-27</t>
  </si>
  <si>
    <t xml:space="preserve">Александр Светашов: Наливной эпоксидный пол  </t>
  </si>
  <si>
    <t>Александр Светашов: Дата начала изменена на янв. 27, 2020</t>
  </si>
  <si>
    <t>Yes: Финишное покрытие пола (АСВ) - 2019-12-03</t>
  </si>
  <si>
    <t>Наливной самовыравнивающий пол Sika level</t>
  </si>
  <si>
    <t>Александр Светашов: Наливной самовыравнивающий пол Sika level</t>
  </si>
  <si>
    <t>Гидроизоляция кровли</t>
  </si>
  <si>
    <t>Not set: Гидроизоляция, экп слой (АСВ) - 2019-12-03</t>
  </si>
  <si>
    <t>Александр Светашов: Гидроизоляция кровли</t>
  </si>
  <si>
    <t>Yes: Чистота основания (АСВ) - 2019-11-21</t>
  </si>
  <si>
    <t>Not set: Чистота основания, 4 слой (АСВ) - 2019-11-20</t>
  </si>
  <si>
    <t>Александр Светашов: Ответственное лицо замещено Вячеслав Сорокин</t>
  </si>
  <si>
    <t>Устройство покрытия кровли</t>
  </si>
  <si>
    <t>Not set: Устройство арматурной сетки стяжки кровли (АСВ) - 2019-12-03</t>
  </si>
  <si>
    <t>Александр Светашов: Устройство покрытия кровли</t>
  </si>
  <si>
    <t>Монтаж противопожарных дверей  L1-072, L1-098, L1-102, L1-153, L1-183,L1-189,L1-212,L1-216,L1-238, L1-248, L1-284, L1-286, L1-296.</t>
  </si>
  <si>
    <t>Вячеслав Сорокин: Заголовок изменен на Монтаж противопожарных дверей  L1-072, L1-098, L1-102, L1-153, L1-183,L1-189,L1-212,L1-216,L1-238, L1-248, L1-284, L1-286, L1-296.</t>
  </si>
  <si>
    <t>Устройство гидроизоляционного ковра ЭПП в/о 20-21  L4   блок В1; L8 bL9 блок А1.</t>
  </si>
  <si>
    <t>п7.1_устройство кровли</t>
  </si>
  <si>
    <t>Yes: 2,1. Устройство кровли выполнено в соответствии с проектом (ВСО) - 2020-01-03</t>
  </si>
  <si>
    <t>Yes: 2,2. При устройстве кровли использовались материалы, прошедшие входной контроль (ВСО) - 2020-01-03</t>
  </si>
  <si>
    <t>Yes: 2,3. При устройстве кровли использовались материалы, прошедшие входной контроль (ВСО) - 2020-01-03</t>
  </si>
  <si>
    <t>Yes: 2,4. Отвод воды осуществляется по всей поверхности кровли по наружным и внутренним водостокам без застоя воды (ВСО) - 2020-01-03</t>
  </si>
  <si>
    <t>Yes: 2,5. На кровле отсутствуют пузыри, вздутия, воздушные мешки, разрывы, вмятины, проколы, потёки и наплывы покрытия (ВСО) - 2020-01-03</t>
  </si>
  <si>
    <t>Yes: 2,6. Понижения в зоне водоприемных воронок соответствуют проекту (ВСО) - 2020-01-03</t>
  </si>
  <si>
    <t>Yes: 2,7. Чаши водоприёмных воронок внутренних водостоков не выступают над поверхностью кровли (ВСО) - 2020-01-03</t>
  </si>
  <si>
    <t>Yes: 2,8. Отслаивания кровельного ковра в местах сопряжения с выступающими конструкциями кровли и инженерным оборудованием отсутствуют (ВСО) - 2020-01-03</t>
  </si>
  <si>
    <t>Yes: 3,1. Предельные отклонения в положении элементов кровли не превышают нормативных  (ВСО) - 2020-01-03</t>
  </si>
  <si>
    <t>N/A: 4,1. Наличие актов освидетельствования скрытых работ (ВСО) - 2020-01-03</t>
  </si>
  <si>
    <t>N/A: 4,2. Наличие и корректность исполнительной геодезической схемы (ВСО) - 2020-01-03</t>
  </si>
  <si>
    <t>Yes: 4,3. Наличие записей в журналах работ (ВСО) - 2020-01-03</t>
  </si>
  <si>
    <t>No: 4,4. Наличие гарантийного паспорта на кровлю (ВСО) - 2020-01-03</t>
  </si>
  <si>
    <t>Yes: Нормативная документация: СП 17.13330.2010 «Кровли»;СП 71.13330.2011. «Изоляционные и отделочные покрытия»; ГОСТ Р 51872-2002 «Документация исполнительная геодезическая.»;СП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(ВСО) - 2020-01-03</t>
  </si>
  <si>
    <t>Вячеслав Сорокин: Заголовок изменен на Устройство гидроизоляционного ковра ЭПП в/о 20-21  L4   блок В1; L8 bL9 блок А1.</t>
  </si>
  <si>
    <t>Наливной эпоксидный пол  Эпоксидный</t>
  </si>
  <si>
    <t>Александр Светашов: Наливной эпоксидный пол  Эпоксидный</t>
  </si>
  <si>
    <t xml:space="preserve">Наливной эпоксидный пол   </t>
  </si>
  <si>
    <t xml:space="preserve">Александр Светашов: Наливной эпоксидный пол   </t>
  </si>
  <si>
    <t>Not set: Чистота основания (АСВ) - 2019-11-19</t>
  </si>
  <si>
    <t>Not set: Устройство изоляции кровли, воронки (АСВ) - 2019-11-19</t>
  </si>
  <si>
    <t>Наливной эпоксидный пол</t>
  </si>
  <si>
    <t>Not set: Чистота покрытия под основание, ремонт (АСВ) - 2019-11-19</t>
  </si>
  <si>
    <t>Александр Светашов: Наливной эпоксидный пол</t>
  </si>
  <si>
    <t>ограждения лестниц</t>
  </si>
  <si>
    <t>ограждения</t>
  </si>
  <si>
    <t>Not set: Ограждения ЛК 3.1 (АСВ) - 2019-11-19</t>
  </si>
  <si>
    <t>Александр Светашов: #ограждения</t>
  </si>
  <si>
    <t>Александр Светашов: Заголовок изменен на ограждения лестниц</t>
  </si>
  <si>
    <t>Двери L5-037</t>
  </si>
  <si>
    <t>Вячеслав Сорокин: Заголовок изменен на Двери L5-037</t>
  </si>
  <si>
    <t>Пескоулавливатели в помещениях моек, гидроизоляция</t>
  </si>
  <si>
    <t>Александр Светашов: Пескоулавливатели в помещениях моек, гидроизоляция</t>
  </si>
  <si>
    <t>Монтаж секционного пола 14.В2.2.010, 13.L2.3.001, 13.L3.2.29, 13.L3.2.05, 13.L3.1.013, 13.L3.1.012, 13.L3.1.014.</t>
  </si>
  <si>
    <t>Вячеслав Сорокин: Заголовок изменен на Монтаж секционного пола 14.В2.2.010, 13.L2.3.001, 13.L3.2.29, 13.L3.2.05, 13.L3.1.013, 13.L3.1.012, 13.L3.1.014.</t>
  </si>
  <si>
    <t>Вячеслав Сорокин: Изменена дата начала на 13.01.2020</t>
  </si>
  <si>
    <t>Вячеслав Сорокин: Изменена дата завершения на 14.01.2020</t>
  </si>
  <si>
    <t>Укладка плитки (пол и стены) пом. 07.L1.3.019, 09.L1.3.001, 09.L2.2.003, Каркас потолка Армстронг пом. 09.В1.3.005</t>
  </si>
  <si>
    <t>Антон Федоров: Заголовок изменен на Укладка плитки (пол и стены) пом. 07.L1.3.019, 09.</t>
  </si>
  <si>
    <t>Антон Федоров: Заголовок изменен на Укладка плитки (пол и стены) пом. 07.L1.3.019, 09.L1.3.001</t>
  </si>
  <si>
    <t>Антон Федоров: Заголовок изменен на Укладка плитки (пол и стены) пом. 07.L1.3.019, 09.L1.3.001, 09.L2.2.003, Каркас потолка Армстронг пом. 09.В1.3.005</t>
  </si>
  <si>
    <t>Покрытие пола ЦСП</t>
  </si>
  <si>
    <t>Александр Светашов: Покрытие пола ЦСП</t>
  </si>
  <si>
    <t xml:space="preserve">Покрытие пола ЦСП </t>
  </si>
  <si>
    <t xml:space="preserve">Александр Светашов: Покрытие пола ЦСП </t>
  </si>
  <si>
    <t>Монтаж противопожарных дверей L1-200, L1-188, L1-075,L-288, L1-052, L2-025,L2-031, L3-022, L3-028, L3-045,L3-044, L3-040</t>
  </si>
  <si>
    <t>Вячеслав Сорокин: Заголовок изменен на Двери L1-200,</t>
  </si>
  <si>
    <t>Вячеслав Сорокин: Заголовок изменен на Двери L1-200, L1-188,</t>
  </si>
  <si>
    <t>Вячеслав Сорокин: Заголовок изменен на Двери L1-200, L1-188, L1-075</t>
  </si>
  <si>
    <t>Вячеслав Сорокин: Заголовок изменен на Двери L1-200, L1-188, L1-075,L-288</t>
  </si>
  <si>
    <t>Вячеслав Сорокин: Заголовок изменен на Двери L1-200, L1-188, L1-075,L-288, L1-052</t>
  </si>
  <si>
    <t>Вячеслав Сорокин: Заголовок изменен на Двери L1-200, L1-188, L1-075,L-288, L1-052, L2-025</t>
  </si>
  <si>
    <t>Вячеслав Сорокин: Заголовок изменен на Двери L1-200, L1-188, L1-075,L-288, L1-052, L2-025,L2-031</t>
  </si>
  <si>
    <t>Вячеслав Сорокин: Заголовок изменен на Двери L1-200, L1-188, L1-075,L-288, L1-052, L2-025,L2-031, L3-022</t>
  </si>
  <si>
    <t>Вячеслав Сорокин: Заголовок изменен на Монтаж противопожарных дверей L1-200, L1-188, L1-075,L-288, L1-052, L2-025,L2-031, L3-022, L3-028</t>
  </si>
  <si>
    <t>Вячеслав Сорокин: Заголовок изменен на Монтаж противопожарных дверей L1-200, L1-188, L1-075,L-288, L1-052, L2-025,L2-031, L3-022, L3-028, L3-045,L3-044, L3-040</t>
  </si>
  <si>
    <t>Лестница Крм-2</t>
  </si>
  <si>
    <t>Святослав Грохольский: Заголовок изменен на Лестница Крм-2</t>
  </si>
  <si>
    <t>Святослав Грохольский: Армирование, опалубка, чистота.  Бетонирование разрешено.
Лестницы Крм-2, в осях 21-22 / 1/Б, отметки -4.350/-1.460</t>
  </si>
  <si>
    <t>Затяжка ВПБ</t>
  </si>
  <si>
    <t>Святослав Грохольский: Изменена дата начала на 20.11.2019</t>
  </si>
  <si>
    <t>Святослав Грохольский: Заголовок изменен на Затяжка ВПБ</t>
  </si>
  <si>
    <t>Святослав Грохольский: Блок 1 (усм), узлы кровли №208;224;233;234;235;238;239; 518;523;525.   Блок 2.2 (лм), узлы кровли №300;125-131;134-136;140;458.</t>
  </si>
  <si>
    <t>Святослав Грохольский: Редактированный комментарий - "Блок 1 (усм), узлы к..."</t>
  </si>
  <si>
    <t>Святослав Грохольский: Кровля внутреннего двора в/о 26-29 между блоками А3 и Б2, узлы №163;164;167;168;169-172;180-182;186;187;189;190;198;215;199;200;203-212;216-218;222-227;233-236;239;240;242;243.</t>
  </si>
  <si>
    <t>Герметизация и окраска монтажных стыков</t>
  </si>
  <si>
    <t>Святослав Грохольский: Заголовок изменен на Герметизация и окраска монтажных стыков</t>
  </si>
  <si>
    <t>Святослав Грохольский: Блок 2.2, прогоны №98;115;118;119;122;123;132;133;137;138;139.</t>
  </si>
  <si>
    <t>Святослав Грохольский: Заголовок изменен на Монтаж фасадных панелей</t>
  </si>
  <si>
    <t>Святослав Грохольский: ТИП-5 в осях 5-6/1 вдоль оси 4/А, 
между отм.+37.770 /+41.970. ( 5 штук )</t>
  </si>
  <si>
    <t>Святослав Грохольский: Редактированный комментарий - "ТИП-5 в осях 5-6/1 в..."</t>
  </si>
  <si>
    <t>Святослав Грохольский: ТИП-2 в осях В-Г вдоль оси 6/1, 
между отм.+37.770 /+41.970. ( 2 штуки )</t>
  </si>
  <si>
    <t>Святослав Грохольский: ТИП-5 в осях 6-7 вдоль оси 4/А,
между отм.+37.770 /+41.970.  ( 1 штука )</t>
  </si>
  <si>
    <t>Мостовой переход (армирование и опалубка)</t>
  </si>
  <si>
    <t>Святослав Грохольский: Заголовок изменен на Мостовой переход (армирование и опалубка)</t>
  </si>
  <si>
    <t>Святослав Грохольский: Блок 2. Монолитное перекрытие в осях И-Л / 6-10 на отметке +8.250</t>
  </si>
  <si>
    <t>Yes: 2.1 Отклонения отметок опорных поверхностей колонн и опор от проектных не более 5 мм., опорных узлов не более 10 мм. (СГР) - 2019-11-21</t>
  </si>
  <si>
    <t>Yes: 2.2 Смещение осей колонн и опор относительно разбивочных осей в опорном сечении не более 5 мм. (СГР) - 2019-11-21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</si>
  <si>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- 2019-11-21</t>
  </si>
  <si>
    <t>Yes: 2.4 Стрела прогиба (кривизна) конструкции между точками закрепления не более 15 мм (СГР) - 2019-11-21</t>
  </si>
  <si>
    <t>Yes: 2.5 Смещение ферм, балок ригелей от осей на оголовках колонн из плоскости рамы не более 15 мм. (СГР) - 2019-11-21</t>
  </si>
  <si>
    <t>Yes: 2.6 Отклонений расстояний между прогонами не более 5 мм. от проектных (СГР) - 2019-11-21</t>
  </si>
  <si>
    <t>Yes: 3.1 Момент затяжки обычных и высокопрочных болтов соответствует проекту. Зазоры в месте стыков отсутствуют (СГР) - 2019-11-21</t>
  </si>
  <si>
    <t>N/A: 3.2 Заводское покрытие элементов конструкций восстановлено (при повреждении в процессе монтажа) (СГР) - 2019-11-21</t>
  </si>
  <si>
    <t>N/A: 3.3 Выполнена окраска всех болтов и стыков в соответствии с проектом (СГР) - 2019-11-21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</si>
  <si>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- 2019-11-21</t>
  </si>
  <si>
    <t>Yes: 5,1 Наличие записи в журнале производства работ (СГР) - 2019-11-21</t>
  </si>
  <si>
    <t>Yes: 5,2 Наличие записи в журнале выполнения монтажных соединений на болтах с контролируемым натяжением (СГР) - 2019-11-21</t>
  </si>
  <si>
    <t>N/A: 5,3 Наличие записи в журнале сварочных работ (СГР) - 2019-11-21</t>
  </si>
  <si>
    <t>Yes: 5,4 Наличие записи в журнале работ по монтажу строительных конструкций (СГР) - 2019-11-21</t>
  </si>
  <si>
    <t>N/A: 5,5 Наличие акта освидетельствования скрытых работ (СГР) - 2019-11-21</t>
  </si>
  <si>
    <t>N/A: 5,6 Наличие акта освидетельствования ответственных конструкций (СГР) - 2019-11-21</t>
  </si>
  <si>
    <t>Yes: 5,7 Наличие исполнительной геодезической схемы положения конструкций (СГР) - 2019-11-21</t>
  </si>
  <si>
    <t>N/A: 5,8 Наличие документа о контроле качества сварных соединений (СГР) - 2019-11-21</t>
  </si>
  <si>
    <t>Святослав Грохольский: Изменена дата начала на 21.11.2019</t>
  </si>
  <si>
    <t>Святослав Грохольский: Блок 1 (усм), узлы кровли №232;319;320;325;326.   Блок 2.2 (лм), прогоны кровли №443;444;445, узлы кровли №292;295;144.</t>
  </si>
  <si>
    <t>Армирование и опалубка парапета КПП2</t>
  </si>
  <si>
    <t>Святослав Грохольский: Заголовок изменен на Армирование и опалубка парапета КПП2</t>
  </si>
  <si>
    <t>Святослав Грохольский: Прм-1а, Прм--2а в осяхА-Б / 25-28 на отм.-0.650</t>
  </si>
  <si>
    <t xml:space="preserve">Святослав Грохольский: Блок 1 (А1)
ТИП-5 в осях 5-6/1 вдоль оси 4/А 
отм.+41.970 /+46.170 ( 6 штук )
ТИП-5 в осях 6-7 вдоль оси 4/А 
отм.+41.970 /+46.170 ( 1 штука )
ТИП-2 в осях В-Г вдоль оси 6/1 
отм.+41.970 /+46.170 ( 1 штука )
ТИП-2 в осях В-Е вдоль оси 6/1 
отм.+41.970 /+46.170 ( 12 штук )
</t>
  </si>
  <si>
    <t>Устройство противопожарной отсечки фасадов</t>
  </si>
  <si>
    <t>Святослав Грохольский: Заголовок изменен на Устройство противопожарной отсечки фасадов</t>
  </si>
  <si>
    <t xml:space="preserve">Святослав Грохольский: Противопожарная отсечка:
Блок 1 на отм.+20.850 в осях Е-Т вдоль оси 7.
Блок 1 на отм.+16.650 в осях Д-У вдоль оси 1.
Блок 1 на отм.+8.250 в осях Е-И вдоль оси 7.
Блок 3 на L4, в осях 22-23 вдоль оси 10/Б.
</t>
  </si>
  <si>
    <t>Святослав Грохольский: Изменена дата начала на 17.12.2019</t>
  </si>
  <si>
    <t>Святослав Грохольский: Изменена дата завершения на 18.12.2019</t>
  </si>
  <si>
    <t>Устройство гидроизоляции КПП 2</t>
  </si>
  <si>
    <t>Святослав Грохольский: Заголовок изменен на Устройство гидроизоляции КПП 2</t>
  </si>
  <si>
    <t>Святослав Грохольский: Дата начала изменена на дек. 18, 2019</t>
  </si>
  <si>
    <t>Святослав Грохольский: Гидроизоляция КПП 2 в осях А/2-Ж/2 // 1.2-3.2</t>
  </si>
  <si>
    <t>Армирование стен КПП 2</t>
  </si>
  <si>
    <t>Святослав Грохольский: Заголовок изменен на Армирование стен КПП 2</t>
  </si>
  <si>
    <t>Святослав Грохольский: Армирование стены КПП 2 в осях А/2-Ж/2 // 1.2-3.2</t>
  </si>
  <si>
    <t>Святослав Грохольский: Изменена дата начала на 18.12.2019</t>
  </si>
  <si>
    <t>Святослав Грохольский: Помещения №09.В2.1.001; 13.В1.1.041; 01.В2.1.001; 13.В1.3.011; 14.В2.1.020; 09.В2.2.012  замечаний нет</t>
  </si>
  <si>
    <t>Yes: 2.1 Отклонения отметок опорных поверхностей колонн и опор от проектных не более 5 мм., опорных узлов не более 10 мм. (СГР) - 2019-11-24</t>
  </si>
  <si>
    <t>Yes: 2.2 Смещение осей колонн и опор относительно разбивочных осей в опорном сечении не более 5 мм. (СГР) - 2019-11-24</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</si>
  <si>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- 2019-11-24</t>
  </si>
  <si>
    <t>Yes: 2.4 Стрела прогиба (кривизна) конструкции между точками закрепления не более 15 мм (СГР) - 2019-11-24</t>
  </si>
  <si>
    <t>Yes: 2.5 Смещение ферм, балок ригелей от осей на оголовках колонн из плоскости рамы не более 15 мм. (СГР) - 2019-11-24</t>
  </si>
  <si>
    <t>Yes: 2.6 Отклонений расстояний между прогонами не более 5 мм. от проектных (СГР) - 2019-11-24</t>
  </si>
  <si>
    <t>Yes: 3.1 Момент затяжки обычных и высокопрочных болтов соответствует проекту. Зазоры в месте стыков отсутствуют (СГР) - 2019-11-24</t>
  </si>
  <si>
    <t>N/A: 3.2 Заводское покрытие элементов конструкций восстановлено (при повреждении в процессе монтажа) (СГР) - 2019-11-24</t>
  </si>
  <si>
    <t>N/A: 3.3 Выполнена окраска всех болтов и стыков в соответствии с проектом (СГР) - 2019-11-24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</si>
  <si>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- 2019-11-24</t>
  </si>
  <si>
    <t>Yes: 5,1 Наличие записи в журнале производства работ (СГР) - 2019-11-24</t>
  </si>
  <si>
    <t>Yes: 5,2 Наличие записи в журнале выполнения монтажных соединений на болтах с контролируемым натяжением (СГР) - 2019-11-24</t>
  </si>
  <si>
    <t>N/A: 5,3 Наличие записи в журнале сварочных работ (СГР) - 2019-11-24</t>
  </si>
  <si>
    <t>Yes: 5,4 Наличие записи в журнале работ по монтажу строительных конструкций (СГР) - 2019-11-24</t>
  </si>
  <si>
    <t>N/A: 5,5 Наличие акта освидетельствования скрытых работ (СГР) - 2019-11-24</t>
  </si>
  <si>
    <t>N/A: 5,6 Наличие акта освидетельствования ответственных конструкций (СГР) - 2019-11-24</t>
  </si>
  <si>
    <t>Yes: 5,7 Наличие исполнительной геодезической схемы положения конструкций (СГР) - 2019-11-24</t>
  </si>
  <si>
    <t>N/A: 5,8 Наличие документа о контроле качества сварных соединений (СГР) - 2019-11-24</t>
  </si>
  <si>
    <t>Святослав Грохольский: Изменена дата начала на 24.11.2019</t>
  </si>
  <si>
    <t>Святослав Грохольский: Блок 2.2, узлы кровли №205;206;207;208.</t>
  </si>
  <si>
    <t>Святослав Грохольский: Изменена дата начала на 23.11.2019</t>
  </si>
  <si>
    <t>Святослав Грохольский: Блок 2.2, узлы кровли №179-193;196;198;200;202;204.</t>
  </si>
  <si>
    <t>Святослав Грохольский: Блок А3
ТИП-1 в осях 3-6/Б вдоль оси 34/1 
Отм. +16.882 /+20.970  ( 4 штуки )</t>
  </si>
  <si>
    <t>Решетчатая кровля</t>
  </si>
  <si>
    <t>о7.1_устройство кровли</t>
  </si>
  <si>
    <t>Yes: 2,1. Работы производятся на основе и в соответствии с рабочей документацией, утвержденной в производство работ (СГР) - 2019-11-04</t>
  </si>
  <si>
    <t>Yes: 2,2. Применяются материалы, прошедшие входной контроль (СГР) - 2019-11-04</t>
  </si>
  <si>
    <t>N/A: 2,3. Перед нанесением грунтовочных и изоляционных составов выполняется обеспыливание основания (СГР) - 2019-11-04</t>
  </si>
  <si>
    <t>N/A: 2,4. По профлисту материал раскатывается вдоль рёбер настила (СГР) - 2019-11-04</t>
  </si>
  <si>
    <t>N/A: 2,5. Нахлёсты материала соответствуют нормативным требованиям: боковые не менее 100 мм на рёбрах; торцевые не менее 150 мм (СГР) - 2019-11-04</t>
  </si>
  <si>
    <t>N/A: 2,6. Устройство теплоизоляции выполняется в соответствии с проектом по технологии, рекомендованной производителем (СГР) - 2019-11-04</t>
  </si>
  <si>
    <t>N/A: 2,7. В зоне водоприемных воронок выполняется устройство понижения (СГР) - 2019-11-04</t>
  </si>
  <si>
    <t>N/A: 2,8. В местах сопряжения с выступающими конструкциями кровли, стенами парапетов, инженерным оборудованием, ендовами, деформационными швами крепятся дополнительные слои гидроизоляции. Высота заведения покрытия на вертикальные поверхности соответствует проекту (СГР) - 2019-11-04</t>
  </si>
  <si>
    <t>N/A: 2,9. Устройство защитных слоев осуществляется захватками с пониженных участков (ендов), а также от мест примыкания кровель к стенам (СГР) - 2019-11-04</t>
  </si>
  <si>
    <t>N/A: 2,10. Число слоев и общая толщина слоев соответствуют проектным требованиям (СГР) - 2019-11-04</t>
  </si>
  <si>
    <t>Yes: 3,1. Предельные отклонения поверхностей не превышают нормативных значений (СГР) - 2019-11-04</t>
  </si>
  <si>
    <t>N/A: 4. Нормативная документация: . СП 71.13330.2011 «Изоляционные и отделочные покрытия». ТК «Контроль качества работ при устройстве кровель» Приложение 2. Руководство производителя. Рабочий проект.СП 48.13330.2011 «Организация строительства» Технический регламент операционного контроля качества строительно-монтажных и специальных работ. Раздел 07. Устройство кровель (СГР) - 2019-11-04</t>
  </si>
  <si>
    <t>Святослав Грохольский: Заголовок изменен на Решетчатая кровля</t>
  </si>
  <si>
    <t>Святослав Грохольский: Блок 3.2, монтаж секций 1-7; 12-23 решетчатой кровли в осях 23-30/1Б-3Б.</t>
  </si>
  <si>
    <t>Yes: 2.1 Отклонения отметок опорных поверхностей колонн и опор от проектных не более 5 мм., опорных узлов не более 10 мм. (СГР) - 2019-11-25</t>
  </si>
  <si>
    <t>Yes: 2.2 Смещение осей колонн и опор относительно разбивочных осей в опорном сечении не более 5 мм. (СГР) - 2019-11-25</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</si>
  <si>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- 2019-11-25</t>
  </si>
  <si>
    <t>Yes: 2.4 Стрела прогиба (кривизна) конструкции между точками закрепления не более 15 мм (СГР) - 2019-11-25</t>
  </si>
  <si>
    <t>Yes: 2.5 Смещение ферм, балок ригелей от осей на оголовках колонн из плоскости рамы не более 15 мм. (СГР) - 2019-11-25</t>
  </si>
  <si>
    <t>Yes: 2.6 Отклонений расстояний между прогонами не более 5 мм. от проектных (СГР) - 2019-11-25</t>
  </si>
  <si>
    <t>Yes: 3.1 Момент затяжки обычных и высокопрочных болтов соответствует проекту. Зазоры в месте стыков отсутствуют (СГР) - 2019-11-25</t>
  </si>
  <si>
    <t>N/A: 3.2 Заводское покрытие элементов конструкций восстановлено (при повреждении в процессе монтажа) (СГР) - 2019-11-25</t>
  </si>
  <si>
    <t>N/A: 3.3 Выполнена окраска всех болтов и стыков в соответствии с проектом (СГР) - 2019-11-25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</si>
  <si>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- 2019-11-25</t>
  </si>
  <si>
    <t>Yes: 5,1 Наличие записи в журнале производства работ (СГР) - 2019-11-25</t>
  </si>
  <si>
    <t>Yes: 5,2 Наличие записи в журнале выполнения монтажных соединений на болтах с контролируемым натяжением (СГР) - 2019-11-25</t>
  </si>
  <si>
    <t>N/A: 5,3 Наличие записи в журнале сварочных работ (СГР) - 2019-11-25</t>
  </si>
  <si>
    <t>Yes: 5,4 Наличие записи в журнале работ по монтажу строительных конструкций (СГР) - 2019-11-25</t>
  </si>
  <si>
    <t>N/A: 5,5 Наличие акта освидетельствования скрытых работ (СГР) - 2019-11-25</t>
  </si>
  <si>
    <t>N/A: 5,6 Наличие акта освидетельствования ответственных конструкций (СГР) - 2019-11-25</t>
  </si>
  <si>
    <t>Yes: 5,7 Наличие исполнительной геодезической схемы положения конструкций (СГР) - 2019-11-25</t>
  </si>
  <si>
    <t>N/A: 5,8 Наличие документа о контроле качества сварных соединений (СГР) - 2019-11-25</t>
  </si>
  <si>
    <t>Святослав Грохольский: Блок 2.2, прогоны кровли №217;218;433;459;460, Узел №146.</t>
  </si>
  <si>
    <t>Святослав Грохольский: План изменен на 2</t>
  </si>
  <si>
    <t>Святослав Грохольский: План изменен на -4.200_B01_Panels Model</t>
  </si>
  <si>
    <t>Святослав Грохольский: Изменена дата начала на 25.11.2019</t>
  </si>
  <si>
    <t>НВК этап №6</t>
  </si>
  <si>
    <t>Святослав Грохольский: Изменена дата начала на 21.12.2019</t>
  </si>
  <si>
    <t>Святослав Грохольский: Изменена дата завершения на 22.12.2019</t>
  </si>
  <si>
    <t>Святослав Грохольский: Заголовок изменен на НВК</t>
  </si>
  <si>
    <t>Святослав Грохольский: Монтаж трубопровода, испытания гидрозамков между колодцами 91 - КГН 2</t>
  </si>
  <si>
    <t>Святослав Грохольский: Заголовок изменен на НВК этап №6</t>
  </si>
  <si>
    <t>Святослав Грохольский: Дата начала изменена на нояб. 5, 2019</t>
  </si>
  <si>
    <t>Святослав Грохольский: Блок 1(бэс), кровля, узлы №48; 49; 50; 51; 109; 193</t>
  </si>
  <si>
    <t>Святослав Грохольский: Редактированный комментарий - "Блок 1(бэс)"</t>
  </si>
  <si>
    <t>Решетчатый настил тип 16</t>
  </si>
  <si>
    <t>Святослав Грохольский: Заголовок изменен на Решетчатый настил</t>
  </si>
  <si>
    <t>Святослав Грохольский: Заголовок изменен на Решетчатый настил тип 16</t>
  </si>
  <si>
    <t>Yes: 2.1 Отклонения отметок опорных поверхностей колонн и опор от проектных не более 5 мм., опорных узлов не более 10 мм. (СГР) - 2019-11-28</t>
  </si>
  <si>
    <t>Yes: 2.2 Смещение осей колонн и опор относительно разбивочных осей в опорном сечении не более 5 мм. (СГР) - 2019-11-28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</si>
  <si>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- 2019-11-28</t>
  </si>
  <si>
    <t>Yes: 2.4 Стрела прогиба (кривизна) конструкции между точками закрепления не более 15 мм (СГР) - 2019-11-28</t>
  </si>
  <si>
    <t>Yes: 2.5 Смещение ферм, балок ригелей от осей на оголовках колонн из плоскости рамы не более 15 мм. (СГР) - 2019-11-28</t>
  </si>
  <si>
    <t>Yes: 2.6 Отклонений расстояний между прогонами не более 5 мм. от проектных (СГР) - 2019-11-28</t>
  </si>
  <si>
    <t>Yes: 3.1 Момент затяжки обычных и высокопрочных болтов соответствует проекту. Зазоры в месте стыков отсутствуют (СГР) - 2019-11-28</t>
  </si>
  <si>
    <t>N/A: 3.2 Заводское покрытие элементов конструкций восстановлено (при повреждении в процессе монтажа) (СГР) - 2019-11-28</t>
  </si>
  <si>
    <t>N/A: 3.3 Выполнена окраска всех болтов и стыков в соответствии с проектом (СГР) - 2019-11-28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</si>
  <si>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- 2019-11-28</t>
  </si>
  <si>
    <t>Yes: 5,1 Наличие записи в журнале производства работ (СГР) - 2019-11-28</t>
  </si>
  <si>
    <t>Yes: 5,2 Наличие записи в журнале выполнения монтажных соединений на болтах с контролируемым натяжением (СГР) - 2019-11-28</t>
  </si>
  <si>
    <t>Yes: 5,3 Наличие записи в журнале сварочных работ (СГР) - 2019-11-28</t>
  </si>
  <si>
    <t>Yes: 5,4 Наличие записи в журнале работ по монтажу строительных конструкций (СГР) - 2019-11-28</t>
  </si>
  <si>
    <t>N/A: 5,5 Наличие акта освидетельствования скрытых работ (СГР) - 2019-11-28</t>
  </si>
  <si>
    <t>N/A: 5,6 Наличие акта освидетельствования ответственных конструкций (СГР) - 2019-11-28</t>
  </si>
  <si>
    <t>Yes: 5,7 Наличие исполнительной геодезической схемы положения конструкций (СГР) - 2019-11-28</t>
  </si>
  <si>
    <t>Yes: 5,8 Наличие документа о контроле качества сварных соединений (СГР) - 2019-11-28</t>
  </si>
  <si>
    <t>Святослав Грохольский: Блок 2.1 (бэс), фасадные балки в осях Г-Д/10-13,
затяжка узлов №3;4;6;7;8;11;12;16;22;47,
сварка узлов №3;4;6;9;15;16;22;27;32;38;46;48;49.</t>
  </si>
  <si>
    <t>Опалубка ПС-10</t>
  </si>
  <si>
    <t>Святослав Грохольский: Заголовок изменен на Опалубка ПС-10</t>
  </si>
  <si>
    <t>Святослав Грохольский: Дата начала изменена на янв. 27, 2020</t>
  </si>
  <si>
    <t>Святослав Грохольский: Дата окончания изменена на янв. 28, 2020</t>
  </si>
  <si>
    <t>Святослав Грохольский: Опалубка в осях Ф/И вдоль оси 1, на отметке -6.200
Бетонирование разрешено</t>
  </si>
  <si>
    <t>Водопровод НВК 9 (юг)</t>
  </si>
  <si>
    <t>Святослав Грохольский: Заголовок изменен на Водопровод НВК 9 (юг)</t>
  </si>
  <si>
    <t>Святослав Грохольский: Песочное основание, укладка трубы, гидравлические испытания в осях 15/1-24</t>
  </si>
  <si>
    <t>Святослав Грохольский: Заголовок изменен на Парапет ПРМ-2а</t>
  </si>
  <si>
    <t>Святослав Грохольский: Армирование, опалубка, чистота основания парапета ПРМ-2а в осях А-Б/29-35 на отм.-0.650</t>
  </si>
  <si>
    <t>Святослав Грохольский: ТИП-2 в осях  И-Н вдоль оси 15/1, 
между отметками  +16.770/+20.970.  ( 9 штук )</t>
  </si>
  <si>
    <t>N/A: 2.1 Отклонения отметок опорных поверхностей колонн и опор от проектных не более 5 мм., опорных узлов не более 10 мм. (СГР) - 2019-11-29</t>
  </si>
  <si>
    <t>N/A: 2.2 Смещение осей колонн и опор относительно разбивочных осей в опорном сечении не более 5 мм. (СГР) - 2019-11-29</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</si>
  <si>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- 2019-11-29</t>
  </si>
  <si>
    <t>Yes: 2.4 Стрела прогиба (кривизна) конструкции между точками закрепления не более 15 мм (СГР) - 2019-11-29</t>
  </si>
  <si>
    <t>N/A: 2.5 Смещение ферм, балок ригелей от осей на оголовках колонн из плоскости рамы не более 15 мм. (СГР) - 2019-11-29</t>
  </si>
  <si>
    <t>Yes: 2.6 Отклонений расстояний между прогонами не более 5 мм. от проектных (СГР) - 2019-11-29</t>
  </si>
  <si>
    <t>Yes: 3.1 Момент затяжки обычных и высокопрочных болтов соответствует проекту. Зазоры в месте стыков отсутствуют (СГР) - 2019-11-29</t>
  </si>
  <si>
    <t>Yes: 3.2 Заводское покрытие элементов конструкций восстановлено (при повреждении в процессе монтажа) (СГР) - 2019-11-29</t>
  </si>
  <si>
    <t>Yes: 3.3 Выполнена окраска всех болтов и стыков в соответствии с проектом (СГР) - 2019-11-29</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</si>
  <si>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- 2019-11-29</t>
  </si>
  <si>
    <t>Yes: 5,1 Наличие записи в журнале производства работ (СГР) - 2019-11-29</t>
  </si>
  <si>
    <t>N/A: 5,2 Наличие записи в журнале выполнения монтажных соединений на болтах с контролируемым натяжением (СГР) - 2019-11-29</t>
  </si>
  <si>
    <t>N/A: 5,3 Наличие записи в журнале сварочных работ (СГР) - 2019-11-29</t>
  </si>
  <si>
    <t>Yes: 5,4 Наличие записи в журнале работ по монтажу строительных конструкций (СГР) - 2019-11-29</t>
  </si>
  <si>
    <t>N/A: 5,5 Наличие акта освидетельствования скрытых работ (СГР) - 2019-11-29</t>
  </si>
  <si>
    <t>N/A: 5,6 Наличие акта освидетельствования ответственных конструкций (СГР) - 2019-11-29</t>
  </si>
  <si>
    <t>Yes: 5,7 Наличие исполнительной геодезической схемы положения конструкций (СГР) - 2019-11-29</t>
  </si>
  <si>
    <t>N/A: 5,8 Наличие документа о контроле качества сварных соединений (СГР) - 2019-11-29</t>
  </si>
  <si>
    <t>Святослав Грохольский: Кровля внутреннего двора, Установка связей между фермами. узлы №284;285;288-295.</t>
  </si>
  <si>
    <t>НВК Этап №6</t>
  </si>
  <si>
    <t>Святослав Грохольский: Заголовок изменен на НВК Этап №6</t>
  </si>
  <si>
    <t xml:space="preserve">Святослав Грохольский: Монтаж трубопровода, испытания гидрозамков 91-КГН2 </t>
  </si>
  <si>
    <t>Святослав Грохольский: Изменена дата начала на 25.12.2019</t>
  </si>
  <si>
    <t>Святослав Грохольский: Изменена дата завершения на 26.12.2019</t>
  </si>
  <si>
    <t>Святослав Грохольский: Участок 17, в/о Ш/3 - 10/1</t>
  </si>
  <si>
    <t>Фасады. Отсечки противопожарные</t>
  </si>
  <si>
    <t>Святослав Грохольский: Заголовок изменен на Фасады. Отсечки противопожарные</t>
  </si>
  <si>
    <t>Святослав Грохольский: L2, в осях К-П/1, Р-Т/1, Ш/2-Ш/5 / 1 (минвата).
L3, в осях К-Ш/1, Л-Т/7 (верхний лист); Ш-Ш/6 (минвата).
L4, в осях Е-Ф/1, Е-3/7, Л-С/7 (верхний лист).
L5, в осях Д-У/1, И-П/7 (верхний лист).
L6, в осях Д-П/1, Е-Т/7 (верхний лист).
L11, в осях Г-И/7 (минвата).</t>
  </si>
  <si>
    <t>Yes: 2.1 Отклонения отметок опорных поверхностей колонн и опор от проектных не более 5 мм., опорных узлов не более 10 мм. (СГР) - 2019-12-03</t>
  </si>
  <si>
    <t>Yes: 2.2 Смещение осей колонн и опор относительно разбивочных осей в опорном сечении не более 5 мм. (СГР) - 2019-12-03</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</si>
  <si>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- 2019-12-03</t>
  </si>
  <si>
    <t>Yes: 2.4 Стрела прогиба (кривизна) конструкции между точками закрепления не более 15 мм (СГР) - 2019-12-03</t>
  </si>
  <si>
    <t>Yes: 2.5 Смещение ферм, балок ригелей от осей на оголовках колонн из плоскости рамы не более 15 мм. (СГР) - 2019-12-03</t>
  </si>
  <si>
    <t>Yes: 2.6 Отклонений расстояний между прогонами не более 5 мм. от проектных (СГР) - 2019-12-03</t>
  </si>
  <si>
    <t>Yes: 3.1 Момент затяжки обычных и высокопрочных болтов соответствует проекту. Зазоры в месте стыков отсутствуют (СГР) - 2019-12-03</t>
  </si>
  <si>
    <t>N/A: 3.2 Заводское покрытие элементов конструкций восстановлено (при повреждении в процессе монтажа) (СГР) - 2019-12-03</t>
  </si>
  <si>
    <t>N/A: 3.3 Выполнена окраска всех болтов и стыков в соответствии с проектом (СГР) - 2019-12-03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</si>
  <si>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- 2019-12-03</t>
  </si>
  <si>
    <t>Yes: 5,1 Наличие записи в журнале производства работ (СГР) - 2019-12-03</t>
  </si>
  <si>
    <t>Yes: 5,2 Наличие записи в журнале выполнения монтажных соединений на болтах с контролируемым натяжением (СГР) - 2019-12-03</t>
  </si>
  <si>
    <t>Yes: 5,3 Наличие записи в журнале сварочных работ (СГР) - 2019-12-03</t>
  </si>
  <si>
    <t>Yes: 5,4 Наличие записи в журнале работ по монтажу строительных конструкций (СГР) - 2019-12-03</t>
  </si>
  <si>
    <t>N/A: 5,5 Наличие акта освидетельствования скрытых работ (СГР) - 2019-12-03</t>
  </si>
  <si>
    <t>N/A: 5,6 Наличие акта освидетельствования ответственных конструкций (СГР) - 2019-12-03</t>
  </si>
  <si>
    <t>Yes: 5,7 Наличие исполнительной геодезической схемы положения конструкций (СГР) - 2019-12-03</t>
  </si>
  <si>
    <t>Yes: 5,8 Наличие документа о контроле качества сварных соединений (СГР) - 2019-12-03</t>
  </si>
  <si>
    <t>Святослав Грохольский: Изменена дата начала на 03.12.2019</t>
  </si>
  <si>
    <t>Святослав Грохольский: Блок 1 (усм), прогоны
 №278-287;456;462;635;636;649;650;699;700;713;714,  
связи №135;136;137;138;148.</t>
  </si>
  <si>
    <t>Святослав Грохольский: Заголовок изменен на НВК №6</t>
  </si>
  <si>
    <t>Святослав Грохольский: Изменена дата начала на 26.12.2019</t>
  </si>
  <si>
    <t>Святослав Грохольский: Изменена дата завершения на 27.12.2019</t>
  </si>
  <si>
    <t>Святослав Грохольский: Трубопровод и испытания гидрозамков между колодцами 57А - 57</t>
  </si>
  <si>
    <t>Герметизация и окраска монтажных стыков:  Блок 2.2, узлы кровли №1, 2, 9, 10, 21, 22</t>
  </si>
  <si>
    <t>Not set: 2.1 Отклонения отметок опорных поверхностей колонн и опор от проектных не более 5 мм., опорных узлов не более 10 мм. (СГР) - 2019-11-01</t>
  </si>
  <si>
    <t>Not set: 2.2 Смещение осей колонн и опор относительно разбивочных осей в опорном сечении не более 5 мм. (СГР) - 2019-11-01</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</si>
  <si>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- 2019-11-01</t>
  </si>
  <si>
    <t>Not set: 2.4 Стрела прогиба (кривизна) конструкции между точками закрепления не более 15 мм (СГР) - 2019-11-01</t>
  </si>
  <si>
    <t>Not set: 2.5 Смещение ферм, балок ригелей от осей на оголовках колонн из плоскости рамы не более 15 мм. (СГР) - 2019-11-01</t>
  </si>
  <si>
    <t>Not set: 2.6 Отклонений расстояний между прогонами не более 5 мм. от проектных (СГР) - 2019-11-01</t>
  </si>
  <si>
    <t>Not set: 3.1 Момент затяжки обычных и высокопрочных болтов соответствует проекту. Зазоры в месте стыков отсутствуют (СГР) - 2019-11-01</t>
  </si>
  <si>
    <t>Not set: 3.2 Заводское покрытие элементов конструкций восстановлено (при повреждении в процессе монтажа) (СГР) - 2019-11-01</t>
  </si>
  <si>
    <t>Yes: 3.3 Выполнена окраска всех болтов и стыков в соответствии с проектом (СГР) - 2019-11-01</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</si>
  <si>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- 2019-11-01</t>
  </si>
  <si>
    <t>Yes: 5,1 Наличие записи в журнале производства работ (СГР) - 2019-11-01</t>
  </si>
  <si>
    <t>Not set: 5,2 Наличие записи в журнале выполнения монтажных соединений на болтах с контролируемым натяжением (СГР) - 2019-11-01</t>
  </si>
  <si>
    <t>Not set: 5,3 Наличие записи в журнале сварочных работ (СГР) - 2019-11-01</t>
  </si>
  <si>
    <t>Not set: 5,4 Наличие записи в журнале работ по монтажу строительных конструкций (СГР) - 2019-11-01</t>
  </si>
  <si>
    <t>Not set: 5,5 Наличие акта освидетельствования скрытых работ (СГР) - 2019-11-01</t>
  </si>
  <si>
    <t>Not set: 5,6 Наличие акта освидетельствования ответственных конструкций (СГР) - 2019-11-01</t>
  </si>
  <si>
    <t>Not set: 5,7 Наличие исполнительной геодезической схемы положения конструкций (СГР) - 2019-11-01</t>
  </si>
  <si>
    <t>Not set: 5,8 Наличие документа о контроле качества сварных соединений (СГР) - 2019-11-01</t>
  </si>
  <si>
    <t>Святослав Грохольский: Изменена дата начала на 01.11.2019</t>
  </si>
  <si>
    <t>Святослав Грохольский: Блок 2.2, узлы кровли №1, 2, 9, 10, 21, 22</t>
  </si>
  <si>
    <t>Святослав Грохольский: Заголовок изменен на Герметизация и окраска монтажных стыков:  Блок 2.2, узлы кровли №1, 2, 9, 10, 21, 22</t>
  </si>
  <si>
    <t>Затяжка ВПБ:  Блок 1(усм), отм.+71.050, узлы №185, 186. Блок 1(бэс), узлы кровли №49, 77, 78, 106, 108. Блок 2.2(лм), узлы кровли №2, 8, 12, 43.</t>
  </si>
  <si>
    <t>Yes: 2.1 Отклонения отметок опорных поверхностей колонн и опор от проектных не более 5 мм., опорных узлов не более 10 мм. (СГР) - 2019-11-01</t>
  </si>
  <si>
    <t>Yes: 2.2 Смещение осей колонн и опор относительно разбивочных осей в опорном сечении не более 5 мм. (СГР) - 2019-11-01</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</si>
  <si>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- 2019-11-01</t>
  </si>
  <si>
    <t>Yes: 2.4 Стрела прогиба (кривизна) конструкции между точками закрепления не более 15 мм (СГР) - 2019-11-01</t>
  </si>
  <si>
    <t>Yes: 2.5 Смещение ферм, балок ригелей от осей на оголовках колонн из плоскости рамы не более 15 мм. (СГР) - 2019-11-01</t>
  </si>
  <si>
    <t>Yes: 2.6 Отклонений расстояний между прогонами не более 5 мм. от проектных (СГР) - 2019-11-01</t>
  </si>
  <si>
    <t>Yes: 3.1 Момент затяжки обычных и высокопрочных болтов соответствует проекту. Зазоры в месте стыков отсутствуют (СГР) - 2019-11-01</t>
  </si>
  <si>
    <t>Yes: 3.2 Заводское покрытие элементов конструкций восстановлено (при повреждении в процессе монтажа) (СГР) - 2019-11-01</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</si>
  <si>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- 2019-11-01</t>
  </si>
  <si>
    <t>Yes: 5,2 Наличие записи в журнале выполнения монтажных соединений на болтах с контролируемым натяжением (СГР) - 2019-11-01</t>
  </si>
  <si>
    <t>Yes: 5,3 Наличие записи в журнале сварочных работ (СГР) - 2019-11-01</t>
  </si>
  <si>
    <t>Yes: 5,4 Наличие записи в журнале работ по монтажу строительных конструкций (СГР) - 2019-11-01</t>
  </si>
  <si>
    <t>Yes: 5,7 Наличие исполнительной геодезической схемы положения конструкций (СГР) - 2019-11-01</t>
  </si>
  <si>
    <t>Святослав Грохольский: Блок 1(усм), отм.+71.050, узлы №185, 186.  Блок 1(бэс), узлы кровли №49, 77, 78, 106, 108.  Блок 2.2(лм), узлы кровли №2, 8, 12, 43.</t>
  </si>
  <si>
    <t>Святослав Грохольский: Заголовок изменен на Затяжка ВПБ:  Блок 1(усм), отм.+71.050, узлы №185, 186. Блок 1(бэс), узлы кровли №49, 77, 78, 106, 108. Блок 2.2(лм), узлы кровли №2, 8, 12, 43.</t>
  </si>
  <si>
    <t>Владимир Собченко: Стоимость изменена на 0 ALL</t>
  </si>
  <si>
    <t>Yes: 2,1 Укрупнённая сборка отдельных конструктивных элементов и монтажных блоков соответствует проектным требованиям  (СГР) - 2019-11-02</t>
  </si>
  <si>
    <t>Yes: 2,2 Установка и проектное закрепление отдельных конструктивных элементов и блоков в проектное положение соответствует проектным требованиям  (СГР) - 2019-11-02</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</si>
  <si>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(СГР) - 2019-11-02</t>
  </si>
  <si>
    <t>Yes: 2,4 При проверке закрепления конструктивных элементов щуп толщиной 0,3 мм не проходит между собранными деталями на глубину более 20 мм (СГР) - 2019-11-02</t>
  </si>
  <si>
    <t>Yes: 2,5 Стержень болта выступает из гайки не менее 3 мм.  (СГР) - 2019-11-02</t>
  </si>
  <si>
    <t>N/A: 2,6 Отсутствует смещение болтов при их отстукивании молотком массой 0,4 кг (СГР) - 2019-11-02</t>
  </si>
  <si>
    <t>Yes: 2,7 Монтажные соединения на высокопрочных болтах с контролируемым натяжением: (СГР) - 2019-11-02</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</si>
  <si>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(СГР) - 2019-11-02</t>
  </si>
  <si>
    <t>Yes: 2,9 Размещение крепежных изделий соответствует проектным требованиям (СГР) - 2019-11-02</t>
  </si>
  <si>
    <t>Yes: 2,1 Натяжение болтов соответствует проектным требованиям (СГР) - 2019-11-02</t>
  </si>
  <si>
    <t>N/A: 2,11 Сварные швы соответствуют нормативным требованиям (СГР) - 2019-11-02</t>
  </si>
  <si>
    <t>Yes: 3,1 Работы выполняются на основе утвержденного ППР (СГР) - 2019-11-02</t>
  </si>
  <si>
    <t>Yes: 3,2 Наличие записи в журнале производства работ (СГР) - 2019-11-02</t>
  </si>
  <si>
    <t>N/A: 3,3 Наличие записи в журнале сварочных работ (СГР) - 2019-11-02</t>
  </si>
  <si>
    <t>Yes: 3,4 Наличие записи в журнале работ по монтажу строительных конструкций (СГР) - 2019-11-02</t>
  </si>
  <si>
    <t>Yes: 3,5 Наличие записи в журнале выполнения монтажных соединений на болтах с контролируемым натяжением. (СГР) - 2019-11-02</t>
  </si>
  <si>
    <t>Святослав Грохольский: Заголовок изменен на Контроль натяжения ВПБ</t>
  </si>
  <si>
    <t>Святослав Грохольский: Блок 1(усм), прогоны кровли, узлы №1-5, 30, 32-34, 50-54, 71, 73-75, 92, 94, 95, 96, 112, 114-116, 118, 120-122, 124, 126-128, 156, 158-160.  Блок 1(бэс), прогоны кровли, узлы №53, 55, 57, 58, 60, 62.  Блок 2.2, кровля, узлы №7, 9, 53, 59, 200, 270, 272, 452, 453, 457, 617.</t>
  </si>
  <si>
    <t>Святослав Грохольский: Редактированный комментарий - "Блок 2.2, кровля, уз..."</t>
  </si>
  <si>
    <t>Огнезащитное покрытие "Монокот"</t>
  </si>
  <si>
    <t>Святослав Грохольский: Заголовок изменен на Огнезащитное покрытие "Монокот"</t>
  </si>
  <si>
    <t>Святослав Грохольский: Дата начала изменена на дек. 5, 2019</t>
  </si>
  <si>
    <t>Святослав Грохольский: Проверка толщины ОЗ покрытия</t>
  </si>
  <si>
    <t>Монтаж системы СОФ</t>
  </si>
  <si>
    <t>Святослав Грохольский: Заголовок изменен на Система СОФ</t>
  </si>
  <si>
    <t>Святослав Грохольский: Заголовок изменен на Монтаж системы СОФ</t>
  </si>
  <si>
    <t>Система снегозадержания</t>
  </si>
  <si>
    <t>N/A: 3,1. Предельные отклонения поверхностей не превышают нормативных значений (СГР) - 2019-11-04</t>
  </si>
  <si>
    <t>Святослав Грохольский: Заголовок изменен на Система снегоудержания</t>
  </si>
  <si>
    <t>Святослав Грохольский: Монтаж системы снегозадержания блок 2.1, кровля, в/о 10-13/Г-М</t>
  </si>
  <si>
    <t>Святослав Грохольский: Заголовок изменен на Система снегозадержания</t>
  </si>
  <si>
    <t>Кронштейны фасадной системы</t>
  </si>
  <si>
    <t>Святослав Грохольский: Заголовок изменен на Кронштейны фасадной системы</t>
  </si>
  <si>
    <t>Святослав Грохольский: Монтаж АНК-К2-РК в осях Г-Д вдоль оси 7 на отм.+4.050;   Монтаж АНК-К1 в осях Б-В вдоль оси 1 на отм.+46.050</t>
  </si>
  <si>
    <t>Yes: 2,1 Укрупнённая сборка отдельных конструктивных элементов и монтажных блоков соответствует проектным требованиям  (СГР) - 2019-11-04</t>
  </si>
  <si>
    <t>Yes: 2,2 Установка и проектное закрепление отдельных конструктивных элементов и блоков в проектное положение соответствует проектным требованиям  (СГР) - 2019-11-04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</si>
  <si>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(СГР) - 2019-11-04</t>
  </si>
  <si>
    <t>Yes: 2,4 При проверке закрепления конструктивных элементов щуп толщиной 0,3 мм не проходит между собранными деталями на глубину более 20 мм (СГР) - 2019-11-04</t>
  </si>
  <si>
    <t>Yes: 2,5 Стержень болта выступает из гайки не менее 3 мм.  (СГР) - 2019-11-04</t>
  </si>
  <si>
    <t>Yes: 2,6 Отсутствует смещение болтов при их отстукивании молотком массой 0,4 кг (СГР) - 2019-11-04</t>
  </si>
  <si>
    <t>Yes: 2,7 Монтажные соединения на высокопрочных болтах с контролируемым натяжением: (СГР) - 2019-11-04</t>
  </si>
  <si>
    <t>Yes: 2,8 Соприкасающиеся поверхности деталей перед сборкой обработаны способом, предусмотренным в проекте, с отсутствием на них грязи, масла, краски, льда (СГР) - 2019-11-04</t>
  </si>
  <si>
    <t>Yes: 2,9 Размещение крепежных изделий соответствует проектным требованиям (СГР) - 2019-11-04</t>
  </si>
  <si>
    <t>Yes: 2,1 Натяжение болтов соответствует проектным требованиям (СГР) - 2019-11-04</t>
  </si>
  <si>
    <t>N/A: 2,11 Сварные швы соответствуют нормативным требованиям (СГР) - 2019-11-04</t>
  </si>
  <si>
    <t>Yes: 3,1 Работы выполняются на основе утвержденного ППР (СГР) - 2019-11-04</t>
  </si>
  <si>
    <t>Yes: 3,2 Наличие записи в журнале производства работ (СГР) - 2019-11-04</t>
  </si>
  <si>
    <t>N/A: 3,3 Наличие записи в журнале сварочных работ (СГР) - 2019-11-04</t>
  </si>
  <si>
    <t>Yes: 3,4 Наличие записи в журнале работ по монтажу строительных конструкций (СГР) - 2019-11-04</t>
  </si>
  <si>
    <t>Yes: 3,5 Наличие записи в журнале выполнения монтажных соединений на болтах с контролируемым натяжением. (СГР) - 2019-11-04</t>
  </si>
  <si>
    <t>Святослав Грохольский: Блок 1(усм), прогоны кровли 5 штук,  на отм.+71.050 узел №179.   Блок 2.2, узлы кровли №435;431;589;592;593;35;36;38;32;46.</t>
  </si>
  <si>
    <t>Плита перекрытия</t>
  </si>
  <si>
    <t>Yes: 1.1 Вертикальный и горизонтальный шаг арматуры соответствует проекту. Отклонение между рядами арматуры не более 10 мм (СГР) - 2019-11-04</t>
  </si>
  <si>
    <t>Yes: 1.2 Длина арматурных элементов соответствуют проекту. Длины нахлестов/анкеровки арматуры составляют не менее 5% длины арматуры (ГОСТ 10922-2012) (СГР) - 2019-11-04</t>
  </si>
  <si>
    <t>Yes: 1.3 Отклонение толщины защитного слоя бетона от проектной не более 15 мм и не менее 5 мм при толщине бетона более 300 мм (СГР) - 2019-11-04</t>
  </si>
  <si>
    <t>Yes: 1.4 Сварные соединения соответствуют проекту и требованиям ГОСТ 14098—2014 (СГР) - 2019-11-04</t>
  </si>
  <si>
    <t>Yes: 1.5 Закладные элементы , в том числе приспособления для устройства гидроизоляции швов, установлены в соответствии с проектом и закреплены (СГР) - 2019-11-04</t>
  </si>
  <si>
    <t>Yes: 2.1 Наличие записи в общем журнале работ (СГР) - 2019-11-04</t>
  </si>
  <si>
    <t>Yes: 3.1 Разрешается проведение последующих работ по устройству опалубки  или бетонированию конструкции (СГР) - 2019-11-04</t>
  </si>
  <si>
    <t>Святослав Грохольский: Заголовок изменен на Плита перекрытия</t>
  </si>
  <si>
    <t>Святослав Грохольский: Армирование и опалубка перекрытия.  Блок 1, в осях Е-И/3.4 на отм.+41.850</t>
  </si>
  <si>
    <t>Святослав Грохольский: Изменена дата начала на 05.12.2019</t>
  </si>
  <si>
    <t>Святослав Грохольский: Блок 1 (усм), прогоны, узлы №294; 300; 306; 331; 380-397; 404-430; 450-486; 557-566.</t>
  </si>
  <si>
    <t>Святослав Грохольский: Сборка и проверка затяжки узлов фермы и монтаж лотков</t>
  </si>
  <si>
    <t>Святослав Грохольский: Редактированный комментарий - "Сборка и проверка за..."</t>
  </si>
  <si>
    <t>Лестница ЛК-3.11, армирование и опалубка</t>
  </si>
  <si>
    <t>Святослав Грохольский: Изменена дата начала на 06.12.2019</t>
  </si>
  <si>
    <t>Святослав Грохольский: Заголовок изменен на Лестница ЛК-3.11, армирование и опалубка</t>
  </si>
  <si>
    <t>Святослав Грохольский: Лестница блока №3,  ЛК-3.11 в осях  Г-Д/32-33 
между отметками +1.950 /+4.050 . 
 Армирование соответствует. 
Положение опалубки соответствует.</t>
  </si>
  <si>
    <t>Огнезащита МК  "Огракс"</t>
  </si>
  <si>
    <t>Святослав Грохольский: Заголовок изменен на Огнезащита МК  "Огракс"</t>
  </si>
  <si>
    <t>Yes: 2.1 Отклонения отметок опорных поверхностей колонн и опор от проектных не более 5 мм., опорных узлов не более 10 мм. (СГР) - 2019-12-06</t>
  </si>
  <si>
    <t>Yes: 2.2 Смещение осей колонн и опор относительно разбивочных осей в опорном сечении не более 5 мм. (СГР) - 2019-12-06</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</si>
  <si>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- 2019-12-06</t>
  </si>
  <si>
    <t>Yes: 2.4 Стрела прогиба (кривизна) конструкции между точками закрепления не более 15 мм (СГР) - 2019-12-06</t>
  </si>
  <si>
    <t>Yes: 2.5 Смещение ферм, балок ригелей от осей на оголовках колонн из плоскости рамы не более 15 мм. (СГР) - 2019-12-06</t>
  </si>
  <si>
    <t>Yes: 2.6 Отклонений расстояний между прогонами не более 5 мм. от проектных (СГР) - 2019-12-06</t>
  </si>
  <si>
    <t>Yes: 3.1 Момент затяжки обычных и высокопрочных болтов соответствует проекту. Зазоры в месте стыков отсутствуют (СГР) - 2019-12-06</t>
  </si>
  <si>
    <t>N/A: 3.2 Заводское покрытие элементов конструкций восстановлено (при повреждении в процессе монтажа) (СГР) - 2019-12-06</t>
  </si>
  <si>
    <t>N/A: 3.3 Выполнена окраска всех болтов и стыков в соответствии с проектом (СГР) - 2019-12-06</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</si>
  <si>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- 2019-12-06</t>
  </si>
  <si>
    <t>Yes: 5,1 Наличие записи в журнале производства работ (СГР) - 2019-12-06</t>
  </si>
  <si>
    <t>Yes: 5,2 Наличие записи в журнале выполнения монтажных соединений на болтах с контролируемым натяжением (СГР) - 2019-12-06</t>
  </si>
  <si>
    <t>Yes: 5,3 Наличие записи в журнале сварочных работ (СГР) - 2019-12-06</t>
  </si>
  <si>
    <t>Yes: 5,4 Наличие записи в журнале работ по монтажу строительных конструкций (СГР) - 2019-12-06</t>
  </si>
  <si>
    <t>N/A: 5,5 Наличие акта освидетельствования скрытых работ (СГР) - 2019-12-06</t>
  </si>
  <si>
    <t>N/A: 5,6 Наличие акта освидетельствования ответственных конструкций (СГР) - 2019-12-06</t>
  </si>
  <si>
    <t>Yes: 5,7 Наличие исполнительной геодезической схемы положения конструкций (СГР) - 2019-12-06</t>
  </si>
  <si>
    <t>Yes: 5,8 Наличие документа о контроле качества сварных соединений (СГР) - 2019-12-06</t>
  </si>
  <si>
    <t>Святослав Грохольский: Блок 2.2, прогоны № 429; 450; 451; 452</t>
  </si>
  <si>
    <t>Монтаж фермы между блоками 1 и 2</t>
  </si>
  <si>
    <t>Святослав Грохольский: Изменена дата начала на 29.12.2019</t>
  </si>
  <si>
    <t>Святослав Грохольский: Изменена дата завершения на 30.12.2019</t>
  </si>
  <si>
    <t>Святослав Грохольский: Заголовок изменен на Монтаж фермы между блоками 1 и 2</t>
  </si>
  <si>
    <t>Монтаж кронштейнов</t>
  </si>
  <si>
    <t>Святослав Грохольский: Заголовок изменен на Монтаж кронштейнов</t>
  </si>
  <si>
    <t>Святослав Грохольский: АНК-41(17 штук), АНК-42 (5 штук). Блок 2 (А2) 
в осях 12/1-16 вдоль оси 1/Б, отм.+13.090</t>
  </si>
  <si>
    <t xml:space="preserve">Святослав Грохольский: Тип11, Тип7*. Блок В1 - блок 2, в осях Д-К вдоль
оси 15/1 на отм.+12.570/+16.556 (6 панелей).
Тип 4. Блок1 (А1), в осях Н-П вдоль оси 1 
между отм.+37.770/+41.970 (6 панелей).
</t>
  </si>
  <si>
    <t>п8.1_подвесные потолки</t>
  </si>
  <si>
    <t>N/A: 2,3. Швы между листами и панелями равномерные и строго прямолинейные (СГР) - 2019-11-04</t>
  </si>
  <si>
    <t>N/A: 2,4. Плоскость облицованной поверхности ровная, без провесов в стыках (СГР) - 2019-11-04</t>
  </si>
  <si>
    <t>N/A: 2,5. Трещины, царапины, пятна на поверхности облицовки отсутствуют (СГР) - 2019-11-04</t>
  </si>
  <si>
    <t>N/A: 2,6. Отсутствие сколов, щелей в местах примыкания плит, панелей к элементам инженерных коммуникаций (СГР) - 2019-11-04</t>
  </si>
  <si>
    <t>Yes: 3,2. Наличие исполнительной геодезицеской схемы (СГР) - 2019-11-04</t>
  </si>
  <si>
    <t>Святослав Грохольский: Помещение №В2-054.09.2В.1.015, по подвесной системе замечаний нет.</t>
  </si>
  <si>
    <t>Святослав Грохольский: Редактированный комментарий - "Помещение №В2-054.09..."</t>
  </si>
  <si>
    <t>Святослав Грохольский: Изменена дата начала на 09.12.2019</t>
  </si>
  <si>
    <t>Святослав Грохольский: Блок 1 (усм), прогоны №275; 292; 293; 341; 342,    
Блок 2.1 (бэс), отм.+9.667/+13.829, узлы №49-54; 56-62; 64-70.</t>
  </si>
  <si>
    <t>Монтаж лотков кровли ETFE</t>
  </si>
  <si>
    <t>Святослав Грохольский: Заголовок изменен на Монтаж лотков кровли</t>
  </si>
  <si>
    <t>Святослав Грохольский: Заголовок изменен на Монтаж лотков кровли ETFE</t>
  </si>
  <si>
    <t>Yes: 2.1 Отклонения отметок опорных поверхностей колонн и опор от проектных не более 5 мм., опорных узлов не более 10 мм. (СГР) - 2019-11-07</t>
  </si>
  <si>
    <t>Yes: 2.2 Смещение осей колонн и опор относительно разбивочных осей в опорном сечении не более 5 мм. (СГР) - 2019-11-07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</si>
  <si>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- 2019-11-07</t>
  </si>
  <si>
    <t>Yes: 2.4 Стрела прогиба (кривизна) конструкции между точками закрепления не более 15 мм (СГР) - 2019-11-07</t>
  </si>
  <si>
    <t>Yes: 2.5 Смещение ферм, балок ригелей от осей на оголовках колонн из плоскости рамы не более 15 мм. (СГР) - 2019-11-07</t>
  </si>
  <si>
    <t>Yes: 2.6 Отклонений расстояний между прогонами не более 5 мм. от проектных (СГР) - 2019-11-07</t>
  </si>
  <si>
    <t>Yes: 3.1 Момент затяжки обычных и высокопрочных болтов соответствует проекту. Зазоры в месте стыков отсутствуют (СГР) - 2019-11-07</t>
  </si>
  <si>
    <t>N/A: 3.2 Заводское покрытие элементов конструкций восстановлено (при повреждении в процессе монтажа) (СГР) - 2019-11-07</t>
  </si>
  <si>
    <t>N/A: 3.3 Выполнена окраска всех болтов и стыков в соответствии с проектом (СГР) - 2019-11-07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</si>
  <si>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- 2019-11-07</t>
  </si>
  <si>
    <t>Yes: 5,1 Наличие записи в журнале производства работ (СГР) - 2019-11-07</t>
  </si>
  <si>
    <t>Yes: 5,2 Наличие записи в журнале выполнения монтажных соединений на болтах с контролируемым натяжением (СГР) - 2019-11-07</t>
  </si>
  <si>
    <t>N/A: 5,3 Наличие записи в журнале сварочных работ (СГР) - 2019-11-07</t>
  </si>
  <si>
    <t>Yes: 5,4 Наличие записи в журнале работ по монтажу строительных конструкций (СГР) - 2019-11-07</t>
  </si>
  <si>
    <t>N/A: 5,5 Наличие акта освидетельствования скрытых работ (СГР) - 2019-11-07</t>
  </si>
  <si>
    <t>N/A: 5,6 Наличие акта освидетельствования ответственных конструкций (СГР) - 2019-11-07</t>
  </si>
  <si>
    <t>Yes: 5,7 Наличие исполнительной геодезической схемы положения конструкций (СГР) - 2019-11-07</t>
  </si>
  <si>
    <t>N/A: 5,8 Наличие документа о контроле качества сварных соединений (СГР) - 2019-11-07</t>
  </si>
  <si>
    <t>Святослав Грохольский: Изменена дата начала на 07.11.2019</t>
  </si>
  <si>
    <t xml:space="preserve">Святослав Грохольский: Блок 1(усм), кровля, узлы №180; 717.   Блок 1(бэс), кровля, узлы №45;46;76;79;80;95;96;105;107;174;182;183;184;186;190;198.    Блок 2.2, узлы кровли №171;173;614;615;616;85;26;31;41;46;47. </t>
  </si>
  <si>
    <t>Армирование подпорной стены ПС-10</t>
  </si>
  <si>
    <t>Святослав Грохольский: Заголовок изменен на Армирование подпорной стены ПС-10</t>
  </si>
  <si>
    <t>Святослав Грохольский: Армирование подпорной стены ПС-10 в осях К-Н/1 на отм.-6.200. (армирование принято)</t>
  </si>
  <si>
    <t>Yes: 2.1 Отклонения отметок опорных поверхностей колонн и опор от проектных не более 5 мм., опорных узлов не более 10 мм. (СГР) - 2019-11-08</t>
  </si>
  <si>
    <t>Yes: 2.2 Смещение осей колонн и опор относительно разбивочных осей в опорном сечении не более 5 мм. (СГР) - 2019-11-08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</si>
  <si>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- 2019-11-08</t>
  </si>
  <si>
    <t>Yes: 2.4 Стрела прогиба (кривизна) конструкции между точками закрепления не более 15 мм (СГР) - 2019-11-08</t>
  </si>
  <si>
    <t>Yes: 2.5 Смещение ферм, балок ригелей от осей на оголовках колонн из плоскости рамы не более 15 мм. (СГР) - 2019-11-08</t>
  </si>
  <si>
    <t>Yes: 2.6 Отклонений расстояний между прогонами не более 5 мм. от проектных (СГР) - 2019-11-08</t>
  </si>
  <si>
    <t>Yes: 3.1 Момент затяжки обычных и высокопрочных болтов соответствует проекту. Зазоры в месте стыков отсутствуют (СГР) - 2019-11-08</t>
  </si>
  <si>
    <t>N/A: 3.2 Заводское покрытие элементов конструкций восстановлено (при повреждении в процессе монтажа) (СГР) - 2019-11-08</t>
  </si>
  <si>
    <t>N/A: 3.3 Выполнена окраска всех болтов и стыков в соответствии с проектом (СГР) - 2019-11-08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</si>
  <si>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- 2019-11-08</t>
  </si>
  <si>
    <t>Yes: 5,1 Наличие записи в журнале производства работ (СГР) - 2019-11-08</t>
  </si>
  <si>
    <t>Yes: 5,2 Наличие записи в журнале выполнения монтажных соединений на болтах с контролируемым натяжением (СГР) - 2019-11-08</t>
  </si>
  <si>
    <t>N/A: 5,3 Наличие записи в журнале сварочных работ (СГР) - 2019-11-08</t>
  </si>
  <si>
    <t>Yes: 5,4 Наличие записи в журнале работ по монтажу строительных конструкций (СГР) - 2019-11-08</t>
  </si>
  <si>
    <t>N/A: 5,5 Наличие акта освидетельствования скрытых работ (СГР) - 2019-11-08</t>
  </si>
  <si>
    <t>N/A: 5,6 Наличие акта освидетельствования ответственных конструкций (СГР) - 2019-11-08</t>
  </si>
  <si>
    <t>Yes: 5,7 Наличие исполнительной геодезической схемы положения конструкций (СГР) - 2019-11-08</t>
  </si>
  <si>
    <t>N/A: 5,8 Наличие документа о контроле качества сварных соединений (СГР) - 2019-11-08</t>
  </si>
  <si>
    <t>Святослав Грохольский: Блок 2.2, узлы кровли №133-140;106;6;9;61;62;69;51;108;110;86;87;1;8;105;109;2;18;35;135;144;103;105;49;53;54.</t>
  </si>
  <si>
    <t>Святослав Грохольский: Изменена дата начала на 08.11.2019</t>
  </si>
  <si>
    <t>Затяжка ВПБ КПП2</t>
  </si>
  <si>
    <t>Yes: 2.1 Отклонения отметок опорных поверхностей колонн и опор от проектных не более 5 мм., опорных узлов не более 10 мм. (СГР) - 2020-01-30</t>
  </si>
  <si>
    <t>Yes: 2.2 Смещение осей колонн и опор относительно разбивочных осей в опорном сечении не более 5 мм. (СГР) - 2020-01-30</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</si>
  <si>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- 2020-01-30</t>
  </si>
  <si>
    <t>Yes: 2.4 Стрела прогиба (кривизна) конструкции между точками закрепления не более 15 мм (СГР) - 2020-01-30</t>
  </si>
  <si>
    <t>Yes: 2.5 Смещение ферм, балок ригелей от осей на оголовках колонн из плоскости рамы не более 15 мм. (СГР) - 2020-01-30</t>
  </si>
  <si>
    <t>Yes: 2.6 Отклонений расстояний между прогонами не более 5 мм. от проектных (СГР) - 2020-01-30</t>
  </si>
  <si>
    <t>Yes: 3.1 Момент затяжки обычных и высокопрочных болтов соответствует проекту. Зазоры в месте стыков отсутствуют (СГР) - 2020-01-30</t>
  </si>
  <si>
    <t>N/A: 3.2 Заводское покрытие элементов конструкций восстановлено (при повреждении в процессе монтажа) (СГР) - 2020-01-30</t>
  </si>
  <si>
    <t>N/A: 3.3 Выполнена окраска всех болтов и стыков в соответствии с проектом (СГР) - 2020-01-30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</si>
  <si>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- 2020-01-30</t>
  </si>
  <si>
    <t>Yes: 5,1 Наличие записи в журнале производства работ (СГР) - 2020-01-30</t>
  </si>
  <si>
    <t>Yes: 5,2 Наличие записи в журнале выполнения монтажных соединений на болтах с контролируемым натяжением (СГР) - 2020-01-30</t>
  </si>
  <si>
    <t>N/A: 5,3 Наличие записи в журнале сварочных работ (СГР) - 2020-01-30</t>
  </si>
  <si>
    <t>Yes: 5,4 Наличие записи в журнале работ по монтажу строительных конструкций (СГР) - 2020-01-30</t>
  </si>
  <si>
    <t>N/A: 5,5 Наличие акта освидетельствования скрытых работ (СГР) - 2020-01-30</t>
  </si>
  <si>
    <t>N/A: 5,6 Наличие акта освидетельствования ответственных конструкций (СГР) - 2020-01-30</t>
  </si>
  <si>
    <t>Yes: 5,7 Наличие исполнительной геодезической схемы положения конструкций (СГР) - 2020-01-30</t>
  </si>
  <si>
    <t>N/A: 5,8 Наличие документа о контроле качества сварных соединений (СГР) - 2020-01-30</t>
  </si>
  <si>
    <t>Святослав Грохольский: Заголовок изменен на Затяжка ВПБ КПП2</t>
  </si>
  <si>
    <t xml:space="preserve">Святослав Грохольский: Монтаж металлоконструкций КПП2, контроль
 натяжения высокопрочных болтов на узлах №20;22;23;24;25;26;27;28;29;30;31;32;33;34;35;
98;102;145;146;150;151;154;155;157;161;162;
163;175;181;182;197;206;207;224;225;226;227;
231;232;237;238;241;242;249;250;251;255;256
 </t>
  </si>
  <si>
    <t>Святослав Грохольский: Изменена дата начала на 30.01.2020</t>
  </si>
  <si>
    <t>Огнезащита "МОНОКОТ"</t>
  </si>
  <si>
    <t>Святослав Грохольский: Заголовок изменен на Огнезащита "МОНОКОТ"</t>
  </si>
  <si>
    <t>Святослав Грохольский: Рабочая сила изменена на 0 man-hours</t>
  </si>
  <si>
    <t xml:space="preserve">Святослав Грохольский: Огнезащитное покрытие "МОНОКОТ", Блок 2.1 
в осях Г-Е/10-13 на отметке  14.950/19.250
Толщина слоя соответствует проектному, 
замечаний нет.
</t>
  </si>
  <si>
    <t>Yes: 2.1 Отклонения отметок опорных поверхностей колонн и опор от проектных не более 5 мм., опорных узлов не более 10 мм. (СГР) - 2019-12-10</t>
  </si>
  <si>
    <t>Yes: 2.2 Смещение осей колонн и опор относительно разбивочных осей в опорном сечении не более 5 мм. (СГР) - 2019-12-10</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</si>
  <si>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- 2019-12-10</t>
  </si>
  <si>
    <t>Yes: 2.4 Стрела прогиба (кривизна) конструкции между точками закрепления не более 15 мм (СГР) - 2019-12-10</t>
  </si>
  <si>
    <t>Yes: 2.5 Смещение ферм, балок ригелей от осей на оголовках колонн из плоскости рамы не более 15 мм. (СГР) - 2019-12-10</t>
  </si>
  <si>
    <t>Yes: 2.6 Отклонений расстояний между прогонами не более 5 мм. от проектных (СГР) - 2019-12-10</t>
  </si>
  <si>
    <t>Yes: 3.1 Момент затяжки обычных и высокопрочных болтов соответствует проекту. Зазоры в месте стыков отсутствуют (СГР) - 2019-12-10</t>
  </si>
  <si>
    <t>N/A: 3.2 Заводское покрытие элементов конструкций восстановлено (при повреждении в процессе монтажа) (СГР) - 2019-12-10</t>
  </si>
  <si>
    <t>N/A: 3.3 Выполнена окраска всех болтов и стыков в соответствии с проектом (СГР) - 2019-12-10</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</si>
  <si>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- 2019-12-10</t>
  </si>
  <si>
    <t>Yes: 5,1 Наличие записи в журнале производства работ (СГР) - 2019-12-10</t>
  </si>
  <si>
    <t>Yes: 5,2 Наличие записи в журнале выполнения монтажных соединений на болтах с контролируемым натяжением (СГР) - 2019-12-10</t>
  </si>
  <si>
    <t>N/A: 5,3 Наличие записи в журнале сварочных работ (СГР) - 2019-12-10</t>
  </si>
  <si>
    <t>N/A: 5,4 Наличие записи в журнале работ по монтажу строительных конструкций (СГР) - 2019-12-10</t>
  </si>
  <si>
    <t>N/A: 5,5 Наличие акта освидетельствования скрытых работ (СГР) - 2019-12-10</t>
  </si>
  <si>
    <t>N/A: 5,6 Наличие акта освидетельствования ответственных конструкций (СГР) - 2019-12-10</t>
  </si>
  <si>
    <t>N/A: 5,7 Наличие исполнительной геодезической схемы положения конструкций (СГР) - 2019-12-10</t>
  </si>
  <si>
    <t>N/A: 5,8 Наличие документа о контроле качества сварных соединений (СГР) - 2019-12-10</t>
  </si>
  <si>
    <t>Святослав Грохольский: Изменена дата начала на 10.12.2019</t>
  </si>
  <si>
    <t>Святослав Грохольский: Блок 3.1, балка кровли, монтаж узлов на земле,  узлы №196; 197; 200; 201</t>
  </si>
  <si>
    <t>Yes: 2.1 Отклонения отметок опорных поверхностей колонн и опор от проектных не более 5 мм., опорных узлов не более 10 мм. (СГР) - 2019-12-13</t>
  </si>
  <si>
    <t>Yes: 2.2 Смещение осей колонн и опор относительно разбивочных осей в опорном сечении не более 5 мм. (СГР) - 2019-12-13</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</si>
  <si>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- 2019-12-13</t>
  </si>
  <si>
    <t>Yes: 2.4 Стрела прогиба (кривизна) конструкции между точками закрепления не более 15 мм (СГР) - 2019-12-13</t>
  </si>
  <si>
    <t>Yes: 2.5 Смещение ферм, балок ригелей от осей на оголовках колонн из плоскости рамы не более 15 мм. (СГР) - 2019-12-13</t>
  </si>
  <si>
    <t>Yes: 2.6 Отклонений расстояний между прогонами не более 5 мм. от проектных (СГР) - 2019-12-13</t>
  </si>
  <si>
    <t>Yes: 3.1 Момент затяжки обычных и высокопрочных болтов соответствует проекту. Зазоры в месте стыков отсутствуют (СГР) - 2019-12-13</t>
  </si>
  <si>
    <t>N/A: 3.2 Заводское покрытие элементов конструкций восстановлено (при повреждении в процессе монтажа) (СГР) - 2019-12-13</t>
  </si>
  <si>
    <t>N/A: 3.3 Выполнена окраска всех болтов и стыков в соответствии с проектом (СГР) - 2019-12-13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</si>
  <si>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- 2019-12-13</t>
  </si>
  <si>
    <t>Yes: 5,1 Наличие записи в журнале производства работ (СГР) - 2019-12-13</t>
  </si>
  <si>
    <t>Yes: 5,2 Наличие записи в журнале выполнения монтажных соединений на болтах с контролируемым натяжением (СГР) - 2019-12-13</t>
  </si>
  <si>
    <t>Yes: 5,3 Наличие записи в журнале сварочных работ (СГР) - 2019-12-13</t>
  </si>
  <si>
    <t>Yes: 5,4 Наличие записи в журнале работ по монтажу строительных конструкций (СГР) - 2019-12-13</t>
  </si>
  <si>
    <t>N/A: 5,5 Наличие акта освидетельствования скрытых работ (СГР) - 2019-12-13</t>
  </si>
  <si>
    <t>N/A: 5,6 Наличие акта освидетельствования ответственных конструкций (СГР) - 2019-12-13</t>
  </si>
  <si>
    <t>Yes: 5,7 Наличие исполнительной геодезической схемы положения конструкций (СГР) - 2019-12-13</t>
  </si>
  <si>
    <t>Yes: 5,8 Наличие документа о контроле качества сварных соединений (СГР) - 2019-12-13</t>
  </si>
  <si>
    <t>Святослав Грохольский: Блок 1 (усм), прогоны, узлы №275; 293; 342; 341; 292,  отм.+64.050 колонна №6 (сварка)</t>
  </si>
  <si>
    <t>Святослав Грохольский: Изменена дата начала на 13.12.2019</t>
  </si>
  <si>
    <t>Святослав Грохольский: Блок 2.1 (бэс), отм.+8.050/+22.060, узлы  с №1 по №79.</t>
  </si>
  <si>
    <t>Святослав Грохольский: Изменена дата начала на 12.11.2019</t>
  </si>
  <si>
    <t>Святослав Грохольский: Тип 11, в осях Л-Н вдоль оси 13/1 с отм.+8.370</t>
  </si>
  <si>
    <t>Yes: 2.1 Отклонения отметок опорных поверхностей колонн и опор от проектных не более 5 мм., опорных узлов не более 10 мм. (СГР) - 2019-11-12</t>
  </si>
  <si>
    <t>Yes: 2.2 Смещение осей колонн и опор относительно разбивочных осей в опорном сечении не более 5 мм. (СГР) - 2019-11-12</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</si>
  <si>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- 2019-11-12</t>
  </si>
  <si>
    <t>Yes: 2.4 Стрела прогиба (кривизна) конструкции между точками закрепления не более 15 мм (СГР) - 2019-11-12</t>
  </si>
  <si>
    <t>Yes: 2.5 Смещение ферм, балок ригелей от осей на оголовках колонн из плоскости рамы не более 15 мм. (СГР) - 2019-11-12</t>
  </si>
  <si>
    <t>Yes: 2.6 Отклонений расстояний между прогонами не более 5 мм. от проектных (СГР) - 2019-11-12</t>
  </si>
  <si>
    <t>Yes: 3.1 Момент затяжки обычных и высокопрочных болтов соответствует проекту. Зазоры в месте стыков отсутствуют (СГР) - 2019-11-12</t>
  </si>
  <si>
    <t>N/A: 3.2 Заводское покрытие элементов конструкций восстановлено (при повреждении в процессе монтажа) (СГР) - 2019-11-12</t>
  </si>
  <si>
    <t>N/A: 3.3 Выполнена окраска всех болтов и стыков в соответствии с проектом (СГР) - 2019-11-12</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</si>
  <si>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- 2019-11-12</t>
  </si>
  <si>
    <t>Yes: 5,1 Наличие записи в журнале производства работ (СГР) - 2019-11-12</t>
  </si>
  <si>
    <t>Yes: 5,2 Наличие записи в журнале выполнения монтажных соединений на болтах с контролируемым натяжением (СГР) - 2019-11-12</t>
  </si>
  <si>
    <t>N/A: 5,3 Наличие записи в журнале сварочных работ (СГР) - 2019-11-12</t>
  </si>
  <si>
    <t>Yes: 5,4 Наличие записи в журнале работ по монтажу строительных конструкций (СГР) - 2019-11-12</t>
  </si>
  <si>
    <t>N/A: 5,5 Наличие акта освидетельствования скрытых работ (СГР) - 2019-11-12</t>
  </si>
  <si>
    <t>N/A: 5,6 Наличие акта освидетельствования ответственных конструкций (СГР) - 2019-11-12</t>
  </si>
  <si>
    <t>Yes: 5,7 Наличие исполнительной геодезической схемы положения конструкций (СГР) - 2019-11-12</t>
  </si>
  <si>
    <t>N/A: 5,8 Наличие документа о контроле качества сварных соединений (СГР) - 2019-11-12</t>
  </si>
  <si>
    <t>Святослав Грохольский: Блок 1, узлы кровли №507;516;520;524;528;716.   Блок 2.2, прогоны 43;182;594;53-56;79;80;83-90;95;96;101;102;105;464-466;101;136;138.</t>
  </si>
  <si>
    <t>Монтаж кронштейнов фасадной системы</t>
  </si>
  <si>
    <t>Святослав Грохольский: Изменена дата начала на 03.01.2020</t>
  </si>
  <si>
    <t>Святослав Грохольский: Заголовок изменен на Монтаж кронштейнов фасадной системы</t>
  </si>
  <si>
    <t xml:space="preserve">Святослав Грохольский: АНК-35 (9 штук), АНК-50 (2 штуки), 
в осях 10/1-12/1 вдоль оси 1/Б, на отм. +16.650 </t>
  </si>
  <si>
    <t>Святослав Грохольский: АНК-35 (2 штуки), АНК-36 (5 штук), АНК-53 (1 штука)
в осях 9/1-11/1 вдоль оси 1/Б на отм.+16.650</t>
  </si>
  <si>
    <t>Святослав Грохольский: АНК-28 (6 штук)
в осях 8/3-9/1 вдоль оси 1/Б, на отм.+16.650</t>
  </si>
  <si>
    <t>Святослав Грохольский: АНК-42 (12 штук)
в осях 10/1-12/1  вдоль оси 1/Б, на отм.+13.090</t>
  </si>
  <si>
    <t>Святослав Грохольский: Балки крестообразные, сборка и окраска на земле,
(Ленмонтаж), узлы №188; 189;192; 193; 196; 197; 200; 201</t>
  </si>
  <si>
    <t>Святослав Грохольский: Блок 1 (Уралстальмонтаж), покраска прогонов, 
узлы №183-191; 222-237; 268-276.</t>
  </si>
  <si>
    <t>Святослав Грохольский: Изменена дата начала на 14.12.2019</t>
  </si>
  <si>
    <t>Святослав Грохольский: Блок 1 (А1), Тип-12 в осях В-Д вдоль оси 1,
с отм.+4.170 до отм.+8.370 (3 штуки).
Блок 2 (В1), Тип-11 в осях Н-П вдоль оси 15/1,
с отм.+12.570 до отм. +14.173 (4 штуки).
Блок 3 (В2), Тип-3 в осях 24-26 вдоль оси 13/Б,
с отм.+12.682 до отм.+16.667 (6 штук).</t>
  </si>
  <si>
    <t>Монтаж распорки между блоками 2.1 и 2.2</t>
  </si>
  <si>
    <t>N/A: 2.1 Отклонения отметок опорных поверхностей колонн и опор от проектных не более 5 мм., опорных узлов не более 10 мм. (СГР) - 2019-12-14</t>
  </si>
  <si>
    <t>N/A: 2.2 Смещение осей колонн и опор относительно разбивочных осей в опорном сечении не более 5 мм. (СГР) - 2019-12-14</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</si>
  <si>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- 2019-12-14</t>
  </si>
  <si>
    <t>Yes: 2.4 Стрела прогиба (кривизна) конструкции между точками закрепления не более 15 мм (СГР) - 2019-12-14</t>
  </si>
  <si>
    <t>Yes: 2.5 Смещение ферм, балок ригелей от осей на оголовках колонн из плоскости рамы не более 15 мм. (СГР) - 2019-12-14</t>
  </si>
  <si>
    <t>N/A: 2.6 Отклонений расстояний между прогонами не более 5 мм. от проектных (СГР) - 2019-12-14</t>
  </si>
  <si>
    <t>Yes: 3.1 Момент затяжки обычных и высокопрочных болтов соответствует проекту. Зазоры в месте стыков отсутствуют (СГР) - 2019-12-14</t>
  </si>
  <si>
    <t>N/A: 3.2 Заводское покрытие элементов конструкций восстановлено (при повреждении в процессе монтажа) (СГР) - 2019-12-14</t>
  </si>
  <si>
    <t>N/A: 3.3 Выполнена окраска всех болтов и стыков в соответствии с проектом (СГР) - 2019-12-14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</si>
  <si>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- 2019-12-14</t>
  </si>
  <si>
    <t>Yes: 5,1 Наличие записи в журнале производства работ (СГР) - 2019-12-14</t>
  </si>
  <si>
    <t>N/A: 5,2 Наличие записи в журнале выполнения монтажных соединений на болтах с контролируемым натяжением (СГР) - 2019-12-14</t>
  </si>
  <si>
    <t>N/A: 5,3 Наличие записи в журнале сварочных работ (СГР) - 2019-12-14</t>
  </si>
  <si>
    <t>Yes: 5,4 Наличие записи в журнале работ по монтажу строительных конструкций (СГР) - 2019-12-14</t>
  </si>
  <si>
    <t>N/A: 5,5 Наличие акта освидетельствования скрытых работ (СГР) - 2019-12-14</t>
  </si>
  <si>
    <t>N/A: 5,6 Наличие акта освидетельствования ответственных конструкций (СГР) - 2019-12-14</t>
  </si>
  <si>
    <t>Yes: 5,7 Наличие исполнительной геодезической схемы положения конструкций (СГР) - 2019-12-14</t>
  </si>
  <si>
    <t>N/A: 5,8 Наличие документа о контроле качества сварных соединений (СГР) - 2019-12-14</t>
  </si>
  <si>
    <t>Святослав Грохольский: Заголовок изменен на Монтаж распорки между блоками 2.1 и 2.2</t>
  </si>
  <si>
    <t>Святослав Грохольский: Блок В1 - блок 2, ТИП-4 (1 штука), 
в осях 19/1-20/1 / Л-Н, отм. +12.570/+16.770</t>
  </si>
  <si>
    <t>Святослав Грохольский: Блок 1 - (А1), ТИП-4 (1 штука),
в осях Л-Н вдоль оси 1, отм.+41.970/+46.170</t>
  </si>
  <si>
    <t>Святослав Грохольский: Блок 1 - (А1), ТИП-2 (1 штука),
в осях Р-С вдоль оси 6/1, отм +25.170/+29.370</t>
  </si>
  <si>
    <t>Святослав Грохольский: Блок 1 - (А1), ТИП-2 (1 штука),
в осях Р-Т вдоль оси 7, отм.+21.818/+25.170</t>
  </si>
  <si>
    <t>Святослав Грохольский: Блок 1 - (А1), ТИП-02 (1 штука),
в осях Н-Р вдоль оси 6/1, отм.+29.370/+33.570</t>
  </si>
  <si>
    <t>Святослав Грохольский: Блок 1(усм), узлы №16;203;226;227;489;492;499;499/1;502/1;515. прогоны №16-21;44-49;65-69;86-90;6;35;190;223.   Блок 2.2, узлы кровли №93;94;155;156;165;166;595;596, отм.+37 №89;94;102, отм.+41 №133;134;143, фасадные узлы отм.+6.900 в/о 10-13/И-Д №36;37;38;39;43;44.</t>
  </si>
  <si>
    <t>Yes: 2.1 Отклонения отметок опорных поверхностей колонн и опор от проектных не более 5 мм., опорных узлов не более 10 мм. (СГР) - 2020-01-23</t>
  </si>
  <si>
    <t>Yes: 2.2 Смещение осей колонн и опор относительно разбивочных осей в опорном сечении не более 5 мм. (СГР) - 2020-01-23</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</si>
  <si>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- 2020-01-23</t>
  </si>
  <si>
    <t>Yes: 2.4 Стрела прогиба (кривизна) конструкции между точками закрепления не более 15 мм (СГР) - 2020-01-23</t>
  </si>
  <si>
    <t>Yes: 2.5 Смещение ферм, балок ригелей от осей на оголовках колонн из плоскости рамы не более 15 мм. (СГР) - 2020-01-23</t>
  </si>
  <si>
    <t>N/A: 2.6 Отклонений расстояний между прогонами не более 5 мм. от проектных (СГР) - 2020-01-23</t>
  </si>
  <si>
    <t>Yes: 3.1 Момент затяжки обычных и высокопрочных болтов соответствует проекту. Зазоры в месте стыков отсутствуют (СГР) - 2020-01-23</t>
  </si>
  <si>
    <t>N/A: 3.2 Заводское покрытие элементов конструкций восстановлено (при повреждении в процессе монтажа) (СГР) - 2020-01-23</t>
  </si>
  <si>
    <t>N/A: 3.3 Выполнена окраска всех болтов и стыков в соответствии с проектом (СГР) - 2020-01-23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</si>
  <si>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- 2020-01-23</t>
  </si>
  <si>
    <t>Yes: 5,1 Наличие записи в журнале производства работ (СГР) - 2020-01-23</t>
  </si>
  <si>
    <t>Yes: 5,2 Наличие записи в журнале выполнения монтажных соединений на болтах с контролируемым натяжением (СГР) - 2020-01-23</t>
  </si>
  <si>
    <t>N/A: 5,3 Наличие записи в журнале сварочных работ (СГР) - 2020-01-23</t>
  </si>
  <si>
    <t>Yes: 5,4 Наличие записи в журнале работ по монтажу строительных конструкций (СГР) - 2020-01-23</t>
  </si>
  <si>
    <t>N/A: 5,5 Наличие акта освидетельствования скрытых работ (СГР) - 2020-01-23</t>
  </si>
  <si>
    <t>N/A: 5,6 Наличие акта освидетельствования ответственных конструкций (СГР) - 2020-01-23</t>
  </si>
  <si>
    <t>Yes: 5,7 Наличие исполнительной геодезической схемы положения конструкций (СГР) - 2020-01-23</t>
  </si>
  <si>
    <t>N/A: 5,8 Наличие документа о контроле качества сварных соединений (СГР) - 2020-01-23</t>
  </si>
  <si>
    <t>Святослав Грохольский: Блок 1 (УСМ), отметка +58.450/+62.650
Узлы с контролем натяжения: №165, 119, 140 (балки) №18 (колонна).
Узлы без контроля натяжения: №162, 163, 164, 166, 168, 169, 120, 97, 147, 146, 144, 140</t>
  </si>
  <si>
    <t>Святослав Грохольский: Заголовок изменен на Ус</t>
  </si>
  <si>
    <t xml:space="preserve">Святослав Грохольский: Блок 1 (А1), ТИП-08 в осях 6-7 вдоль оси 3/А, отм.+20.970/25.170.   ТИП-06 в осях В-Д вдоль оси 7, отм.+20.970/25.170. </t>
  </si>
  <si>
    <t>Святослав Грохольский: Изменена дата начала на 16.11.2019</t>
  </si>
  <si>
    <t>Yes: 2.1 Отклонения отметок опорных поверхностей колонн и опор от проектных не более 5 мм., опорных узлов не более 10 мм. (СГР) - 2019-11-16</t>
  </si>
  <si>
    <t>Yes: 2.2 Смещение осей колонн и опор относительно разбивочных осей в опорном сечении не более 5 мм. (СГР) - 2019-11-16</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</si>
  <si>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- 2019-11-16</t>
  </si>
  <si>
    <t>Yes: 2.4 Стрела прогиба (кривизна) конструкции между точками закрепления не более 15 мм (СГР) - 2019-11-16</t>
  </si>
  <si>
    <t>Yes: 2.5 Смещение ферм, балок ригелей от осей на оголовках колонн из плоскости рамы не более 15 мм. (СГР) - 2019-11-16</t>
  </si>
  <si>
    <t>Yes: 2.6 Отклонений расстояний между прогонами не более 5 мм. от проектных (СГР) - 2019-11-16</t>
  </si>
  <si>
    <t>Yes: 3.1 Момент затяжки обычных и высокопрочных болтов соответствует проекту. Зазоры в месте стыков отсутствуют (СГР) - 2019-11-16</t>
  </si>
  <si>
    <t>N/A: 3.2 Заводское покрытие элементов конструкций восстановлено (при повреждении в процессе монтажа) (СГР) - 2019-11-16</t>
  </si>
  <si>
    <t>N/A: 3.3 Выполнена окраска всех болтов и стыков в соответствии с проектом (СГР) - 2019-11-16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</si>
  <si>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- 2019-11-16</t>
  </si>
  <si>
    <t>Yes: 5,1 Наличие записи в журнале производства работ (СГР) - 2019-11-16</t>
  </si>
  <si>
    <t>Yes: 5,2 Наличие записи в журнале выполнения монтажных соединений на болтах с контролируемым натяжением (СГР) - 2019-11-16</t>
  </si>
  <si>
    <t>N/A: 5,3 Наличие записи в журнале сварочных работ (СГР) - 2019-11-16</t>
  </si>
  <si>
    <t>Yes: 5,4 Наличие записи в журнале работ по монтажу строительных конструкций (СГР) - 2019-11-16</t>
  </si>
  <si>
    <t>N/A: 5,5 Наличие акта освидетельствования скрытых работ (СГР) - 2019-11-16</t>
  </si>
  <si>
    <t>Yes: 5,6 Наличие акта освидетельствования ответственных конструкций (СГР) - 2019-11-16</t>
  </si>
  <si>
    <t>Yes: 5,7 Наличие исполнительной геодезической схемы положения конструкций (СГР) - 2019-11-16</t>
  </si>
  <si>
    <t>N/A: 5,8 Наличие документа о контроле качества сварных соединений (СГР) - 2019-11-16</t>
  </si>
  <si>
    <t>Святослав Грохольский: Блок 1 (усм), узлы кровли №598;601;606;607;609;611;618.   Блок 2.2 (лм), кровля №116;117;120;121;124;174, отм.+41 №119;121.</t>
  </si>
  <si>
    <t>Армирование и опалубка парапета. КПП2</t>
  </si>
  <si>
    <t>Святослав Грохольский: Заголовок изменен на Армирование и опалубка парапета</t>
  </si>
  <si>
    <t>Святослав Грохольский: Заголовок изменен на Армирование и опалубка парапета. КПП2</t>
  </si>
  <si>
    <t>Святослав Грохольский: КПП2. Парапет Прм-4а, в осях 13/Б-К вдоль оси 34/1 на отм.-0.650</t>
  </si>
  <si>
    <t>Святослав Грохольский: Бетонирование разрешено.</t>
  </si>
  <si>
    <t>Yes: 2.1 Отклонения отметок опорных поверхностей колонн и опор от проектных не более 5 мм., опорных узлов не более 10 мм. (СГР) - 2019-11-17</t>
  </si>
  <si>
    <t>Yes: 2.2 Смещение осей колонн и опор относительно разбивочных осей в опорном сечении не более 5 мм. (СГР) - 2019-11-17</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</si>
  <si>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- 2019-11-17</t>
  </si>
  <si>
    <t>Yes: 2.4 Стрела прогиба (кривизна) конструкции между точками закрепления не более 15 мм (СГР) - 2019-11-17</t>
  </si>
  <si>
    <t>Yes: 2.5 Смещение ферм, балок ригелей от осей на оголовках колонн из плоскости рамы не более 15 мм. (СГР) - 2019-11-17</t>
  </si>
  <si>
    <t>Yes: 2.6 Отклонений расстояний между прогонами не более 5 мм. от проектных (СГР) - 2019-11-17</t>
  </si>
  <si>
    <t>Yes: 3.1 Момент затяжки обычных и высокопрочных болтов соответствует проекту. Зазоры в месте стыков отсутствуют (СГР) - 2019-11-17</t>
  </si>
  <si>
    <t>N/A: 3.2 Заводское покрытие элементов конструкций восстановлено (при повреждении в процессе монтажа) (СГР) - 2019-11-17</t>
  </si>
  <si>
    <t>N/A: 3.3 Выполнена окраска всех болтов и стыков в соответствии с проектом (СГР) - 2019-11-17</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</si>
  <si>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- 2019-11-17</t>
  </si>
  <si>
    <t>Yes: 5,1 Наличие записи в журнале производства работ (СГР) - 2019-11-17</t>
  </si>
  <si>
    <t>Yes: 5,2 Наличие записи в журнале выполнения монтажных соединений на болтах с контролируемым натяжением (СГР) - 2019-11-17</t>
  </si>
  <si>
    <t>N/A: 5,3 Наличие записи в журнале сварочных работ (СГР) - 2019-11-17</t>
  </si>
  <si>
    <t>Yes: 5,4 Наличие записи в журнале работ по монтажу строительных конструкций (СГР) - 2019-11-17</t>
  </si>
  <si>
    <t>N/A: 5,5 Наличие акта освидетельствования скрытых работ (СГР) - 2019-11-17</t>
  </si>
  <si>
    <t>Yes: 5,6 Наличие акта освидетельствования ответственных конструкций (СГР) - 2019-11-17</t>
  </si>
  <si>
    <t>Yes: 5,7 Наличие исполнительной геодезической схемы положения конструкций (СГР) - 2019-11-17</t>
  </si>
  <si>
    <t>N/A: 5,8 Наличие документа о контроле качества сварных соединений (СГР) - 2019-11-17</t>
  </si>
  <si>
    <t>Святослав Грохольский: Блок 1 (усм), узлы кровли №209;210;225;521;608.    Блок 2.2 (лм), узлы кровли №93;98;107-115;448;449.</t>
  </si>
  <si>
    <t>Герметизация и окраска монтажных стыков.</t>
  </si>
  <si>
    <t>N/A: 2.1 Отклонения отметок опорных поверхностей колонн и опор от проектных не более 5 мм., опорных узлов не более 10 мм. (СГР) - 2019-11-17</t>
  </si>
  <si>
    <t>N/A: 2.2 Смещение осей колонн и опор относительно разбивочных осей в опорном сечении не более 5 мм. (СГР) - 2019-11-17</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</si>
  <si>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- 2019-11-17</t>
  </si>
  <si>
    <t>N/A: 2.4 Стрела прогиба (кривизна) конструкции между точками закрепления не более 15 мм (СГР) - 2019-11-17</t>
  </si>
  <si>
    <t>N/A: 2.5 Смещение ферм, балок ригелей от осей на оголовках колонн из плоскости рамы не более 15 мм. (СГР) - 2019-11-17</t>
  </si>
  <si>
    <t>N/A: 2.6 Отклонений расстояний между прогонами не более 5 мм. от проектных (СГР) - 2019-11-17</t>
  </si>
  <si>
    <t>N/A: 3.1 Момент затяжки обычных и высокопрочных болтов соответствует проекту. Зазоры в месте стыков отсутствуют (СГР) - 2019-11-17</t>
  </si>
  <si>
    <t>Yes: 3.2 Заводское покрытие элементов конструкций восстановлено (при повреждении в процессе монтажа) (СГР) - 2019-11-17</t>
  </si>
  <si>
    <t>Yes: 3.3 Выполнена окраска всех болтов и стыков в соответствии с проектом (СГР) - 2019-11-17</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</si>
  <si>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- 2019-11-17</t>
  </si>
  <si>
    <t>N/A: 5,2 Наличие записи в журнале выполнения монтажных соединений на болтах с контролируемым натяжением (СГР) - 2019-11-17</t>
  </si>
  <si>
    <t>N/A: 5,4 Наличие записи в журнале работ по монтажу строительных конструкций (СГР) - 2019-11-17</t>
  </si>
  <si>
    <t>N/A: 5,6 Наличие акта освидетельствования ответственных конструкций (СГР) - 2019-11-17</t>
  </si>
  <si>
    <t>N/A: 5,7 Наличие исполнительной геодезической схемы положения конструкций (СГР) - 2019-11-17</t>
  </si>
  <si>
    <t>Святослав Грохольский: Заголовок изменен на Герметизация и окраска монтажных стыков.</t>
  </si>
  <si>
    <t>Святослав Грохольский: Блок 2.2, кровля, №25;34-45;69;84;85;99-101;173;175;176.</t>
  </si>
  <si>
    <t>Ферма внутреннего двора (затяжка, покраска)</t>
  </si>
  <si>
    <t>N/A: 2.1 Отклонения отметок опорных поверхностей колонн и опор от проектных не более 5 мм., опорных узлов не более 10 мм. (СГР) - 2020-02-03</t>
  </si>
  <si>
    <t>N/A: 2.2 Смещение осей колонн и опор относительно разбивочных осей в опорном сечении не более 5 мм. (СГР) - 2020-02-03</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</si>
  <si>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- 2020-02-03</t>
  </si>
  <si>
    <t>Yes: 2.4 Стрела прогиба (кривизна) конструкции между точками закрепления не более 15 мм (СГР) - 2020-02-03</t>
  </si>
  <si>
    <t>Yes: 2.5 Смещение ферм, балок ригелей от осей на оголовках колонн из плоскости рамы не более 15 мм. (СГР) - 2020-02-03</t>
  </si>
  <si>
    <t>N/A: 2.6 Отклонений расстояний между прогонами не более 5 мм. от проектных (СГР) - 2020-02-03</t>
  </si>
  <si>
    <t>Yes: 3.1 Момент затяжки обычных и высокопрочных болтов соответствует проекту. Зазоры в месте стыков отсутствуют (СГР) - 2020-02-03</t>
  </si>
  <si>
    <t>Yes: 3.2 Заводское покрытие элементов конструкций восстановлено (при повреждении в процессе монтажа) (СГР) - 2020-02-03</t>
  </si>
  <si>
    <t>Yes: 3.3 Выполнена окраска всех болтов и стыков в соответствии с проектом (СГР) - 2020-02-03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</si>
  <si>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- 2020-02-03</t>
  </si>
  <si>
    <t>Yes: 5,1 Наличие записи в журнале производства работ (СГР) - 2020-02-03</t>
  </si>
  <si>
    <t>N/A: 5,2 Наличие записи в журнале выполнения монтажных соединений на болтах с контролируемым натяжением (СГР) - 2020-02-03</t>
  </si>
  <si>
    <t>N/A: 5,3 Наличие записи в журнале сварочных работ (СГР) - 2020-02-03</t>
  </si>
  <si>
    <t>N/A: 5,4 Наличие записи в журнале работ по монтажу строительных конструкций (СГР) - 2020-02-03</t>
  </si>
  <si>
    <t>N/A: 5,5 Наличие акта освидетельствования скрытых работ (СГР) - 2020-02-03</t>
  </si>
  <si>
    <t>N/A: 5,6 Наличие акта освидетельствования ответственных конструкций (СГР) - 2020-02-03</t>
  </si>
  <si>
    <t>N/A: 5,7 Наличие исполнительной геодезической схемы положения конструкций (СГР) - 2020-02-03</t>
  </si>
  <si>
    <t>N/A: 5,8 Наличие документа о контроле качества сварных соединений (СГР) - 2020-02-03</t>
  </si>
  <si>
    <t>Святослав Грохольский: Заголовок изменен на Ферма внутреннего двора (затяжка, покраска)</t>
  </si>
  <si>
    <t>Святослав Грохольский: Изменена дата начала на 03.02.2020</t>
  </si>
  <si>
    <t>Святослав Грохольский: Контроль сборки фермы перед монтажом. 
После контроля затяжки узлов проведено 
окрашивание поврежденных поверхностей.</t>
  </si>
  <si>
    <t>ПС-15. Армирование, опалубка, бетон.</t>
  </si>
  <si>
    <t>Святослав Грохольский: Заголовок изменен на ПС-15. Армирование, опалубка, бетон.</t>
  </si>
  <si>
    <t>Святослав Грохольский: Армирование, опалубка, чистота основания, бетонирование.
Отметка -6.650, в осях Ф-Ш/1</t>
  </si>
  <si>
    <t>Монтаж М/К шахты лифта</t>
  </si>
  <si>
    <t>Святослав Грохольский: Заголовок изменен на Монтаж М/К шахты лифта</t>
  </si>
  <si>
    <t>Святослав Грохольский: Ядро 7. Монтаж металлоконструкций в лифтовых шахтах F2.23; P2.24, от уровня B2 до уровня L7. 
Проверка зазоров, затяжка ВПБ без контроля натяжения.</t>
  </si>
  <si>
    <t>Святослав Грохольский: Редактированный комментарий - "Ядро 7. Монтаж метал..."</t>
  </si>
  <si>
    <t>Блок 3. Плита перекрытия в осях 7/Б-9/Б / 30-31 на отм.- 0.250, на месте крана К8.</t>
  </si>
  <si>
    <t>Святослав Грохольский: Блок 3. Плита перекрытия в осях 7/Б-9/Б / 30-31 на отм.- 0.250, на месте крана К8.
Чистота основания, армирование, бетонирование.</t>
  </si>
  <si>
    <t>Святослав Грохольский: Редактированный комментарий - "Блок 3. Плита перекр..."</t>
  </si>
  <si>
    <t>Святослав Грохольский: Изменена дата начала на 04.02.2020</t>
  </si>
  <si>
    <t>СОФ 1</t>
  </si>
  <si>
    <t>N/A: 2.1 Отклонения отметок опорных поверхностей колонн и опор от проектных не более 5 мм., опорных узлов не более 10 мм. (СГР) - 2020-02-04</t>
  </si>
  <si>
    <t>N/A: 2.2 Смещение осей колонн и опор относительно разбивочных осей в опорном сечении не более 5 мм. (СГР) - 2020-02-04</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</si>
  <si>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- 2020-02-04</t>
  </si>
  <si>
    <t>Yes: 2.4 Стрела прогиба (кривизна) конструкции между точками закрепления не более 15 мм (СГР) - 2020-02-04</t>
  </si>
  <si>
    <t>N/A: 2.5 Смещение ферм, балок ригелей от осей на оголовках колонн из плоскости рамы не более 15 мм. (СГР) - 2020-02-04</t>
  </si>
  <si>
    <t>N/A: 2.6 Отклонений расстояний между прогонами не более 5 мм. от проектных (СГР) - 2020-02-04</t>
  </si>
  <si>
    <t>Yes: 3.1 Момент затяжки обычных и высокопрочных болтов соответствует проекту. Зазоры в месте стыков отсутствуют (СГР) - 2020-02-04</t>
  </si>
  <si>
    <t>Yes: 3.2 Заводское покрытие элементов конструкций восстановлено (при повреждении в процессе монтажа) (СГР) - 2020-02-04</t>
  </si>
  <si>
    <t>N/A: 3.3 Выполнена окраска всех болтов и стыков в соответствии с проектом (СГР) - 2020-02-04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</si>
  <si>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- 2020-02-04</t>
  </si>
  <si>
    <t>Yes: 5,1 Наличие записи в журнале производства работ (СГР) - 2020-02-04</t>
  </si>
  <si>
    <t>N/A: 5,2 Наличие записи в журнале выполнения монтажных соединений на болтах с контролируемым натяжением (СГР) - 2020-02-04</t>
  </si>
  <si>
    <t>Yes: 5,3 Наличие записи в журнале сварочных работ (СГР) - 2020-02-04</t>
  </si>
  <si>
    <t>Yes: 5,4 Наличие записи в журнале работ по монтажу строительных конструкций (СГР) - 2020-02-04</t>
  </si>
  <si>
    <t>N/A: 5,5 Наличие акта освидетельствования скрытых работ (СГР) - 2020-02-04</t>
  </si>
  <si>
    <t>N/A: 5,6 Наличие акта освидетельствования ответственных конструкций (СГР) - 2020-02-04</t>
  </si>
  <si>
    <t>Yes: 5,7 Наличие исполнительной геодезической схемы положения конструкций (СГР) - 2020-02-04</t>
  </si>
  <si>
    <t>Yes: 5,8 Наличие документа о контроле качества сварных соединений (СГР) - 2020-02-04</t>
  </si>
  <si>
    <t>Святослав Грохольский: Заголовок изменен на СОФ 1</t>
  </si>
  <si>
    <t>Святослав Грохольский: Блок 3. Монтаж рельсов и зубчатой рейки системы 
обслуживания фасадов (СОФ 1) в осях 1/Б-7/Б / 32/1-34/1</t>
  </si>
  <si>
    <t>Омоноличивание оголовков свай</t>
  </si>
  <si>
    <t>Святослав Грохольский: Заголовок изменен на Омоноличивание оголовков свай</t>
  </si>
  <si>
    <t>Святослав Грохольский: Сваи №1446;1449 в тоннеле ГО и ЧС,
 инжект-система смонтирована.</t>
  </si>
  <si>
    <t>Святослав Грохольский: Редактированный комментарий - "Сваи №1446;1449, в т..."</t>
  </si>
  <si>
    <t>Фундаментная плита ПС-10</t>
  </si>
  <si>
    <t>Святослав Грохольский: Заголовок изменен на Фундаментная плита ПС-10</t>
  </si>
  <si>
    <t>Святослав Грохольский: Армирование и опалубка фундаментной плиты ПС-10, на отм.-6.200, в осях Е-К / 1.
Бетонирование разрешено.</t>
  </si>
  <si>
    <t>Yes: 2.1 Отклонения отметок опорных поверхностей колонн и опор от проектных не более 5 мм., опорных узлов не более 10 мм. (СГР) - 2020-02-08</t>
  </si>
  <si>
    <t>Yes: 2.2 Смещение осей колонн и опор относительно разбивочных осей в опорном сечении не более 5 мм. (СГР) - 2020-02-08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</si>
  <si>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- 2020-02-08</t>
  </si>
  <si>
    <t>Yes: 2.4 Стрела прогиба (кривизна) конструкции между точками закрепления не более 15 мм (СГР) - 2020-02-08</t>
  </si>
  <si>
    <t>Yes: 2.5 Смещение ферм, балок ригелей от осей на оголовках колонн из плоскости рамы не более 15 мм. (СГР) - 2020-02-08</t>
  </si>
  <si>
    <t>Yes: 2.6 Отклонений расстояний между прогонами не более 5 мм. от проектных (СГР) - 2020-02-08</t>
  </si>
  <si>
    <t>Yes: 3.1 Момент затяжки обычных и высокопрочных болтов соответствует проекту. Зазоры в месте стыков отсутствуют (СГР) - 2020-02-08</t>
  </si>
  <si>
    <t>N/A: 3.2 Заводское покрытие элементов конструкций восстановлено (при повреждении в процессе монтажа) (СГР) - 2020-02-08</t>
  </si>
  <si>
    <t>N/A: 3.3 Выполнена окраска всех болтов и стыков в соответствии с проектом (СГР) - 2020-02-08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</si>
  <si>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- 2020-02-08</t>
  </si>
  <si>
    <t>Yes: 5,1 Наличие записи в журнале производства работ (СГР) - 2020-02-08</t>
  </si>
  <si>
    <t>Yes: 5,2 Наличие записи в журнале выполнения монтажных соединений на болтах с контролируемым натяжением (СГР) - 2020-02-08</t>
  </si>
  <si>
    <t>N/A: 5,3 Наличие записи в журнале сварочных работ (СГР) - 2020-02-08</t>
  </si>
  <si>
    <t>Yes: 5,4 Наличие записи в журнале работ по монтажу строительных конструкций (СГР) - 2020-02-08</t>
  </si>
  <si>
    <t>N/A: 5,5 Наличие акта освидетельствования скрытых работ (СГР) - 2020-02-08</t>
  </si>
  <si>
    <t>N/A: 5,6 Наличие акта освидетельствования ответственных конструкций (СГР) - 2020-02-08</t>
  </si>
  <si>
    <t>Yes: 5,7 Наличие исполнительной геодезической схемы положения конструкций (СГР) - 2020-02-08</t>
  </si>
  <si>
    <t>N/A: 5,8 Наличие документа о контроле качества сварных соединений (СГР) - 2020-02-08</t>
  </si>
  <si>
    <t>Святослав Грохольский: Блок 1, кровля, узлы №161;192;198;564;567;575;576;715.</t>
  </si>
  <si>
    <t>Установка стеклопакетов</t>
  </si>
  <si>
    <t>Святослав Грохольский: Заголовок изменен на Установка стеклопакетов</t>
  </si>
  <si>
    <t xml:space="preserve">Святослав Грохольский: Блок Б2 (С). Тип-11 в осях 15/1-16 
вдоль оси 2/В, отм.+8.370/+12.503 (рама без стекла, 1шт.)
Блок Б2 (С). Тип-11 в осях Т-Ф вдоль оси 3/В
отм.+8.370/+12.987, (6 штук)
Блок Б2 (С). Тип-11 в осях Д-И вдоль оси 13
отм.+12.570/+16.974 (5 штук)
Блок Б2 (С), Тип-11 в осях Д-И вдоль оси 13
отм.+16.272/+18.340 (5 штук)
</t>
  </si>
  <si>
    <t>Святослав Грохольский: Армирование, чистота основания, опалубка
в осях 3-5 / 9/1-10/1 на отм.+12.450
Бетонирование разрешено.</t>
  </si>
  <si>
    <t>Святослав Грохольский: Редактированный комментарий - "Армирование, чистота..."</t>
  </si>
  <si>
    <t>Монолитные стены</t>
  </si>
  <si>
    <t>Святослав Грохольский: Заголовок изменен на Монолитные стены</t>
  </si>
  <si>
    <t>Святослав Грохольский: 1) Опалубка Стм. 2.87; 2.88 в осях Ш-Ш/2 / 1Б, отм.-4.400
Бетонирование разрешено.
2) Армирование, чистота основания Стм. 2.82; 2.83; 2.84; 2.85
 в осях Ш/3-Ш/4 / 1Б , отм.-4.400
Установка опалубки разрешена.</t>
  </si>
  <si>
    <t>Святослав Грохольский: Редактированный комментарий - "1) Опалубка Стм. 2.8..."</t>
  </si>
  <si>
    <t>Святослав Грохольский: Дата начала изменена на февр. 8, 2020</t>
  </si>
  <si>
    <t>Святослав Грохольский: Дата окончания изменена на февр. 9, 2020</t>
  </si>
  <si>
    <t>Святослав Грохольский: Блок Б2 (С), тип-11, в осях Д-И
вдоль оси 13, отм.+16.272/+18.810 (3 штуки)</t>
  </si>
  <si>
    <t>N/A: 2.1 Отклонения отметок опорных поверхностей колонн и опор от проектных не более 5 мм., опорных узлов не более 10 мм. (СГР) - 2020-01-15</t>
  </si>
  <si>
    <t>N/A: 2.2 Смещение осей колонн и опор относительно разбивочных осей в опорном сечении не более 5 мм. (СГР) - 2020-01-15</t>
  </si>
  <si>
    <t>N/A: 2.3 Отклонение осей колонн от вертикали в верхнем сечении: при длине колонн от 4000 до 8000 мм - не более 10 мм; при длине колонн от 8000 до 16000 мм - не более 12 мм. (СГР) - 2020-01-15</t>
  </si>
  <si>
    <t>Yes: 2.4 Стрела прогиба (кривизна) конструкции между точками закрепления не более 15 мм (СГР) - 2020-01-15</t>
  </si>
  <si>
    <t>N/A: 2.5 Смещение ферм, балок ригелей от осей на оголовках колонн из плоскости рамы не более 15 мм. (СГР) - 2020-01-15</t>
  </si>
  <si>
    <t>N/A: 2.6 Отклонений расстояний между прогонами не более 5 мм. от проектных (СГР) - 2020-01-15</t>
  </si>
  <si>
    <t>Yes: 3.1 Момент затяжки обычных и высокопрочных болтов соответствует проекту. Зазоры в месте стыков отсутствуют (СГР) - 2020-01-15</t>
  </si>
  <si>
    <t>Yes: 3.2 Заводское покрытие элементов конструкций восстановлено (при повреждении в процессе монтажа) (СГР) - 2020-01-15</t>
  </si>
  <si>
    <t>Yes: 3.3 Выполнена окраска всех болтов и стыков в соответствии с проектом (СГР) - 2020-01-15</t>
  </si>
  <si>
    <t>N/A: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(СГР) - 2020-01-15</t>
  </si>
  <si>
    <t>Yes: 5,1 Наличие записи в журнале производства работ (СГР) - 2020-01-15</t>
  </si>
  <si>
    <t>N/A: 5,2 Наличие записи в журнале выполнения монтажных соединений на болтах с контролируемым натяжением (СГР) - 2020-01-15</t>
  </si>
  <si>
    <t>N/A: 5,3 Наличие записи в журнале сварочных работ (СГР) - 2020-01-15</t>
  </si>
  <si>
    <t>Yes: 5,4 Наличие записи в журнале работ по монтажу строительных конструкций (СГР) - 2020-01-15</t>
  </si>
  <si>
    <t>N/A: 5,5 Наличие акта освидетельствования скрытых работ (СГР) - 2020-01-15</t>
  </si>
  <si>
    <t>N/A: 5,6 Наличие акта освидетельствования ответственных конструкций (СГР) - 2020-01-15</t>
  </si>
  <si>
    <t>Yes: 5,7 Наличие исполнительной геодезической схемы положения конструкций (СГР) - 2020-01-15</t>
  </si>
  <si>
    <t>N/A: 5,8 Наличие документа о контроле качества сварных соединений (СГР) - 2020-01-15</t>
  </si>
  <si>
    <t>Святослав Грохольский: Монтаж лотков и затяжка болтов в осях У-С вдоль оси 28</t>
  </si>
  <si>
    <t xml:space="preserve">Святослав Грохольский: Блок 2.1, в осях В-Л вдоль оси 13, 
отметка +8.250/+18.373
</t>
  </si>
  <si>
    <t>Святослав Грохольский: Изменена дата начала на 16.01.2020</t>
  </si>
  <si>
    <t>Святослав Грохольский: Удалено вложение</t>
  </si>
  <si>
    <t>Опалубка и бетонирование КПП2</t>
  </si>
  <si>
    <t>Святослав Грохольский: Заголовок изменен на Опалубка и бетонирование КПП2</t>
  </si>
  <si>
    <t>Святослав Грохольский: Изменена дата начала на 19.01.2020</t>
  </si>
  <si>
    <t>Святослав Грохольский: КПП2, подпорная стена ПС-3, в осях Ф-Э / 1, 
на отметке -2.400. 
ИГС и паспорт на бетон предоставлены.</t>
  </si>
  <si>
    <t>Армирование, чистота, опалубка</t>
  </si>
  <si>
    <t>Святослав Грохольский: Заголовок изменен на Парапет ПРМ-1, ПРМ-7</t>
  </si>
  <si>
    <t>Святослав Грохольский: Заголовок изменен на Парапет Прм-1, Прм-7, Прм-8</t>
  </si>
  <si>
    <t>Святослав Грохольский: Заголовок изменен на Армирование, чистота, опалубка</t>
  </si>
  <si>
    <t>Святослав Грохольский: Парапеты Прм-1, Прм-7 в осях А-В / 13/1-15/1, отм.-0.500
армирование, чистота, опалубка.
Парапет крыльца Крм-8 в осях Н-П / 1, отм._4.350
армирование, чистота, опалубка.
Парапет в осях А.1-В.1 / 4.1 на отм._2.200
армирование, чистота, опалубка.
Бетонирование разрешено.</t>
  </si>
  <si>
    <t>Монтаж панелей и седлового уплотнителя Блок 1 .</t>
  </si>
  <si>
    <t>Вячеслав Сорокин: Заголовок изменен на Монтаж панелей и седлового уплотнителя блок 1</t>
  </si>
  <si>
    <t>Вячеслав Сорокин: Заголовок изменен на Монтаж панелей и седлового уплотнителя Блок 1 .</t>
  </si>
  <si>
    <t>Дефектная схема фасадной панели Блок А2-в/о 8-21/1/Б</t>
  </si>
  <si>
    <t>РК-РД-2-АР09.1-05.01-06</t>
  </si>
  <si>
    <t>Вячеслав Сорокин: Заголовок изменен на Дефектная</t>
  </si>
  <si>
    <t>Вячеслав Сорокин: Заголовок изменен на Дефектная схема фасадной панели Блок А2-в/о 8-21/1/Б</t>
  </si>
  <si>
    <t>Вячеслав Сорокин: Название категории изменено на Замечание фасады</t>
  </si>
  <si>
    <t>Вячеслав Сорокин: Сменить ответственное лицо на Фасад Renaissance</t>
  </si>
  <si>
    <t>Вячеслав Сорокин: Изменена дата завершения на 30.11.2019</t>
  </si>
  <si>
    <t>Вячеслав Сорокин: 23.11.2019 дефектовали фасадные панели. Результат: 6 сдали, 6 не сдали. Фотографии сделаны, правда не все. Очень трудно сфокусироваться на таких маленьких царапинах. Не судите строго. 
Подгрузил схему,  теперь можно делать пометки в виде фотографий прямо на ней.</t>
  </si>
  <si>
    <t>Монтаж фасадной панели в/о Д-И/15/1 с отм.+0,120.</t>
  </si>
  <si>
    <t>Вячеслав Сорокин: Заголовок изменен на Монтаж фасадной панели в/о Д-И/15/1 с отм.+0,120.</t>
  </si>
  <si>
    <t>Вячеслав Сорокин: Изменена дата начала на 02.01.2020</t>
  </si>
  <si>
    <t>Монтаж панелей фасада тип-11 в/о 3-5/28-30 с отм.+1,770 до отм. +18,365.</t>
  </si>
  <si>
    <t>Вячеслав Сорокин: Дата начала изменена на 1 декабря 2019 г.</t>
  </si>
  <si>
    <t>Вячеслав Сорокин: Дата окончания изменена на 2 декабря 2019 г.</t>
  </si>
  <si>
    <t>Вячеслав Сорокин: Заголовок изменен на Монтаж панелей фасада тип-11 в/о 3-5/28-30 с отм.+1,770 до отм. +18,365.</t>
  </si>
  <si>
    <t>Устройство Опалубки Плиты под крыльцо КРМ-3</t>
  </si>
  <si>
    <t>Юрий Прасолов: Заголовок изменен на Устройство Опалубки Плиты под крыльцо КРМ-3</t>
  </si>
  <si>
    <t>Монтаж Лотков Кровли Etfe В/О 29-30</t>
  </si>
  <si>
    <t>Юрий Прасолов: Заголовок изменен на Монтаж Лотков Кровли Etfe В/О 29-30</t>
  </si>
  <si>
    <t>Юрий Прасолов: Название категории изменено на Приемочный контроль</t>
  </si>
  <si>
    <t>Монтаж Утеплителя На Лотках Кровли Etfe По Оси 29</t>
  </si>
  <si>
    <t>Юрий Прасолов: Заголовок изменен на Монтаж Утеплителя На Лотках Кровли Etfe По Оси 29</t>
  </si>
  <si>
    <t>КМ. Балки крепления фасадных конструкций. Отм. +15.241 м. Узлы 116, 117, 191, 192.</t>
  </si>
  <si>
    <t>Not set: 2.1 Отклонения отметок опорных поверхностей колонн и опор от проектных не более 5 мм., опорных узлов не более 10 мм. (ЮПР) - 2019-12-18</t>
  </si>
  <si>
    <t>Not set: 2.2 Смещение осей колонн и опор относительно разбивочных осей в опорном сечении не более 5 мм. (ЮПР) - 2019-12-18</t>
  </si>
  <si>
    <t>Yes: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- 2019-12-18</t>
  </si>
  <si>
    <t>Not set: 2.4 Стрела прогиба (кривизна) конструкции между точками закрепления не более 15 мм (ЮПР) - 2019-12-18</t>
  </si>
  <si>
    <t>Not set: 2.5 Смещение ферм, балок ригелей от осей на оголовках колонн из плоскости рамы не более 15 мм. (ЮПР) - 2019-12-18</t>
  </si>
  <si>
    <t>Not set: 2.6 Отклонений расстояний между прогонами не более 5 мм. от проектных (ЮПР) - 2019-12-18</t>
  </si>
  <si>
    <t>Yes: 3.1 Момент затяжки обычных и высокопрочных болтов соответствует проекту. Зазоры в месте стыков отсутствуют (ЮПР) - 2019-12-18</t>
  </si>
  <si>
    <t>Not set: 3.2 Заводское покрытие элементов конструкций восстановлено (при повреждении в процессе монтажа) (ЮПР) - 2019-12-18</t>
  </si>
  <si>
    <t>Not set: 3.3 Выполнена окраска всех болтов и стыков в соответствии с проектом (ЮПР) - 2019-12-18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</si>
  <si>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- 2019-12-18</t>
  </si>
  <si>
    <t>Not set: 5,1 Наличие записи в журнале производства работ (ЮПР) - 2019-12-18</t>
  </si>
  <si>
    <t>Not set: 5,2 Наличие записи в журнале выполнения монтажных соединений на болтах с контролируемым натяжением (ЮПР) - 2019-12-18</t>
  </si>
  <si>
    <t>Not set: 5,3 Наличие записи в журнале сварочных работ (ЮПР) - 2019-12-18</t>
  </si>
  <si>
    <t>Not set: 5,4 Наличие записи в журнале работ по монтажу строительных конструкций (ЮПР) - 2019-12-18</t>
  </si>
  <si>
    <t>Not set: 5,5 Наличие акта освидетельствования скрытых работ (ЮПР) - 2019-12-18</t>
  </si>
  <si>
    <t>Not set: 5,6 Наличие акта освидетельствования ответственных конструкций (ЮПР) - 2019-12-18</t>
  </si>
  <si>
    <t>No: 5,7 Наличие исполнительной геодезической схемы положения конструкций (ЮПР) - 2019-12-18</t>
  </si>
  <si>
    <t>Not set: 5,8 Наличие документа о контроле качества сварных соединений (ЮПР) - 2019-12-18</t>
  </si>
  <si>
    <t>Юрий Прасолов: Заголовок изменен на МК. Балки крепления фасадных конструкций. Отм. +15.241 м. Узлы 116, 117, 191, 192.</t>
  </si>
  <si>
    <t>Юрий Прасолов: Заголовок изменен на КМ. Балки крепления фасадных конструкций. Отм. +15.241 м. Узлы 116, 117, 191, 192.</t>
  </si>
  <si>
    <t>Огнезащита конструкций моста в осях "8/Б-9/Б"/ "18-25" на отм. +4.050 м.</t>
  </si>
  <si>
    <t>Юрий Прасолов: Заголовок изменен на Огнезащита конструкций моста в осях "8/Б-9/Б"/ "18"</t>
  </si>
  <si>
    <t>Юрий Прасолов: Заголовок изменен на Огнезащита конструкций моста в осях "8/Б-9/Б"/ "18-25" на отм. +4.050 м.</t>
  </si>
  <si>
    <t>КМ. Балки крепления фасадных конструкций. Отм. +15.241 м. Узлы 175, 180, 95.</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</si>
  <si>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- 2019-12-18</t>
  </si>
  <si>
    <t>Юрий Прасолов: Заголовок изменен на МК. Балки крепления фасадных конструкций. Отм. +15.241 м. Узлы 175, 180, 95.</t>
  </si>
  <si>
    <t>Юрий Прасолов: Заголовок изменен на КМ. Балки крепления фасадных конструкций. Отм. +15.241 м. Узлы 175, 180, 95.</t>
  </si>
  <si>
    <t>Установка 1-го слоя минеральной ваты противопожарной отсечки. L5 в/о "9/1-11/1"/  "7/Б"</t>
  </si>
  <si>
    <t>в6.10_утеплитель минераловатный</t>
  </si>
  <si>
    <t>N/A: 2,1 Наличие необходимой информации в документах о качестве: наименования изготовителя, наименования и марки продукции, номера и кол-ва материала в партии в куб. м., даты изготовления (ЮПР) - 2019-12-22</t>
  </si>
  <si>
    <t>N/A: 2,2 Наличие результатов сведений о горючести, удельной активности ествественных радионуклидов, санитарно-гигиенической безопасности (ЮПР) - 2019-12-22</t>
  </si>
  <si>
    <t>N/A: 2,3 Наличие результататов испытаний (ЮПР) - 2019-12-22</t>
  </si>
  <si>
    <t>Yes: 2,4 Наличие на каждом упакованном месте четкой маркировки, нанесенной на этикетку, прикрепленную к упаковке или непосредственно на упаковку с указанием наименования материала, даты изготовления, группы горючести, кол-ва в упаковке в куб. м. (ЮПР) - 2019-12-22</t>
  </si>
  <si>
    <t>N/A: 2,5 Наличие сертификата соответствия требованиям пожарной безопасности (ЮПР) - 2019-12-22</t>
  </si>
  <si>
    <t>Not set: 2,6 Наличие записи в "Журнале входного учета и контроля качества получаемых деталей, материалов, конструкций и оборудования" (ЮПР) - 2019-12-22</t>
  </si>
  <si>
    <t>Yes: 3,1 Допускается к производству работ (ЮПР) - 2019-12-22</t>
  </si>
  <si>
    <t>Юрий Прасолов: Заголовок изменен на Установка 1-го слоя минеральной ваты противопожарной отсечки. L5?</t>
  </si>
  <si>
    <t>Юрий Прасолов: Заголовок изменен на Установка 1-го слоя минеральной ваты противопожарной отсечки. L5 в/о "9/1-11/1"/ 7/Б</t>
  </si>
  <si>
    <t>Юрий Прасолов: Заголовок изменен на Установка 1-го слоя минеральной ваты противопожарной отсечки. L5 в/о "9/1-11/1"/  "7/Б"</t>
  </si>
  <si>
    <t>Установка 1-го слоя минеральной ваты противопожарной отсечки. L4 в/о "29-31"/  "10/Б"</t>
  </si>
  <si>
    <t>Yes: 2,1. Произведен монтаж утеплителя, успешно прошедшего входной контроль и соответствующий требованиям РД (ЮПР) - 2019-12-22</t>
  </si>
  <si>
    <t>Yes: 2,2. Монтаж утеплителя  выполнен в соответствии с технологией производителя и технологической картой (ЮПР) - 2019-12-22</t>
  </si>
  <si>
    <t>Yes: 2,3. Характеристики утеплителя соответствуют требованиям РД по теплопроводности, плотности, толщине, сжимаемости (ЮПР) - 2019-12-22</t>
  </si>
  <si>
    <t>Not set: 3,1. Наличие записей в общем журнале работ и журнале входного контроля поступаемых материаллов/оборудования (РД 11-05-2007, СП 48.13330.2011 П.7.1.3) (ЮПР) - 2019-12-22</t>
  </si>
  <si>
    <t>Not set: 3,2. Наличие актов освидетельствования скрытых работ (ЮПР) - 2019-12-22</t>
  </si>
  <si>
    <t>Not set: 3,3. Разрешение выполнения последующих работ (ЮПР) - 2019-12-22</t>
  </si>
  <si>
    <t>Not set: 4. Нормативная документация: . СП 71.13330.2011 «Изоляционные и отделочные покрытия». ТК «Контроль качества работ при устройстве кровель» (ЮПР) - 2019-12-22</t>
  </si>
  <si>
    <t>Юрий Прасолов: Заголовок изменен на Установка 1-го слоя минеральной ваты противопожарной отсечки. L4 в/о "29-31"/  "10/Б"</t>
  </si>
  <si>
    <t>КМ. Монтаж Фасадных балок.  Блок 2.1.  Узлы № 184, 183, 166, 162, 161, 92, 91</t>
  </si>
  <si>
    <t>Not set: 2.1 Отклонения отметок опорных поверхностей колонн и опор от проектных не более 5 мм., опорных узлов не более 10 мм. (ЮПР) - 2019-12-23</t>
  </si>
  <si>
    <t>Not set: 2.2 Смещение осей колонн и опор относительно разбивочных осей в опорном сечении не более 5 мм. (ЮПР) - 2019-12-23</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</si>
  <si>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- 2019-12-23</t>
  </si>
  <si>
    <t>Not set: 2.4 Стрела прогиба (кривизна) конструкции между точками закрепления не более 15 мм (ЮПР) - 2019-12-23</t>
  </si>
  <si>
    <t>Not set: 2.5 Смещение ферм, балок ригелей от осей на оголовках колонн из плоскости рамы не более 15 мм. (ЮПР) - 2019-12-23</t>
  </si>
  <si>
    <t>Not set: 2.6 Отклонений расстояний между прогонами не более 5 мм. от проектных (ЮПР) - 2019-12-23</t>
  </si>
  <si>
    <t>Yes: 3.1 Момент затяжки обычных и высокопрочных болтов соответствует проекту. Зазоры в месте стыков отсутствуют (ЮПР) - 2019-12-23</t>
  </si>
  <si>
    <t>Not set: 3.2 Заводское покрытие элементов конструкций восстановлено (при повреждении в процессе монтажа) (ЮПР) - 2019-12-23</t>
  </si>
  <si>
    <t>Not set: 3.3 Выполнена окраска всех болтов и стыков в соответствии с проектом (ЮПР) - 2019-12-23</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</si>
  <si>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- 2019-12-23</t>
  </si>
  <si>
    <t>Not set: 5,1 Наличие записи в журнале производства работ (ЮПР) - 2019-12-23</t>
  </si>
  <si>
    <t>Yes: 5,2 Наличие записи в журнале выполнения монтажных соединений на болтах с контролируемым натяжением (ЮПР) - 2019-12-23</t>
  </si>
  <si>
    <t>Not set: 5,3 Наличие записи в журнале сварочных работ (ЮПР) - 2019-12-23</t>
  </si>
  <si>
    <t>Not set: 5,4 Наличие записи в журнале работ по монтажу строительных конструкций (ЮПР) - 2019-12-23</t>
  </si>
  <si>
    <t>Not set: 5,5 Наличие акта освидетельствования скрытых работ (ЮПР) - 2019-12-23</t>
  </si>
  <si>
    <t>Not set: 5,6 Наличие акта освидетельствования ответственных конструкций (ЮПР) - 2019-12-23</t>
  </si>
  <si>
    <t>Not set: 5,7 Наличие исполнительной геодезической схемы положения конструкций (ЮПР) - 2019-12-23</t>
  </si>
  <si>
    <t>Not set: 5,8 Наличие документа о контроле качества сварных соединений (ЮПР) - 2019-12-23</t>
  </si>
  <si>
    <t>Юрий Прасолов: Заголовок изменен на КМ. Монтаж Фасадных балок.  Блок 2.1.  Узлы № 184, 183, 166, 162, 161, 92, 91</t>
  </si>
  <si>
    <t>КМ монтаж  фасадных балок Блок 2.1. Узлы 167,197,198,199,200,201</t>
  </si>
  <si>
    <t>Not set: 2.1 Отклонения отметок опорных поверхностей колонн и опор от проектных не более 5 мм., опорных узлов не более 10 мм. (ЮПР) - 2019-12-25</t>
  </si>
  <si>
    <t>Not set: 2.2 Смещение осей колонн и опор относительно разбивочных осей в опорном сечении не более 5 мм. (ЮПР) - 2019-12-25</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</si>
  <si>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- 2019-12-25</t>
  </si>
  <si>
    <t>Not set: 2.4 Стрела прогиба (кривизна) конструкции между точками закрепления не более 15 мм (ЮПР) - 2019-12-25</t>
  </si>
  <si>
    <t>Not set: 2.5 Смещение ферм, балок ригелей от осей на оголовках колонн из плоскости рамы не более 15 мм. (ЮПР) - 2019-12-25</t>
  </si>
  <si>
    <t>Not set: 2.6 Отклонений расстояний между прогонами не более 5 мм. от проектных (ЮПР) - 2019-12-25</t>
  </si>
  <si>
    <t>Yes: 3.1 Момент затяжки обычных и высокопрочных болтов соответствует проекту. Зазоры в месте стыков отсутствуют (ЮПР) - 2019-12-25</t>
  </si>
  <si>
    <t>Not set: 3.2 Заводское покрытие элементов конструкций восстановлено (при повреждении в процессе монтажа) (ЮПР) - 2019-12-25</t>
  </si>
  <si>
    <t>Not set: 3.3 Выполнена окраска всех болтов и стыков в соответствии с проектом (ЮПР) - 2019-12-25</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</si>
  <si>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- 2019-12-25</t>
  </si>
  <si>
    <t>Not set: 5,1 Наличие записи в журнале производства работ (ЮПР) - 2019-12-25</t>
  </si>
  <si>
    <t>Not set: 5,2 Наличие записи в журнале выполнения монтажных соединений на болтах с контролируемым натяжением (ЮПР) - 2019-12-25</t>
  </si>
  <si>
    <t>Not set: 5,3 Наличие записи в журнале сварочных работ (ЮПР) - 2019-12-25</t>
  </si>
  <si>
    <t>Not set: 5,4 Наличие записи в журнале работ по монтажу строительных конструкций (ЮПР) - 2019-12-25</t>
  </si>
  <si>
    <t>Not set: 5,5 Наличие акта освидетельствования скрытых работ (ЮПР) - 2019-12-25</t>
  </si>
  <si>
    <t>Not set: 5,6 Наличие акта освидетельствования ответственных конструкций (ЮПР) - 2019-12-25</t>
  </si>
  <si>
    <t>Yes: 5,7 Наличие исполнительной геодезической схемы положения конструкций (ЮПР) - 2019-12-25</t>
  </si>
  <si>
    <t>Not set: 5,8 Наличие документа о контроле качества сварных соединений (ЮПР) - 2019-12-25</t>
  </si>
  <si>
    <t>Юрий Прасолов: Заголовок изменен на КМ монтаж  фасадных балок Блок 2.1. Узлы 167,197,198,199,200,201</t>
  </si>
  <si>
    <t>КМ. Монтаж рельс СОФ в осях "26-28"/ "1/Б". "31-32"/ 6/Б</t>
  </si>
  <si>
    <t>Yes: 5,8 Наличие документа о контроле качества сварных соединений (ЮПР) - 2019-12-25</t>
  </si>
  <si>
    <t>Юрий Прасолов: Заголовок изменен на КМ. Монтаж фасадных</t>
  </si>
  <si>
    <t>Юрий Прасолов: Заголовок изменен на КМ. Монтаж рельс СОФ в осях "26-28"/ "1/Б". "31-32"/ 6/Б</t>
  </si>
  <si>
    <t>Армирование Фундаментной плиты КПП 2 в осях Б.2-Ж.2/ 1.2-3.2 на отм. -1.400</t>
  </si>
  <si>
    <t>п3.3_бетонирование монолитных жб конструкций</t>
  </si>
  <si>
    <t>No: 1,1. Отклонения линий плоскостей пересечения от вертикали или проектного наклона на всю высоту не более 15мм для стен и колонн, поддерживающих монолитные покрытия и перекрытия / 10 мм для стен и колонн, поддерживающих сборные балочные конструкции (ЮПР) - 2019-12-26</t>
  </si>
  <si>
    <t>No: 1,2. Отклонения горизонтальной плоскости на всю плоскость выверяемого участка не более ± 20 мм  (ЮПР) - 2019-12-26</t>
  </si>
  <si>
    <t>Not set: 1,3. Отклонение от прямолинейности и плоскостности поверхности на длине 1-3 м и местные неровности поверхности бетона не более 5 мм  (ЮПР) - 2019-12-26</t>
  </si>
  <si>
    <t>Not set: 1,4. Минимальная прочность бетона незагруженных монолитных конструкций при распалубке поверхностей не менее 0,5 Мпа  (ЮПР) - 2019-12-26</t>
  </si>
  <si>
    <t>Not set: 1,5. Минимальная прочность бетона при распалубке загруженных конструкций, в том числе от вышележащего бетона (бетонной смеси) не менее значения, определенного в ППР (ЮПР) - 2019-12-26</t>
  </si>
  <si>
    <t>Not set: 2,1. Показатели качества бетона по прочности в конструкциях соответствуют ГОСТ 18105-2015  (ЮПР) - 2019-12-26</t>
  </si>
  <si>
    <t>Not set: 2,2. Показатели морозостойкости бетона соответствуют ГОСТ 10060-2012  (ЮПР) - 2019-12-26</t>
  </si>
  <si>
    <t>Not set: 2,3. Показатели водонепроницаемости бетона соответствуют ГОСТ 12730.5-84 (ЮПР) - 2019-12-26</t>
  </si>
  <si>
    <t>Not set: 3,1. Наличие акта освидетельствования скрытых работ (ЮПР) - 2019-12-26</t>
  </si>
  <si>
    <t>Not set: 3,2. Наличие акта освидетельствования ответственных конструкций (ЮПР) - 2019-12-26</t>
  </si>
  <si>
    <t>Not set: 3,3. Наличие положительного заключения строительной лаборатории (качества бетона по прочности, морозостойкости, водонепроницаемости) (ЮПР) - 2019-12-26</t>
  </si>
  <si>
    <t>Yes: 3,4. Наличие исполнительной геодезической схемы (ЮПР) - 2019-12-26</t>
  </si>
  <si>
    <t>Not set: 3,5. Наличие записи в журнале бетонных работ (ЮПР) - 2019-12-26</t>
  </si>
  <si>
    <t>Not set: 3,6. Наличие записи в журнале работ (ЮПР) - 2019-12-26</t>
  </si>
  <si>
    <t>Not set: "Нормативная документация: СП 70.13330.2012 Несущие ограждающие конструкции.
ГОСТ 18105-2010 Бетоны. Правила контроля и оценки прочности.
ГОСТ 10060-2012 Бетоны. Методы определения морозостойкости.
ГОСТ 12730.5-84 Бетоны. Методы определения водонепроницаемости." (ЮПР) - 2019-12-26</t>
  </si>
  <si>
    <t>Yes: 1.1 Вертикальный и горизонтальный шаг арматуры соответствует проекту. Отклонение между рядами арматуры не более 10 мм (ЮПР) - 2019-12-26</t>
  </si>
  <si>
    <t>Yes: 1.2 Длина арматурных элементов соответствуют проекту. Длины нахлестов/анкеровки арматуры составляют не менее 5% длины арматуры (ГОСТ 10922-2012) (ЮПР) - 2019-12-26</t>
  </si>
  <si>
    <t>Yes: 1.3 Отклонение толщины защитного слоя бетона от проектной не более 15 мм и не менее 5 мм при толщине бетона более 300 мм (ЮПР) - 2019-12-26</t>
  </si>
  <si>
    <t>N/A: 1.4 Сварные соединения соответствуют проекту и требованиям ГОСТ 14098—2014 (ЮПР) - 2019-12-26</t>
  </si>
  <si>
    <t>Not set: 1.5 Закладные элементы , в том числе приспособления для устройства гидроизоляции швов, установлены в соответствии с проектом и закреплены (ЮПР) - 2019-12-26</t>
  </si>
  <si>
    <t>Not set: 2.1 Наличие записи в общем журнале работ (ЮПР) - 2019-12-26</t>
  </si>
  <si>
    <t>Yes: 3.1 Разрешается проведение последующих работ по устройству опалубки  или бетонированию конструкции (ЮПР) - 2019-12-26</t>
  </si>
  <si>
    <t>Юрий Прасолов: Заголовок изменен на Армирование Фундаментной плиты КПП 2 в осях Б.2-Ж.2/ 1.2-3.2 на отм. -1.400</t>
  </si>
  <si>
    <t>Монтаж фасадных панелей  с отм. +16.770 до отм. +20.790 м. в осях Ф-Ш/1</t>
  </si>
  <si>
    <t>Юрий Прасолов: Заголовок изменен на Монтаж фасадных панелей  с отм. +16.770 до отм. +20.790 м. в осях Ф-Ш/1</t>
  </si>
  <si>
    <t>Юрий Прасолов: Удаленное изображение</t>
  </si>
  <si>
    <t>КМ Монтаж металлоконструкций. Фасадные балки Узлы № 158, 157, 156, 155</t>
  </si>
  <si>
    <t>Not set: 2.1 Отклонения отметок опорных поверхностей колонн и опор от проектных не более 5 мм., опорных узлов не более 10 мм. (ЮПР) - 2019-12-26</t>
  </si>
  <si>
    <t>Not set: 2.2 Смещение осей колонн и опор относительно разбивочных осей в опорном сечении не более 5 мм. (ЮПР) - 2019-12-26</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</si>
  <si>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- 2019-12-26</t>
  </si>
  <si>
    <t>Not set: 2.4 Стрела прогиба (кривизна) конструкции между точками закрепления не более 15 мм (ЮПР) - 2019-12-26</t>
  </si>
  <si>
    <t>Not set: 2.5 Смещение ферм, балок ригелей от осей на оголовках колонн из плоскости рамы не более 15 мм. (ЮПР) - 2019-12-26</t>
  </si>
  <si>
    <t>Not set: 2.6 Отклонений расстояний между прогонами не более 5 мм. от проектных (ЮПР) - 2019-12-26</t>
  </si>
  <si>
    <t>Yes: 3.1 Момент затяжки обычных и высокопрочных болтов соответствует проекту. Зазоры в месте стыков отсутствуют (ЮПР) - 2019-12-26</t>
  </si>
  <si>
    <t>Not set: 3.2 Заводское покрытие элементов конструкций восстановлено (при повреждении в процессе монтажа) (ЮПР) - 2019-12-26</t>
  </si>
  <si>
    <t>Not set: 3.3 Выполнена окраска всех болтов и стыков в соответствии с проектом (ЮПР) - 2019-12-26</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</si>
  <si>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- 2019-12-26</t>
  </si>
  <si>
    <t>Not set: 5,1 Наличие записи в журнале производства работ (ЮПР) - 2019-12-26</t>
  </si>
  <si>
    <t>Not set: 5,2 Наличие записи в журнале выполнения монтажных соединений на болтах с контролируемым натяжением (ЮПР) - 2019-12-26</t>
  </si>
  <si>
    <t>Not set: 5,3 Наличие записи в журнале сварочных работ (ЮПР) - 2019-12-26</t>
  </si>
  <si>
    <t>Not set: 5,4 Наличие записи в журнале работ по монтажу строительных конструкций (ЮПР) - 2019-12-26</t>
  </si>
  <si>
    <t>Not set: 5,5 Наличие акта освидетельствования скрытых работ (ЮПР) - 2019-12-26</t>
  </si>
  <si>
    <t>Not set: 5,6 Наличие акта освидетельствования ответственных конструкций (ЮПР) - 2019-12-26</t>
  </si>
  <si>
    <t>Not set: 5,7 Наличие исполнительной геодезической схемы положения конструкций (ЮПР) - 2019-12-26</t>
  </si>
  <si>
    <t>Not set: 5,8 Наличие документа о контроле качества сварных соединений (ЮПР) - 2019-12-26</t>
  </si>
  <si>
    <t>Юрий Прасолов: Заголовок изменен на КМ Монтаж металлоконструкций. Фасадные балки Узлы № 158, 157, 156, 155</t>
  </si>
  <si>
    <t>Монтаж Металлоконструкций Блок 1. Кровля</t>
  </si>
  <si>
    <t>Юрий Прасолов: Заголовок изменен на Монтаж Металлоконструкций Блок 1. Кровля</t>
  </si>
  <si>
    <t>Монтаж панелей фасада Тип5 в/о "15-17"/ "3/А" с отм. +6,770 до +20,970</t>
  </si>
  <si>
    <t>Юрий Прасолов: Заголовок изменен на Монтаж панелей фасада Тип5 в/о "15-17"/ "3/А" с отм. +6,770 до +20,970</t>
  </si>
  <si>
    <t>Армирование Стены Пс-10 Г-Е/1 На Отм. -6.55</t>
  </si>
  <si>
    <t>Yes: 1.1 Вертикальный и горизонтальный шаг арматуры соответствует проекту. Отклонение между рядами арматуры не более 10 мм (ЮПР) - 2020-01-25</t>
  </si>
  <si>
    <t>Yes: 1.2 Длина арматурных элементов соответствуют проекту. Длины нахлестов/анкеровки арматуры составляют не менее 5% длины арматуры (ГОСТ 10922-2012) (ЮПР) - 2020-01-25</t>
  </si>
  <si>
    <t>Yes: 1.3 Отклонение толщины защитного слоя бетона от проектной не более 15 мм и не менее 5 мм при толщине бетона более 300 мм (ЮПР) - 2020-01-25</t>
  </si>
  <si>
    <t>N/A: 1.4 Сварные соединения соответствуют проекту и требованиям ГОСТ 14098—2014 (ЮПР) - 2020-01-25</t>
  </si>
  <si>
    <t>Yes: 1.5 Закладные элементы , в том числе приспособления для устройства гидроизоляции швов, установлены в соответствии с проектом и закреплены (ЮПР) - 2020-01-25</t>
  </si>
  <si>
    <t>Not set: 2.1 Наличие записи в общем журнале работ (ЮПР) - 2020-01-25</t>
  </si>
  <si>
    <t>Yes: 3.1 Разрешается проведение последующих работ по устройству опалубки  или бетонированию конструкции (ЮПР) - 2020-01-25</t>
  </si>
  <si>
    <t>Юрий Прасолов: Заголовок изменен на Армирование Стены Пс-10 Г-Е/1 На Отм. -6.55</t>
  </si>
  <si>
    <t>Армирование п/п В Осях 3-5/ 9/1-10/1</t>
  </si>
  <si>
    <t>Юрий Прасолов: Заголовок изменен на Армирование п/п В Осях 3-5/ 9/1-10/1</t>
  </si>
  <si>
    <t>Приёмка МК затяжка болтов. Согласно вложению</t>
  </si>
  <si>
    <t>Юрий Прасолов: Заголовок изменен на Приёмка МК затяжка болтов. Согласно вложению</t>
  </si>
  <si>
    <t>Армирование. Парапет в/о 30-31/ Г-Е на отм. -0,65м</t>
  </si>
  <si>
    <t>Yes: 1.1 Вертикальный и горизонтальный шаг арматуры соответствует проекту. Отклонение между рядами арматуры не более 10 мм (ЮПР) - 2019-11-14</t>
  </si>
  <si>
    <t>Yes: 1.2 Длина арматурных элементов соответствуют проекту. Длины нахлестов/анкеровки арматуры составляют не менее 5% длины арматуры (ГОСТ 10922-2012) (ЮПР) - 2019-11-14</t>
  </si>
  <si>
    <t>Yes: 1.3 Отклонение толщины защитного слоя бетона от проектной не более 15 мм и не менее 5 мм при толщине бетона более 300 мм (ЮПР) - 2019-11-14</t>
  </si>
  <si>
    <t>N/A: 1.4 Сварные соединения соответствуют проекту и требованиям ГОСТ 14098—2014 (ЮПР) - 2019-11-14</t>
  </si>
  <si>
    <t>Yes: 1.5 Закладные элементы , в том числе приспособления для устройства гидроизоляции швов, установлены в соответствии с проектом и закреплены (ЮПР) - 2019-11-14</t>
  </si>
  <si>
    <t>No: 2.1 Наличие записи в общем журнале работ (ЮПР) - 2019-11-14</t>
  </si>
  <si>
    <t>Yes: 3.1 Разрешается проведение последующих работ по устройству опалубки  или бетонированию конструкции (ЮПР) - 2019-11-14</t>
  </si>
  <si>
    <t>Юрий Прасолов: Заголовок изменен на Парапет в/о 30-31/ Г-Е на отм. -0,65м</t>
  </si>
  <si>
    <t>Юрий Прасолов: Заголовок изменен на Армирование. Парапет в/о 30-31/ Г-Е на отм. -0,65м</t>
  </si>
  <si>
    <t>Блок 2.2 кровля. Узлы № 50, 310, 585, 586, 81</t>
  </si>
  <si>
    <t>Yes: 2,1 Укрупнённая сборка отдельных конструктивных элементов и монтажных блоков соответствует проектным требованиям  (ЮПР) - 2019-11-14</t>
  </si>
  <si>
    <t>Yes: 2,2 Установка и проектное закрепление отдельных конструктивных элементов и блоков в проектное положение соответствует проектным требованиям  (ЮПР) - 2019-11-14</t>
  </si>
  <si>
    <t>Yes: 2,3 Контактные поверхности соединяемых элементов очищены от загрязнения, заусенцев, льда и других неровностей, препятствующих плотному их прилеганию (ЮПР) - 2019-11-14</t>
  </si>
  <si>
    <t>Yes: 2,4 При проверке закрепления конструктивных элементов щуп толщиной 0,3 мм не проходит между собранными деталями на глубину более 20 мм (ЮПР) - 2019-11-14</t>
  </si>
  <si>
    <t>Yes: 2,5 Стержень болта выступает из гайки не менее 3 мм.  (ЮПР) - 2019-11-14</t>
  </si>
  <si>
    <t>Yes: 2,6 Отсутствует смещение болтов при их отстукивании молотком массой 0,4 кг (ЮПР) - 2019-11-14</t>
  </si>
  <si>
    <t>Yes: 2,7 Монтажные соединения на высокопрочных болтах с контролируемым натяжением: (ЮПР) - 2019-11-14</t>
  </si>
  <si>
    <t>Not set: 2,8 Соприкасающиеся поверхности деталей перед сборкой обработаны способом, предусмотренным в проекте, с отсутствием на них грязи, масла, краски, льда (ЮПР) - 2019-11-14</t>
  </si>
  <si>
    <t>Not set: 2,9 Размещение крепежных изделий соответствует проектным требованиям (ЮПР) - 2019-11-14</t>
  </si>
  <si>
    <t>Yes: 2,1 Натяжение болтов соответствует проектным требованиям (ЮПР) - 2019-11-14</t>
  </si>
  <si>
    <t>Not set: 2,11 Сварные швы соответствуют нормативным требованиям (ЮПР) - 2019-11-14</t>
  </si>
  <si>
    <t>Not set: 3,1 Работы выполняются на основе утвержденного ППР (ЮПР) - 2019-11-14</t>
  </si>
  <si>
    <t>Not set: 3,2 Наличие записи в журнале производства работ (ЮПР) - 2019-11-14</t>
  </si>
  <si>
    <t>Not set: 3,3 Наличие записи в журнале сварочных работ (ЮПР) - 2019-11-14</t>
  </si>
  <si>
    <t>Not set: 3,4 Наличие записи в журнале работ по монтажу строительных конструкций (ЮПР) - 2019-11-14</t>
  </si>
  <si>
    <t>Not set: 3,5 Наличие записи в журнале выполнения монтажных соединений на болтах с контролируемым натяжением. (ЮПР) - 2019-11-14</t>
  </si>
  <si>
    <t>Юрий Прасолов: Заголовок изменен на Блок 2.2 кровля. Узлы № 50, 310, 585, 586, 81</t>
  </si>
  <si>
    <t>Приемка опорных узлов ферм внутреннего двора (КМ). Узлы № 3.110, 3.109, 3. 108, 6.7, 2. 163, 2. 162, 2.161</t>
  </si>
  <si>
    <t>Not set: 2.1 Отклонения отметок опорных поверхностей колонн и опор от проектных не более 5 мм., опорных узлов не более 10 мм. (ЮПР) - 2019-12-14</t>
  </si>
  <si>
    <t>Not set: 2.2 Смещение осей колонн и опор относительно разбивочных осей в опорном сечении не более 5 мм. (ЮПР) - 2019-12-14</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</si>
  <si>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- 2019-12-14</t>
  </si>
  <si>
    <t>Not set: 2.4 Стрела прогиба (кривизна) конструкции между точками закрепления не более 15 мм (ЮПР) - 2019-12-14</t>
  </si>
  <si>
    <t>Not set: 2.5 Смещение ферм, балок ригелей от осей на оголовках колонн из плоскости рамы не более 15 мм. (ЮПР) - 2019-12-14</t>
  </si>
  <si>
    <t>Not set: 2.6 Отклонений расстояний между прогонами не более 5 мм. от проектных (ЮПР) - 2019-12-14</t>
  </si>
  <si>
    <t>Yes: 3.1 Момент затяжки обычных и высокопрочных болтов соответствует проекту. Зазоры в месте стыков отсутствуют (ЮПР) - 2019-12-14</t>
  </si>
  <si>
    <t>Not set: 3.2 Заводское покрытие элементов конструкций восстановлено (при повреждении в процессе монтажа) (ЮПР) - 2019-12-14</t>
  </si>
  <si>
    <t>Not set: 3.3 Выполнена окраска всех болтов и стыков в соответствии с проектом (ЮПР) - 2019-12-14</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</si>
  <si>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- 2019-12-14</t>
  </si>
  <si>
    <t>Not set: 5,1 Наличие записи в журнале производства работ (ЮПР) - 2019-12-14</t>
  </si>
  <si>
    <t>Not set: 5,2 Наличие записи в журнале выполнения монтажных соединений на болтах с контролируемым натяжением (ЮПР) - 2019-12-14</t>
  </si>
  <si>
    <t>Not set: 5,3 Наличие записи в журнале сварочных работ (ЮПР) - 2019-12-14</t>
  </si>
  <si>
    <t>Not set: 5,4 Наличие записи в журнале работ по монтажу строительных конструкций (ЮПР) - 2019-12-14</t>
  </si>
  <si>
    <t>Not set: 5,5 Наличие акта освидетельствования скрытых работ (ЮПР) - 2019-12-14</t>
  </si>
  <si>
    <t>Not set: 5,6 Наличие акта освидетельствования ответственных конструкций (ЮПР) - 2019-12-14</t>
  </si>
  <si>
    <t>N/A: 5,7 Наличие исполнительной геодезической схемы положения конструкций (ЮПР) - 2019-12-14</t>
  </si>
  <si>
    <t>N/A: 5,8 Наличие документа о контроле качества сварных соединений (ЮПР) - 2019-12-14</t>
  </si>
  <si>
    <t>Юрий Прасолов: Заголовок изменен на Приемка опорных узлов ферм внутреннего двора</t>
  </si>
  <si>
    <t>Юрий Прасолов: Заголовок изменен на Приемка опорных узлов ферм внутреннего двора (КМ)</t>
  </si>
  <si>
    <t>Юрий Прасолов: Заголовок изменен на Приемка опорных узлов ферм внутреннего двора (КМ). Узлы № 3.110, 3.109, 3. 108, 6.7, 2. 163, 2. 162, 2.161</t>
  </si>
  <si>
    <t>Юрий Прасолов: Затяжка проверена. Необходимо предоставить протокол ВИК сварных швов и ИГС</t>
  </si>
  <si>
    <t>Юрий Прасолов: Приоритет изменен на 3</t>
  </si>
  <si>
    <t>Монтаж МК. 1 блок кровля. Узлы № 222, 223, 224, 225, 226, 227, 228, 229, 230, 231, 232, 233, 234, 235, 236, 237.</t>
  </si>
  <si>
    <t>Not set: 5,8 Наличие документа о контроле качества сварных соединений (ЮПР) - 2019-12-14</t>
  </si>
  <si>
    <t>Юрий Прасолов: Заголовок изменен на Монтаж МК. 1 блок кровля. Узлы № 222, 223, 224, 225, 226, 227, 228, 229, 230, 231, 232, 233, 234, 235, 236, 237.</t>
  </si>
  <si>
    <t>Монтаж МК. Блок 2.2. Узлы № 68 отм. +33м; №87 отм. +37м; №290 кровля</t>
  </si>
  <si>
    <t>Not set: 2,1 Укрупнённая сборка отдельных конструктивных элементов и монтажных блоков соответствует проектным требованиям  (ЮПР) - 2019-11-15</t>
  </si>
  <si>
    <t>Not set: 2,2 Установка и проектное закрепление отдельных конструктивных элементов и блоков в проектное положение соответствует проектным требованиям  (ЮПР) - 2019-11-15</t>
  </si>
  <si>
    <t>Not set: 2,3 Контактные поверхности соединяемых элементов очищены от загрязнения, заусенцев, льда и других неровностей, препятствующих плотному их прилеганию (ЮПР) - 2019-11-15</t>
  </si>
  <si>
    <t>Yes: 2,4 При проверке закрепления конструктивных элементов щуп толщиной 0,3 мм не проходит между собранными деталями на глубину более 20 мм (ЮПР) - 2019-11-15</t>
  </si>
  <si>
    <t>Yes: 2,5 Стержень болта выступает из гайки не менее 3 мм.  (ЮПР) - 2019-11-15</t>
  </si>
  <si>
    <t>Not set: 2,6 Отсутствует смещение болтов при их отстукивании молотком массой 0,4 кг (ЮПР) - 2019-11-15</t>
  </si>
  <si>
    <t>Yes: 2,7 Монтажные соединения на высокопрочных болтах с контролируемым натяжением: (ЮПР) - 2019-11-15</t>
  </si>
  <si>
    <t>Not set: 2,8 Соприкасающиеся поверхности деталей перед сборкой обработаны способом, предусмотренным в проекте, с отсутствием на них грязи, масла, краски, льда (ЮПР) - 2019-11-15</t>
  </si>
  <si>
    <t>Not set: 2,9 Размещение крепежных изделий соответствует проектным требованиям (ЮПР) - 2019-11-15</t>
  </si>
  <si>
    <t>Yes: 2,1 Натяжение болтов соответствует проектным требованиям (ЮПР) - 2019-11-15</t>
  </si>
  <si>
    <t>Not set: 2,11 Сварные швы соответствуют нормативным требованиям (ЮПР) - 2019-11-15</t>
  </si>
  <si>
    <t>Yes: 3,1 Работы выполняются на основе утвержденного ППР (ЮПР) - 2019-11-15</t>
  </si>
  <si>
    <t>Not set: 3,2 Наличие записи в журнале производства работ (ЮПР) - 2019-11-15</t>
  </si>
  <si>
    <t>Not set: 3,3 Наличие записи в журнале сварочных работ (ЮПР) - 2019-11-15</t>
  </si>
  <si>
    <t>Not set: 3,4 Наличие записи в журнале работ по монтажу строительных конструкций (ЮПР) - 2019-11-15</t>
  </si>
  <si>
    <t>Not set: 3,5 Наличие записи в журнале выполнения монтажных соединений на болтах с контролируемым натяжением. (ЮПР) - 2019-11-15</t>
  </si>
  <si>
    <t>Юрий Прасолов: Заголовок изменен на Монтаж МК. Блок 2.2. Узлы № 68 отм. +33м; №87 отм. +37м; №290 кровля</t>
  </si>
  <si>
    <t>Монтаж  МК 1 Блок. Кровля. Узлы № 17, 38, 40, 177, 182, 202, 228, 502, 539</t>
  </si>
  <si>
    <t>Not set: 2.1 Отклонения отметок опорных поверхностей колонн и опор от проектных не более 5 мм., опорных узлов не более 10 мм. (ЮПР) - 2019-11-15</t>
  </si>
  <si>
    <t>Not set: 2.2 Смещение осей колонн и опор относительно разбивочных осей в опорном сечении не более 5 мм. (ЮПР) - 2019-11-15</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</si>
  <si>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- 2019-11-15</t>
  </si>
  <si>
    <t>Not set: 2.4 Стрела прогиба (кривизна) конструкции между точками закрепления не более 15 мм (ЮПР) - 2019-11-15</t>
  </si>
  <si>
    <t>Not set: 2.5 Смещение ферм, балок ригелей от осей на оголовках колонн из плоскости рамы не более 15 мм. (ЮПР) - 2019-11-15</t>
  </si>
  <si>
    <t>Not set: 2.6 Отклонений расстояний между прогонами не более 5 мм. от проектных (ЮПР) - 2019-11-15</t>
  </si>
  <si>
    <t>Yes: 3.1 Момент затяжки обычных и высокопрочных болтов соответствует проекту. Зазоры в месте стыков отсутствуют (ЮПР) - 2019-11-15</t>
  </si>
  <si>
    <t>Not set: 3.2 Заводское покрытие элементов конструкций восстановлено (при повреждении в процессе монтажа) (ЮПР) - 2019-11-15</t>
  </si>
  <si>
    <t>Not set: 3.3 Выполнена окраска всех болтов и стыков в соответствии с проектом (ЮПР) - 2019-11-15</t>
  </si>
  <si>
    <t>Not set: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- 2019-11-15</t>
  </si>
  <si>
    <t>Not set: 5,1 Наличие записи в журнале производства работ (ЮПР) - 2019-11-15</t>
  </si>
  <si>
    <t>Not set: 5,2 Наличие записи в журнале выполнения монтажных соединений на болтах с контролируемым натяжением (ЮПР) - 2019-11-15</t>
  </si>
  <si>
    <t>Not set: 5,3 Наличие записи в журнале сварочных работ (ЮПР) - 2019-11-15</t>
  </si>
  <si>
    <t>Not set: 5,4 Наличие записи в журнале работ по монтажу строительных конструкций (ЮПР) - 2019-11-15</t>
  </si>
  <si>
    <t>Not set: 5,5 Наличие акта освидетельствования скрытых работ (ЮПР) - 2019-11-15</t>
  </si>
  <si>
    <t>Not set: 5,6 Наличие акта освидетельствования ответственных конструкций (ЮПР) - 2019-11-15</t>
  </si>
  <si>
    <t>Not set: 5,7 Наличие исполнительной геодезической схемы положения конструкций (ЮПР) - 2019-11-15</t>
  </si>
  <si>
    <t>Not set: 5,8 Наличие документа о контроле качества сварных соединений (ЮПР) - 2019-11-15</t>
  </si>
  <si>
    <t>Юрий Прасолов: Заголовок изменен на Монтаж  МК 1 Блок. Кровля. Узлы № 17, 38, 40, 177, 182, 202, 228, 502, 539</t>
  </si>
  <si>
    <t>Монтаж панелей фасада в осях Д-К/10 от +4.710 до +8.370</t>
  </si>
  <si>
    <t>Юрий Прасолов: Заголовок изменен на Монтаж панелей фасада в осях</t>
  </si>
  <si>
    <t>Юрий Прасолов: Заголовок изменен на Монтаж панелей фасада в осях Д-К/10</t>
  </si>
  <si>
    <t>Юрий Прасолов: Заголовок изменен на Монтаж панелей фасада в осях Д-К/10 от +4.710 до +</t>
  </si>
  <si>
    <t>Юрий Прасолов: Заголовок изменен на Монтаж панелей фасада в осях Д-К/10 от +4.710 до +8.370</t>
  </si>
  <si>
    <t>Армирование участка плиты перекрытия в/о "3-5"/ "9/1-10/1" на отм. +4.050</t>
  </si>
  <si>
    <t>Юрий Прасолов: Заголовок изменен на Армирование участка плиты перекрытия в/о "3-5"/ "9/1-10/1" на отм. +4.050</t>
  </si>
  <si>
    <t>Монтаж металлоконструкций каркаса +66.850м</t>
  </si>
  <si>
    <t>Юрий Прасолов: Заголовок изменен на Монтаж металлоконструкций каркаса +66.850м</t>
  </si>
  <si>
    <t>Монтаж МК. Блок 2 согласно вложению</t>
  </si>
  <si>
    <t>Not set: 2.1 Отклонения отметок опорных поверхностей колонн и опор от проектных не более 5 мм., опорных узлов не более 10 мм. (ЮПР) - 2019-11-18</t>
  </si>
  <si>
    <t>Not set: 2.2 Смещение осей колонн и опор относительно разбивочных осей в опорном сечении не более 5 мм. (ЮПР) - 2019-11-18</t>
  </si>
  <si>
    <t>Not set: 2.3 Отклонение осей колонн от вертикали в верхнем сечении: при длине колонн от 4000 до 8000 мм - не более 10 мм; при длине колонн от 8000 до 16000 мм - не более 12 мм. (ЮПР) - 2019-11-18</t>
  </si>
  <si>
    <t>Not set: 2.4 Стрела прогиба (кривизна) конструкции между точками закрепления не более 15 мм (ЮПР) - 2019-11-18</t>
  </si>
  <si>
    <t>Not set: 2.5 Смещение ферм, балок ригелей от осей на оголовках колонн из плоскости рамы не более 15 мм. (ЮПР) - 2019-11-18</t>
  </si>
  <si>
    <t>Not set: 2.6 Отклонений расстояний между прогонами не более 5 мм. от проектных (ЮПР) - 2019-11-18</t>
  </si>
  <si>
    <t>Yes: 3.1 Момент затяжки обычных и высокопрочных болтов соответствует проекту. Зазоры в месте стыков отсутствуют (ЮПР) - 2019-11-18</t>
  </si>
  <si>
    <t>Not set: 3.2 Заводское покрытие элементов конструкций восстановлено (при повреждении в процессе монтажа) (ЮПР) - 2019-11-18</t>
  </si>
  <si>
    <t>Not set: 3.3 Выполнена окраска всех болтов и стыков в соответствии с проектом (ЮПР) - 2019-11-18</t>
  </si>
  <si>
    <t>Yes: 3.4 При выполнении соединений применены болты, прошедшие расконсервацию и последующую обработку. Поверхности в высокопрочных соединениях подготовлены в соответствии с проектом. (ЮПР) - 2019-11-18</t>
  </si>
  <si>
    <t>Not set: 5,1 Наличие записи в журнале производства работ (ЮПР) - 2019-11-18</t>
  </si>
  <si>
    <t>Not set: 5,2 Наличие записи в журнале выполнения монтажных соединений на болтах с контролируемым натяжением (ЮПР) - 2019-11-18</t>
  </si>
  <si>
    <t>Not set: 5,3 Наличие записи в журнале сварочных работ (ЮПР) - 2019-11-18</t>
  </si>
  <si>
    <t>Not set: 5,4 Наличие записи в журнале работ по монтажу строительных конструкций (ЮПР) - 2019-11-18</t>
  </si>
  <si>
    <t>Not set: 5,5 Наличие акта освидетельствования скрытых работ (ЮПР) - 2019-11-18</t>
  </si>
  <si>
    <t>Not set: 5,6 Наличие акта освидетельствования ответственных конструкций (ЮПР) - 2019-11-18</t>
  </si>
  <si>
    <t>Not set: 5,7 Наличие исполнительной геодезической схемы положения конструкций (ЮПР) - 2019-11-18</t>
  </si>
  <si>
    <t>Not set: 5,8 Наличие документа о контроле качества сварных соединений (ЮПР) - 2019-11-18</t>
  </si>
  <si>
    <t>Юрий Прасолов: Заголовок изменен на Монтаж МК. Блок 2 согласно вложению</t>
  </si>
  <si>
    <t>Армирование Парапета Прм-2 в Осях А-Б/ 8-13/1 отм. +0.500</t>
  </si>
  <si>
    <t>Юрий Прасолов: Заголовок изменен на Армирование Парапета Прм-2 в Осях А-Б/ 8-13/1 отм. +0.500</t>
  </si>
  <si>
    <t>Монтаж вентилируемого фасада. Аквапанель в осях 21-23, Блок А2. Кровля.</t>
  </si>
  <si>
    <t>о8.7_перегородки каркасно-обшивные</t>
  </si>
  <si>
    <t>Yes: 1,1. Работы выполняются на основе РД, утвержденной в производство работ (ЮПР) - 2020-02-06</t>
  </si>
  <si>
    <t>Yes: 1,2. При выполнении работ используются материалы, прошедшие входной контроль (ЮПР) - 2020-02-06</t>
  </si>
  <si>
    <t>N/A: 1,3. Крепление направляющих профилей каркаса к несущим конструкциям осуществляется через уплотнительную ленту или герметик дюбелями с шагом не более 1000 мм, из расчета не менее трех креплений на один профиль (ЮПР) - 2020-02-06</t>
  </si>
  <si>
    <t>Yes: 1,4. Количество и тип листов обшивки соответствует проекту (ЮПР) - 2020-02-06</t>
  </si>
  <si>
    <t>N/A: 1,5. При устройстве переговородок влажных помещений используется влагостойкие материалы (ЮПР) - 2020-02-06</t>
  </si>
  <si>
    <t>Yes: 1,6. Вертикальные стыки ГКЛ и ГВЛ располагаются на профилях. При многослойной обшивки стыки одного слоя перекрываются другим. Для заделки стыков применяется армирующая лента (ЮПР) - 2020-02-06</t>
  </si>
  <si>
    <t>N/A: 1,7. Для защиты наружных углов, образованных ГКЛ или ГВЛ, от механических повреждений применяются стальные угловые профили (ЮПР) - 2020-02-06</t>
  </si>
  <si>
    <t>N/A: 1,8. В местах сопряжения перегородок с трубопроводами водоснабжения, отопления и коммуникациями диаметром более 60 мм устанавливаются гильзы (кожухи) из несгораемых материалов с пределом огнестойкости не менее 30 мин (ЮПР) - 2020-02-06</t>
  </si>
  <si>
    <t>Юрий Прасолов: Заголовок изменен на Монтаж вентилируемого фасада. Аквапанель в осях</t>
  </si>
  <si>
    <t>Юрий Прасолов: Заголовок изменен на Монтаж вентилируемого фасада. Аквапанель в осях 21-23, Блок А2. Кровля.</t>
  </si>
  <si>
    <t>Вентилируемый Фасад. Монтаж минваты. в осях 24-26. Блок А2</t>
  </si>
  <si>
    <t>Yes: 2,1. Произведен монтаж утеплителя, успешно прошедшего входной контроль и соответствующий требованиям РД (ЮПР) - 2020-02-06</t>
  </si>
  <si>
    <t>Yes: 2,2. Монтаж утеплителя  выполнен в соответствии с технологией производителя и технологической картой (ЮПР) - 2020-02-06</t>
  </si>
  <si>
    <t>Yes: 2,3. Характеристики утеплителя соответствуют требованиям РД по теплопроводности, плотности, толщине, сжимаемости (ЮПР) - 2020-02-06</t>
  </si>
  <si>
    <t>Yes: 3,1. Наличие записей в общем журнале работ и журнале входного контроля поступаемых материаллов/оборудования (РД 11-05-2007, СП 48.13330.2011 П.7.1.3) (ЮПР) - 2020-02-06</t>
  </si>
  <si>
    <t>No: 3,2. Наличие актов освидетельствования скрытых работ (ЮПР) - 2020-02-06</t>
  </si>
  <si>
    <t>Yes: 3,3. Разрешение выполнения последующих работ (ЮПР) - 2020-02-06</t>
  </si>
  <si>
    <t>Yes: 4. Нормативная документация: . СП 71.13330.2011 «Изоляционные и отделочные покрытия». ТК «Контроль качества работ при устройстве кровель» (ЮПР) - 2020-02-06</t>
  </si>
  <si>
    <t>Юрий Прасолов: Заголовок изменен на Вентилируемый Фасад. Устройство теплоизоляции</t>
  </si>
  <si>
    <t>Юрий Прасолов: Заголовок изменен на Вентилируемый Фасад. Монтаж минваты. в осях</t>
  </si>
  <si>
    <t>Юрий Прасолов: Заголовок изменен на Вентилируемый Фасад. Монтаж минваты. в осях 24-26. Блок А2</t>
  </si>
  <si>
    <t>Кирпичная кладка  парапетов 1-2/ Е-Д, L16</t>
  </si>
  <si>
    <t>п4.1_кирпичная кладка</t>
  </si>
  <si>
    <t>Yes: 1. Работы произведены в соответствии с РД, утвержденной в производтство работ (ЮПР) - 2020-02-06</t>
  </si>
  <si>
    <t>Yes: 2. При производстве работ использованы материалы, прошедший входной контроль (ЮПР) - 2020-02-06</t>
  </si>
  <si>
    <t>Yes: 3. Габаритные размеры кладки, простенков и проемов соответствует проекту (ЮПР) - 2020-02-06</t>
  </si>
  <si>
    <t>Yes: 4. Отклонения от вертикали и горизонтали не превышает нормативных требований (ЮПР) - 2020-02-06</t>
  </si>
  <si>
    <t>Yes: 5. Параметры готовой кладки (толщина вертикальных и горизонтальных швов, перевязка, армирование) соответствуют проекту (ЮПР) - 2020-02-06</t>
  </si>
  <si>
    <t>Not set: 6. Наличие полного комплекта исполнительной документации (ЮПР) - 2020-02-06</t>
  </si>
  <si>
    <t>Юрий Прасолов: Заголовок изменен на Кирпичная кладка</t>
  </si>
  <si>
    <t>Юрий Прасолов: Заголовок изменен на Кирпичная кладка 1-2/ Е-Д, L16</t>
  </si>
  <si>
    <t>Юрий Прасолов: Заголовок изменен на Кирпичная кладка  парапетов 1-2/ Е-Д, L16</t>
  </si>
  <si>
    <t>Установка опалубки стены ПС-1 в/о Ф-Ш/1 -2.680м</t>
  </si>
  <si>
    <t>Юрий Прасолов: Заголовок изменен на Установка опалубки стены ПС-1 в/о Ф-Ш/1 -2.680м</t>
  </si>
  <si>
    <t>Сборка ферм кровли ETFE перед монтажом в осях 7-9/К</t>
  </si>
  <si>
    <t>Юрий Прасолов: Заголовок изменен на Сборка ферм кровли ETFE перед монтажом в осях 7-9/К</t>
  </si>
  <si>
    <t>НВК 3-с Гидрозамки Колодцев</t>
  </si>
  <si>
    <t>Юрий Прасолов: Заголовок изменен на НВК 3-с Гидрозамки Колодцев</t>
  </si>
  <si>
    <t>Устройство Подсыпки основания Под плиту Пс-10</t>
  </si>
  <si>
    <t>Юрий Прасолов: Заголовок изменен на Устройство Подсыпки основания Под плиту Пс-10</t>
  </si>
  <si>
    <t>Армирование туннеля ГОЧС в/о Ш/2-Э / 1/Б отм. -8.550</t>
  </si>
  <si>
    <t>Yes: 1.1 Вертикальный и горизонтальный шаг арматуры соответствует проекту. Отклонение между рядами арматуры не более 10 мм (ЮПР) - 2020-01-17</t>
  </si>
  <si>
    <t>Yes: 1.2 Длина арматурных элементов соответствуют проекту. Длины нахлестов/анкеровки арматуры составляют не менее 5% длины арматуры (ГОСТ 10922-2012) (ЮПР) - 2020-01-17</t>
  </si>
  <si>
    <t>Yes: 1.3 Отклонение толщины защитного слоя бетона от проектной не более 15 мм и не менее 5 мм при толщине бетона более 300 мм (ЮПР) - 2020-01-17</t>
  </si>
  <si>
    <t>N/A: 1.4 Сварные соединения соответствуют проекту и требованиям ГОСТ 14098—2014 (ЮПР) - 2020-01-17</t>
  </si>
  <si>
    <t>Yes: 1.5 Закладные элементы , в том числе приспособления для устройства гидроизоляции швов, установлены в соответствии с проектом и закреплены (ЮПР) - 2020-01-17</t>
  </si>
  <si>
    <t>No: 2.1 Наличие записи в общем журнале работ (ЮПР) - 2020-01-17</t>
  </si>
  <si>
    <t>Yes: 3.1 Разрешается проведение последующих работ по устройству опалубки  или бетонированию конструкции (ЮПР) - 2020-01-17</t>
  </si>
  <si>
    <t>Юрий Прасолов: Заголовок изменен на Армирование туннеля ГОЧС в/о Ш/2-Э / 1/Б отм. -8.550</t>
  </si>
  <si>
    <t>Армирование плиты под подпорную стену ПС-10 в/о И-Л/1 на отм. -6.200 м</t>
  </si>
  <si>
    <t>Юрий Прасолов: Заголовок изменен на Армирование плиты под подпорную стену ПС-10 в/о И-Л/1</t>
  </si>
  <si>
    <t>Юрий Прасолов: Заголовок изменен на Армирование плиты под подпорную стену ПС-10 в/о И-Л/1 на отм. -6.200 м</t>
  </si>
  <si>
    <t>Армирование плиты подпорной стены ПС-10 в/о Г-Е/1 на отм. -6.200</t>
  </si>
  <si>
    <t>Юрий Прасолов: Заголовок изменен на Армирование плиты подпорной стены ПС-10 в/о Г-Е/1 на отм. -6.200</t>
  </si>
  <si>
    <t>Армирование плиты Пм-2.14 в/о Ш/2-Э/ 1/Б-2/Б на отм. -4.75</t>
  </si>
  <si>
    <t>Юрий Прасолов: Заголовок изменен на Армирование</t>
  </si>
  <si>
    <t>Юрий Прасолов: Заголовок изменен на Армирование плиты Пм-2.14 в/о Ш/2-Э/ 1/Б-2/Б</t>
  </si>
  <si>
    <t>Юрий Прасолов: Заголовок изменен на Армирование плиты Пм-2.14 в/о Ш/2-Э/ 1/Б-2/Б на отм.</t>
  </si>
  <si>
    <t>Юрий Прасолов: Заголовок изменен на Армирование плиты Пм-2.14 в/о Ш/2-Э/ 1/Б-2/Б на отм. -4.75</t>
  </si>
  <si>
    <t>Устройство щебёночного основания под плиту опорной стены ПС-10 в/о В-Д/1 на отм. -6.650</t>
  </si>
  <si>
    <t>Юрий Прасолов: Заголовок изменен на Устройство щебёночного основания под плиту опорной стены ПС-10 в/о В-Д/1 на отм. -6.650</t>
  </si>
  <si>
    <t>Код</t>
  </si>
  <si>
    <t>Email</t>
  </si>
  <si>
    <t>Ответственный</t>
  </si>
  <si>
    <t>КРИТИЧЕСКОЕ</t>
  </si>
  <si>
    <t>msumatokhin@geoizol.ru</t>
  </si>
  <si>
    <t>Отв1</t>
  </si>
  <si>
    <t>Значительное</t>
  </si>
  <si>
    <t>Отв7</t>
  </si>
  <si>
    <t>Малозначительное</t>
  </si>
  <si>
    <t>denisov@spgr.ru</t>
  </si>
  <si>
    <t>Отв13</t>
  </si>
  <si>
    <t>chugunov@spgr.ru</t>
  </si>
  <si>
    <t>Отв19</t>
  </si>
  <si>
    <t>3318261@mail.ru</t>
  </si>
  <si>
    <t>Отв25</t>
  </si>
  <si>
    <t>tmg-sergey@mail.ru</t>
  </si>
  <si>
    <t>Отв31</t>
  </si>
  <si>
    <t>alexeynikiforov@mail.ru</t>
  </si>
  <si>
    <t>Отв37</t>
  </si>
  <si>
    <t>svod.pto@gmail.com</t>
  </si>
  <si>
    <t>Отв43</t>
  </si>
  <si>
    <t>aleksandrov@spgr.ru</t>
  </si>
  <si>
    <t>Отв49</t>
  </si>
  <si>
    <t>nkasalica@yandex.ru</t>
  </si>
  <si>
    <t>Отв55</t>
  </si>
  <si>
    <t>Приоритет_</t>
  </si>
  <si>
    <t>Статус</t>
  </si>
  <si>
    <t>Ответственный_</t>
  </si>
  <si>
    <t>Общий итог</t>
  </si>
  <si>
    <t>#Н/Д</t>
  </si>
  <si>
    <t>Проверено</t>
  </si>
  <si>
    <t>Завершено</t>
  </si>
  <si>
    <t>(пусто)</t>
  </si>
  <si>
    <t>Количество по полю Заголовок</t>
  </si>
  <si>
    <t>Годы</t>
  </si>
  <si>
    <t>2019</t>
  </si>
  <si>
    <t>2020</t>
  </si>
  <si>
    <t>ноя</t>
  </si>
  <si>
    <t>дек</t>
  </si>
  <si>
    <t>янв</t>
  </si>
  <si>
    <t>фев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</si>
</sst>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22" fontId="0" fillId="0" borderId="0" xfId="0" applyNumberFormat="1"/>
    <xf numFmtId="14" fontId="0" fillId="0" borderId="0" xfId="0" applyNumberFormat="1"/>
    <xf numFmtId="0" fontId="0" fillId="0" borderId="0" xfId="0" applyAlignment="1">
      <alignment wrapText="1"/>
    </xf>
    <xf numFmtId="0" fontId="0" fillId="0" borderId="0" xfId="0" pivotButton="1"/>
    <xf numFmtId="0" fontId="0" fillId="0" borderId="0" xfId="0" applyNumberFormat="1"/>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11">
    <dxf>
      <font>
        <b val="0"/>
        <i val="0"/>
        <color rgb="FF9C6500"/>
      </font>
      <fill>
        <patternFill>
          <fgColor indexed="64"/>
          <bgColor rgb="FFFFEB9C"/>
        </patternFill>
      </fill>
    </dxf>
    <dxf>
      <font>
        <b val="0"/>
        <i val="0"/>
        <color rgb="FF006100"/>
      </font>
      <fill>
        <patternFill>
          <fgColor indexed="64"/>
          <bgColor rgb="FFC6EFCE"/>
        </patternFill>
      </fill>
    </dxf>
    <dxf>
      <font>
        <b val="0"/>
        <i val="0"/>
        <color rgb="FF006100"/>
      </font>
      <fill>
        <patternFill>
          <fgColor indexed="64"/>
          <bgColor rgb="FFC6EFCE"/>
        </patternFill>
      </fill>
    </dxf>
    <dxf>
      <font>
        <b/>
        <i val="0"/>
        <color rgb="FF9C0006"/>
      </font>
      <fill>
        <patternFill>
          <fgColor indexed="64"/>
          <bgColor rgb="FFFFC7CE"/>
        </patternFill>
      </fil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Акимов Дмитрий Александрович" refreshedDate="43871.79388784722" createdVersion="6" refreshedVersion="6" minRefreshableVersion="3" recordCount="1079">
  <cacheSource type="worksheet">
    <worksheetSource name="source"/>
  </cacheSource>
  <cacheFields count="24">
    <cacheField name="ID" numFmtId="0">
      <sharedItems containsSemiMixedTypes="0" containsString="0" containsNumber="1" containsInteger="1" minValue="47" maxValue="1268"/>
    </cacheField>
    <cacheField name="Заголовок" numFmtId="0">
      <sharedItems containsBlank="1"/>
    </cacheField>
    <cacheField name="Приоритет" numFmtId="0">
      <sharedItems containsSemiMixedTypes="0" containsString="0" containsNumber="1" containsInteger="1" minValue="1" maxValue="3"/>
    </cacheField>
    <cacheField name="Приоритет_" numFmtId="0">
      <sharedItems/>
    </cacheField>
    <cacheField name="Статус" numFmtId="0">
      <sharedItems count="5">
        <s v="Проверено"/>
        <s v="Значительное"/>
        <s v="Завершено"/>
        <s v="КРИТИЧЕСКОЕ"/>
        <s v="Малозначительное"/>
      </sharedItems>
    </cacheField>
    <cacheField name="Категория" numFmtId="0">
      <sharedItems containsBlank="1" count="11">
        <m/>
        <s v="Fit Out"/>
        <s v="Входной контроль"/>
        <s v="Замечание механические системы"/>
        <s v="Замечание стройконтроля"/>
        <s v="Замечание фасады"/>
        <s v="Замечание электрические и СС системы"/>
        <s v="Нарушение ОТ и ТБ"/>
        <s v="Операционный контроль"/>
        <s v="Охрана Труда"/>
        <s v="Приемочный контроль"/>
      </sharedItems>
    </cacheField>
    <cacheField name="Отвественный" numFmtId="0">
      <sharedItems/>
    </cacheField>
    <cacheField name="Ответственный_" numFmtId="0">
      <sharedItems count="2">
        <s v="Отв7"/>
        <e v="#N/A"/>
      </sharedItems>
    </cacheField>
    <cacheField name="Дата начала" numFmtId="0">
      <sharedItems containsNonDate="0" containsDate="1" containsString="0" containsBlank="1" minDate="2019-05-28T00:00:00" maxDate="2020-02-11T00:00:00"/>
    </cacheField>
    <cacheField name="Дата завершения" numFmtId="0">
      <sharedItems containsNonDate="0" containsDate="1" containsString="0" containsBlank="1" minDate="2019-06-08T00:00:00" maxDate="2020-05-16T00:00:00"/>
    </cacheField>
    <cacheField name="План" numFmtId="0">
      <sharedItems containsBlank="1"/>
    </cacheField>
    <cacheField name="Поз. X (%)" numFmtId="0">
      <sharedItems containsString="0" containsBlank="1" containsNumber="1" minValue="0" maxValue="75.239999999999995"/>
    </cacheField>
    <cacheField name="Поз. Y (%)" numFmtId="0">
      <sharedItems containsString="0" containsBlank="1" containsNumber="1" minValue="0" maxValue="91.01"/>
    </cacheField>
    <cacheField name="Местоположение" numFmtId="0">
      <sharedItems containsBlank="1"/>
    </cacheField>
    <cacheField name="Рабочая сила" numFmtId="0">
      <sharedItems containsString="0" containsBlank="1" containsNumber="1" containsInteger="1" minValue="0" maxValue="6"/>
    </cacheField>
    <cacheField name="Стоимость" numFmtId="0">
      <sharedItems containsString="0" containsBlank="1" containsNumber="1" containsInteger="1" minValue="0" maxValue="0"/>
    </cacheField>
    <cacheField name="Плановая папка" numFmtId="0">
      <sharedItems containsBlank="1"/>
    </cacheField>
    <cacheField name="Ссылка на план" numFmtId="0">
      <sharedItems containsBlank="1"/>
    </cacheField>
    <cacheField name="Созданный" numFmtId="22">
      <sharedItems containsSemiMixedTypes="0" containsNonDate="0" containsDate="1" containsString="0" minDate="2019-11-01T11:01:32" maxDate="2020-02-10T18:22:53" count="959">
        <d v="2020-02-09T09:38:59"/>
        <d v="2020-02-01T17:33:55"/>
        <d v="2020-02-02T17:20:14"/>
        <d v="2020-02-02T17:27:37"/>
        <d v="2020-01-08T17:09:38"/>
        <d v="2020-02-07T06:08:13"/>
        <d v="2020-02-07T13:51:43"/>
        <d v="2020-01-30T09:43:47"/>
        <d v="2020-01-22T17:57:18"/>
        <d v="2020-02-05T15:54:32"/>
        <d v="2019-12-23T15:18:06"/>
        <d v="2019-12-23T15:18:09"/>
        <d v="2019-12-23T15:04:38"/>
        <d v="2019-12-23T15:18:07"/>
        <d v="2019-12-23T15:18:08"/>
        <d v="2019-12-23T15:18:10"/>
        <d v="2019-12-23T17:00:20"/>
        <d v="2019-12-23T17:44:35"/>
        <d v="2019-12-23T17:44:41"/>
        <d v="2019-12-23T17:44:43"/>
        <d v="2019-12-23T17:44:44"/>
        <d v="2019-12-23T17:44:38"/>
        <d v="2019-12-23T17:44:03"/>
        <d v="2019-12-23T17:44:46"/>
        <d v="2019-12-23T17:09:27"/>
        <d v="2019-12-23T17:02:23"/>
        <d v="2019-12-23T17:44:39"/>
        <d v="2019-12-23T17:44:45"/>
        <d v="2019-12-23T17:44:40"/>
        <d v="2019-12-23T17:41:55"/>
        <d v="2019-12-23T17:44:36"/>
        <d v="2019-12-23T17:44:42"/>
        <d v="2019-12-23T17:41:28"/>
        <d v="2019-12-23T17:44:37"/>
        <d v="2019-12-23T17:41:29"/>
        <d v="2019-12-23T17:42:50"/>
        <d v="2019-12-23T17:42:52"/>
        <d v="2019-12-23T15:04:39"/>
        <d v="2019-12-23T15:04:37"/>
        <d v="2019-12-23T15:18:05"/>
        <d v="2019-12-25T17:03:11"/>
        <d v="2019-12-25T16:21:36"/>
        <d v="2019-12-25T15:50:40"/>
        <d v="2019-12-25T16:01:46"/>
        <d v="2019-12-25T16:01:49"/>
        <d v="2019-12-25T16:01:53"/>
        <d v="2019-12-25T16:03:55"/>
        <d v="2019-12-25T16:42:23"/>
        <d v="2019-12-25T16:27:18"/>
        <d v="2019-12-25T16:35:55"/>
        <d v="2019-12-25T16:38:26"/>
        <d v="2019-12-25T16:50:32"/>
        <d v="2019-12-25T16:52:49"/>
        <d v="2019-12-25T16:56:12"/>
        <d v="2019-12-25T17:11:14"/>
        <d v="2019-12-25T17:09:51"/>
        <d v="2019-12-25T17:05:39"/>
        <d v="2019-12-25T17:08:32"/>
        <d v="2019-11-15T16:39:51"/>
        <d v="2019-11-18T11:16:44"/>
        <d v="2019-11-18T11:18:42"/>
        <d v="2020-02-07T11:07:25"/>
        <d v="2020-02-07T11:22:57"/>
        <d v="2020-01-20T15:00:10"/>
        <d v="2020-01-21T14:58:32"/>
        <d v="2020-01-22T15:49:43"/>
        <d v="2020-01-22T15:47:10"/>
        <d v="2020-02-07T10:53:48"/>
        <d v="2020-02-02T06:58:18"/>
        <d v="2020-02-02T06:58:45"/>
        <d v="2020-01-24T19:06:09"/>
        <d v="2020-01-25T18:47:54"/>
        <d v="2020-01-30T08:22:04"/>
        <d v="2020-01-30T09:06:18"/>
        <d v="2020-01-09T02:31:35"/>
        <d v="2020-01-21T18:57:55"/>
        <d v="2020-01-21T19:06:23"/>
        <d v="2020-01-21T19:01:49"/>
        <d v="2020-01-31T17:34:40"/>
        <d v="2020-01-31T17:34:39"/>
        <d v="2020-01-31T17:34:41"/>
        <d v="2020-01-30T11:50:34"/>
        <d v="2020-01-30T11:50:40"/>
        <d v="2020-01-30T11:50:35"/>
        <d v="2019-11-25T09:13:32"/>
        <d v="2019-12-01T11:03:14"/>
        <d v="2019-12-08T09:04:30"/>
        <d v="2019-12-20T11:07:48"/>
        <d v="2019-11-19T17:17:24"/>
        <d v="2019-11-19T10:21:30"/>
        <d v="2020-01-24T07:22:09"/>
        <d v="2020-01-11T19:06:51"/>
        <d v="2019-11-28T06:34:19"/>
        <d v="2019-11-02T15:51:43"/>
        <d v="2019-12-30T16:54:50"/>
        <d v="2019-11-13T04:55:43"/>
        <d v="2020-01-04T14:32:03"/>
        <d v="2020-02-08T06:43:40"/>
        <d v="2020-01-23T06:27:43"/>
        <d v="2019-11-24T14:54:01"/>
        <d v="2020-01-14T09:28:35"/>
        <d v="2019-11-15T18:13:47"/>
        <d v="2019-11-15T18:13:40"/>
        <d v="2019-11-25T09:43:44"/>
        <d v="2019-11-22T16:58:46"/>
        <d v="2019-11-29T13:08:27"/>
        <d v="2019-12-11T12:51:50"/>
        <d v="2019-11-08T12:12:35"/>
        <d v="2019-11-15T18:13:39"/>
        <d v="2019-11-15T18:14:21"/>
        <d v="2019-11-15T18:13:43"/>
        <d v="2019-11-29T13:10:51"/>
        <d v="2019-11-29T13:19:45"/>
        <d v="2019-11-01T12:43:55"/>
        <d v="2019-11-01T12:43:41"/>
        <d v="2019-11-01T12:44:15"/>
        <d v="2019-11-01T12:43:34"/>
        <d v="2019-11-01T12:44:06"/>
        <d v="2019-12-09T11:33:05"/>
        <d v="2019-11-29T13:12:32"/>
        <d v="2019-11-07T11:05:26"/>
        <d v="2020-01-31T16:01:25"/>
        <d v="2020-02-07T12:44:31"/>
        <d v="2020-02-07T10:40:09"/>
        <d v="2019-11-25T14:26:48"/>
        <d v="2019-12-02T11:21:30"/>
        <d v="2019-11-01T12:44:11"/>
        <d v="2019-11-01T16:46:16"/>
        <d v="2019-11-02T09:53:02"/>
        <d v="2019-11-02T09:52:59"/>
        <d v="2019-11-02T09:53:04"/>
        <d v="2019-11-02T09:53:00"/>
        <d v="2019-11-01T16:46:14"/>
        <d v="2019-12-04T15:30:39"/>
        <d v="2020-01-29T17:48:51"/>
        <d v="2019-11-07T11:43:59"/>
        <d v="2019-11-08T22:43:32"/>
        <d v="2019-12-11T10:58:53"/>
        <d v="2019-12-11T10:58:30"/>
        <d v="2019-11-07T10:30:10"/>
        <d v="2019-11-14T15:34:07"/>
        <d v="2020-01-10T09:57:08"/>
        <d v="2020-01-09T18:21:52"/>
        <d v="2019-11-15T14:45:16"/>
        <d v="2020-01-29T10:48:39"/>
        <d v="2020-01-29T11:42:23"/>
        <d v="2019-11-01T11:01:46"/>
        <d v="2019-11-06T14:29:32"/>
        <d v="2019-11-06T15:37:35"/>
        <d v="2019-11-06T14:29:08"/>
        <d v="2019-11-06T16:38:03"/>
        <d v="2019-11-06T16:38:02"/>
        <d v="2019-11-06T17:55:51"/>
        <d v="2019-11-08T12:12:34"/>
        <d v="2019-11-12T10:47:01"/>
        <d v="2019-11-12T12:11:40"/>
        <d v="2019-11-12T12:11:37"/>
        <d v="2019-11-12T12:11:38"/>
        <d v="2019-11-12T12:11:39"/>
        <d v="2019-11-12T19:26:34"/>
        <d v="2019-11-15T14:42:27"/>
        <d v="2019-11-15T16:24:02"/>
        <d v="2019-11-15T14:42:25"/>
        <d v="2020-02-06T10:58:23"/>
        <d v="2020-02-06T10:58:19"/>
        <d v="2020-02-07T12:48:56"/>
        <d v="2020-02-06T10:58:16"/>
        <d v="2020-02-05T12:38:04"/>
        <d v="2020-02-06T11:14:37"/>
        <d v="2019-11-15T14:42:28"/>
        <d v="2019-11-15T14:42:26"/>
        <d v="2019-12-17T15:09:47"/>
        <d v="2019-11-15T16:24:05"/>
        <d v="2019-11-14T15:07:10"/>
        <d v="2019-11-07T10:11:33"/>
        <d v="2019-11-08T12:00:06"/>
        <d v="2019-12-17T15:02:54"/>
        <d v="2019-11-29T11:13:45"/>
        <d v="2019-11-29T11:11:44"/>
        <d v="2019-11-29T11:17:20"/>
        <d v="2020-01-29T11:04:38"/>
        <d v="2020-01-29T11:23:36"/>
        <d v="2020-01-29T11:12:36"/>
        <d v="2019-11-01T11:01:45"/>
        <d v="2019-11-05T12:21:16"/>
        <d v="2019-11-05T12:21:22"/>
        <d v="2019-11-06T15:37:34"/>
        <d v="2019-11-06T15:37:25"/>
        <d v="2019-12-11T10:54:13"/>
        <d v="2019-12-11T11:27:16"/>
        <d v="2019-12-11T11:14:32"/>
        <d v="2019-12-11T11:27:17"/>
        <d v="2019-12-11T11:34:31"/>
        <d v="2019-12-11T10:28:13"/>
        <d v="2019-11-12T10:16:06"/>
        <d v="2019-11-05T12:47:34"/>
        <d v="2019-11-08T12:00:25"/>
        <d v="2019-11-12T10:37:19"/>
        <d v="2019-11-12T10:26:59"/>
        <d v="2019-12-13T10:31:51"/>
        <d v="2019-12-13T10:27:13"/>
        <d v="2019-12-13T11:05:26"/>
        <d v="2019-11-13T15:12:53"/>
        <d v="2019-11-13T14:27:37"/>
        <d v="2019-11-13T11:04:49"/>
        <d v="2019-11-13T11:04:50"/>
        <d v="2019-11-13T11:23:56"/>
        <d v="2019-11-13T11:58:27"/>
        <d v="2019-11-13T11:51:57"/>
        <d v="2019-11-13T11:42:21"/>
        <d v="2019-11-13T12:22:05"/>
        <d v="2019-11-13T11:29:31"/>
        <d v="2019-11-13T12:09:44"/>
        <d v="2019-11-13T11:55:07"/>
        <d v="2019-11-13T12:19:16"/>
        <d v="2019-11-13T14:40:25"/>
        <d v="2019-11-13T15:30:08"/>
        <d v="2019-11-13T15:30:09"/>
        <d v="2019-11-13T15:32:38"/>
        <d v="2019-11-13T15:26:11"/>
        <d v="2019-11-13T15:30:07"/>
        <d v="2019-11-13T15:49:23"/>
        <d v="2019-11-14T15:17:11"/>
        <d v="2019-11-14T14:54:07"/>
        <d v="2019-11-14T16:36:48"/>
        <d v="2019-11-14T16:03:03"/>
        <d v="2019-11-14T16:33:49"/>
        <d v="2019-11-14T14:31:14"/>
        <d v="2019-11-15T16:24:03"/>
        <d v="2019-11-15T16:24:06"/>
        <d v="2019-11-08T11:58:20"/>
        <d v="2019-11-12T12:15:00"/>
        <d v="2019-11-14T15:20:03"/>
        <d v="2020-01-16T11:32:03"/>
        <d v="2020-01-16T11:26:39"/>
        <d v="2019-12-10T16:59:03"/>
        <d v="2020-01-10T11:54:50"/>
        <d v="2020-01-21T14:38:53"/>
        <d v="2019-11-05T14:35:06"/>
        <d v="2020-01-24T14:27:46"/>
        <d v="2019-12-04T10:39:02"/>
        <d v="2019-11-05T14:39:01"/>
        <d v="2019-11-05T15:19:23"/>
        <d v="2019-11-05T15:19:32"/>
        <d v="2019-12-10T14:39:38"/>
        <d v="2019-12-10T14:49:18"/>
        <d v="2019-12-10T15:16:02"/>
        <d v="2019-12-10T16:00:11"/>
        <d v="2019-12-10T17:03:26"/>
        <d v="2019-12-10T16:45:31"/>
        <d v="2019-11-05T15:18:36"/>
        <d v="2019-11-05T15:17:56"/>
        <d v="2019-11-05T15:19:10"/>
        <d v="2019-11-05T15:18:05"/>
        <d v="2020-01-10T11:59:58"/>
        <d v="2020-01-10T10:59:54"/>
        <d v="2020-01-10T11:45:45"/>
        <d v="2020-01-10T11:26:52"/>
        <d v="2020-01-10T16:35:55"/>
        <d v="2020-01-10T15:14:20"/>
        <d v="2020-01-10T16:35:54"/>
        <d v="2020-01-10T16:08:37"/>
        <d v="2020-01-21T15:41:07"/>
        <d v="2020-02-04T14:38:02"/>
        <d v="2020-02-10T17:36:45"/>
        <d v="2020-02-10T18:22:53"/>
        <d v="2019-12-03T16:29:28"/>
        <d v="2020-01-09T15:16:02"/>
        <d v="2020-02-07T10:53:12"/>
        <d v="2020-02-10T16:06:46"/>
        <d v="2019-11-01T11:01:38"/>
        <d v="2019-11-28T09:46:24"/>
        <d v="2019-12-24T17:16:43"/>
        <d v="2019-12-25T14:44:44"/>
        <d v="2019-12-20T15:20:50"/>
        <d v="2019-12-03T10:31:35"/>
        <d v="2019-11-01T11:01:44"/>
        <d v="2019-11-06T13:51:01"/>
        <d v="2019-12-13T14:33:36"/>
        <d v="2020-01-29T10:13:44"/>
        <d v="2020-02-07T17:01:47"/>
        <d v="2020-01-14T15:16:18"/>
        <d v="2020-01-20T15:36:19"/>
        <d v="2019-12-20T11:02:37"/>
        <d v="2019-11-22T16:17:01"/>
        <d v="2019-12-19T16:26:17"/>
        <d v="2019-11-21T10:26:35"/>
        <d v="2019-12-16T12:01:08"/>
        <d v="2019-12-03T16:33:35"/>
        <d v="2019-11-01T11:01:33"/>
        <d v="2019-11-01T11:01:42"/>
        <d v="2019-11-08T12:44:28"/>
        <d v="2019-12-02T15:09:39"/>
        <d v="2019-11-01T11:01:40"/>
        <d v="2019-11-21T17:56:09"/>
        <d v="2019-11-18T03:21:54"/>
        <d v="2020-01-15T13:51:43"/>
        <d v="2020-01-20T10:09:35"/>
        <d v="2019-12-20T17:27:50"/>
        <d v="2020-01-28T10:21:27"/>
        <d v="2020-01-28T10:23:19"/>
        <d v="2019-12-24T10:20:40"/>
        <d v="2019-12-24T11:10:48"/>
        <d v="2019-12-24T10:54:34"/>
        <d v="2019-11-30T11:31:50"/>
        <d v="2020-01-29T14:15:55"/>
        <d v="2019-11-01T11:01:34"/>
        <d v="2019-11-11T17:05:22"/>
        <d v="2020-01-09T15:15:54"/>
        <d v="2020-02-05T15:54:49"/>
        <d v="2020-02-10T10:19:20"/>
        <d v="2020-01-15T17:34:43"/>
        <d v="2020-01-21T16:05:44"/>
        <d v="2019-11-28T09:46:26"/>
        <d v="2020-01-15T17:34:40"/>
        <d v="2020-01-15T17:34:32"/>
        <d v="2019-12-03T10:22:54"/>
        <d v="2020-01-20T15:31:35"/>
        <d v="2020-01-28T09:57:34"/>
        <d v="2020-02-04T14:38:19"/>
        <d v="2019-11-24T17:27:09"/>
        <d v="2019-11-28T10:03:29"/>
        <d v="2019-12-24T10:32:22"/>
        <d v="2019-12-24T11:24:39"/>
        <d v="2019-12-24T11:45:56"/>
        <d v="2019-12-24T11:04:57"/>
        <d v="2020-01-29T14:11:36"/>
        <d v="2020-01-29T14:32:28"/>
        <d v="2020-01-29T14:22:16"/>
        <d v="2020-01-29T14:19:36"/>
        <d v="2020-01-29T14:27:33"/>
        <d v="2020-01-29T14:29:19"/>
        <d v="2020-01-29T14:26:07"/>
        <d v="2019-11-01T11:01:43"/>
        <d v="2019-12-03T11:57:36"/>
        <d v="2019-11-04T11:02:58"/>
        <d v="2019-11-04T11:53:17"/>
        <d v="2019-12-10T15:17:19"/>
        <d v="2019-12-10T11:09:51"/>
        <d v="2020-01-21T16:05:37"/>
        <d v="2020-01-31T13:42:38"/>
        <d v="2019-12-13T14:34:17"/>
        <d v="2019-12-16T09:49:00"/>
        <d v="2020-01-09T15:12:58"/>
        <d v="2019-11-18T15:48:04"/>
        <d v="2019-11-19T04:27:01"/>
        <d v="2020-01-08T17:07:14"/>
        <d v="2020-02-04T10:15:06"/>
        <d v="2020-01-09T15:15:52"/>
        <d v="2020-01-17T09:33:09"/>
        <d v="2020-01-17T17:04:12"/>
        <d v="2019-12-17T10:29:07"/>
        <d v="2019-12-03T16:29:26"/>
        <d v="2019-12-03T16:29:24"/>
        <d v="2019-12-03T16:29:23"/>
        <d v="2020-02-10T18:18:52"/>
        <d v="2019-11-01T16:29:09"/>
        <d v="2019-12-12T01:13:39"/>
        <d v="2019-11-30T12:32:44"/>
        <d v="2019-11-22T09:57:13"/>
        <d v="2019-11-12T10:12:30"/>
        <d v="2019-12-02T17:47:14"/>
        <d v="2019-11-26T16:21:55"/>
        <d v="2019-12-27T16:59:49"/>
        <d v="2019-11-01T11:01:36"/>
        <d v="2019-11-01T11:01:32"/>
        <d v="2019-11-01T11:01:35"/>
        <d v="2019-11-01T11:01:37"/>
        <d v="2019-11-01T11:01:39"/>
        <d v="2019-11-01T11:01:41"/>
        <d v="2020-01-06T14:05:18"/>
        <d v="2020-02-03T17:06:16"/>
        <d v="2020-02-03T17:22:42"/>
        <d v="2020-02-06T17:55:38"/>
        <d v="2020-02-07T16:28:09"/>
        <d v="2020-01-14T17:30:35"/>
        <d v="2020-02-10T13:22:15"/>
        <d v="2020-01-20T14:43:08"/>
        <d v="2020-01-21T13:27:06"/>
        <d v="2019-12-15T23:27:32"/>
        <d v="2019-11-29T17:24:00"/>
        <d v="2019-12-06T17:17:25"/>
        <d v="2019-12-12T13:32:02"/>
        <d v="2019-12-11T23:34:20"/>
        <d v="2019-12-02T10:27:12"/>
        <d v="2019-11-11T09:21:33"/>
        <d v="2019-11-25T18:15:09"/>
        <d v="2019-12-27T15:20:44"/>
        <d v="2019-12-27T15:29:22"/>
        <d v="2020-02-07T17:01:37"/>
        <d v="2019-12-02T10:44:25"/>
        <d v="2019-11-25T18:03:35"/>
        <d v="2019-11-29T13:33:46"/>
        <d v="2019-12-05T16:38:16"/>
        <d v="2019-11-14T13:50:17"/>
        <d v="2019-11-29T13:33:49"/>
        <d v="2019-12-06T13:28:02"/>
        <d v="2020-01-16T12:29:45"/>
        <d v="2019-11-20T19:56:16"/>
        <d v="2020-01-14T11:30:35"/>
        <d v="2019-11-01T17:04:37"/>
        <d v="2019-12-04T15:07:36"/>
        <d v="2019-12-10T12:28:21"/>
        <d v="2019-11-18T16:53:04"/>
        <d v="2019-11-18T16:53:05"/>
        <d v="2019-11-18T16:53:06"/>
        <d v="2019-11-18T16:53:07"/>
        <d v="2019-12-19T13:42:23"/>
        <d v="2020-02-03T13:40:39"/>
        <d v="2020-02-04T17:32:09"/>
        <d v="2020-02-04T17:43:57"/>
        <d v="2020-02-04T17:38:37"/>
        <d v="2019-11-28T19:33:40"/>
        <d v="2020-01-28T10:12:28"/>
        <d v="2020-01-21T12:37:02"/>
        <d v="2019-11-25T16:37:53"/>
        <d v="2019-12-09T08:41:57"/>
        <d v="2019-12-09T09:06:12"/>
        <d v="2020-01-20T09:29:14"/>
        <d v="2020-01-20T09:36:52"/>
        <d v="2019-11-19T10:46:12"/>
        <d v="2019-12-17T06:52:13"/>
        <d v="2020-01-26T18:43:39"/>
        <d v="2019-12-20T07:03:26"/>
        <d v="2019-12-03T18:23:28"/>
        <d v="2019-11-25T09:54:22"/>
        <d v="2019-12-21T05:32:22"/>
        <d v="2019-11-23T06:40:58"/>
        <d v="2019-12-23T23:53:57"/>
        <d v="2019-12-25T06:39:42"/>
        <d v="2019-12-27T16:08:48"/>
        <d v="2020-01-15T02:33:44"/>
        <d v="2019-12-28T16:24:58"/>
        <d v="2019-12-04T09:38:02"/>
        <d v="2019-11-06T09:41:27"/>
        <d v="2019-12-07T11:35:39"/>
        <d v="2020-01-19T12:56:01"/>
        <d v="2020-01-30T22:30:40"/>
        <d v="2019-12-11T16:31:58"/>
        <d v="2020-01-31T04:58:34"/>
        <d v="2019-11-25T10:08:30"/>
        <d v="2019-12-04T18:59:44"/>
        <d v="2020-01-02T22:48:01"/>
        <d v="2020-01-03T22:08:38"/>
        <d v="2020-01-31T23:47:01"/>
        <d v="2020-01-07T23:32:57"/>
        <d v="2020-02-04T23:57:52"/>
        <d v="2020-01-10T11:51:21"/>
        <d v="2020-01-10T17:12:47"/>
        <d v="2020-01-10T17:12:46"/>
        <d v="2020-02-07T11:19:40"/>
        <d v="2020-02-08T12:38:54"/>
        <d v="2020-01-16T06:13:35"/>
        <d v="2020-01-18T12:26:54"/>
        <d v="2020-01-18T12:26:55"/>
        <d v="2020-01-19T16:00:13"/>
        <d v="2020-01-23T17:08:32"/>
        <d v="2020-01-23T17:08:31"/>
        <d v="2020-01-23T10:43:25"/>
        <d v="2020-01-29T17:12:51"/>
        <d v="2020-01-29T17:29:12"/>
        <d v="2020-01-29T17:27:18"/>
        <d v="2020-01-29T17:28:17"/>
        <d v="2020-01-29T17:19:23"/>
        <d v="2020-01-29T17:31:28"/>
        <d v="2020-01-29T17:21:30"/>
        <d v="2020-01-29T17:29:50"/>
        <d v="2020-01-29T17:30:24"/>
        <d v="2020-01-29T17:32:51"/>
        <d v="2020-02-07T06:40:03"/>
        <d v="2019-12-19T12:04:17"/>
        <d v="2019-12-23T18:51:00"/>
        <d v="2019-12-24T11:13:03"/>
        <d v="2020-02-09T23:26:41"/>
        <d v="2020-02-10T06:03:13"/>
        <d v="2019-12-25T17:03:22"/>
        <d v="2019-12-25T17:45:47"/>
        <d v="2020-01-17T15:27:00"/>
        <d v="2019-12-19T17:37:30"/>
        <d v="2020-01-14T15:14:54"/>
        <d v="2020-01-13T16:53:28"/>
        <d v="2019-12-17T13:49:50"/>
        <d v="2019-12-17T13:55:10"/>
        <d v="2019-12-17T13:46:44"/>
        <d v="2020-01-21T10:04:00"/>
        <d v="2020-01-21T10:12:54"/>
        <d v="2020-01-21T10:09:26"/>
        <d v="2020-02-06T19:38:41"/>
        <d v="2020-01-21T11:20:31"/>
        <d v="2020-02-04T14:59:59"/>
        <d v="2020-02-04T14:38:00"/>
        <d v="2020-02-04T14:37:58"/>
        <d v="2020-01-24T16:40:52"/>
        <d v="2019-12-17T15:18:51"/>
        <d v="2020-01-28T10:01:52"/>
        <d v="2020-01-24T16:40:58"/>
        <d v="2020-01-24T16:41:02"/>
        <d v="2020-01-29T10:31:21"/>
        <d v="2019-12-03T10:13:07"/>
        <d v="2019-11-20T17:07:37"/>
        <d v="2020-01-03T17:04:31"/>
        <d v="2019-11-18T15:48:06"/>
        <d v="2020-01-09T10:49:21"/>
        <d v="2020-01-13T10:19:40"/>
        <d v="2020-01-21T16:05:55"/>
        <d v="2020-01-21T16:09:15"/>
        <d v="2019-11-29T05:26:08"/>
        <d v="2020-01-19T06:42:25"/>
        <d v="2020-01-23T06:50:28"/>
        <d v="2019-11-17T02:49:48"/>
        <d v="2020-01-08T14:02:45"/>
        <d v="2020-02-04T10:52:23"/>
        <d v="2020-01-11T16:15:08"/>
        <d v="2020-01-11T17:29:49"/>
        <d v="2020-02-09T05:45:58"/>
        <d v="2020-01-15T17:18:35"/>
        <d v="2020-01-15T17:12:53"/>
        <d v="2020-01-21T09:58:02"/>
        <d v="2019-12-18T11:53:26"/>
        <d v="2019-12-18T18:13:09"/>
        <d v="2019-12-18T11:53:24"/>
        <d v="2020-02-05T17:12:23"/>
        <d v="2019-11-22T16:41:09"/>
        <d v="2019-11-26T11:08:43"/>
        <d v="2019-11-29T12:00:21"/>
        <d v="2019-12-03T10:09:20"/>
        <d v="2019-12-27T12:07:03"/>
        <d v="2019-11-01T14:59:09"/>
        <d v="2019-12-06T17:16:31"/>
        <d v="2019-12-06T17:22:07"/>
        <d v="2019-11-06T09:00:11"/>
        <d v="2019-11-08T11:48:49"/>
        <d v="2019-12-10T12:23:23"/>
        <d v="2019-11-11T16:15:10"/>
        <d v="2019-11-13T17:48:41"/>
        <d v="2019-11-06T09:18:57"/>
        <d v="2019-11-18T17:32:06"/>
        <d v="2019-12-19T17:37:00"/>
        <d v="2019-12-21T09:51:17"/>
        <d v="2019-11-08T10:10:14"/>
        <d v="2019-11-18T14:44:37"/>
        <d v="2020-01-06T14:46:21"/>
        <d v="2019-11-23T15:37:51"/>
        <d v="2019-11-25T08:46:47"/>
        <d v="2019-12-21T14:55:14"/>
        <d v="2019-12-21T15:16:53"/>
        <d v="2019-12-01T08:53:05"/>
        <d v="2019-12-01T09:05:04"/>
        <d v="2019-12-01T11:00:01"/>
        <d v="2020-01-20T08:47:14"/>
        <d v="2020-01-20T09:11:04"/>
        <d v="2020-01-06T11:17:02"/>
        <d v="2020-01-06T11:46:53"/>
        <d v="2020-01-06T11:29:06"/>
        <d v="2020-01-06T11:38:46"/>
        <d v="2019-11-19T08:57:26"/>
        <d v="2019-11-19T09:49:58"/>
        <d v="2019-11-19T10:09:28"/>
        <d v="2019-11-19T10:23:53"/>
        <d v="2019-11-19T10:44:41"/>
        <d v="2020-01-12T17:43:43"/>
        <d v="2020-02-09T10:06:57"/>
        <d v="2020-02-09T14:17:04"/>
        <d v="2020-02-09T09:55:50"/>
        <d v="2020-02-09T14:23:53"/>
        <d v="2020-01-20T08:48:27"/>
        <d v="2019-11-22T09:44:01"/>
        <d v="2019-12-10T10:31:41"/>
        <d v="2019-11-19T10:55:34"/>
        <d v="2019-11-19T10:35:27"/>
        <d v="2019-12-17T06:52:12"/>
        <d v="2019-11-21T21:25:41"/>
        <d v="2019-11-22T01:51:54"/>
        <d v="2019-11-22T01:35:45"/>
        <d v="2019-11-22T23:30:43"/>
        <d v="2019-11-22T23:30:38"/>
        <d v="2019-11-22T23:30:46"/>
        <d v="2019-11-22T23:30:40"/>
        <d v="2020-01-26T18:43:40"/>
        <d v="2019-12-20T00:11:28"/>
        <d v="2019-12-20T00:11:34"/>
        <d v="2019-11-25T18:08:38"/>
        <d v="2019-11-25T18:11:23"/>
        <d v="2019-11-25T10:23:46"/>
        <d v="2019-11-26T18:26:17"/>
        <d v="2019-11-26T18:13:57"/>
        <d v="2019-11-29T21:32:27"/>
        <d v="2019-12-24T01:55:29"/>
        <d v="2019-12-23T23:55:40"/>
        <d v="2019-11-30T07:08:54"/>
        <d v="2019-11-30T07:13:38"/>
        <d v="2019-12-01T07:19:26"/>
        <d v="2019-12-03T18:27:25"/>
        <d v="2019-12-03T18:19:20"/>
        <d v="2019-12-04T11:28:22"/>
        <d v="2019-12-04T17:02:37"/>
        <d v="2019-11-05T10:26:30"/>
        <d v="2019-12-07T16:12:14"/>
        <d v="2019-11-06T09:14:30"/>
        <d v="2019-11-06T11:46:26"/>
        <d v="2019-11-06T13:45:27"/>
        <d v="2019-12-08T16:48:12"/>
        <d v="2019-11-08T01:49:03"/>
        <d v="2019-12-11T11:24:30"/>
        <d v="2019-11-08T21:25:48"/>
        <d v="2019-11-09T01:22:11"/>
        <d v="2019-11-09T01:19:11"/>
        <d v="2019-11-09T01:21:58"/>
        <d v="2019-11-09T01:35:26"/>
        <d v="2019-12-12T14:56:59"/>
        <d v="2019-12-11T16:31:57"/>
        <d v="2019-11-21T21:50:38"/>
        <d v="2019-11-21T22:20:45"/>
        <d v="2019-12-12T11:46:53"/>
        <d v="2019-12-12T11:46:59"/>
        <d v="2019-11-06T17:20:32"/>
        <d v="2020-01-31T23:14:13"/>
        <d v="2019-12-16T21:11:54"/>
        <d v="2020-02-01T04:15:42"/>
        <d v="2020-02-01T04:18:12"/>
        <d v="2020-02-01T07:18:10"/>
        <d v="2020-01-06T21:16:57"/>
        <d v="2020-01-06T23:44:48"/>
        <d v="2020-01-07T23:34:36"/>
        <d v="2020-02-04T08:04:36"/>
        <d v="2020-02-05T02:57:06"/>
        <d v="2020-01-11T10:44:32"/>
        <d v="2020-02-07T14:31:39"/>
        <d v="2020-02-08T17:44:28"/>
        <d v="2020-02-08T12:38:53"/>
        <d v="2020-01-15T01:02:44"/>
        <d v="2020-01-15T02:04:39"/>
        <d v="2020-01-16T06:13:36"/>
        <d v="2020-01-22T16:19:09"/>
        <d v="2020-01-22T16:19:10"/>
        <d v="2020-01-25T07:23:58"/>
        <d v="2020-01-25T07:29:09"/>
        <d v="2020-01-25T07:30:10"/>
        <d v="2019-11-21T18:08:49"/>
        <d v="2019-11-22T18:25:05"/>
        <d v="2020-01-12T03:00:59"/>
        <d v="2019-11-22T18:17:53"/>
        <d v="2020-01-26T05:54:36"/>
        <d v="2020-01-26T05:56:04"/>
        <d v="2019-12-19T18:04:46"/>
        <d v="2019-11-26T06:17:27"/>
        <d v="2019-11-27T06:25:59"/>
        <d v="2019-11-29T18:20:08"/>
        <d v="2019-11-30T18:18:04"/>
        <d v="2019-12-24T17:15:33"/>
        <d v="2019-12-24T17:19:15"/>
        <d v="2019-12-24T18:50:53"/>
        <d v="2020-01-28T19:16:18"/>
        <d v="2019-12-04T07:48:34"/>
        <d v="2019-12-28T23:27:55"/>
        <d v="2019-11-02T06:41:27"/>
        <d v="2019-11-02T06:33:21"/>
        <d v="2019-12-28T04:40:48"/>
        <d v="2019-11-02T23:44:32"/>
        <d v="2019-11-03T06:38:13"/>
        <d v="2019-12-05T05:56:34"/>
        <d v="2019-12-05T05:59:18"/>
        <d v="2019-12-29T02:41:34"/>
        <d v="2019-11-06T00:53:36"/>
        <d v="2019-12-08T03:17:25"/>
        <d v="2019-11-07T03:47:55"/>
        <d v="2019-11-07T03:55:34"/>
        <d v="2019-12-09T02:26:08"/>
        <d v="2019-12-31T13:00:08"/>
        <d v="2019-11-09T17:36:44"/>
        <d v="2019-11-09T17:26:09"/>
        <d v="2019-11-10T16:33:14"/>
        <d v="2020-01-21T05:17:44"/>
        <d v="2019-11-30T18:12:09"/>
        <d v="2019-11-21T18:22:02"/>
        <d v="2019-12-13T05:30:39"/>
        <d v="2019-12-13T06:23:51"/>
        <d v="2019-11-13T18:54:04"/>
        <d v="2019-12-16T17:18:49"/>
        <d v="2019-11-14T18:01:30"/>
        <d v="2019-11-14T18:04:39"/>
        <d v="2019-11-14T17:59:27"/>
        <d v="2020-02-01T17:31:29"/>
        <d v="2020-01-04T16:22:27"/>
        <d v="2020-01-05T14:00:22"/>
        <d v="2020-01-05T13:57:12"/>
        <d v="2020-01-05T14:04:04"/>
        <d v="2020-01-05T14:04:57"/>
        <d v="2019-11-17T16:37:43"/>
        <d v="2019-11-17T17:03:06"/>
        <d v="2019-11-17T16:40:44"/>
        <d v="2019-11-17T17:04:17"/>
        <d v="2019-11-18T17:49:31"/>
        <d v="2019-11-18T17:55:23"/>
        <d v="2019-11-18T17:54:35"/>
        <d v="2020-02-06T06:02:58"/>
        <d v="2020-02-06T06:02:05"/>
        <d v="2020-01-12T02:59:56"/>
        <d v="2020-02-07T06:24:52"/>
        <d v="2020-01-14T18:51:17"/>
        <d v="2020-01-15T19:00:14"/>
        <d v="2020-01-15T19:06:10"/>
        <d v="2020-01-22T06:09:41"/>
        <d v="2020-01-22T05:55:27"/>
        <d v="2019-12-19T17:58:29"/>
        <d v="2019-11-23T13:13:18"/>
        <d v="2019-12-21T19:38:13"/>
        <d v="2019-11-15T20:09:59"/>
        <d v="2020-01-24T16:42:46"/>
        <d v="2019-12-17T10:29:42"/>
        <d v="2019-12-21T19:31:38"/>
        <d v="2019-12-21T19:34:47"/>
        <d v="2019-12-21T19:36:42"/>
        <d v="2019-11-28T20:00:25"/>
        <d v="2019-11-28T20:00:27"/>
        <d v="2019-12-06T10:19:31"/>
        <d v="2019-12-09T17:57:31"/>
        <d v="2019-12-09T17:41:03"/>
        <d v="2019-11-22T03:49:22"/>
        <d v="2019-11-21T11:06:50"/>
        <d v="2019-12-10T14:54:33"/>
        <d v="2019-11-19T16:53:59"/>
        <d v="2019-11-19T16:48:54"/>
        <d v="2020-01-21T10:28:31"/>
        <d v="2020-02-06T13:51:43"/>
        <d v="2019-12-20T10:52:49"/>
        <d v="2019-12-20T18:23:50"/>
        <d v="2019-12-20T18:21:30"/>
        <d v="2019-11-27T18:17:12"/>
        <d v="2019-11-27T19:20:20"/>
        <d v="2019-11-27T20:09:14"/>
        <d v="2019-11-28T18:20:21"/>
        <d v="2019-12-24T17:44:10"/>
        <d v="2019-11-20T11:18:23"/>
        <d v="2019-11-12T20:15:17"/>
        <d v="2019-11-20T16:59:11"/>
        <d v="2019-11-15T19:18:21"/>
        <d v="2019-11-16T17:56:59"/>
        <d v="2019-11-19T13:37:15"/>
        <d v="2019-11-19T19:10:27"/>
        <d v="2019-11-19T19:34:16"/>
        <d v="2020-01-09T18:46:43"/>
        <d v="2020-02-06T15:31:37"/>
        <d v="2020-01-21T14:57:27"/>
        <d v="2020-01-21T11:20:32"/>
        <d v="2020-01-22T17:57:17"/>
        <d v="2020-01-24T09:51:54"/>
        <d v="2020-02-05T15:22:06"/>
        <d v="2020-01-14T11:37:41"/>
        <d v="2020-01-24T09:30:01"/>
        <d v="2020-01-24T09:34:54"/>
        <d v="2020-01-24T09:38:05"/>
        <d v="2020-01-24T09:47:08"/>
        <d v="2020-01-24T11:38:52"/>
        <d v="2020-01-24T13:57:35"/>
        <d v="2020-01-24T15:51:13"/>
        <d v="2019-12-19T13:51:23"/>
        <d v="2020-01-28T12:06:55"/>
        <d v="2020-01-28T12:35:06"/>
        <d v="2020-01-28T12:14:10"/>
        <d v="2020-01-28T12:37:00"/>
        <d v="2020-01-24T09:36:16"/>
        <d v="2020-01-24T09:32:40"/>
        <d v="2020-01-29T17:38:58"/>
        <d v="2020-01-22T15:51:56"/>
        <d v="2020-01-09T18:17:08"/>
        <d v="2020-02-05T11:18:47"/>
        <d v="2020-02-05T09:47:22"/>
        <d v="2020-02-05T10:40:20"/>
        <d v="2020-02-05T15:39:32"/>
        <d v="2020-02-05T14:53:13"/>
        <d v="2020-02-05T15:49:32"/>
        <d v="2020-02-05T15:53:32"/>
        <d v="2020-02-05T16:29:07"/>
        <d v="2020-02-05T16:27:01"/>
        <d v="2020-02-05T16:56:53"/>
        <d v="2020-02-05T16:46:34"/>
        <d v="2020-02-05T16:57:43"/>
        <d v="2020-02-06T12:42:44"/>
        <d v="2020-02-05T11:46:13"/>
        <d v="2020-01-24T11:59:02"/>
        <d v="2020-01-24T11:43:46"/>
        <d v="2020-02-06T09:48:56"/>
        <d v="2020-01-16T10:23:40"/>
        <d v="2020-01-20T14:57:29"/>
        <d v="2020-01-22T15:30:49"/>
        <d v="2020-01-22T15:21:05"/>
        <d v="2020-01-22T15:53:47"/>
        <d v="2020-02-04T13:09:02"/>
        <d v="2020-02-04T14:37:56"/>
        <d v="2020-02-04T14:46:54"/>
        <d v="2020-01-24T16:41:13"/>
        <d v="2020-01-24T16:41:06"/>
        <d v="2020-01-24T16:41:09"/>
        <d v="2019-12-17T10:29:06"/>
        <d v="2019-11-26T10:07:25"/>
        <d v="2019-12-19T16:39:52"/>
        <d v="2019-12-19T16:39:51"/>
        <d v="2019-11-27T06:27:13"/>
        <d v="2019-11-27T06:27:15"/>
        <d v="2019-11-28T09:46:25"/>
        <d v="2020-01-28T09:55:36"/>
        <d v="2019-12-03T16:29:21"/>
        <d v="2020-01-29T10:25:34"/>
        <d v="2019-12-03T10:19:08"/>
        <d v="2019-11-21T14:44:30"/>
        <d v="2019-11-20T17:07:39"/>
        <d v="2019-12-03T10:34:48"/>
        <d v="2019-12-11T15:03:39"/>
        <d v="2020-01-31T13:32:46"/>
        <d v="2020-01-03T17:04:30"/>
        <d v="2019-12-16T11:19:15"/>
        <d v="2019-12-16T11:21:32"/>
        <d v="2019-11-19T11:04:25"/>
        <d v="2019-11-19T11:00:00"/>
        <d v="2019-11-19T14:51:57"/>
        <d v="2019-11-19T14:51:52"/>
        <d v="2020-02-06T13:44:21"/>
        <d v="2020-01-17T18:08:03"/>
        <d v="2020-01-21T16:06:33"/>
        <d v="2020-01-21T16:07:50"/>
        <d v="2020-01-22T14:52:53"/>
        <d v="2020-01-24T05:30:40"/>
        <d v="2019-11-20T05:07:18"/>
        <d v="2019-11-20T05:13:25"/>
        <d v="2019-11-20T06:19:04"/>
        <d v="2019-11-21T06:38:45"/>
        <d v="2019-11-21T06:25:20"/>
        <d v="2019-11-21T06:41:47"/>
        <d v="2019-11-21T07:05:51"/>
        <d v="2019-12-18T06:36:48"/>
        <d v="2019-12-18T04:35:25"/>
        <d v="2019-12-18T06:30:18"/>
        <d v="2019-11-04T11:38:50"/>
        <d v="2019-11-24T05:07:39"/>
        <d v="2019-11-24T05:11:35"/>
        <d v="2019-11-24T05:15:41"/>
        <d v="2019-11-04T19:23:00"/>
        <d v="2019-11-25T04:36:52"/>
        <d v="2019-12-22T07:19:56"/>
        <d v="2019-11-05T14:04:11"/>
        <d v="2019-11-05T15:04:24"/>
        <d v="2019-11-05T15:14:19"/>
        <d v="2019-11-28T00:12:52"/>
        <d v="2020-01-28T07:05:13"/>
        <d v="2019-11-28T06:02:05"/>
        <d v="2019-11-28T06:06:01"/>
        <d v="2019-11-29T06:55:11"/>
        <d v="2019-11-29T05:19:15"/>
        <d v="2019-12-26T06:56:28"/>
        <d v="2019-12-26T07:02:18"/>
        <d v="2019-12-26T07:08:11"/>
        <d v="2019-12-03T06:36:45"/>
        <d v="2019-12-27T07:30:16"/>
        <d v="2019-11-01T18:32:51"/>
        <d v="2019-11-01T18:16:56"/>
        <d v="2019-11-02T16:54:50"/>
        <d v="2019-12-05T10:20:04"/>
        <d v="2019-12-05T13:58:41"/>
        <d v="2019-11-04T17:22:52"/>
        <d v="2019-11-04T17:40:02"/>
        <d v="2019-11-04T17:49:57"/>
        <d v="2019-11-04T19:12:47"/>
        <d v="2019-12-05T18:38:42"/>
        <d v="2019-12-05T18:59:19"/>
        <d v="2019-12-06T16:45:20"/>
        <d v="2019-12-06T17:42:27"/>
        <d v="2019-12-06T17:35:48"/>
        <d v="2019-12-30T16:59:56"/>
        <d v="2019-12-30T18:51:26"/>
        <d v="2019-12-30T18:17:47"/>
        <d v="2019-11-04T11:25:28"/>
        <d v="2019-12-09T18:13:52"/>
        <d v="2019-12-09T18:28:07"/>
        <d v="2019-11-07T16:52:52"/>
        <d v="2019-11-07T17:37:27"/>
        <d v="2019-11-08T19:27:25"/>
        <d v="2020-01-30T18:06:55"/>
        <d v="2020-01-30T18:34:43"/>
        <d v="2019-12-10T19:09:04"/>
        <d v="2019-12-13T19:09:44"/>
        <d v="2019-12-13T19:21:23"/>
        <d v="2019-11-12T05:37:09"/>
        <d v="2019-11-12T05:29:52"/>
        <d v="2020-01-03T17:26:37"/>
        <d v="2019-12-14T17:28:16"/>
        <d v="2019-12-14T17:02:25"/>
        <d v="2019-12-14T17:20:41"/>
        <d v="2020-01-03T17:50:30"/>
        <d v="2019-11-13T04:49:36"/>
        <d v="2019-11-13T05:22:52"/>
        <d v="2020-01-23T06:32:54"/>
        <d v="2019-11-16T04:42:27"/>
        <d v="2019-11-16T04:36:06"/>
        <d v="2019-11-17T02:58:31"/>
        <d v="2019-11-17T02:21:20"/>
        <d v="2019-11-17T02:38:38"/>
        <d v="2020-02-03T18:10:05"/>
        <d v="2020-01-08T14:10:26"/>
        <d v="2020-01-08T16:50:42"/>
        <d v="2020-02-04T18:15:03"/>
        <d v="2020-02-04T18:27:21"/>
        <d v="2020-01-11T16:57:41"/>
        <d v="2020-01-11T17:41:04"/>
        <d v="2020-02-08T06:25:05"/>
        <d v="2020-02-08T06:50:38"/>
        <d v="2020-02-08T07:07:53"/>
        <d v="2020-02-08T07:15:09"/>
        <d v="2020-02-09T06:50:51"/>
        <d v="2020-01-15T18:01:05"/>
        <d v="2020-01-16T19:16:28"/>
        <d v="2020-01-19T06:31:40"/>
        <d v="2020-01-23T06:14:30"/>
        <d v="2019-11-23T13:15:06"/>
        <d v="2019-11-24T18:14:51"/>
        <d v="2020-01-02T17:06:38"/>
        <d v="2019-12-02T10:13:23"/>
        <d v="2020-01-24T19:16:14"/>
        <d v="2020-01-25T18:44:41"/>
        <d v="2020-01-25T18:45:55"/>
        <d v="2019-12-18T19:35:44"/>
        <d v="2019-12-18T19:42:42"/>
        <d v="2019-12-18T19:30:21"/>
        <d v="2019-12-22T17:26:10"/>
        <d v="2019-12-22T17:31:18"/>
        <d v="2019-12-23T19:53:41"/>
        <d v="2019-12-25T20:21:52"/>
        <d v="2019-12-25T20:25:17"/>
        <d v="2019-12-26T18:48:53"/>
        <d v="2019-12-26T19:36:32"/>
        <d v="2019-12-26T20:16:54"/>
        <d v="2020-01-29T05:25:56"/>
        <d v="2019-12-30T01:27:56"/>
        <d v="2020-01-25T18:48:49"/>
        <d v="2020-01-30T08:29:49"/>
        <d v="2019-11-19T05:58:13"/>
        <d v="2019-11-14T00:27:53"/>
        <d v="2019-11-14T00:52:13"/>
        <d v="2019-12-14T08:16:17"/>
        <d v="2019-12-14T08:21:21"/>
        <d v="2019-11-15T03:05:16"/>
        <d v="2019-11-15T03:02:12"/>
        <d v="2020-02-02T06:58:54"/>
        <d v="2020-02-02T07:01:18"/>
        <d v="2020-02-02T07:02:59"/>
        <d v="2019-11-18T03:18:00"/>
        <d v="2020-01-10T04:03:11"/>
        <d v="2020-02-06T17:44:05"/>
        <d v="2020-02-06T17:53:51"/>
        <d v="2020-02-06T18:02:11"/>
        <d v="2020-01-13T02:34:30"/>
        <d v="2020-02-09T20:03:24"/>
        <d v="2020-01-17T08:11:28"/>
        <d v="2020-01-17T08:10:12"/>
        <d v="2020-01-17T08:14:28"/>
        <d v="2020-01-20T19:33:07"/>
        <d v="2020-01-20T19:30:20"/>
        <d v="2020-01-20T19:36:18"/>
        <d v="2020-01-20T19:25:16"/>
      </sharedItems>
      <fieldGroup par="23" base="18">
        <rangePr groupBy="months" startDate="2019-11-01T11:01:32" endDate="2020-02-10T18:22:53"/>
        <groupItems count="14">
          <s v="&lt;01.11.2019"/>
          <s v="янв"/>
          <s v="фев"/>
          <s v="мар"/>
          <s v="апр"/>
          <s v="май"/>
          <s v="июн"/>
          <s v="июл"/>
          <s v="авг"/>
          <s v="сен"/>
          <s v="окт"/>
          <s v="ноя"/>
          <s v="дек"/>
          <s v="&gt;10.02.2020"/>
        </groupItems>
      </fieldGroup>
    </cacheField>
    <cacheField name="Завершенные" numFmtId="0">
      <sharedItems containsNonDate="0" containsDate="1" containsString="0" containsBlank="1" minDate="2019-11-01T11:39:04" maxDate="2020-02-10T16:57:24"/>
    </cacheField>
    <cacheField name="Проверенные" numFmtId="0">
      <sharedItems containsNonDate="0" containsDate="1" containsString="0" containsBlank="1" minDate="2019-11-01T11:39:04" maxDate="2020-02-10T16:58:49"/>
    </cacheField>
    <cacheField name="Удалено" numFmtId="0">
      <sharedItems containsNonDate="0" containsString="0" containsBlank="1"/>
    </cacheField>
    <cacheField name="Последнее обновление" numFmtId="22">
      <sharedItems containsSemiMixedTypes="0" containsNonDate="0" containsDate="1" containsString="0" minDate="2019-11-06T00:55:00" maxDate="2020-02-10T18:25:57"/>
    </cacheField>
    <cacheField name="Годы" numFmtId="0" databaseField="0">
      <fieldGroup base="18">
        <rangePr groupBy="years" startDate="2019-11-01T11:01:32" endDate="2020-02-10T18:22:53"/>
        <groupItems count="4">
          <s v="&lt;01.11.2019"/>
          <s v="2019"/>
          <s v="2020"/>
          <s v="&gt;10.0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9">
  <r>
    <n v="1255"/>
    <s v="Проверка натяжения ВПБ узлов ферм ETFE, узлы №253,257,270,272,288+1"/>
    <n v="2"/>
    <s v="Значительное"/>
    <x v="0"/>
    <x v="0"/>
    <s v="oluferov@spgr.ru"/>
    <x v="0"/>
    <d v="2020-02-02T00:00:00"/>
    <d v="2020-02-02T00:00:00"/>
    <m/>
    <m/>
    <m/>
    <s v="L4_Блок 3_A3"/>
    <m/>
    <m/>
    <m/>
    <m/>
    <x v="0"/>
    <d v="2020-02-09T09:44:54"/>
    <d v="2020-02-09T09:44:54"/>
    <m/>
    <d v="2020-02-09T09:48:31"/>
  </r>
  <r>
    <n v="1153"/>
    <s v="Пожарная отсечка ( оц. Лист, крепёж) в\о 21-29/13Б +8.400 Блок И2 Установка минеральной ваты горизонтальной противопожарной отсечки светового фонаря 10/1÷12/1 / 3÷5 Блок А2 +8,400м."/>
    <n v="2"/>
    <s v="Значительное"/>
    <x v="0"/>
    <x v="0"/>
    <s v="fedorov@spgr.ru"/>
    <x v="1"/>
    <d v="2020-02-01T00:00:00"/>
    <d v="2020-02-01T00:00:00"/>
    <m/>
    <m/>
    <m/>
    <m/>
    <m/>
    <m/>
    <m/>
    <m/>
    <x v="1"/>
    <d v="2020-02-01T17:33:58"/>
    <d v="2020-02-01T17:33:58"/>
    <m/>
    <d v="2020-02-01T17:35:27"/>
  </r>
  <r>
    <n v="1159"/>
    <s v="Установка верхнего оцинкованного листа в\о 16-17//Р отм. +12,600 блок В1 Установка минеральной ваты горизонтальной противопожарной отсечки тёплой зоны в\о Ш÷Ш/2 / 1 Блок 1 +12,600м."/>
    <n v="2"/>
    <s v="Значительное"/>
    <x v="0"/>
    <x v="0"/>
    <s v="fedorov@spgr.ru"/>
    <x v="1"/>
    <d v="2020-02-02T00:00:00"/>
    <d v="2020-02-02T00:00:00"/>
    <m/>
    <m/>
    <m/>
    <m/>
    <m/>
    <m/>
    <m/>
    <m/>
    <x v="2"/>
    <d v="2020-02-02T17:20:20"/>
    <d v="2020-02-02T17:20:20"/>
    <m/>
    <d v="2020-02-02T17:26:51"/>
  </r>
  <r>
    <n v="1160"/>
    <s v="Монтаж панелей в\о 18-19//Д отм. +25,200м. Блок В1"/>
    <n v="2"/>
    <s v="Значительное"/>
    <x v="0"/>
    <x v="0"/>
    <s v="fedorov@spgr.ru"/>
    <x v="1"/>
    <d v="2020-02-02T00:00:00"/>
    <d v="2020-02-02T00:00:00"/>
    <m/>
    <m/>
    <m/>
    <m/>
    <m/>
    <m/>
    <m/>
    <m/>
    <x v="3"/>
    <d v="2020-02-02T17:27:40"/>
    <d v="2020-02-02T17:27:40"/>
    <m/>
    <d v="2020-02-02T17:28:21"/>
  </r>
  <r>
    <n v="863"/>
    <s v="Укладка плитки ( стены, пол) пом. 05.l2.2.133, 11.l2.2.040"/>
    <n v="2"/>
    <s v="Значительное"/>
    <x v="0"/>
    <x v="0"/>
    <s v="fedorov@spgr.ru"/>
    <x v="1"/>
    <d v="2020-01-08T00:00:00"/>
    <d v="2020-01-08T00:00:00"/>
    <m/>
    <m/>
    <m/>
    <m/>
    <m/>
    <m/>
    <m/>
    <m/>
    <x v="4"/>
    <d v="2020-01-08T17:09:41"/>
    <d v="2020-01-08T17:09:41"/>
    <m/>
    <d v="2020-01-08T17:13:35"/>
  </r>
  <r>
    <n v="1223"/>
    <s v="Затяжка высокопрочных болтов Блок 1 Кровля Узлы № 595,600,589,584,577,571,572,191"/>
    <n v="2"/>
    <s v="Значительное"/>
    <x v="0"/>
    <x v="0"/>
    <s v="fedorov@spgr.ru"/>
    <x v="1"/>
    <d v="2020-02-07T00:00:00"/>
    <d v="2020-02-07T00:00:00"/>
    <m/>
    <m/>
    <m/>
    <m/>
    <m/>
    <m/>
    <m/>
    <m/>
    <x v="5"/>
    <d v="2020-02-07T06:09:08"/>
    <d v="2020-02-07T06:09:08"/>
    <m/>
    <d v="2020-02-07T06:09:15"/>
  </r>
  <r>
    <n v="1237"/>
    <s v="Монтаж Металлоконструкций"/>
    <n v="2"/>
    <s v="Значительное"/>
    <x v="1"/>
    <x v="0"/>
    <s v="sorokin.v@spgr.ru"/>
    <x v="1"/>
    <m/>
    <m/>
    <m/>
    <m/>
    <m/>
    <m/>
    <m/>
    <m/>
    <m/>
    <m/>
    <x v="6"/>
    <m/>
    <m/>
    <m/>
    <d v="2020-02-07T13:52:06"/>
  </r>
  <r>
    <n v="1115"/>
    <s v="Устройство  теплоизоляции"/>
    <n v="2"/>
    <s v="Значительное"/>
    <x v="0"/>
    <x v="0"/>
    <s v="sorokin.v@spgr.ru"/>
    <x v="1"/>
    <d v="2020-01-25T00:00:00"/>
    <d v="2020-01-25T00:00:00"/>
    <m/>
    <m/>
    <m/>
    <m/>
    <m/>
    <m/>
    <m/>
    <m/>
    <x v="7"/>
    <d v="2020-02-05T11:25:04"/>
    <d v="2020-02-05T11:25:04"/>
    <m/>
    <d v="2020-02-05T11:25:49"/>
  </r>
  <r>
    <n v="1015"/>
    <s v="Пароизоляция"/>
    <n v="2"/>
    <s v="Значительное"/>
    <x v="1"/>
    <x v="0"/>
    <s v="rc_km@rencons.com"/>
    <x v="1"/>
    <m/>
    <m/>
    <m/>
    <m/>
    <m/>
    <m/>
    <m/>
    <m/>
    <m/>
    <m/>
    <x v="8"/>
    <m/>
    <m/>
    <m/>
    <d v="2020-01-22T17:57:18"/>
  </r>
  <r>
    <n v="1196"/>
    <s v="Металлоконструкции "/>
    <n v="2"/>
    <s v="Значительное"/>
    <x v="2"/>
    <x v="0"/>
    <s v="rc_km@rencons.com"/>
    <x v="1"/>
    <d v="2020-02-05T00:00:00"/>
    <d v="2020-02-05T00:00:00"/>
    <m/>
    <m/>
    <m/>
    <m/>
    <m/>
    <m/>
    <m/>
    <m/>
    <x v="9"/>
    <d v="2020-02-10T09:34:05"/>
    <m/>
    <m/>
    <d v="2020-02-10T09:34:05"/>
  </r>
  <r>
    <n v="715"/>
    <s v="Не актуально. Мин 2500 "/>
    <n v="2"/>
    <s v="Значительное"/>
    <x v="1"/>
    <x v="0"/>
    <s v="vasenkov@spgr.ru"/>
    <x v="1"/>
    <m/>
    <m/>
    <s v="B01_M4.200"/>
    <n v="65.599999999999994"/>
    <n v="34.35"/>
    <m/>
    <m/>
    <m/>
    <s v="Высоты потолков"/>
    <s v="Ссылка на план"/>
    <x v="10"/>
    <m/>
    <m/>
    <m/>
    <d v="2019-12-23T15:18:06"/>
  </r>
  <r>
    <n v="720"/>
    <s v="Не актуально. Мин 2500 "/>
    <n v="2"/>
    <s v="Значительное"/>
    <x v="1"/>
    <x v="0"/>
    <s v="vasenkov@spgr.ru"/>
    <x v="1"/>
    <m/>
    <m/>
    <s v="B01_M4.200"/>
    <n v="72.34"/>
    <n v="41.31"/>
    <m/>
    <m/>
    <m/>
    <s v="Высоты потолков"/>
    <s v="Ссылка на план"/>
    <x v="11"/>
    <m/>
    <m/>
    <m/>
    <d v="2019-12-23T15:18:09"/>
  </r>
  <r>
    <n v="721"/>
    <s v="Мин 2000 "/>
    <n v="2"/>
    <s v="Значительное"/>
    <x v="1"/>
    <x v="0"/>
    <s v="vasenkov@spgr.ru"/>
    <x v="1"/>
    <m/>
    <m/>
    <s v="B01_M4.200"/>
    <n v="75.239999999999995"/>
    <n v="40.950000000000003"/>
    <m/>
    <m/>
    <m/>
    <s v="Высоты потолков"/>
    <s v="Ссылка на план"/>
    <x v="11"/>
    <m/>
    <m/>
    <m/>
    <d v="2019-12-23T15:18:10"/>
  </r>
  <r>
    <n v="711"/>
    <s v="Не актуально. Мин 2400 "/>
    <n v="2"/>
    <s v="Значительное"/>
    <x v="1"/>
    <x v="0"/>
    <s v="vasenkov@spgr.ru"/>
    <x v="1"/>
    <m/>
    <m/>
    <s v="B01_M4.200"/>
    <n v="56.29"/>
    <n v="28.99"/>
    <m/>
    <m/>
    <m/>
    <s v="Высоты потолков"/>
    <s v="Ссылка на план"/>
    <x v="12"/>
    <m/>
    <m/>
    <m/>
    <d v="2019-12-23T15:04:38"/>
  </r>
  <r>
    <n v="714"/>
    <m/>
    <n v="2"/>
    <s v="Значительное"/>
    <x v="1"/>
    <x v="0"/>
    <s v="vasenkov@spgr.ru"/>
    <x v="1"/>
    <m/>
    <m/>
    <s v="B01_M4.200"/>
    <n v="61.01"/>
    <n v="28.57"/>
    <m/>
    <m/>
    <m/>
    <s v="Высоты потолков"/>
    <s v="Ссылка на план"/>
    <x v="10"/>
    <m/>
    <m/>
    <m/>
    <d v="2019-12-23T15:18:06"/>
  </r>
  <r>
    <n v="717"/>
    <s v="Не актуально. Мин 2500  "/>
    <n v="2"/>
    <s v="Значительное"/>
    <x v="1"/>
    <x v="0"/>
    <s v="vasenkov@spgr.ru"/>
    <x v="1"/>
    <m/>
    <m/>
    <s v="B01_M4.200"/>
    <n v="64.63"/>
    <n v="43.04"/>
    <m/>
    <m/>
    <m/>
    <s v="Высоты потолков"/>
    <s v="Ссылка на план"/>
    <x v="13"/>
    <m/>
    <m/>
    <m/>
    <d v="2019-12-23T15:18:08"/>
  </r>
  <r>
    <n v="718"/>
    <s v="Не актуально. Мин 2500  "/>
    <n v="2"/>
    <s v="Значительное"/>
    <x v="1"/>
    <x v="0"/>
    <s v="vasenkov@spgr.ru"/>
    <x v="1"/>
    <m/>
    <m/>
    <s v="B01_M4.200"/>
    <n v="63.45"/>
    <n v="43.04"/>
    <m/>
    <m/>
    <m/>
    <s v="Высоты потолков"/>
    <s v="Ссылка на план"/>
    <x v="14"/>
    <m/>
    <m/>
    <m/>
    <d v="2019-12-23T15:18:08"/>
  </r>
  <r>
    <n v="722"/>
    <s v="Не актуально. Мин 2500 "/>
    <n v="2"/>
    <s v="Значительное"/>
    <x v="1"/>
    <x v="0"/>
    <s v="vasenkov@spgr.ru"/>
    <x v="1"/>
    <m/>
    <m/>
    <s v="B01_M4.200"/>
    <n v="73.349999999999994"/>
    <n v="36.85"/>
    <m/>
    <m/>
    <m/>
    <s v="Высоты потолков"/>
    <s v="Ссылка на план"/>
    <x v="15"/>
    <m/>
    <m/>
    <m/>
    <d v="2019-12-23T15:18:10"/>
  </r>
  <r>
    <n v="723"/>
    <s v="Не актуально. Мин 2500 "/>
    <n v="2"/>
    <s v="Значительное"/>
    <x v="1"/>
    <x v="0"/>
    <s v="vasenkov@spgr.ru"/>
    <x v="1"/>
    <m/>
    <m/>
    <s v="B01_M4.200"/>
    <n v="72.8"/>
    <n v="48.81"/>
    <m/>
    <m/>
    <m/>
    <s v="Высоты потолков"/>
    <s v="Ссылка на план"/>
    <x v="16"/>
    <m/>
    <m/>
    <m/>
    <d v="2019-12-23T17:00:34"/>
  </r>
  <r>
    <n v="732"/>
    <s v="Не актуально. Мин 2200 "/>
    <n v="2"/>
    <s v="Значительное"/>
    <x v="1"/>
    <x v="0"/>
    <s v="vasenkov@spgr.ru"/>
    <x v="1"/>
    <m/>
    <m/>
    <s v="B01_M4.200"/>
    <n v="65.56"/>
    <n v="60.65"/>
    <m/>
    <m/>
    <m/>
    <s v="Высоты потолков"/>
    <s v="Ссылка на план"/>
    <x v="17"/>
    <m/>
    <m/>
    <m/>
    <d v="2019-12-23T17:44:36"/>
  </r>
  <r>
    <n v="741"/>
    <s v="Не актуально. Мин 2500 "/>
    <n v="2"/>
    <s v="Значительное"/>
    <x v="1"/>
    <x v="0"/>
    <s v="vasenkov@spgr.ru"/>
    <x v="1"/>
    <m/>
    <m/>
    <s v="B01_M4.200"/>
    <n v="21.09"/>
    <n v="66.19"/>
    <m/>
    <m/>
    <m/>
    <s v="Высоты потолков"/>
    <s v="Ссылка на план"/>
    <x v="18"/>
    <m/>
    <m/>
    <m/>
    <d v="2019-12-23T17:44:42"/>
  </r>
  <r>
    <n v="744"/>
    <s v="Не актуально. Мин 2200  "/>
    <n v="2"/>
    <s v="Значительное"/>
    <x v="1"/>
    <x v="0"/>
    <s v="vasenkov@spgr.ru"/>
    <x v="1"/>
    <m/>
    <m/>
    <s v="B01_M4.200"/>
    <n v="29.77"/>
    <n v="57.02"/>
    <m/>
    <m/>
    <m/>
    <s v="Высоты потолков"/>
    <s v="Ссылка на план"/>
    <x v="19"/>
    <m/>
    <m/>
    <m/>
    <d v="2019-12-23T17:44:43"/>
  </r>
  <r>
    <n v="747"/>
    <s v="Не актуально. Мин 2200  "/>
    <n v="2"/>
    <s v="Значительное"/>
    <x v="1"/>
    <x v="0"/>
    <s v="vasenkov@spgr.ru"/>
    <x v="1"/>
    <m/>
    <m/>
    <s v="B01_M4.200"/>
    <n v="44.34"/>
    <n v="56.67"/>
    <m/>
    <m/>
    <m/>
    <s v="Высоты потолков"/>
    <s v="Ссылка на план"/>
    <x v="20"/>
    <m/>
    <m/>
    <m/>
    <d v="2019-12-23T17:44:45"/>
  </r>
  <r>
    <n v="736"/>
    <s v="Не актуально. Мин 2500 "/>
    <n v="2"/>
    <s v="Значительное"/>
    <x v="1"/>
    <x v="0"/>
    <s v="vasenkov@spgr.ru"/>
    <x v="1"/>
    <m/>
    <m/>
    <s v="B01_M4.200"/>
    <n v="43.62"/>
    <n v="71.900000000000006"/>
    <m/>
    <m/>
    <m/>
    <s v="Высоты потолков"/>
    <s v="Ссылка на план"/>
    <x v="21"/>
    <m/>
    <m/>
    <m/>
    <d v="2019-12-23T17:44:38"/>
  </r>
  <r>
    <n v="731"/>
    <s v="Не актуально. Мин 2500 "/>
    <n v="2"/>
    <s v="Значительное"/>
    <x v="1"/>
    <x v="0"/>
    <s v="vasenkov@spgr.ru"/>
    <x v="1"/>
    <m/>
    <m/>
    <s v="B01_M4.200"/>
    <n v="54.53"/>
    <n v="57.74"/>
    <m/>
    <m/>
    <m/>
    <s v="Высоты потолков"/>
    <s v="Ссылка на план"/>
    <x v="22"/>
    <m/>
    <m/>
    <m/>
    <d v="2019-12-23T17:44:20"/>
  </r>
  <r>
    <n v="750"/>
    <s v="Не влазит ручка на 30 мм. Можно переставить ручки вверх, подвинув слегка водопровод."/>
    <n v="2"/>
    <s v="Значительное"/>
    <x v="1"/>
    <x v="0"/>
    <s v="vasenkov@spgr.ru"/>
    <x v="1"/>
    <m/>
    <m/>
    <s v="B01_M4.200"/>
    <n v="44.04"/>
    <n v="54.52"/>
    <m/>
    <m/>
    <m/>
    <s v="Высоты потолков"/>
    <s v="Ссылка на план"/>
    <x v="23"/>
    <m/>
    <m/>
    <m/>
    <d v="2019-12-23T17:44:46"/>
  </r>
  <r>
    <n v="725"/>
    <s v="Не актуально. Мин 2200"/>
    <n v="2"/>
    <s v="Значительное"/>
    <x v="1"/>
    <x v="0"/>
    <s v="vasenkov@spgr.ru"/>
    <x v="1"/>
    <m/>
    <m/>
    <s v="B01_M4.200"/>
    <n v="70.319999999999993"/>
    <n v="52.92"/>
    <m/>
    <m/>
    <m/>
    <s v="Высоты потолков"/>
    <s v="Ссылка на план"/>
    <x v="24"/>
    <m/>
    <m/>
    <m/>
    <d v="2019-12-23T17:41:27"/>
  </r>
  <r>
    <n v="724"/>
    <s v="Не актуально. Мин 2300 "/>
    <n v="2"/>
    <s v="Значительное"/>
    <x v="1"/>
    <x v="0"/>
    <s v="vasenkov@spgr.ru"/>
    <x v="1"/>
    <m/>
    <m/>
    <s v="B01_M4.200"/>
    <n v="70.569999999999993"/>
    <n v="48.99"/>
    <m/>
    <m/>
    <m/>
    <s v="Высоты потолков"/>
    <s v="Ссылка на план"/>
    <x v="25"/>
    <m/>
    <m/>
    <m/>
    <d v="2019-12-23T17:02:46"/>
  </r>
  <r>
    <n v="737"/>
    <s v="Не актуально. Мин 2500 "/>
    <n v="2"/>
    <s v="Значительное"/>
    <x v="1"/>
    <x v="0"/>
    <s v="vasenkov@spgr.ru"/>
    <x v="1"/>
    <m/>
    <m/>
    <s v="B01_M4.200"/>
    <n v="45.47"/>
    <n v="70.06"/>
    <m/>
    <m/>
    <m/>
    <s v="Высоты потолков"/>
    <s v="Ссылка на план"/>
    <x v="26"/>
    <m/>
    <m/>
    <m/>
    <d v="2019-12-23T17:44:39"/>
  </r>
  <r>
    <n v="746"/>
    <s v="Не актуально. Мин 2300  "/>
    <n v="2"/>
    <s v="Значительное"/>
    <x v="1"/>
    <x v="0"/>
    <s v="vasenkov@spgr.ru"/>
    <x v="1"/>
    <m/>
    <m/>
    <s v="B01_M4.200"/>
    <n v="40.93"/>
    <n v="55.54"/>
    <m/>
    <m/>
    <m/>
    <s v="Высоты потолков"/>
    <s v="Ссылка на план"/>
    <x v="20"/>
    <m/>
    <m/>
    <m/>
    <d v="2019-12-23T17:44:44"/>
  </r>
  <r>
    <n v="748"/>
    <s v="Не актуально. Мин 2200  "/>
    <n v="2"/>
    <s v="Значительное"/>
    <x v="1"/>
    <x v="0"/>
    <s v="vasenkov@spgr.ru"/>
    <x v="1"/>
    <m/>
    <m/>
    <s v="B01_M4.200"/>
    <n v="43.58"/>
    <n v="56.79"/>
    <m/>
    <m/>
    <m/>
    <s v="Высоты потолков"/>
    <s v="Ссылка на план"/>
    <x v="27"/>
    <m/>
    <m/>
    <m/>
    <d v="2019-12-23T17:44:45"/>
  </r>
  <r>
    <n v="740"/>
    <s v="Не актуально. Мин 2500 "/>
    <n v="2"/>
    <s v="Значительное"/>
    <x v="1"/>
    <x v="0"/>
    <s v="vasenkov@spgr.ru"/>
    <x v="1"/>
    <m/>
    <m/>
    <s v="B01_M4.200"/>
    <n v="22.23"/>
    <n v="67.680000000000007"/>
    <m/>
    <m/>
    <m/>
    <s v="Высоты потолков"/>
    <s v="Ссылка на план"/>
    <x v="28"/>
    <m/>
    <m/>
    <m/>
    <d v="2019-12-23T17:44:41"/>
  </r>
  <r>
    <n v="728"/>
    <s v="Не актуально. Мин 2500 "/>
    <n v="2"/>
    <s v="Значительное"/>
    <x v="1"/>
    <x v="0"/>
    <s v="vasenkov@spgr.ru"/>
    <x v="1"/>
    <m/>
    <m/>
    <s v="B01_M4.200"/>
    <n v="73.77"/>
    <n v="60.12"/>
    <m/>
    <m/>
    <m/>
    <s v="Высоты потолков"/>
    <s v="Ссылка на план"/>
    <x v="29"/>
    <m/>
    <m/>
    <m/>
    <d v="2019-12-23T17:42:49"/>
  </r>
  <r>
    <n v="734"/>
    <s v="Не актуально. Мин 2400. Поднять можно. "/>
    <n v="2"/>
    <s v="Значительное"/>
    <x v="1"/>
    <x v="0"/>
    <s v="vasenkov@spgr.ru"/>
    <x v="1"/>
    <m/>
    <m/>
    <s v="B01_M4.200"/>
    <n v="52.59"/>
    <n v="63.93"/>
    <m/>
    <m/>
    <m/>
    <s v="Высоты потолков"/>
    <s v="Ссылка на план"/>
    <x v="30"/>
    <m/>
    <m/>
    <m/>
    <d v="2019-12-23T17:44:37"/>
  </r>
  <r>
    <n v="743"/>
    <s v="Не актуально. Мин 2400  "/>
    <n v="2"/>
    <s v="Значительное"/>
    <x v="1"/>
    <x v="0"/>
    <s v="vasenkov@spgr.ru"/>
    <x v="1"/>
    <m/>
    <m/>
    <s v="B01_M4.200"/>
    <n v="25.09"/>
    <n v="65.06"/>
    <m/>
    <m/>
    <m/>
    <s v="Высоты потолков"/>
    <s v="Ссылка на план"/>
    <x v="31"/>
    <m/>
    <m/>
    <m/>
    <d v="2019-12-23T17:44:42"/>
  </r>
  <r>
    <n v="742"/>
    <s v="Не актуально. Мин 2400  "/>
    <n v="2"/>
    <s v="Значительное"/>
    <x v="1"/>
    <x v="0"/>
    <s v="vasenkov@spgr.ru"/>
    <x v="1"/>
    <m/>
    <m/>
    <s v="B01_M4.200"/>
    <n v="25.26"/>
    <n v="63.15"/>
    <m/>
    <m/>
    <m/>
    <s v="Высоты потолков"/>
    <s v="Ссылка на план"/>
    <x v="18"/>
    <m/>
    <m/>
    <m/>
    <d v="2019-12-23T17:44:42"/>
  </r>
  <r>
    <n v="738"/>
    <s v="не актуально"/>
    <n v="2"/>
    <s v="Значительное"/>
    <x v="1"/>
    <x v="0"/>
    <s v="vasenkov@spgr.ru"/>
    <x v="1"/>
    <m/>
    <m/>
    <s v="B01_M4.200"/>
    <n v="26.61"/>
    <n v="76.959999999999994"/>
    <m/>
    <m/>
    <m/>
    <s v="Высоты потолков"/>
    <s v="Ссылка на план"/>
    <x v="26"/>
    <m/>
    <m/>
    <m/>
    <d v="2020-01-17T17:34:44"/>
  </r>
  <r>
    <n v="726"/>
    <s v="Не актуально. Мин 2150"/>
    <n v="2"/>
    <s v="Значительное"/>
    <x v="1"/>
    <x v="0"/>
    <s v="vasenkov@spgr.ru"/>
    <x v="1"/>
    <m/>
    <m/>
    <s v="B01_M4.200"/>
    <n v="69.05"/>
    <n v="53.27"/>
    <m/>
    <m/>
    <m/>
    <s v="Высоты потолков"/>
    <s v="Ссылка на план"/>
    <x v="32"/>
    <m/>
    <m/>
    <m/>
    <d v="2019-12-23T17:41:28"/>
  </r>
  <r>
    <n v="735"/>
    <s v="Не актуально. Мин 2300  "/>
    <n v="2"/>
    <s v="Значительное"/>
    <x v="1"/>
    <x v="0"/>
    <s v="vasenkov@spgr.ru"/>
    <x v="1"/>
    <m/>
    <m/>
    <s v="B01_M4.200"/>
    <n v="49.31"/>
    <n v="69.88"/>
    <m/>
    <m/>
    <m/>
    <s v="Высоты потолков"/>
    <s v="Ссылка на план"/>
    <x v="33"/>
    <m/>
    <m/>
    <m/>
    <d v="2019-12-23T17:44:37"/>
  </r>
  <r>
    <n v="727"/>
    <s v="Не актуально. Мин 2500 "/>
    <n v="2"/>
    <s v="Значительное"/>
    <x v="1"/>
    <x v="0"/>
    <s v="vasenkov@spgr.ru"/>
    <x v="1"/>
    <m/>
    <m/>
    <s v="B01_M4.200"/>
    <n v="73.73"/>
    <n v="56.55"/>
    <m/>
    <m/>
    <m/>
    <s v="Высоты потолков"/>
    <s v="Ссылка на план"/>
    <x v="34"/>
    <m/>
    <m/>
    <m/>
    <d v="2019-12-23T17:41:36"/>
  </r>
  <r>
    <n v="749"/>
    <s v="Не актуально. Мин 2200. Местами не входят на 10-20мм. Поднять можно."/>
    <n v="2"/>
    <s v="Значительное"/>
    <x v="1"/>
    <x v="0"/>
    <s v="vasenkov@spgr.ru"/>
    <x v="1"/>
    <m/>
    <m/>
    <s v="B01_M4.200"/>
    <n v="44.97"/>
    <n v="53.87"/>
    <m/>
    <m/>
    <m/>
    <s v="Высоты потолков"/>
    <s v="Ссылка на план"/>
    <x v="27"/>
    <m/>
    <m/>
    <m/>
    <d v="2019-12-23T17:44:46"/>
  </r>
  <r>
    <n v="739"/>
    <s v="Не актуально. Мин 2500 "/>
    <n v="2"/>
    <s v="Значительное"/>
    <x v="1"/>
    <x v="0"/>
    <s v="vasenkov@spgr.ru"/>
    <x v="1"/>
    <m/>
    <m/>
    <s v="B01_M4.200"/>
    <n v="23.54"/>
    <n v="72.08"/>
    <m/>
    <m/>
    <m/>
    <s v="Высоты потолков"/>
    <s v="Ссылка на план"/>
    <x v="28"/>
    <m/>
    <m/>
    <m/>
    <d v="2019-12-23T17:44:40"/>
  </r>
  <r>
    <n v="729"/>
    <s v="Поднять можно примерно на 100 мм."/>
    <n v="2"/>
    <s v="Значительное"/>
    <x v="1"/>
    <x v="0"/>
    <s v="vasenkov@spgr.ru"/>
    <x v="1"/>
    <m/>
    <m/>
    <s v="B01_M4.200"/>
    <n v="74.150000000000006"/>
    <n v="56.67"/>
    <m/>
    <m/>
    <m/>
    <s v="Высоты потолков"/>
    <s v="Ссылка на план"/>
    <x v="35"/>
    <m/>
    <m/>
    <m/>
    <d v="2019-12-23T17:42:51"/>
  </r>
  <r>
    <n v="730"/>
    <s v="Не актуально. Мин 2450 "/>
    <n v="2"/>
    <s v="Значительное"/>
    <x v="1"/>
    <x v="0"/>
    <s v="vasenkov@spgr.ru"/>
    <x v="1"/>
    <m/>
    <m/>
    <s v="B01_M4.200"/>
    <n v="62.61"/>
    <n v="57.86"/>
    <m/>
    <m/>
    <m/>
    <s v="Высоты потолков"/>
    <s v="Ссылка на план"/>
    <x v="36"/>
    <m/>
    <m/>
    <m/>
    <d v="2019-12-23T17:42:53"/>
  </r>
  <r>
    <n v="733"/>
    <s v="Не актуально. Мин 2400. Поднять можно."/>
    <n v="2"/>
    <s v="Значительное"/>
    <x v="1"/>
    <x v="0"/>
    <s v="vasenkov@spgr.ru"/>
    <x v="1"/>
    <m/>
    <m/>
    <s v="B01_M4.200"/>
    <n v="60.46"/>
    <n v="63.87"/>
    <m/>
    <m/>
    <m/>
    <s v="Высоты потолков"/>
    <s v="Ссылка на план"/>
    <x v="30"/>
    <m/>
    <m/>
    <m/>
    <d v="2019-12-23T17:44:36"/>
  </r>
  <r>
    <n v="745"/>
    <s v="Не актуально. Мин 2300  "/>
    <n v="2"/>
    <s v="Значительное"/>
    <x v="1"/>
    <x v="0"/>
    <s v="vasenkov@spgr.ru"/>
    <x v="1"/>
    <m/>
    <m/>
    <s v="B01_M4.200"/>
    <n v="36.340000000000003"/>
    <n v="55.54"/>
    <m/>
    <m/>
    <m/>
    <s v="Высоты потолков"/>
    <s v="Ссылка на план"/>
    <x v="19"/>
    <m/>
    <m/>
    <m/>
    <d v="2019-12-23T17:44:44"/>
  </r>
  <r>
    <n v="712"/>
    <s v="Не актуально. Мин 2500"/>
    <n v="2"/>
    <s v="Значительное"/>
    <x v="1"/>
    <x v="0"/>
    <s v="vasenkov@spgr.ru"/>
    <x v="1"/>
    <m/>
    <m/>
    <s v="B01_M4.200"/>
    <n v="59.66"/>
    <n v="29.76"/>
    <m/>
    <m/>
    <m/>
    <s v="Высоты потолков"/>
    <s v="Ссылка на план"/>
    <x v="37"/>
    <m/>
    <m/>
    <m/>
    <d v="2019-12-23T15:04:50"/>
  </r>
  <r>
    <n v="710"/>
    <m/>
    <n v="2"/>
    <s v="Значительное"/>
    <x v="1"/>
    <x v="0"/>
    <s v="vasenkov@spgr.ru"/>
    <x v="1"/>
    <m/>
    <m/>
    <s v="B01_M4.200"/>
    <n v="53.31"/>
    <n v="28.57"/>
    <m/>
    <m/>
    <m/>
    <s v="Высоты потолков"/>
    <s v="Ссылка на план"/>
    <x v="38"/>
    <m/>
    <m/>
    <m/>
    <d v="2019-12-23T15:04:38"/>
  </r>
  <r>
    <n v="716"/>
    <s v="Не актуально. Мин 2450"/>
    <n v="2"/>
    <s v="Значительное"/>
    <x v="1"/>
    <x v="0"/>
    <s v="vasenkov@spgr.ru"/>
    <x v="1"/>
    <m/>
    <m/>
    <s v="B01_M4.200"/>
    <n v="66.319999999999993"/>
    <n v="43.39"/>
    <m/>
    <m/>
    <m/>
    <s v="Высоты потолков"/>
    <s v="Ссылка на план"/>
    <x v="13"/>
    <m/>
    <m/>
    <m/>
    <d v="2019-12-23T15:18:07"/>
  </r>
  <r>
    <n v="713"/>
    <s v="Мин 2200"/>
    <n v="2"/>
    <s v="Значительное"/>
    <x v="1"/>
    <x v="0"/>
    <s v="vasenkov@spgr.ru"/>
    <x v="1"/>
    <m/>
    <m/>
    <s v="B01_M4.200"/>
    <n v="60.34"/>
    <n v="28.51"/>
    <m/>
    <m/>
    <m/>
    <s v="Высоты потолков"/>
    <s v="Ссылка на план"/>
    <x v="39"/>
    <m/>
    <m/>
    <m/>
    <d v="2019-12-23T15:18:05"/>
  </r>
  <r>
    <n v="719"/>
    <m/>
    <n v="2"/>
    <s v="Значительное"/>
    <x v="1"/>
    <x v="0"/>
    <s v="vasenkov@spgr.ru"/>
    <x v="1"/>
    <m/>
    <m/>
    <s v="B01_M4.200"/>
    <n v="71.12"/>
    <n v="41.37"/>
    <m/>
    <m/>
    <m/>
    <s v="Высоты потолков"/>
    <s v="Ссылка на план"/>
    <x v="14"/>
    <m/>
    <m/>
    <m/>
    <d v="2019-12-23T15:18:08"/>
  </r>
  <r>
    <n v="789"/>
    <s v="Не актуально. Мин 2 700 "/>
    <n v="2"/>
    <s v="Значительное"/>
    <x v="1"/>
    <x v="0"/>
    <s v="vasenkov@spgr.ru"/>
    <x v="1"/>
    <m/>
    <m/>
    <s v="20191219_Plan_L8"/>
    <n v="31.49"/>
    <n v="58.49"/>
    <m/>
    <m/>
    <m/>
    <s v="Высоты потолков"/>
    <s v="Ссылка на план"/>
    <x v="40"/>
    <m/>
    <m/>
    <m/>
    <d v="2019-12-25T17:03:27"/>
  </r>
  <r>
    <n v="781"/>
    <s v="Не актуально. Можно поднять."/>
    <n v="2"/>
    <s v="Значительное"/>
    <x v="1"/>
    <x v="0"/>
    <s v="vasenkov@spgr.ru"/>
    <x v="1"/>
    <m/>
    <m/>
    <s v="20191128_Plan_L4"/>
    <n v="27.68"/>
    <n v="36.25"/>
    <m/>
    <m/>
    <m/>
    <s v="Высоты потолков"/>
    <s v="Ссылка на план"/>
    <x v="41"/>
    <m/>
    <m/>
    <m/>
    <d v="2019-12-25T16:21:50"/>
  </r>
  <r>
    <n v="774"/>
    <s v="Не актуально. Мин 2200 "/>
    <n v="2"/>
    <s v="Значительное"/>
    <x v="1"/>
    <x v="0"/>
    <s v="vasenkov@spgr.ru"/>
    <x v="1"/>
    <m/>
    <m/>
    <s v="20191128_Plan_L4"/>
    <n v="35.770000000000003"/>
    <n v="54.44"/>
    <m/>
    <m/>
    <m/>
    <s v="Высоты потолков"/>
    <s v="Ссылка на план"/>
    <x v="42"/>
    <m/>
    <m/>
    <m/>
    <d v="2019-12-25T15:50:49"/>
  </r>
  <r>
    <n v="777"/>
    <s v="Не актуально. Мин 2 800"/>
    <n v="2"/>
    <s v="Значительное"/>
    <x v="1"/>
    <x v="0"/>
    <s v="vasenkov@spgr.ru"/>
    <x v="1"/>
    <m/>
    <m/>
    <s v="20191128_Plan_L4"/>
    <n v="32.26"/>
    <n v="60.63"/>
    <m/>
    <m/>
    <m/>
    <s v="Высоты потолков"/>
    <s v="Ссылка на план"/>
    <x v="43"/>
    <m/>
    <m/>
    <m/>
    <d v="2019-12-25T16:01:46"/>
  </r>
  <r>
    <n v="778"/>
    <s v="Не актуально.мин 2800"/>
    <n v="2"/>
    <s v="Значительное"/>
    <x v="1"/>
    <x v="0"/>
    <s v="vasenkov@spgr.ru"/>
    <x v="1"/>
    <m/>
    <m/>
    <s v="20191128_Plan_L4"/>
    <n v="29.88"/>
    <n v="70.819999999999993"/>
    <m/>
    <m/>
    <m/>
    <s v="Высоты потолков"/>
    <s v="Ссылка на план"/>
    <x v="44"/>
    <m/>
    <m/>
    <m/>
    <d v="2019-12-25T16:01:50"/>
  </r>
  <r>
    <n v="779"/>
    <s v="Не актуально. Мин 2 800 "/>
    <n v="2"/>
    <s v="Значительное"/>
    <x v="1"/>
    <x v="0"/>
    <s v="vasenkov@spgr.ru"/>
    <x v="1"/>
    <m/>
    <m/>
    <s v="20191128_Plan_L4"/>
    <n v="35.479999999999997"/>
    <n v="70.53"/>
    <m/>
    <m/>
    <m/>
    <s v="Высоты потолков"/>
    <s v="Ссылка на план"/>
    <x v="45"/>
    <m/>
    <m/>
    <m/>
    <d v="2019-12-25T16:01:56"/>
  </r>
  <r>
    <n v="780"/>
    <s v="Истина."/>
    <n v="2"/>
    <s v="Значительное"/>
    <x v="1"/>
    <x v="0"/>
    <s v="vasenkov@spgr.ru"/>
    <x v="1"/>
    <m/>
    <m/>
    <s v="20191128_Plan_L4"/>
    <n v="37.68"/>
    <n v="73.599999999999994"/>
    <m/>
    <m/>
    <m/>
    <s v="Высоты потолков"/>
    <s v="Ссылка на план"/>
    <x v="46"/>
    <m/>
    <m/>
    <m/>
    <d v="2019-12-25T16:04:03"/>
  </r>
  <r>
    <n v="785"/>
    <s v="Не критично. Венткамера."/>
    <n v="2"/>
    <s v="Значительное"/>
    <x v="1"/>
    <x v="0"/>
    <s v="vasenkov@spgr.ru"/>
    <x v="1"/>
    <m/>
    <m/>
    <s v="20191205_Plan_L5"/>
    <n v="25.83"/>
    <n v="31.24"/>
    <m/>
    <m/>
    <m/>
    <s v="Высоты потолков"/>
    <s v="Ссылка на план"/>
    <x v="47"/>
    <m/>
    <m/>
    <m/>
    <d v="2019-12-25T16:42:43"/>
  </r>
  <r>
    <n v="782"/>
    <s v="Истина. "/>
    <n v="2"/>
    <s v="Значительное"/>
    <x v="1"/>
    <x v="0"/>
    <s v="vasenkov@spgr.ru"/>
    <x v="1"/>
    <m/>
    <m/>
    <s v="20191128_Plan_L4"/>
    <n v="33.81"/>
    <n v="26.53"/>
    <m/>
    <m/>
    <m/>
    <s v="Высоты потолков"/>
    <s v="Ссылка на план"/>
    <x v="48"/>
    <m/>
    <m/>
    <m/>
    <d v="2019-12-25T16:27:19"/>
  </r>
  <r>
    <n v="783"/>
    <s v="Не актуально. Мин 2 700"/>
    <n v="2"/>
    <s v="Значительное"/>
    <x v="1"/>
    <x v="0"/>
    <s v="vasenkov@spgr.ru"/>
    <x v="1"/>
    <m/>
    <m/>
    <s v="20191205_Plan_L5"/>
    <n v="37.799999999999997"/>
    <n v="76.2"/>
    <m/>
    <m/>
    <m/>
    <s v="Высоты потолков"/>
    <s v="Ссылка на план"/>
    <x v="49"/>
    <m/>
    <m/>
    <m/>
    <d v="2019-12-25T16:36:23"/>
  </r>
  <r>
    <n v="784"/>
    <s v="Не актуально. Можно поднять. "/>
    <n v="2"/>
    <s v="Значительное"/>
    <x v="1"/>
    <x v="0"/>
    <s v="vasenkov@spgr.ru"/>
    <x v="1"/>
    <m/>
    <m/>
    <s v="20191205_Plan_L5"/>
    <n v="25.89"/>
    <n v="88.35"/>
    <m/>
    <m/>
    <m/>
    <s v="Высоты потолков"/>
    <s v="Ссылка на план"/>
    <x v="50"/>
    <m/>
    <m/>
    <m/>
    <d v="2019-12-25T16:38:39"/>
  </r>
  <r>
    <n v="786"/>
    <s v="Не актуально. Мин 6000"/>
    <n v="2"/>
    <s v="Значительное"/>
    <x v="1"/>
    <x v="0"/>
    <s v="vasenkov@spgr.ru"/>
    <x v="1"/>
    <m/>
    <m/>
    <s v="20191214_Plan_L6"/>
    <n v="28.99"/>
    <n v="90.75"/>
    <m/>
    <m/>
    <m/>
    <s v="Высоты потолков"/>
    <s v="Ссылка на план"/>
    <x v="51"/>
    <m/>
    <m/>
    <m/>
    <d v="2019-12-25T16:50:47"/>
  </r>
  <r>
    <n v="787"/>
    <s v="Не актуально.высота самого помещения 8000"/>
    <n v="2"/>
    <s v="Значительное"/>
    <x v="1"/>
    <x v="0"/>
    <s v="vasenkov@spgr.ru"/>
    <x v="1"/>
    <m/>
    <m/>
    <s v="20191214_Plan_L6"/>
    <n v="27.2"/>
    <n v="87.72"/>
    <m/>
    <m/>
    <m/>
    <s v="Высоты потолков"/>
    <s v="Ссылка на план"/>
    <x v="52"/>
    <m/>
    <m/>
    <m/>
    <d v="2019-12-25T16:53:12"/>
  </r>
  <r>
    <n v="788"/>
    <s v="Не актуально. Мин 6000 "/>
    <n v="2"/>
    <s v="Значительное"/>
    <x v="1"/>
    <x v="0"/>
    <s v="vasenkov@spgr.ru"/>
    <x v="1"/>
    <m/>
    <m/>
    <s v="20191214_Plan_L6"/>
    <n v="28.1"/>
    <n v="50.5"/>
    <m/>
    <m/>
    <m/>
    <s v="Высоты потолков"/>
    <s v="Ссылка на план"/>
    <x v="53"/>
    <m/>
    <m/>
    <m/>
    <d v="2019-12-25T16:56:22"/>
  </r>
  <r>
    <n v="794"/>
    <s v="На актуально. Исправить можно."/>
    <n v="2"/>
    <s v="Значительное"/>
    <x v="1"/>
    <x v="0"/>
    <s v="vasenkov@spgr.ru"/>
    <x v="1"/>
    <m/>
    <m/>
    <s v="20191219_Plan_L8"/>
    <n v="33.630000000000003"/>
    <n v="82.25"/>
    <m/>
    <m/>
    <m/>
    <s v="Высоты потолков"/>
    <s v="Ссылка на план"/>
    <x v="54"/>
    <m/>
    <m/>
    <m/>
    <d v="2019-12-25T17:11:38"/>
  </r>
  <r>
    <n v="793"/>
    <s v="Не актуально. Мин 2700"/>
    <n v="2"/>
    <s v="Значительное"/>
    <x v="1"/>
    <x v="0"/>
    <s v="vasenkov@spgr.ru"/>
    <x v="1"/>
    <m/>
    <m/>
    <s v="20191219_Plan_L8"/>
    <n v="28.39"/>
    <n v="77.92"/>
    <m/>
    <m/>
    <m/>
    <s v="Высоты потолков"/>
    <s v="Ссылка на план"/>
    <x v="55"/>
    <m/>
    <m/>
    <m/>
    <d v="2019-12-25T17:10:15"/>
  </r>
  <r>
    <n v="791"/>
    <s v="Не актуально. Мин 3000"/>
    <n v="2"/>
    <s v="Значительное"/>
    <x v="1"/>
    <x v="0"/>
    <s v="vasenkov@spgr.ru"/>
    <x v="1"/>
    <m/>
    <m/>
    <s v="20191219_Plan_L8"/>
    <n v="27.08"/>
    <n v="56.35"/>
    <m/>
    <m/>
    <m/>
    <s v="Высоты потолков"/>
    <s v="Ссылка на план"/>
    <x v="56"/>
    <m/>
    <m/>
    <m/>
    <d v="2019-12-25T17:05:43"/>
  </r>
  <r>
    <n v="792"/>
    <s v="Не актуально.мин 2700"/>
    <n v="2"/>
    <s v="Значительное"/>
    <x v="1"/>
    <x v="0"/>
    <s v="vasenkov@spgr.ru"/>
    <x v="1"/>
    <m/>
    <m/>
    <s v="20191219_Plan_L8"/>
    <n v="31.07"/>
    <n v="73.34"/>
    <m/>
    <m/>
    <m/>
    <s v="Высоты потолков"/>
    <s v="Ссылка на план"/>
    <x v="57"/>
    <m/>
    <m/>
    <m/>
    <d v="2019-12-25T17:08:50"/>
  </r>
  <r>
    <n v="293"/>
    <s v="воздуховода замена. "/>
    <n v="2"/>
    <s v="Значительное"/>
    <x v="1"/>
    <x v="0"/>
    <s v="vasenkov@spgr.ru"/>
    <x v="1"/>
    <m/>
    <m/>
    <s v="РК-РД-2-ОВ4.1.03-02.00-02"/>
    <n v="11.82"/>
    <n v="54.82"/>
    <m/>
    <m/>
    <m/>
    <s v="L top Вентиляция"/>
    <s v="Ссылка на план"/>
    <x v="58"/>
    <m/>
    <m/>
    <m/>
    <d v="2019-11-15T16:40:33"/>
  </r>
  <r>
    <n v="318"/>
    <s v="воздуховода "/>
    <n v="2"/>
    <s v="Значительное"/>
    <x v="1"/>
    <x v="0"/>
    <s v="vasenkov@spgr.ru"/>
    <x v="1"/>
    <m/>
    <m/>
    <s v="РК-РД-2-ОВ4.1.03-02.00-02"/>
    <n v="67.62"/>
    <n v="34.35"/>
    <m/>
    <m/>
    <m/>
    <s v="L top Вентиляция"/>
    <s v="Ссылка на план"/>
    <x v="59"/>
    <m/>
    <m/>
    <m/>
    <d v="2019-11-18T11:17:01"/>
  </r>
  <r>
    <n v="319"/>
    <s v="воздуховода "/>
    <n v="2"/>
    <s v="Значительное"/>
    <x v="1"/>
    <x v="0"/>
    <s v="vasenkov@spgr.ru"/>
    <x v="1"/>
    <m/>
    <m/>
    <s v="РК-РД-2-ОВ4.1.03-02.00-02"/>
    <n v="66.900000000000006"/>
    <n v="40.36"/>
    <m/>
    <m/>
    <m/>
    <s v="L top Вентиляция"/>
    <s v="Ссылка на план"/>
    <x v="60"/>
    <m/>
    <m/>
    <m/>
    <d v="2019-11-18T11:18:50"/>
  </r>
  <r>
    <n v="1229"/>
    <s v="Тип шкафа не по РД.  Шкаф не в проектной отметки."/>
    <n v="2"/>
    <s v="Значительное"/>
    <x v="1"/>
    <x v="0"/>
    <s v="vasenkov@spgr.ru"/>
    <x v="1"/>
    <m/>
    <m/>
    <s v="РК-РД-2-ПТ4.1.03-10.06-05"/>
    <n v="54.62"/>
    <n v="75.569999999999993"/>
    <m/>
    <m/>
    <m/>
    <s v="L top АУПТ"/>
    <s v="Ссылка на план"/>
    <x v="61"/>
    <m/>
    <m/>
    <m/>
    <d v="2020-02-07T11:07:27"/>
  </r>
  <r>
    <n v="1234"/>
    <s v="Шкаф не в проектной отметки."/>
    <n v="2"/>
    <s v="Значительное"/>
    <x v="1"/>
    <x v="0"/>
    <s v="vasenkov@spgr.ru"/>
    <x v="1"/>
    <m/>
    <m/>
    <s v="РК-РД-2-ПТ4.1.03-12.06-04"/>
    <n v="50.09"/>
    <n v="71.569999999999993"/>
    <m/>
    <m/>
    <m/>
    <s v="L top АУПТ"/>
    <s v="Ссылка на план"/>
    <x v="62"/>
    <m/>
    <m/>
    <m/>
    <d v="2020-02-07T11:23:33"/>
  </r>
  <r>
    <n v="963"/>
    <s v="ПНР П5-3.2"/>
    <n v="2"/>
    <s v="Значительное"/>
    <x v="0"/>
    <x v="0"/>
    <s v="vasenkov@spgr.ru"/>
    <x v="1"/>
    <d v="2020-01-20T00:00:00"/>
    <d v="2020-01-20T00:00:00"/>
    <m/>
    <m/>
    <m/>
    <m/>
    <m/>
    <m/>
    <m/>
    <m/>
    <x v="63"/>
    <d v="2020-01-20T15:01:25"/>
    <d v="2020-01-21T12:38:53"/>
    <m/>
    <d v="2020-01-24T09:43:55"/>
  </r>
  <r>
    <n v="984"/>
    <s v="#гпт. Направление 33. Трубопроводы."/>
    <n v="2"/>
    <s v="Значительное"/>
    <x v="0"/>
    <x v="0"/>
    <s v="vasenkov@spgr.ru"/>
    <x v="1"/>
    <d v="2020-01-21T00:00:00"/>
    <d v="2020-01-21T00:00:00"/>
    <s v="РК-РД-2-ПТ4.2.01-08-01"/>
    <n v="44.4"/>
    <n v="29.46"/>
    <m/>
    <m/>
    <m/>
    <s v="Ltop ГПТ"/>
    <s v="Ссылка на план"/>
    <x v="64"/>
    <d v="2020-01-21T15:14:51"/>
    <d v="2020-01-21T17:56:17"/>
    <m/>
    <d v="2020-01-22T15:44:34"/>
  </r>
  <r>
    <n v="1003"/>
    <s v="ПНР. П5-3.5"/>
    <n v="2"/>
    <s v="Значительное"/>
    <x v="0"/>
    <x v="0"/>
    <s v="vasenkov@spgr.ru"/>
    <x v="1"/>
    <d v="2020-01-21T00:00:00"/>
    <d v="2020-01-21T00:00:00"/>
    <m/>
    <m/>
    <m/>
    <m/>
    <m/>
    <m/>
    <m/>
    <m/>
    <x v="65"/>
    <d v="2020-01-22T15:51:50"/>
    <d v="2020-01-22T15:51:50"/>
    <m/>
    <d v="2020-01-24T09:43:55"/>
  </r>
  <r>
    <n v="1002"/>
    <s v="ПНР. П5-1.5"/>
    <n v="2"/>
    <s v="Значительное"/>
    <x v="0"/>
    <x v="0"/>
    <s v="vasenkov@spgr.ru"/>
    <x v="1"/>
    <d v="2020-01-21T00:00:00"/>
    <d v="2020-01-21T00:00:00"/>
    <m/>
    <m/>
    <m/>
    <m/>
    <m/>
    <m/>
    <m/>
    <m/>
    <x v="66"/>
    <d v="2020-01-22T15:49:20"/>
    <d v="2020-01-22T15:49:20"/>
    <m/>
    <d v="2020-01-24T09:43:55"/>
  </r>
  <r>
    <n v="1228"/>
    <s v="#пш. ВПВ L4.05"/>
    <n v="2"/>
    <s v="Значительное"/>
    <x v="1"/>
    <x v="0"/>
    <s v="rc_cool_heat@rencons.com"/>
    <x v="1"/>
    <m/>
    <m/>
    <s v="РК-РД-2-ПТ4.1.03-08.10-05"/>
    <n v="56.58"/>
    <n v="24.29"/>
    <m/>
    <m/>
    <m/>
    <s v="L top АУПТ"/>
    <s v="Ссылка на план"/>
    <x v="67"/>
    <m/>
    <m/>
    <m/>
    <d v="2020-02-10T08:36:23"/>
  </r>
  <r>
    <n v="1154"/>
    <m/>
    <n v="2"/>
    <s v="Значительное"/>
    <x v="1"/>
    <x v="0"/>
    <s v="prasolov@spgr.ru"/>
    <x v="1"/>
    <m/>
    <m/>
    <m/>
    <m/>
    <m/>
    <m/>
    <m/>
    <m/>
    <m/>
    <m/>
    <x v="68"/>
    <m/>
    <m/>
    <m/>
    <d v="2020-02-02T06:58:18"/>
  </r>
  <r>
    <n v="1155"/>
    <m/>
    <n v="2"/>
    <s v="Значительное"/>
    <x v="1"/>
    <x v="0"/>
    <s v="prasolov@spgr.ru"/>
    <x v="1"/>
    <m/>
    <m/>
    <m/>
    <m/>
    <m/>
    <m/>
    <m/>
    <m/>
    <m/>
    <m/>
    <x v="69"/>
    <m/>
    <m/>
    <m/>
    <d v="2020-02-02T06:58:45"/>
  </r>
  <r>
    <n v="1052"/>
    <s v="Монтаж Системы СОФ1 Блока В2 В Осях 10/Б-11/Б/ 21-31"/>
    <n v="2"/>
    <s v="Значительное"/>
    <x v="0"/>
    <x v="0"/>
    <s v="prasolov@spgr.ru"/>
    <x v="1"/>
    <m/>
    <m/>
    <m/>
    <m/>
    <m/>
    <m/>
    <m/>
    <m/>
    <m/>
    <m/>
    <x v="70"/>
    <d v="2020-01-24T19:08:14"/>
    <d v="2020-01-24T19:08:14"/>
    <m/>
    <d v="2020-01-24T19:08:14"/>
  </r>
  <r>
    <n v="1059"/>
    <s v="Примыкание Вертикальных Участков К СВГ Крм-3 участок 18"/>
    <n v="2"/>
    <s v="Значительное"/>
    <x v="0"/>
    <x v="0"/>
    <s v="prasolov@spgr.ru"/>
    <x v="1"/>
    <m/>
    <m/>
    <m/>
    <m/>
    <m/>
    <m/>
    <m/>
    <m/>
    <m/>
    <m/>
    <x v="71"/>
    <d v="2020-01-29T05:33:32"/>
    <d v="2020-01-29T05:33:32"/>
    <m/>
    <d v="2020-01-29T05:33:33"/>
  </r>
  <r>
    <n v="1109"/>
    <s v="Армирование Подпорной Стены Пс-10 в/о В-Д/1. На Отм. -6.650"/>
    <n v="2"/>
    <s v="Значительное"/>
    <x v="0"/>
    <x v="0"/>
    <s v="prasolov@spgr.ru"/>
    <x v="1"/>
    <m/>
    <m/>
    <m/>
    <m/>
    <m/>
    <m/>
    <m/>
    <m/>
    <m/>
    <m/>
    <x v="72"/>
    <d v="2020-01-30T08:26:12"/>
    <d v="2020-01-30T08:26:12"/>
    <m/>
    <d v="2020-01-30T08:26:13"/>
  </r>
  <r>
    <n v="1111"/>
    <s v="Гидроизоляция Крм-9"/>
    <n v="2"/>
    <s v="Значительное"/>
    <x v="0"/>
    <x v="0"/>
    <s v="prasolov@spgr.ru"/>
    <x v="1"/>
    <m/>
    <m/>
    <m/>
    <m/>
    <m/>
    <m/>
    <m/>
    <m/>
    <m/>
    <m/>
    <x v="73"/>
    <d v="2020-02-02T06:57:20"/>
    <d v="2020-02-02T06:57:20"/>
    <m/>
    <d v="2020-02-02T06:57:20"/>
  </r>
  <r>
    <n v="864"/>
    <s v="Устройство щебеночного основания под фундаментную плиту КПП"/>
    <n v="2"/>
    <s v="Значительное"/>
    <x v="0"/>
    <x v="0"/>
    <s v="prasolov@spgr.ru"/>
    <x v="1"/>
    <m/>
    <m/>
    <m/>
    <m/>
    <m/>
    <m/>
    <m/>
    <m/>
    <m/>
    <m/>
    <x v="74"/>
    <d v="2020-01-09T02:35:40"/>
    <d v="2020-01-09T02:35:54"/>
    <m/>
    <d v="2020-01-09T02:35:55"/>
  </r>
  <r>
    <n v="992"/>
    <s v="Устройство Гидроизоляции Стен тоннеля ГОЧС с отм. -4.550 до отм. -6.550 м"/>
    <n v="2"/>
    <s v="Значительное"/>
    <x v="0"/>
    <x v="0"/>
    <s v="prasolov@spgr.ru"/>
    <x v="1"/>
    <m/>
    <m/>
    <m/>
    <m/>
    <m/>
    <m/>
    <m/>
    <m/>
    <m/>
    <m/>
    <x v="75"/>
    <d v="2020-01-21T18:57:59"/>
    <d v="2020-01-21T18:57:59"/>
    <m/>
    <d v="2020-01-21T19:01:06"/>
  </r>
  <r>
    <n v="994"/>
    <s v="Устройство первого Слоя Гидроизоляции Кровли ЭПП в/о 10Б-13"/>
    <n v="2"/>
    <s v="Значительное"/>
    <x v="0"/>
    <x v="0"/>
    <s v="prasolov@spgr.ru"/>
    <x v="1"/>
    <m/>
    <m/>
    <m/>
    <m/>
    <m/>
    <m/>
    <m/>
    <m/>
    <m/>
    <m/>
    <x v="76"/>
    <d v="2020-01-21T19:08:57"/>
    <d v="2020-01-21T19:08:57"/>
    <m/>
    <d v="2020-01-21T19:08:57"/>
  </r>
  <r>
    <n v="993"/>
    <s v="Приёмка Сборки Фермы внутреннего Двора В/О 8/3-10/ Ш-Ф"/>
    <n v="2"/>
    <s v="Значительное"/>
    <x v="0"/>
    <x v="0"/>
    <s v="prasolov@spgr.ru"/>
    <x v="1"/>
    <m/>
    <m/>
    <m/>
    <m/>
    <m/>
    <m/>
    <m/>
    <m/>
    <m/>
    <m/>
    <x v="77"/>
    <d v="2020-01-21T19:02:58"/>
    <d v="2020-01-21T19:02:58"/>
    <m/>
    <d v="2020-01-21T19:05:22"/>
  </r>
  <r>
    <n v="1141"/>
    <s v="13.B1.1.026"/>
    <n v="1"/>
    <s v="КРИТИЧЕСКОЕ"/>
    <x v="3"/>
    <x v="1"/>
    <s v="rc_otdelka@rencons.com"/>
    <x v="1"/>
    <d v="2020-01-31T00:00:00"/>
    <d v="2020-02-04T00:00:00"/>
    <m/>
    <m/>
    <m/>
    <s v="13.B1.1.026_Тр.5-1"/>
    <m/>
    <m/>
    <m/>
    <m/>
    <x v="78"/>
    <m/>
    <m/>
    <m/>
    <d v="2020-02-01T15:07:08"/>
  </r>
  <r>
    <n v="1128"/>
    <s v="13.B1.1.003"/>
    <n v="1"/>
    <s v="КРИТИЧЕСКОЕ"/>
    <x v="3"/>
    <x v="1"/>
    <s v="rc_otdelka@rencons.com"/>
    <x v="1"/>
    <d v="2020-01-31T00:00:00"/>
    <d v="2020-02-04T00:00:00"/>
    <m/>
    <m/>
    <m/>
    <s v="13.B1.1.003_Тр.3-1"/>
    <m/>
    <m/>
    <m/>
    <m/>
    <x v="79"/>
    <m/>
    <m/>
    <m/>
    <d v="2020-02-01T15:05:20"/>
  </r>
  <r>
    <n v="1137"/>
    <s v="13.B1.1.017"/>
    <n v="1"/>
    <s v="КРИТИЧЕСКОЕ"/>
    <x v="3"/>
    <x v="1"/>
    <s v="rc_otdelka@rencons.com"/>
    <x v="1"/>
    <d v="2020-01-31T00:00:00"/>
    <d v="2020-02-04T00:00:00"/>
    <m/>
    <m/>
    <m/>
    <s v="13.B1.1.017_Тр.2-2"/>
    <m/>
    <m/>
    <m/>
    <m/>
    <x v="78"/>
    <m/>
    <m/>
    <m/>
    <d v="2020-02-01T15:06:33"/>
  </r>
  <r>
    <n v="1130"/>
    <s v="13.B1.1.030"/>
    <n v="1"/>
    <s v="КРИТИЧЕСКОЕ"/>
    <x v="3"/>
    <x v="1"/>
    <s v="rc_otdelka@rencons.com"/>
    <x v="1"/>
    <d v="2020-01-31T00:00:00"/>
    <d v="2020-02-04T00:00:00"/>
    <m/>
    <m/>
    <m/>
    <s v="13.B1.1.030_ТП-3"/>
    <m/>
    <m/>
    <m/>
    <m/>
    <x v="79"/>
    <m/>
    <m/>
    <m/>
    <d v="2020-02-01T15:05:32"/>
  </r>
  <r>
    <n v="1146"/>
    <s v="13.B1.1.033"/>
    <n v="1"/>
    <s v="КРИТИЧЕСКОЕ"/>
    <x v="3"/>
    <x v="1"/>
    <s v="rc_otdelka@rencons.com"/>
    <x v="1"/>
    <d v="2020-01-31T00:00:00"/>
    <d v="2020-02-04T00:00:00"/>
    <m/>
    <m/>
    <m/>
    <s v="13.B1.1.033_РП-1 секция 1"/>
    <m/>
    <m/>
    <m/>
    <m/>
    <x v="80"/>
    <m/>
    <m/>
    <m/>
    <d v="2020-02-01T15:08:15"/>
  </r>
  <r>
    <n v="1139"/>
    <s v="13.B1.1.016"/>
    <n v="1"/>
    <s v="КРИТИЧЕСКОЕ"/>
    <x v="3"/>
    <x v="1"/>
    <s v="rc_otdelka@rencons.com"/>
    <x v="1"/>
    <d v="2020-01-31T00:00:00"/>
    <d v="2020-02-04T00:00:00"/>
    <m/>
    <m/>
    <m/>
    <s v="13.B1.1.016_Тр.6-1"/>
    <m/>
    <m/>
    <m/>
    <m/>
    <x v="78"/>
    <m/>
    <m/>
    <m/>
    <d v="2020-02-01T15:07:19"/>
  </r>
  <r>
    <n v="1144"/>
    <s v="13.B1.1.024"/>
    <n v="1"/>
    <s v="КРИТИЧЕСКОЕ"/>
    <x v="3"/>
    <x v="1"/>
    <s v="rc_otdelka@rencons.com"/>
    <x v="1"/>
    <d v="2020-01-31T00:00:00"/>
    <d v="2020-02-04T00:00:00"/>
    <m/>
    <m/>
    <m/>
    <s v="13.B1.1.024_ТП-1"/>
    <m/>
    <m/>
    <m/>
    <m/>
    <x v="80"/>
    <m/>
    <m/>
    <m/>
    <d v="2020-02-01T15:07:55"/>
  </r>
  <r>
    <n v="1127"/>
    <s v="13.B1.1.031"/>
    <n v="1"/>
    <s v="КРИТИЧЕСКОЕ"/>
    <x v="3"/>
    <x v="1"/>
    <s v="rc_otdelka@rencons.com"/>
    <x v="1"/>
    <d v="2020-01-31T00:00:00"/>
    <d v="2020-02-04T00:00:00"/>
    <s v="B1_Приемка помещений"/>
    <n v="13.08"/>
    <n v="49.11"/>
    <s v="13.B1.1.031_Тр.3-2"/>
    <m/>
    <m/>
    <s v="Приемка помещений"/>
    <s v="Ссылка на план"/>
    <x v="79"/>
    <m/>
    <m/>
    <m/>
    <d v="2020-02-05T17:21:38"/>
  </r>
  <r>
    <n v="1131"/>
    <s v="13.B1.1.021"/>
    <n v="1"/>
    <s v="КРИТИЧЕСКОЕ"/>
    <x v="3"/>
    <x v="1"/>
    <s v="rc_otdelka@rencons.com"/>
    <x v="1"/>
    <d v="2020-01-31T00:00:00"/>
    <d v="2020-02-04T00:00:00"/>
    <m/>
    <m/>
    <m/>
    <s v="13.B1.1.021_ТП-4"/>
    <m/>
    <m/>
    <m/>
    <m/>
    <x v="79"/>
    <m/>
    <m/>
    <m/>
    <d v="2020-02-01T15:05:38"/>
  </r>
  <r>
    <n v="1133"/>
    <s v="13.B1.1.019"/>
    <n v="1"/>
    <s v="КРИТИЧЕСКОЕ"/>
    <x v="3"/>
    <x v="1"/>
    <s v="rc_otdelka@rencons.com"/>
    <x v="1"/>
    <d v="2020-01-31T00:00:00"/>
    <d v="2020-02-04T00:00:00"/>
    <m/>
    <m/>
    <m/>
    <s v="13.B1.1.019_Тр.2-1"/>
    <m/>
    <m/>
    <m/>
    <m/>
    <x v="79"/>
    <m/>
    <m/>
    <m/>
    <d v="2020-02-01T15:05:08"/>
  </r>
  <r>
    <n v="1134"/>
    <s v="13.B1.1.018"/>
    <n v="1"/>
    <s v="КРИТИЧЕСКОЕ"/>
    <x v="3"/>
    <x v="1"/>
    <s v="rc_otdelka@rencons.com"/>
    <x v="1"/>
    <d v="2020-01-31T00:00:00"/>
    <d v="2020-02-04T00:00:00"/>
    <m/>
    <m/>
    <m/>
    <s v="13.B1.1.018_ТП-2"/>
    <m/>
    <m/>
    <m/>
    <m/>
    <x v="78"/>
    <m/>
    <m/>
    <m/>
    <d v="2020-02-01T15:06:02"/>
  </r>
  <r>
    <n v="1135"/>
    <s v="13.B1.1.027"/>
    <n v="1"/>
    <s v="КРИТИЧЕСКОЕ"/>
    <x v="3"/>
    <x v="1"/>
    <s v="rc_otdelka@rencons.com"/>
    <x v="1"/>
    <d v="2020-01-31T00:00:00"/>
    <d v="2020-02-04T00:00:00"/>
    <m/>
    <m/>
    <m/>
    <s v="13.B1.1.027_ТП-5"/>
    <m/>
    <m/>
    <m/>
    <m/>
    <x v="78"/>
    <m/>
    <m/>
    <m/>
    <d v="2020-02-01T15:06:13"/>
  </r>
  <r>
    <n v="1145"/>
    <s v="13.B1.1.013"/>
    <n v="1"/>
    <s v="КРИТИЧЕСКОЕ"/>
    <x v="3"/>
    <x v="1"/>
    <s v="rc_otdelka@rencons.com"/>
    <x v="1"/>
    <d v="2020-01-31T00:00:00"/>
    <d v="2020-02-04T00:00:00"/>
    <m/>
    <m/>
    <m/>
    <s v="13.B1.1.013_РП-1 секция 2"/>
    <m/>
    <m/>
    <m/>
    <m/>
    <x v="80"/>
    <m/>
    <m/>
    <m/>
    <d v="2020-02-01T15:08:08"/>
  </r>
  <r>
    <n v="1129"/>
    <s v="13.B1.1.022"/>
    <n v="1"/>
    <s v="КРИТИЧЕСКОЕ"/>
    <x v="3"/>
    <x v="1"/>
    <s v="rc_otdelka@rencons.com"/>
    <x v="1"/>
    <d v="2020-01-31T00:00:00"/>
    <d v="2020-02-04T00:00:00"/>
    <m/>
    <m/>
    <m/>
    <s v="13.B1.1.022_Тр.4-1"/>
    <m/>
    <m/>
    <m/>
    <m/>
    <x v="79"/>
    <m/>
    <m/>
    <m/>
    <d v="2020-02-01T15:05:26"/>
  </r>
  <r>
    <n v="1138"/>
    <s v="13.B1.1.025"/>
    <n v="1"/>
    <s v="КРИТИЧЕСКОЕ"/>
    <x v="3"/>
    <x v="1"/>
    <s v="rc_otdelka@rencons.com"/>
    <x v="1"/>
    <d v="2020-01-31T00:00:00"/>
    <d v="2020-02-04T00:00:00"/>
    <m/>
    <m/>
    <m/>
    <s v="13.B1.1.025_Тр.1-2"/>
    <m/>
    <m/>
    <m/>
    <m/>
    <x v="78"/>
    <m/>
    <m/>
    <m/>
    <d v="2020-02-01T15:07:00"/>
  </r>
  <r>
    <n v="1143"/>
    <s v="13.B1.1.014"/>
    <n v="1"/>
    <s v="КРИТИЧЕСКОЕ"/>
    <x v="3"/>
    <x v="1"/>
    <s v="rc_otdelka@rencons.com"/>
    <x v="1"/>
    <d v="2020-01-31T00:00:00"/>
    <d v="2020-02-04T00:00:00"/>
    <m/>
    <m/>
    <m/>
    <s v="13.B1.1.014_Тр.6-2"/>
    <m/>
    <m/>
    <m/>
    <m/>
    <x v="78"/>
    <m/>
    <m/>
    <m/>
    <d v="2020-02-01T15:07:39"/>
  </r>
  <r>
    <n v="1140"/>
    <s v="13.B1.1.015"/>
    <n v="1"/>
    <s v="КРИТИЧЕСКОЕ"/>
    <x v="3"/>
    <x v="1"/>
    <s v="rc_otdelka@rencons.com"/>
    <x v="1"/>
    <d v="2020-01-31T00:00:00"/>
    <d v="2020-02-04T00:00:00"/>
    <m/>
    <m/>
    <m/>
    <s v="13.B1.1.015_ТП-6"/>
    <m/>
    <m/>
    <m/>
    <m/>
    <x v="78"/>
    <m/>
    <m/>
    <m/>
    <d v="2020-02-01T15:10:17"/>
  </r>
  <r>
    <n v="1132"/>
    <s v="13.B1.1.020"/>
    <n v="1"/>
    <s v="КРИТИЧЕСКОЕ"/>
    <x v="3"/>
    <x v="1"/>
    <s v="rc_otdelka@rencons.com"/>
    <x v="1"/>
    <d v="2020-01-31T00:00:00"/>
    <d v="2020-02-04T00:00:00"/>
    <m/>
    <m/>
    <m/>
    <s v="13.B1.1.020_Тр.4-2"/>
    <m/>
    <m/>
    <m/>
    <m/>
    <x v="79"/>
    <m/>
    <m/>
    <m/>
    <d v="2020-02-01T15:05:46"/>
  </r>
  <r>
    <n v="1136"/>
    <s v="13.B1.1.028"/>
    <n v="1"/>
    <s v="КРИТИЧЕСКОЕ"/>
    <x v="3"/>
    <x v="1"/>
    <s v="rc_otdelka@rencons.com"/>
    <x v="1"/>
    <d v="2020-01-31T00:00:00"/>
    <d v="2020-02-04T00:00:00"/>
    <m/>
    <m/>
    <m/>
    <s v="13.B1.1.028_Тр.5-2"/>
    <m/>
    <m/>
    <m/>
    <m/>
    <x v="78"/>
    <m/>
    <m/>
    <m/>
    <d v="2020-02-01T15:06:22"/>
  </r>
  <r>
    <n v="1142"/>
    <s v="13.B1.1.023"/>
    <n v="1"/>
    <s v="КРИТИЧЕСКОЕ"/>
    <x v="3"/>
    <x v="1"/>
    <s v="rc_otdelka@rencons.com"/>
    <x v="1"/>
    <d v="2020-01-31T00:00:00"/>
    <d v="2020-02-04T00:00:00"/>
    <m/>
    <m/>
    <m/>
    <s v="13.B1.1.023_Тр.1-1"/>
    <m/>
    <m/>
    <m/>
    <m/>
    <x v="78"/>
    <m/>
    <m/>
    <m/>
    <d v="2020-02-01T15:07:26"/>
  </r>
  <r>
    <n v="1116"/>
    <s v="13.В1.1.031"/>
    <n v="2"/>
    <s v="Значительное"/>
    <x v="1"/>
    <x v="1"/>
    <s v="rc_otdelka@rencons.com"/>
    <x v="1"/>
    <d v="2020-01-30T00:00:00"/>
    <d v="2020-01-30T00:00:00"/>
    <s v="B1_Приемка помещений"/>
    <n v="12.87"/>
    <n v="48.69"/>
    <m/>
    <m/>
    <m/>
    <s v="Приемка помещений"/>
    <s v="Ссылка на план"/>
    <x v="81"/>
    <m/>
    <m/>
    <m/>
    <d v="2020-01-30T12:16:51"/>
  </r>
  <r>
    <n v="1118"/>
    <s v="13.В1.1.003"/>
    <n v="2"/>
    <s v="Значительное"/>
    <x v="1"/>
    <x v="1"/>
    <s v="rc_otdelka@rencons.com"/>
    <x v="1"/>
    <d v="2020-01-30T00:00:00"/>
    <d v="2020-01-30T00:00:00"/>
    <s v="B1_Приемка помещений"/>
    <n v="11.94"/>
    <n v="48.51"/>
    <m/>
    <m/>
    <m/>
    <s v="Приемка помещений"/>
    <s v="Ссылка на план"/>
    <x v="82"/>
    <m/>
    <m/>
    <m/>
    <d v="2020-01-30T12:17:09"/>
  </r>
  <r>
    <n v="1117"/>
    <s v="13.В1.1.030"/>
    <n v="2"/>
    <s v="Значительное"/>
    <x v="1"/>
    <x v="1"/>
    <s v="rc_otdelka@rencons.com"/>
    <x v="1"/>
    <d v="2020-01-30T00:00:00"/>
    <d v="2020-01-30T00:00:00"/>
    <s v="B1_Приемка помещений"/>
    <n v="12.57"/>
    <n v="48.69"/>
    <m/>
    <m/>
    <m/>
    <s v="Приемка помещений"/>
    <s v="Ссылка на план"/>
    <x v="83"/>
    <m/>
    <m/>
    <m/>
    <d v="2020-01-30T12:17:00"/>
  </r>
  <r>
    <n v="422"/>
    <s v="Входной контроль металлоконструкций (Б-193, Б243, Б208, Б-242, Б-207, Б-241) среднего уровня, в осях 1\В /10-14"/>
    <n v="2"/>
    <s v="Значительное"/>
    <x v="0"/>
    <x v="2"/>
    <s v="oluferov@spgr.ru"/>
    <x v="0"/>
    <d v="2019-11-24T00:00:00"/>
    <d v="2019-11-24T00:00:00"/>
    <m/>
    <m/>
    <m/>
    <m/>
    <m/>
    <m/>
    <m/>
    <m/>
    <x v="84"/>
    <d v="2019-11-25T09:15:18"/>
    <d v="2019-11-25T09:15:18"/>
    <m/>
    <d v="2019-11-25T09:19:56"/>
  </r>
  <r>
    <n v="497"/>
    <s v="Чистота Б-762-1, Б-75-3, Б762-2.  Блок 2,1. Фасад"/>
    <n v="2"/>
    <s v="Значительное"/>
    <x v="0"/>
    <x v="2"/>
    <s v="oluferov@spgr.ru"/>
    <x v="0"/>
    <d v="2019-11-30T00:00:00"/>
    <d v="2019-11-30T00:00:00"/>
    <m/>
    <m/>
    <m/>
    <m/>
    <m/>
    <m/>
    <m/>
    <m/>
    <x v="85"/>
    <d v="2019-12-01T11:07:12"/>
    <d v="2019-12-01T11:07:12"/>
    <m/>
    <d v="2019-12-01T11:07:21"/>
  </r>
  <r>
    <n v="562"/>
    <s v="Фермы подконструкций кровли ETFE. Оси У-Ф/13-14."/>
    <n v="2"/>
    <s v="Значительное"/>
    <x v="0"/>
    <x v="2"/>
    <s v="oluferov@spgr.ru"/>
    <x v="0"/>
    <d v="2019-12-07T00:00:00"/>
    <d v="2019-12-08T00:00:00"/>
    <m/>
    <m/>
    <m/>
    <m/>
    <m/>
    <m/>
    <m/>
    <m/>
    <x v="86"/>
    <d v="2019-12-08T09:06:30"/>
    <d v="2019-12-08T09:06:30"/>
    <m/>
    <d v="2019-12-08T09:22:54"/>
  </r>
  <r>
    <n v="691"/>
    <s v="Устройство пароизоляция стыков лотков ферм ETFE, 1 этап, в осях 24-26/С-У, узлы 9-12.  "/>
    <n v="2"/>
    <s v="Значительное"/>
    <x v="0"/>
    <x v="2"/>
    <s v="svetashov@spgr.ru"/>
    <x v="1"/>
    <d v="2019-12-20T00:00:00"/>
    <d v="2019-12-20T00:00:00"/>
    <s v="_1RTDJ~B"/>
    <n v="42.67"/>
    <n v="40.67"/>
    <m/>
    <m/>
    <m/>
    <s v="АР общие планы"/>
    <s v="Ссылка на план"/>
    <x v="87"/>
    <d v="2019-12-22T18:15:39"/>
    <d v="2019-12-22T18:15:39"/>
    <m/>
    <d v="2019-12-22T18:15:41"/>
  </r>
  <r>
    <n v="358"/>
    <s v="Входной контроль решетчатого настила А1-А2 №31,32"/>
    <n v="2"/>
    <s v="Значительное"/>
    <x v="0"/>
    <x v="2"/>
    <s v="sorokin.v@spgr.ru"/>
    <x v="1"/>
    <d v="2019-11-19T00:00:00"/>
    <d v="2019-11-19T00:00:00"/>
    <s v="А1-А2 фрагмент 6"/>
    <n v="50.36"/>
    <n v="44.23"/>
    <m/>
    <m/>
    <m/>
    <s v="Решетчатый настил"/>
    <s v="Ссылка на план"/>
    <x v="88"/>
    <d v="2019-11-19T17:26:23"/>
    <d v="2019-11-28T11:31:49"/>
    <m/>
    <d v="2019-11-28T11:31:49"/>
  </r>
  <r>
    <n v="344"/>
    <s v="Входной контроль решетчатого настила №25"/>
    <n v="2"/>
    <s v="Значительное"/>
    <x v="0"/>
    <x v="2"/>
    <s v="rc_km@rencons.com"/>
    <x v="1"/>
    <d v="2019-11-19T00:00:00"/>
    <d v="2019-11-19T00:00:00"/>
    <s v="А1 фрагмент 4"/>
    <n v="36.15"/>
    <n v="36.99"/>
    <m/>
    <m/>
    <m/>
    <s v="Решетчатый настил"/>
    <s v="Ссылка на план"/>
    <x v="89"/>
    <d v="2019-11-19T17:10:19"/>
    <d v="2019-11-19T17:10:19"/>
    <m/>
    <d v="2019-11-19T17:10:20"/>
  </r>
  <r>
    <n v="1028"/>
    <s v="Осмотр стеклопакетов перед монтажем"/>
    <n v="2"/>
    <s v="Значительное"/>
    <x v="0"/>
    <x v="2"/>
    <s v="groholskii@spgr.ru"/>
    <x v="1"/>
    <d v="2020-01-23T00:00:00"/>
    <d v="2020-01-24T00:00:00"/>
    <m/>
    <m/>
    <m/>
    <m/>
    <m/>
    <m/>
    <m/>
    <m/>
    <x v="90"/>
    <d v="2020-01-24T07:22:14"/>
    <d v="2020-01-24T07:22:14"/>
    <m/>
    <d v="2020-01-24T07:23:14"/>
  </r>
  <r>
    <n v="897"/>
    <s v="Осмотр стеклопакетов перед монтажем"/>
    <n v="2"/>
    <s v="Значительное"/>
    <x v="0"/>
    <x v="2"/>
    <s v="groholskii@spgr.ru"/>
    <x v="1"/>
    <d v="2020-01-11T00:00:00"/>
    <d v="2020-01-11T00:00:00"/>
    <m/>
    <m/>
    <m/>
    <m/>
    <m/>
    <m/>
    <m/>
    <m/>
    <x v="91"/>
    <d v="2020-01-11T19:09:50"/>
    <d v="2020-01-11T19:09:50"/>
    <m/>
    <d v="2020-01-11T19:09:56"/>
  </r>
  <r>
    <n v="460"/>
    <s v="Осмотр стеклопакетов перед монтажем"/>
    <n v="2"/>
    <s v="Значительное"/>
    <x v="0"/>
    <x v="2"/>
    <s v="groholskii@spgr.ru"/>
    <x v="1"/>
    <d v="2019-11-28T00:00:00"/>
    <d v="2019-11-28T00:00:00"/>
    <m/>
    <m/>
    <m/>
    <m/>
    <m/>
    <m/>
    <m/>
    <m/>
    <x v="92"/>
    <d v="2019-11-28T06:37:17"/>
    <d v="2019-11-28T06:37:29"/>
    <m/>
    <d v="2019-11-28T06:38:05"/>
  </r>
  <r>
    <n v="109"/>
    <s v="Лотки кровли ETFE"/>
    <n v="3"/>
    <s v="Малозначительное"/>
    <x v="0"/>
    <x v="2"/>
    <s v="groholskii@spgr.ru"/>
    <x v="1"/>
    <m/>
    <m/>
    <m/>
    <m/>
    <m/>
    <m/>
    <m/>
    <m/>
    <m/>
    <m/>
    <x v="93"/>
    <d v="2019-12-10T10:06:25"/>
    <d v="2019-12-10T10:06:25"/>
    <m/>
    <d v="2019-12-10T10:06:25"/>
  </r>
  <r>
    <n v="825"/>
    <s v="Осмотр стеклопакетов перед монтажем"/>
    <n v="2"/>
    <s v="Значительное"/>
    <x v="0"/>
    <x v="2"/>
    <s v="groholskii@spgr.ru"/>
    <x v="1"/>
    <d v="2019-12-30T00:00:00"/>
    <d v="2019-12-30T00:00:00"/>
    <m/>
    <m/>
    <m/>
    <m/>
    <m/>
    <m/>
    <m/>
    <m/>
    <x v="94"/>
    <d v="2019-12-30T16:54:59"/>
    <d v="2019-12-30T16:54:59"/>
    <m/>
    <d v="2019-12-30T16:55:53"/>
  </r>
  <r>
    <n v="235"/>
    <s v="Осмотр стеклопакетов перед монтажом"/>
    <n v="2"/>
    <s v="Значительное"/>
    <x v="0"/>
    <x v="2"/>
    <s v="groholskii@spgr.ru"/>
    <x v="1"/>
    <d v="2019-11-13T00:00:00"/>
    <d v="2019-11-13T00:00:00"/>
    <m/>
    <m/>
    <m/>
    <m/>
    <m/>
    <m/>
    <m/>
    <m/>
    <x v="95"/>
    <d v="2019-11-13T04:55:55"/>
    <d v="2019-11-13T04:55:55"/>
    <m/>
    <d v="2019-11-13T05:04:27"/>
  </r>
  <r>
    <n v="842"/>
    <s v="Осмотр стеклопакетов"/>
    <n v="3"/>
    <s v="Малозначительное"/>
    <x v="0"/>
    <x v="2"/>
    <s v="groholskii@spgr.ru"/>
    <x v="1"/>
    <d v="2020-01-04T00:00:00"/>
    <d v="2020-01-04T00:00:00"/>
    <m/>
    <m/>
    <m/>
    <m/>
    <m/>
    <m/>
    <m/>
    <m/>
    <x v="96"/>
    <d v="2020-01-07T10:50:50"/>
    <d v="2020-01-07T10:50:50"/>
    <m/>
    <d v="2020-01-07T10:50:50"/>
  </r>
  <r>
    <n v="1243"/>
    <s v="Осмотр стеклопакетов"/>
    <n v="2"/>
    <s v="Значительное"/>
    <x v="0"/>
    <x v="2"/>
    <s v="groholskii@spgr.ru"/>
    <x v="1"/>
    <d v="2020-02-07T00:00:00"/>
    <d v="2020-02-08T00:00:00"/>
    <m/>
    <m/>
    <m/>
    <m/>
    <m/>
    <m/>
    <m/>
    <m/>
    <x v="97"/>
    <d v="2020-02-08T06:44:03"/>
    <d v="2020-02-08T06:44:03"/>
    <m/>
    <d v="2020-02-08T06:44:18"/>
  </r>
  <r>
    <n v="1017"/>
    <s v="Осмотр стеклопакетов перед монтажом."/>
    <n v="2"/>
    <s v="Значительное"/>
    <x v="0"/>
    <x v="2"/>
    <s v="groholskii@spgr.ru"/>
    <x v="1"/>
    <d v="2020-01-22T00:00:00"/>
    <d v="2020-01-23T00:00:00"/>
    <m/>
    <m/>
    <m/>
    <m/>
    <m/>
    <m/>
    <m/>
    <m/>
    <x v="98"/>
    <d v="2020-01-23T06:27:49"/>
    <d v="2020-01-23T06:27:49"/>
    <m/>
    <d v="2020-01-23T06:28:54"/>
  </r>
  <r>
    <n v="417"/>
    <s v="Панели блок 2(С) в/о И/10-13/1 ( 20шт.) отм.-0,250"/>
    <n v="2"/>
    <s v="Значительное"/>
    <x v="0"/>
    <x v="2"/>
    <s v="rc_facades@rencons.com"/>
    <x v="1"/>
    <d v="2019-11-24T00:00:00"/>
    <d v="2019-11-24T00:00:00"/>
    <s v="РК-РД-2-АР09.2-04.26-03"/>
    <n v="0"/>
    <n v="0"/>
    <m/>
    <m/>
    <m/>
    <s v="АР09.2-Фасады-Панели"/>
    <s v="Ссылка на план"/>
    <x v="99"/>
    <d v="2019-11-24T15:49:29"/>
    <d v="2019-11-28T11:31:51"/>
    <m/>
    <d v="2019-11-28T11:31:51"/>
  </r>
  <r>
    <n v="904"/>
    <s v="Баки БВ 0,9 для  хранения питьевой воды  ГОЧC"/>
    <n v="1"/>
    <s v="КРИТИЧЕСКОЕ"/>
    <x v="3"/>
    <x v="3"/>
    <s v="rc_vk@rencons.com"/>
    <x v="1"/>
    <d v="2020-01-10T00:00:00"/>
    <d v="2020-01-24T00:00:00"/>
    <s v="РК-РД-1-ВК4.1.01-02.01-08"/>
    <n v="46.32"/>
    <n v="20"/>
    <m/>
    <m/>
    <m/>
    <s v="Водоснабжение и канализация"/>
    <s v="Ссылка на план"/>
    <x v="100"/>
    <m/>
    <m/>
    <m/>
    <d v="2020-01-21T10:31:18"/>
  </r>
  <r>
    <n v="297"/>
    <s v="на дренажных насосах кабель для подключения насосов находится в воде. "/>
    <n v="2"/>
    <s v="Значительное"/>
    <x v="0"/>
    <x v="3"/>
    <s v="rc_vk@rencons.com"/>
    <x v="1"/>
    <m/>
    <m/>
    <s v="РК-РД-1-ВК4.1.01-03.06-08"/>
    <n v="44.47"/>
    <n v="31.88"/>
    <m/>
    <m/>
    <m/>
    <s v="Водоснабжение и канализация"/>
    <s v="Ссылка на план"/>
    <x v="101"/>
    <d v="2019-11-21T08:25:13"/>
    <d v="2019-11-22T08:50:55"/>
    <m/>
    <d v="2019-11-22T08:50:55"/>
  </r>
  <r>
    <n v="295"/>
    <s v="на отводах установить усиленные хомуты. "/>
    <n v="2"/>
    <s v="Значительное"/>
    <x v="0"/>
    <x v="3"/>
    <s v="rc_vk@rencons.com"/>
    <x v="1"/>
    <m/>
    <m/>
    <s v="РК-РД-1-ВК4.1.01-03.04-08"/>
    <n v="29.52"/>
    <n v="69.760000000000005"/>
    <m/>
    <m/>
    <m/>
    <s v="Водоснабжение и канализация"/>
    <s v="Ссылка на план"/>
    <x v="102"/>
    <d v="2019-11-21T08:27:18"/>
    <d v="2019-11-25T11:14:41"/>
    <m/>
    <d v="2019-11-25T11:14:42"/>
  </r>
  <r>
    <n v="423"/>
    <s v="#Водоснабжение. Протечка фекального бака."/>
    <n v="2"/>
    <s v="Значительное"/>
    <x v="0"/>
    <x v="3"/>
    <s v="rc_vk@rencons.com"/>
    <x v="1"/>
    <m/>
    <m/>
    <s v="РК-РД-1-ВК4.1.01-02.01-08"/>
    <n v="29.56"/>
    <n v="45.24"/>
    <m/>
    <m/>
    <m/>
    <s v="Водоснабжение и канализация"/>
    <s v="Ссылка на план"/>
    <x v="103"/>
    <d v="2019-11-29T08:42:32"/>
    <d v="2019-12-06T17:57:49"/>
    <m/>
    <d v="2019-12-06T17:57:50"/>
  </r>
  <r>
    <n v="401"/>
    <s v="Т3 в створе стены шахты."/>
    <n v="2"/>
    <s v="Значительное"/>
    <x v="0"/>
    <x v="3"/>
    <s v="rc_vk@rencons.com"/>
    <x v="1"/>
    <m/>
    <m/>
    <s v="РК-РД-1-ВК4.1.01-04.05-08"/>
    <n v="27.79"/>
    <n v="79.290000000000006"/>
    <m/>
    <m/>
    <m/>
    <s v="Водоснабжение и канализация"/>
    <s v="Ссылка на план"/>
    <x v="104"/>
    <d v="2019-11-29T08:40:27"/>
    <d v="2019-11-29T08:40:29"/>
    <m/>
    <d v="2019-11-29T08:40:30"/>
  </r>
  <r>
    <n v="477"/>
    <s v="Неравномерно затянуты хомуты. Хомут находится в теле стены. Отводы на канализации смонтированы не в соответствии с СТО Pam Global."/>
    <n v="1"/>
    <s v="КРИТИЧЕСКОЕ"/>
    <x v="0"/>
    <x v="3"/>
    <s v="rc_vk@rencons.com"/>
    <x v="1"/>
    <d v="2019-11-29T00:00:00"/>
    <d v="2019-12-30T00:00:00"/>
    <s v="РК-РД-1-ВК4.1.01-05.02-08"/>
    <n v="23.65"/>
    <n v="36.78"/>
    <m/>
    <m/>
    <m/>
    <s v="Водоснабжение и канализация"/>
    <s v="Ссылка на план"/>
    <x v="105"/>
    <d v="2019-12-17T16:24:19"/>
    <d v="2019-12-17T16:24:19"/>
    <m/>
    <d v="2019-12-17T16:24:20"/>
  </r>
  <r>
    <n v="600"/>
    <s v="#Водоотведение КПП-2. Отсутствует прочистка на системе К14. Фактически выполненные работы не соответствует проекту. В проекте прокладка канализации осуществляется в плите чугунной трубой."/>
    <n v="1"/>
    <s v="КРИТИЧЕСКОЕ"/>
    <x v="0"/>
    <x v="3"/>
    <s v="rc_vk@rencons.com"/>
    <x v="1"/>
    <d v="2019-12-11T00:00:00"/>
    <d v="2019-12-20T00:00:00"/>
    <s v="РК-РД-2-ВК4.1.02-38.2-03 (1)"/>
    <n v="19.45"/>
    <n v="24.35"/>
    <m/>
    <m/>
    <m/>
    <s v="Водоснабжение и канализация"/>
    <s v="Ссылка на план"/>
    <x v="106"/>
    <d v="2019-12-13T11:30:55"/>
    <d v="2019-12-19T13:31:03"/>
    <m/>
    <d v="2019-12-19T13:31:04"/>
  </r>
  <r>
    <n v="190"/>
    <s v="Отсутствует подвес, трубопровод провис. "/>
    <n v="2"/>
    <s v="Значительное"/>
    <x v="0"/>
    <x v="3"/>
    <s v="rc_vk@rencons.com"/>
    <x v="1"/>
    <d v="2019-11-08T00:00:00"/>
    <d v="2019-12-30T00:00:00"/>
    <s v="РК-РД-1-ВК4.1.01-02.00-04"/>
    <n v="57.65"/>
    <n v="29.64"/>
    <m/>
    <m/>
    <m/>
    <s v="Водоснабжение и канализация"/>
    <s v="Ссылка на план"/>
    <x v="107"/>
    <d v="2019-12-27T16:11:49"/>
    <d v="2020-01-17T13:37:08"/>
    <m/>
    <d v="2020-01-17T13:37:09"/>
  </r>
  <r>
    <n v="294"/>
    <s v="труба смонтирована криво"/>
    <n v="2"/>
    <s v="Значительное"/>
    <x v="0"/>
    <x v="3"/>
    <s v="rc_vk@rencons.com"/>
    <x v="1"/>
    <m/>
    <m/>
    <s v="-8.400_B02_Panels Model"/>
    <n v="0"/>
    <n v="0"/>
    <s v="01.B1.2.007_Комната ожидания"/>
    <m/>
    <m/>
    <s v="ЭМ_Щиты_сводные планы"/>
    <s v="Ссылка на план"/>
    <x v="108"/>
    <d v="2019-11-21T08:34:48"/>
    <d v="2019-11-22T08:50:25"/>
    <m/>
    <d v="2019-11-22T08:50:25"/>
  </r>
  <r>
    <n v="298"/>
    <s v="на дренажных насосах кабель находится в воде. "/>
    <n v="2"/>
    <s v="Значительное"/>
    <x v="0"/>
    <x v="3"/>
    <s v="rc_vk@rencons.com"/>
    <x v="1"/>
    <m/>
    <m/>
    <s v="РК-РД-1-ВК4.1.01-03.06-08"/>
    <n v="18.39"/>
    <n v="59.7"/>
    <m/>
    <m/>
    <m/>
    <s v="Водоснабжение и канализация"/>
    <s v="Ссылка на план"/>
    <x v="109"/>
    <d v="2019-11-21T08:24:15"/>
    <d v="2019-11-22T08:50:58"/>
    <m/>
    <d v="2019-11-22T08:50:59"/>
  </r>
  <r>
    <n v="296"/>
    <s v="установить усиленный хомут"/>
    <n v="2"/>
    <s v="Значительное"/>
    <x v="0"/>
    <x v="3"/>
    <s v="rc_vk@rencons.com"/>
    <x v="1"/>
    <m/>
    <m/>
    <s v="РК-РД-1-ВК4.1.01-03.03-08"/>
    <n v="27.71"/>
    <n v="41.07"/>
    <m/>
    <m/>
    <m/>
    <s v="Водоснабжение и канализация"/>
    <s v="Ссылка на план"/>
    <x v="110"/>
    <d v="2019-11-21T08:28:33"/>
    <d v="2019-11-25T11:14:27"/>
    <m/>
    <d v="2019-11-25T11:14:27"/>
  </r>
  <r>
    <n v="478"/>
    <s v="#Водоотведение."/>
    <n v="1"/>
    <s v="КРИТИЧЕСКОЕ"/>
    <x v="0"/>
    <x v="3"/>
    <s v="veresov@spgr.ru"/>
    <x v="1"/>
    <d v="2019-11-29T00:00:00"/>
    <d v="2019-12-30T00:00:00"/>
    <s v="РК-РД-1-ВК4.1.01-05.02-08"/>
    <n v="30.11"/>
    <n v="37.89"/>
    <m/>
    <m/>
    <m/>
    <s v="Водоснабжение и канализация"/>
    <s v="Ссылка на план"/>
    <x v="111"/>
    <d v="2019-12-17T16:24:10"/>
    <d v="2019-12-19T13:28:19"/>
    <m/>
    <d v="2019-12-19T13:28:20"/>
  </r>
  <r>
    <n v="480"/>
    <m/>
    <n v="1"/>
    <s v="КРИТИЧЕСКОЕ"/>
    <x v="0"/>
    <x v="3"/>
    <s v="veresov@spgr.ru"/>
    <x v="1"/>
    <d v="2019-11-29T00:00:00"/>
    <d v="2019-12-30T00:00:00"/>
    <s v="РК-РД-1-ВК4.1.01-05.02-08"/>
    <n v="32.5"/>
    <n v="50.86"/>
    <m/>
    <m/>
    <m/>
    <s v="Водоснабжение и канализация"/>
    <s v="Ссылка на план"/>
    <x v="112"/>
    <d v="2019-12-17T16:24:10"/>
    <d v="2019-12-19T13:29:08"/>
    <m/>
    <d v="2019-12-19T13:29:08"/>
  </r>
  <r>
    <n v="81"/>
    <s v="П5-1,4 закрепить воздуховод"/>
    <n v="2"/>
    <s v="Значительное"/>
    <x v="0"/>
    <x v="3"/>
    <s v="veresov@spgr.ru"/>
    <x v="1"/>
    <m/>
    <m/>
    <s v="Вентиляция B1_РК-РД-1-ОВ4.1.01-03.00-03"/>
    <m/>
    <m/>
    <m/>
    <m/>
    <m/>
    <s v="ОВ_Отопление и вентиляция"/>
    <s v="Ссылка на план"/>
    <x v="113"/>
    <d v="2019-11-18T09:13:23"/>
    <d v="2019-11-18T09:13:23"/>
    <m/>
    <d v="2019-11-18T16:13:05"/>
  </r>
  <r>
    <n v="80"/>
    <s v="П5-1,4 шток дроссельного клапана упирается в воздуховод"/>
    <n v="2"/>
    <s v="Значительное"/>
    <x v="0"/>
    <x v="3"/>
    <s v="veresov@spgr.ru"/>
    <x v="1"/>
    <m/>
    <m/>
    <s v="Вентиляция B1_РК-РД-1-ОВ4.1.01-03.00-03"/>
    <m/>
    <m/>
    <m/>
    <m/>
    <m/>
    <s v="ОВ_Отопление и вентиляция"/>
    <s v="Ссылка на план"/>
    <x v="114"/>
    <d v="2019-11-18T09:13:11"/>
    <d v="2019-11-18T09:13:11"/>
    <m/>
    <d v="2019-11-18T09:13:11"/>
  </r>
  <r>
    <n v="84"/>
    <s v="П5-1,4 пересечка с электрикой"/>
    <n v="2"/>
    <s v="Значительное"/>
    <x v="0"/>
    <x v="3"/>
    <s v="veresov@spgr.ru"/>
    <x v="1"/>
    <m/>
    <m/>
    <s v="Вентиляция B1_РК-РД-1-ОВ4.1.01-03.00-03"/>
    <m/>
    <m/>
    <m/>
    <m/>
    <m/>
    <s v="ОВ_Отопление и вентиляция"/>
    <s v="Ссылка на план"/>
    <x v="115"/>
    <d v="2019-11-18T09:14:59"/>
    <d v="2019-11-18T09:14:59"/>
    <m/>
    <d v="2019-11-18T09:14:59"/>
  </r>
  <r>
    <n v="79"/>
    <s v="П5-1,4 выровнять воздуховод"/>
    <n v="2"/>
    <s v="Значительное"/>
    <x v="0"/>
    <x v="3"/>
    <s v="veresov@spgr.ru"/>
    <x v="1"/>
    <d v="2019-11-01T00:00:00"/>
    <d v="2019-11-15T00:00:00"/>
    <s v="Вентиляция B1_РК-РД-1-ОВ4.1.01-03.00-03"/>
    <m/>
    <m/>
    <m/>
    <m/>
    <m/>
    <s v="ОВ_Отопление и вентиляция"/>
    <s v="Ссылка на план"/>
    <x v="116"/>
    <d v="2019-11-22T08:48:37"/>
    <d v="2019-11-22T08:49:12"/>
    <m/>
    <d v="2019-11-22T08:49:12"/>
  </r>
  <r>
    <n v="82"/>
    <s v="заменить подвес"/>
    <n v="2"/>
    <s v="Значительное"/>
    <x v="0"/>
    <x v="3"/>
    <s v="veresov@spgr.ru"/>
    <x v="1"/>
    <m/>
    <m/>
    <s v="Вентиляция B1_РК-РД-1-ОВ4.1.01-03.00-03"/>
    <m/>
    <m/>
    <m/>
    <m/>
    <m/>
    <s v="ОВ_Отопление и вентиляция"/>
    <s v="Ссылка на план"/>
    <x v="117"/>
    <d v="2019-11-18T09:15:02"/>
    <d v="2019-11-18T09:15:02"/>
    <m/>
    <d v="2019-11-18T09:15:02"/>
  </r>
  <r>
    <n v="568"/>
    <s v="Предоставить узел прохода через конструкцию. "/>
    <n v="3"/>
    <s v="Малозначительное"/>
    <x v="0"/>
    <x v="3"/>
    <s v="veresov@spgr.ru"/>
    <x v="1"/>
    <m/>
    <m/>
    <s v="РК-РД-2-ОВ4.1.03-03.05-02"/>
    <n v="35.200000000000003"/>
    <n v="34.229999999999997"/>
    <m/>
    <m/>
    <m/>
    <s v="L top Вентиляция"/>
    <s v="Ссылка на план"/>
    <x v="118"/>
    <d v="2019-12-26T13:54:56"/>
    <d v="2019-12-26T13:54:56"/>
    <m/>
    <d v="2019-12-26T13:54:56"/>
  </r>
  <r>
    <n v="479"/>
    <m/>
    <n v="1"/>
    <s v="КРИТИЧЕСКОЕ"/>
    <x v="0"/>
    <x v="3"/>
    <s v="veresov@spgr.ru"/>
    <x v="1"/>
    <d v="2019-11-29T00:00:00"/>
    <d v="2019-12-30T00:00:00"/>
    <s v="РК-РД-1-ВК4.1.01-05.02-08"/>
    <n v="30.21"/>
    <n v="44.58"/>
    <m/>
    <m/>
    <m/>
    <s v="Водоснабжение и канализация"/>
    <s v="Ссылка на план"/>
    <x v="119"/>
    <d v="2019-12-17T16:24:10"/>
    <d v="2019-12-19T13:28:54"/>
    <m/>
    <d v="2019-12-19T13:28:54"/>
  </r>
  <r>
    <n v="178"/>
    <s v="П1-9-1 В1-10-1 Пересечка ЭЛ"/>
    <n v="2"/>
    <s v="Значительное"/>
    <x v="0"/>
    <x v="3"/>
    <s v="veresov@spgr.ru"/>
    <x v="1"/>
    <d v="2019-11-07T00:00:00"/>
    <d v="2019-11-15T00:00:00"/>
    <s v="РК-РД-2-ОВ4.1.03-02.10-02"/>
    <n v="23.36"/>
    <n v="11.39"/>
    <m/>
    <m/>
    <m/>
    <s v="L top Вентиляция"/>
    <s v="Ссылка на план"/>
    <x v="120"/>
    <d v="2019-11-22T08:49:13"/>
    <d v="2019-11-22T08:49:13"/>
    <m/>
    <d v="2020-01-21T09:48:44"/>
  </r>
  <r>
    <n v="1126"/>
    <s v="Вентиляция. ПД 5-10"/>
    <n v="2"/>
    <s v="Значительное"/>
    <x v="1"/>
    <x v="3"/>
    <s v="rc_vent@rencons.com"/>
    <x v="1"/>
    <d v="2020-01-07T00:00:00"/>
    <d v="2020-02-06T00:00:00"/>
    <s v="РК-РД-1-ОВ4.1.01-02.07-04"/>
    <n v="14.95"/>
    <n v="62.02"/>
    <m/>
    <m/>
    <m/>
    <s v="В1-В2 Вентиляция"/>
    <s v="Ссылка на план"/>
    <x v="121"/>
    <m/>
    <m/>
    <m/>
    <d v="2020-02-03T08:20:00"/>
  </r>
  <r>
    <n v="1235"/>
    <s v="#Вентиляция. помещение 13.L5.1.005."/>
    <n v="2"/>
    <s v="Значительное"/>
    <x v="1"/>
    <x v="3"/>
    <s v="rc_vent@rencons.com"/>
    <x v="1"/>
    <d v="2020-02-07T00:00:00"/>
    <d v="2020-02-14T00:00:00"/>
    <s v="РК-РД-2-ОВ4.1.03-06.05-03"/>
    <n v="36.51"/>
    <n v="81.37"/>
    <m/>
    <m/>
    <m/>
    <s v="L top Вентиляция"/>
    <s v="Ссылка на план"/>
    <x v="122"/>
    <m/>
    <m/>
    <m/>
    <d v="2020-02-10T08:32:48"/>
  </r>
  <r>
    <n v="1226"/>
    <s v="#Вентиляция. Изоляция Воздуховодов"/>
    <n v="2"/>
    <s v="Значительное"/>
    <x v="1"/>
    <x v="3"/>
    <s v="rc_vent@rencons.com"/>
    <x v="1"/>
    <d v="2020-02-07T00:00:00"/>
    <d v="2020-02-07T00:00:00"/>
    <s v="РК-РД-2-ОВ4.1.03-04.00-02"/>
    <n v="37.85"/>
    <n v="52.44"/>
    <m/>
    <m/>
    <m/>
    <s v="L top Вентиляция"/>
    <s v="Ссылка на план"/>
    <x v="123"/>
    <m/>
    <m/>
    <m/>
    <d v="2020-02-10T08:30:11"/>
  </r>
  <r>
    <n v="428"/>
    <s v="Воздуховод находится в непосредственной близости к ВБ и мешает обслуживанию ВБ кондиционирования."/>
    <n v="2"/>
    <s v="Значительное"/>
    <x v="0"/>
    <x v="3"/>
    <s v="rc_vent@rencons.com"/>
    <x v="1"/>
    <d v="2019-11-25T00:00:00"/>
    <d v="2019-11-29T00:00:00"/>
    <s v="РК-РД-2-ОВ4.1.03-04.02-02"/>
    <n v="63.22"/>
    <n v="56.66"/>
    <m/>
    <m/>
    <m/>
    <s v="L top Вентиляция"/>
    <s v="Ссылка на план"/>
    <x v="124"/>
    <d v="2019-12-05T18:42:24"/>
    <d v="2019-12-05T18:42:24"/>
    <m/>
    <d v="2019-12-05T18:42:25"/>
  </r>
  <r>
    <n v="503"/>
    <s v="#Вентиляция. Выпуск для S&amp;C пересекается с системой ТРВ."/>
    <n v="2"/>
    <s v="Значительное"/>
    <x v="0"/>
    <x v="3"/>
    <s v="rc_vent@rencons.com"/>
    <x v="1"/>
    <m/>
    <m/>
    <s v="РК-РД-2-ОВ4.1.03-10.05-02"/>
    <n v="21.94"/>
    <n v="57.98"/>
    <m/>
    <m/>
    <m/>
    <s v="L top Вентиляция"/>
    <s v="Ссылка на план"/>
    <x v="125"/>
    <d v="2019-12-05T18:43:17"/>
    <d v="2019-12-06T17:57:48"/>
    <m/>
    <d v="2019-12-06T17:57:48"/>
  </r>
  <r>
    <n v="83"/>
    <s v="П5-1,4 развернуть дроссельный клапан"/>
    <n v="2"/>
    <s v="Значительное"/>
    <x v="0"/>
    <x v="3"/>
    <s v="rc_vent@rencons.com"/>
    <x v="1"/>
    <d v="2019-11-01T00:00:00"/>
    <d v="2019-11-18T00:00:00"/>
    <s v="Вентиляция B1_РК-РД-1-ОВ4.1.01-03.00-03"/>
    <m/>
    <m/>
    <m/>
    <n v="0"/>
    <n v="0"/>
    <s v="ОВ_Отопление и вентиляция"/>
    <s v="Ссылка на план"/>
    <x v="126"/>
    <d v="2019-11-18T16:58:53"/>
    <d v="2019-11-19T10:41:39"/>
    <m/>
    <d v="2019-11-19T10:41:40"/>
  </r>
  <r>
    <n v="95"/>
    <s v="П4-2.3 выровнять  вентилятор ркшетки"/>
    <n v="2"/>
    <s v="Значительное"/>
    <x v="0"/>
    <x v="3"/>
    <s v="rc_vent@rencons.com"/>
    <x v="1"/>
    <d v="2019-11-01T00:00:00"/>
    <d v="2019-11-15T00:00:00"/>
    <s v="РК-РД-1-ОВ4.1.01-03.00-03"/>
    <n v="44.12"/>
    <n v="58.46"/>
    <m/>
    <m/>
    <m/>
    <s v="В1-В2 Вентиляция"/>
    <s v="Ссылка на план"/>
    <x v="127"/>
    <d v="2019-11-19T13:32:52"/>
    <d v="2019-11-22T08:49:40"/>
    <m/>
    <d v="2019-11-22T08:49:41"/>
  </r>
  <r>
    <n v="106"/>
    <s v="ПД5-10 повреждена изоляция. "/>
    <n v="2"/>
    <s v="Значительное"/>
    <x v="0"/>
    <x v="3"/>
    <s v="rc_vent@rencons.com"/>
    <x v="1"/>
    <d v="2019-11-01T00:00:00"/>
    <d v="2019-12-16T00:00:00"/>
    <s v="РК-РД-1-ОВ4.1.01-02.00-03"/>
    <n v="45.29"/>
    <n v="52.44"/>
    <m/>
    <m/>
    <m/>
    <s v="В1-В2 Вентиляция"/>
    <s v="Ссылка на план"/>
    <x v="128"/>
    <d v="2020-01-21T08:39:28"/>
    <d v="2020-01-21T09:43:04"/>
    <m/>
    <d v="2020-01-21T09:43:04"/>
  </r>
  <r>
    <n v="104"/>
    <s v="ПД4-8 следы коррозии на сетке. _x000a_"/>
    <n v="2"/>
    <s v="Значительное"/>
    <x v="0"/>
    <x v="3"/>
    <s v="rc_vent@rencons.com"/>
    <x v="1"/>
    <d v="2019-11-01T00:00:00"/>
    <d v="2019-11-15T00:00:00"/>
    <s v="РК-РД-1-ОВ4.1.01-03.00-03"/>
    <n v="39.78"/>
    <n v="64.41"/>
    <m/>
    <m/>
    <m/>
    <s v="В1-В2 Вентиляция"/>
    <s v="Ссылка на план"/>
    <x v="129"/>
    <d v="2019-11-19T13:33:00"/>
    <d v="2019-11-22T08:49:45"/>
    <m/>
    <d v="2019-11-22T08:49:45"/>
  </r>
  <r>
    <n v="107"/>
    <s v="П2-1.4 регулировка клапана не возможна. "/>
    <n v="2"/>
    <s v="Значительное"/>
    <x v="0"/>
    <x v="3"/>
    <s v="rc_vent@rencons.com"/>
    <x v="1"/>
    <d v="2019-11-01T00:00:00"/>
    <d v="2019-11-05T00:00:00"/>
    <s v="РК-РД-1-ОВ4.1.01-02.00-03"/>
    <n v="33.770000000000003"/>
    <n v="25.65"/>
    <m/>
    <m/>
    <m/>
    <s v="В1-В2 Вентиляция"/>
    <s v="Ссылка на план"/>
    <x v="130"/>
    <d v="2019-11-05T09:36:33"/>
    <d v="2019-11-05T09:48:56"/>
    <m/>
    <d v="2019-11-11T18:23:43"/>
  </r>
  <r>
    <n v="105"/>
    <s v="П4-2.3 пересечка с канализацией"/>
    <n v="2"/>
    <s v="Значительное"/>
    <x v="0"/>
    <x v="3"/>
    <s v="rc_vent@rencons.com"/>
    <x v="1"/>
    <d v="2019-11-01T00:00:00"/>
    <d v="2019-11-15T00:00:00"/>
    <s v="РК-РД-1-ОВ4.1.01-03.00-03"/>
    <n v="44.79"/>
    <n v="48.92"/>
    <m/>
    <m/>
    <m/>
    <s v="В1-В2 Вентиляция"/>
    <s v="Ссылка на план"/>
    <x v="131"/>
    <d v="2019-11-19T13:33:13"/>
    <d v="2019-11-22T08:49:50"/>
    <m/>
    <d v="2019-11-22T08:49:50"/>
  </r>
  <r>
    <n v="94"/>
    <s v="П5-1,4 внутри воздуховода следы корозии"/>
    <n v="2"/>
    <s v="Значительное"/>
    <x v="0"/>
    <x v="3"/>
    <s v="rc_vent@rencons.com"/>
    <x v="1"/>
    <d v="2019-11-01T00:00:00"/>
    <d v="2019-11-15T00:00:00"/>
    <s v="РК-РД-1-ОВ4.1.01-03.00-03"/>
    <n v="60.26"/>
    <n v="29.11"/>
    <m/>
    <m/>
    <m/>
    <s v="В1-В2 Вентиляция"/>
    <s v="Ссылка на план"/>
    <x v="132"/>
    <d v="2019-11-19T13:31:18"/>
    <d v="2019-11-22T08:49:36"/>
    <m/>
    <d v="2019-11-22T08:49:36"/>
  </r>
  <r>
    <n v="534"/>
    <s v="Приток мешает дальнейшей разводки вытяжной вентиляции."/>
    <n v="2"/>
    <s v="Значительное"/>
    <x v="0"/>
    <x v="3"/>
    <s v="rc_vent@rencons.com"/>
    <x v="1"/>
    <d v="2019-12-05T00:00:00"/>
    <d v="2019-12-09T00:00:00"/>
    <s v="РК-РД-2-ОВ4.1.03-03.05-02"/>
    <n v="35.119999999999997"/>
    <n v="18.75"/>
    <m/>
    <m/>
    <m/>
    <s v="L top Вентиляция"/>
    <s v="Ссылка на план"/>
    <x v="133"/>
    <d v="2019-12-06T18:24:25"/>
    <d v="2019-12-06T18:28:35"/>
    <m/>
    <d v="2019-12-06T18:28:37"/>
  </r>
  <r>
    <n v="1108"/>
    <s v="Венткамера."/>
    <n v="2"/>
    <s v="Значительное"/>
    <x v="0"/>
    <x v="3"/>
    <s v="rc_vent@rencons.com"/>
    <x v="1"/>
    <d v="2020-01-29T00:00:00"/>
    <d v="2020-02-07T00:00:00"/>
    <s v="РК-РД-2-ОВ4.3.04-02.14-01"/>
    <n v="53.22"/>
    <n v="38.99"/>
    <m/>
    <m/>
    <m/>
    <s v="L top Венткамеры"/>
    <s v="Ссылка на план"/>
    <x v="134"/>
    <d v="2020-02-03T16:34:11"/>
    <d v="2020-02-03T16:34:11"/>
    <m/>
    <d v="2020-02-03T16:37:07"/>
  </r>
  <r>
    <n v="179"/>
    <s v="К1-1-6 выпуск поправить"/>
    <n v="2"/>
    <s v="Значительное"/>
    <x v="0"/>
    <x v="3"/>
    <s v="rc_vent@rencons.com"/>
    <x v="1"/>
    <d v="2019-11-07T00:00:00"/>
    <d v="2019-12-30T00:00:00"/>
    <s v="РК-РД-2-ОВ4.1.03-07.09-03"/>
    <n v="33.090000000000003"/>
    <n v="36.19"/>
    <m/>
    <m/>
    <m/>
    <s v="L top Вентиляция"/>
    <s v="Ссылка на план"/>
    <x v="135"/>
    <d v="2019-12-19T14:30:38"/>
    <d v="2019-12-24T10:00:35"/>
    <m/>
    <d v="2019-12-24T10:00:36"/>
  </r>
  <r>
    <n v="197"/>
    <s v="П2-1.1 Пересечка  с ЭМ"/>
    <n v="2"/>
    <s v="Значительное"/>
    <x v="0"/>
    <x v="3"/>
    <s v="rc_vent@rencons.com"/>
    <x v="1"/>
    <d v="2019-11-07T00:00:00"/>
    <d v="2019-11-15T00:00:00"/>
    <s v="РК-РД-2-ОВ4.1.03-02.02-03"/>
    <n v="34.68"/>
    <n v="46.93"/>
    <m/>
    <m/>
    <m/>
    <s v="L top Вентиляция"/>
    <s v="Ссылка на план"/>
    <x v="136"/>
    <d v="2019-11-19T13:33:49"/>
    <d v="2019-11-22T08:50:17"/>
    <m/>
    <d v="2019-11-22T08:50:17"/>
  </r>
  <r>
    <n v="593"/>
    <s v="Выполнение врезки в вент машины не соответствуют исполнительной документации ."/>
    <n v="2"/>
    <s v="Значительное"/>
    <x v="0"/>
    <x v="3"/>
    <s v="rc_vent@rencons.com"/>
    <x v="1"/>
    <m/>
    <m/>
    <s v="РК-РД-2-ОВ4.1.03-05.01-02"/>
    <n v="43.62"/>
    <n v="71.010000000000005"/>
    <m/>
    <m/>
    <m/>
    <s v="L top Вентиляция"/>
    <s v="Ссылка на план"/>
    <x v="137"/>
    <d v="2019-12-17T13:39:09"/>
    <d v="2019-12-19T13:39:01"/>
    <m/>
    <d v="2019-12-19T13:39:01"/>
  </r>
  <r>
    <n v="592"/>
    <s v="Отсутствуют отметки высот на исполнительной, выполнено не по проекту."/>
    <n v="3"/>
    <s v="Малозначительное"/>
    <x v="0"/>
    <x v="3"/>
    <s v="rc_vent@rencons.com"/>
    <x v="1"/>
    <m/>
    <m/>
    <s v="РК-РД-2-ОВ4.1.03-07.05-03"/>
    <n v="30.53"/>
    <n v="60.71"/>
    <m/>
    <m/>
    <m/>
    <s v="L top Вентиляция"/>
    <s v="Ссылка на план"/>
    <x v="138"/>
    <d v="2020-01-15T10:07:00"/>
    <d v="2020-01-20T11:23:02"/>
    <m/>
    <d v="2020-01-20T11:23:02"/>
  </r>
  <r>
    <n v="177"/>
    <s v="В1-9-2 Пересечка с ХС"/>
    <n v="2"/>
    <s v="Значительное"/>
    <x v="0"/>
    <x v="3"/>
    <s v="rc_vent@rencons.com"/>
    <x v="1"/>
    <d v="2019-11-07T00:00:00"/>
    <d v="2019-11-15T00:00:00"/>
    <s v="РК-РД-2-ОВ4.1.03-02.06-02"/>
    <n v="17.88"/>
    <n v="70.88"/>
    <m/>
    <m/>
    <m/>
    <s v="L top Вентиляция"/>
    <s v="Ссылка на план"/>
    <x v="139"/>
    <d v="2019-11-19T13:33:37"/>
    <d v="2019-11-22T08:51:26"/>
    <m/>
    <d v="2019-11-22T08:51:27"/>
  </r>
  <r>
    <n v="273"/>
    <s v="Врезка и ДК находятся близко к ВБ кондиционера, мешая обслуживанию ВБ"/>
    <n v="2"/>
    <s v="Значительное"/>
    <x v="0"/>
    <x v="3"/>
    <s v="rc_vent@rencons.com"/>
    <x v="1"/>
    <d v="2019-11-25T00:00:00"/>
    <d v="2019-11-29T00:00:00"/>
    <s v="РК-РД-2-ОВ4.2.03-18.02-05"/>
    <n v="63.26"/>
    <n v="59.14"/>
    <m/>
    <m/>
    <m/>
    <s v="L top Отопление и холод"/>
    <s v="Ссылка на план"/>
    <x v="140"/>
    <d v="2019-12-05T18:42:51"/>
    <d v="2019-12-05T18:42:51"/>
    <m/>
    <d v="2019-12-05T18:42:51"/>
  </r>
  <r>
    <n v="875"/>
    <s v="Вентиляция. Узел стыковочный для дымососа не закреплён должным образом. Уплотнения оторваны от дверц."/>
    <n v="2"/>
    <s v="Значительное"/>
    <x v="0"/>
    <x v="3"/>
    <s v="rc_vent@rencons.com"/>
    <x v="1"/>
    <d v="2020-01-09T00:00:00"/>
    <d v="2020-01-28T00:00:00"/>
    <s v="РК-РД-1-ОВ4.1.01-03.01-04"/>
    <n v="16.63"/>
    <n v="65.650000000000006"/>
    <m/>
    <m/>
    <m/>
    <s v="В1-В2 Вентиляция"/>
    <s v="Ссылка на план"/>
    <x v="141"/>
    <d v="2020-02-06T13:24:50"/>
    <d v="2020-02-06T13:24:50"/>
    <m/>
    <d v="2020-02-06T13:24:50"/>
  </r>
  <r>
    <n v="872"/>
    <s v="Гидравлические испытания трубопроводов ВПВ В2.07."/>
    <n v="2"/>
    <s v="Значительное"/>
    <x v="0"/>
    <x v="3"/>
    <s v="vasenkov@spgr.ru"/>
    <x v="1"/>
    <d v="2020-01-20T00:00:00"/>
    <d v="2020-01-20T00:00:00"/>
    <s v="РК-РД-1-ПТ4.1.01-10.08-06"/>
    <n v="22.96"/>
    <n v="21.19"/>
    <m/>
    <m/>
    <m/>
    <s v="В1-В2 АГПТ"/>
    <s v="Ссылка на план"/>
    <x v="142"/>
    <d v="2020-01-09T18:26:06"/>
    <d v="2020-01-09T18:26:06"/>
    <m/>
    <d v="2020-01-22T15:41:24"/>
  </r>
  <r>
    <n v="709"/>
    <s v="Не актуально. Мин 2400"/>
    <n v="2"/>
    <s v="Значительное"/>
    <x v="0"/>
    <x v="3"/>
    <s v="vasenkov@spgr.ru"/>
    <x v="1"/>
    <m/>
    <m/>
    <s v="B01_M4.200"/>
    <n v="51.28"/>
    <n v="26.61"/>
    <m/>
    <m/>
    <m/>
    <s v="Высоты потолков"/>
    <s v="Ссылка на план"/>
    <x v="38"/>
    <d v="2019-12-26T14:35:01"/>
    <d v="2020-01-20T11:22:13"/>
    <m/>
    <d v="2020-01-20T11:22:15"/>
  </r>
  <r>
    <n v="288"/>
    <s v="Деформация корпуса. "/>
    <n v="1"/>
    <s v="КРИТИЧЕСКОЕ"/>
    <x v="3"/>
    <x v="3"/>
    <s v="rc_cool_heat@rencons.com"/>
    <x v="1"/>
    <d v="2019-11-15T00:00:00"/>
    <d v="2019-12-30T00:00:00"/>
    <s v="РК-РД-1-ОВ4.2.01-03.00-04"/>
    <n v="32.46"/>
    <n v="61.37"/>
    <m/>
    <m/>
    <m/>
    <s v="В1-В2 Отопление и холод"/>
    <s v="Ссылка на план"/>
    <x v="143"/>
    <m/>
    <m/>
    <m/>
    <d v="2020-02-04T17:44:45"/>
  </r>
  <r>
    <n v="1083"/>
    <s v="VRV. блоки."/>
    <n v="2"/>
    <s v="Значительное"/>
    <x v="1"/>
    <x v="3"/>
    <s v="rc_cool_heat@rencons.com"/>
    <x v="1"/>
    <d v="2020-01-29T00:00:00"/>
    <d v="2020-02-07T00:00:00"/>
    <s v="РК-РД-2-ОВ4.2.03-18.01-05"/>
    <n v="38.479999999999997"/>
    <n v="51.55"/>
    <m/>
    <m/>
    <m/>
    <s v="L top Отопление и холод"/>
    <s v="Ссылка на план"/>
    <x v="144"/>
    <m/>
    <m/>
    <m/>
    <d v="2020-01-30T08:35:22"/>
  </r>
  <r>
    <n v="1087"/>
    <s v="VRV. блоки."/>
    <n v="2"/>
    <s v="Значительное"/>
    <x v="1"/>
    <x v="3"/>
    <s v="rc_cool_heat@rencons.com"/>
    <x v="1"/>
    <d v="2020-01-29T00:00:00"/>
    <d v="2020-02-07T00:00:00"/>
    <s v="РК-РД-2-ОВ4.2.03-19.09-05"/>
    <n v="21.89"/>
    <n v="38.450000000000003"/>
    <m/>
    <m/>
    <m/>
    <s v="L top Отопление и холод"/>
    <s v="Ссылка на план"/>
    <x v="145"/>
    <m/>
    <m/>
    <m/>
    <d v="2020-01-30T08:35:45"/>
  </r>
  <r>
    <n v="78"/>
    <s v="Венткамера 13.L5.3.001. Нарушена последовательность этапов работ. В полу отсутствуют трубопроводы отопления согласно проекта РК-РД-2-ОВ4.2. &quot;Горизонтальная поэтажная разводка систем отопления выполняется трубопроводами РЕХ из сшитого полиэтилена в констру"/>
    <n v="2"/>
    <s v="Значительное"/>
    <x v="1"/>
    <x v="3"/>
    <s v="rc_cool_heat@rencons.com"/>
    <x v="1"/>
    <d v="2019-11-01T00:00:00"/>
    <d v="2019-12-16T00:00:00"/>
    <m/>
    <m/>
    <m/>
    <m/>
    <m/>
    <m/>
    <m/>
    <m/>
    <x v="146"/>
    <m/>
    <m/>
    <m/>
    <d v="2019-12-09T18:53:59"/>
  </r>
  <r>
    <n v="165"/>
    <s v="Дефект корпуса. Spt 36.  Наружные блоки. "/>
    <n v="2"/>
    <s v="Значительное"/>
    <x v="1"/>
    <x v="3"/>
    <s v="rc_cool_heat@rencons.com"/>
    <x v="1"/>
    <d v="2019-11-06T00:00:00"/>
    <d v="2019-12-30T00:00:00"/>
    <s v="РК-РД-1-ОВ4.2.01-03.00-04"/>
    <n v="55.85"/>
    <n v="28.93"/>
    <m/>
    <m/>
    <m/>
    <s v="В1-В2 Отопление и холод"/>
    <s v="Ссылка на план"/>
    <x v="147"/>
    <m/>
    <m/>
    <m/>
    <d v="2019-12-13T16:11:45"/>
  </r>
  <r>
    <n v="169"/>
    <s v="Отклонение от оси. "/>
    <n v="2"/>
    <s v="Значительное"/>
    <x v="1"/>
    <x v="3"/>
    <s v="rc_cool_heat@rencons.com"/>
    <x v="1"/>
    <d v="2019-11-06T00:00:00"/>
    <d v="2019-12-30T00:00:00"/>
    <s v="РК-РД-1-ОВ4.2.01-03.00-04"/>
    <n v="57.74"/>
    <n v="74.17"/>
    <m/>
    <m/>
    <m/>
    <s v="В1-В2 Отопление и холод"/>
    <s v="Ссылка на план"/>
    <x v="148"/>
    <m/>
    <m/>
    <m/>
    <d v="2019-12-13T16:11:45"/>
  </r>
  <r>
    <n v="164"/>
    <s v="Внутренние блоки над электрооборудованием"/>
    <n v="2"/>
    <s v="Значительное"/>
    <x v="1"/>
    <x v="3"/>
    <s v="rc_cool_heat@rencons.com"/>
    <x v="1"/>
    <d v="2019-11-05T00:00:00"/>
    <d v="2020-02-29T00:00:00"/>
    <s v="РК-РД-1-ОВ4.2.01-03.00-04"/>
    <n v="21.61"/>
    <n v="24.29"/>
    <s v="01.B1.2.006_Тамбур при санузле"/>
    <m/>
    <m/>
    <s v="В1-В2 Отопление и холод"/>
    <s v="Ссылка на план"/>
    <x v="149"/>
    <m/>
    <m/>
    <m/>
    <d v="2020-01-21T10:10:20"/>
  </r>
  <r>
    <n v="168"/>
    <s v="Отклонение от вертикали. "/>
    <n v="2"/>
    <s v="Значительное"/>
    <x v="1"/>
    <x v="3"/>
    <s v="rc_cool_heat@rencons.com"/>
    <x v="1"/>
    <d v="2019-11-06T00:00:00"/>
    <d v="2019-12-30T00:00:00"/>
    <s v="РК-РД-1-ОВ4.2.01-03.00-04"/>
    <n v="66.11"/>
    <n v="36.67"/>
    <m/>
    <m/>
    <m/>
    <s v="В1-В2 Отопление и холод"/>
    <s v="Ссылка на план"/>
    <x v="148"/>
    <m/>
    <m/>
    <m/>
    <d v="2019-12-13T16:11:45"/>
  </r>
  <r>
    <n v="171"/>
    <s v="Отклонение от вертикали. "/>
    <n v="2"/>
    <s v="Значительное"/>
    <x v="1"/>
    <x v="3"/>
    <s v="rc_cool_heat@rencons.com"/>
    <x v="1"/>
    <d v="2019-11-06T00:00:00"/>
    <d v="2019-12-30T00:00:00"/>
    <m/>
    <m/>
    <m/>
    <m/>
    <m/>
    <m/>
    <m/>
    <m/>
    <x v="150"/>
    <m/>
    <m/>
    <m/>
    <d v="2019-12-17T19:33:25"/>
  </r>
  <r>
    <n v="170"/>
    <s v="Деформация корпуса обоих блоков. "/>
    <n v="2"/>
    <s v="Значительное"/>
    <x v="1"/>
    <x v="3"/>
    <s v="rc_cool_heat@rencons.com"/>
    <x v="1"/>
    <d v="2019-11-06T00:00:00"/>
    <d v="2019-12-30T00:00:00"/>
    <s v="РК-РД-1-ОВ4.2.01-02.00-04"/>
    <n v="45.5"/>
    <n v="69.58"/>
    <m/>
    <m/>
    <m/>
    <s v="В1-В2 Отопление и холод"/>
    <s v="Ссылка на план"/>
    <x v="151"/>
    <m/>
    <m/>
    <m/>
    <d v="2019-12-13T16:11:45"/>
  </r>
  <r>
    <n v="173"/>
    <s v="Над эл.щитами смонтированы блоки кондиционирования"/>
    <n v="2"/>
    <s v="Значительное"/>
    <x v="1"/>
    <x v="3"/>
    <s v="rc_cool_heat@rencons.com"/>
    <x v="1"/>
    <d v="2019-11-06T00:00:00"/>
    <d v="2019-12-30T00:00:00"/>
    <s v="-4.200_B01_Panels Model"/>
    <n v="0"/>
    <n v="0"/>
    <m/>
    <m/>
    <m/>
    <s v="ЭМ_Щиты_сводные планы"/>
    <s v="Ссылка на план"/>
    <x v="152"/>
    <m/>
    <m/>
    <m/>
    <d v="2019-12-09T18:12:34"/>
  </r>
  <r>
    <n v="189"/>
    <s v="Отклонения от РД не согласованы АН. "/>
    <n v="2"/>
    <s v="Значительное"/>
    <x v="1"/>
    <x v="3"/>
    <s v="rc_cool_heat@rencons.com"/>
    <x v="1"/>
    <d v="2019-11-08T00:00:00"/>
    <d v="2020-02-14T00:00:00"/>
    <s v="РК-РД-1-ОВ4.2.01-02.00-04"/>
    <n v="64.89"/>
    <n v="33.69"/>
    <m/>
    <m/>
    <m/>
    <s v="В1-В2 Отопление и холод"/>
    <s v="Ссылка на план"/>
    <x v="153"/>
    <m/>
    <m/>
    <m/>
    <d v="2020-02-10T13:55:24"/>
  </r>
  <r>
    <n v="222"/>
    <s v="Отклонение по вертикали, горизонтали, деформация корпуса. "/>
    <n v="2"/>
    <s v="Значительное"/>
    <x v="1"/>
    <x v="3"/>
    <s v="rc_cool_heat@rencons.com"/>
    <x v="1"/>
    <d v="2019-11-12T00:00:00"/>
    <d v="2019-12-30T00:00:00"/>
    <s v="РК-РД-1-ОВ4.2.01-03.00-04"/>
    <n v="21.15"/>
    <n v="64.88"/>
    <m/>
    <m/>
    <m/>
    <s v="В1-В2 Отопление и холод"/>
    <s v="Ссылка на план"/>
    <x v="154"/>
    <m/>
    <m/>
    <m/>
    <d v="2019-12-17T16:48:24"/>
  </r>
  <r>
    <n v="227"/>
    <s v="Отклонение по горизонтали. "/>
    <n v="2"/>
    <s v="Значительное"/>
    <x v="1"/>
    <x v="3"/>
    <s v="rc_cool_heat@rencons.com"/>
    <x v="1"/>
    <d v="2019-11-12T00:00:00"/>
    <d v="2019-12-30T00:00:00"/>
    <s v="РК-РД-1-ОВ4.2.01-03.00-04"/>
    <n v="27.96"/>
    <n v="38.93"/>
    <m/>
    <m/>
    <m/>
    <s v="В1-В2 Отопление и холод"/>
    <s v="Ссылка на план"/>
    <x v="155"/>
    <m/>
    <m/>
    <m/>
    <d v="2019-12-17T16:48:58"/>
  </r>
  <r>
    <n v="223"/>
    <s v="НБ установлены на разных уровнях. "/>
    <n v="2"/>
    <s v="Значительное"/>
    <x v="1"/>
    <x v="3"/>
    <s v="rc_cool_heat@rencons.com"/>
    <x v="1"/>
    <d v="2019-11-12T00:00:00"/>
    <d v="2019-12-30T00:00:00"/>
    <s v="РК-РД-1-ОВ4.2.01-03.00-04"/>
    <n v="21.32"/>
    <n v="56.43"/>
    <m/>
    <m/>
    <m/>
    <s v="В1-В2 Отопление и холод"/>
    <s v="Ссылка на план"/>
    <x v="156"/>
    <m/>
    <m/>
    <m/>
    <d v="2019-12-17T16:48:38"/>
  </r>
  <r>
    <n v="225"/>
    <s v="Лотки в непосредственной близости от НБ. "/>
    <n v="2"/>
    <s v="Значительное"/>
    <x v="1"/>
    <x v="3"/>
    <s v="rc_cool_heat@rencons.com"/>
    <x v="1"/>
    <d v="2019-11-12T00:00:00"/>
    <d v="2019-12-30T00:00:00"/>
    <s v="РК-РД-1-ОВ4.2.01-02.00-04"/>
    <n v="0"/>
    <n v="0"/>
    <m/>
    <m/>
    <m/>
    <s v="В1-В2 Отопление и холод"/>
    <s v="Ссылка на план"/>
    <x v="157"/>
    <m/>
    <m/>
    <m/>
    <d v="2019-12-13T16:11:46"/>
  </r>
  <r>
    <n v="226"/>
    <s v="НБ висят на разных консолях. На разных высотных отметках. "/>
    <n v="2"/>
    <s v="Значительное"/>
    <x v="1"/>
    <x v="3"/>
    <s v="rc_cool_heat@rencons.com"/>
    <x v="1"/>
    <d v="2019-11-12T00:00:00"/>
    <d v="2019-12-30T00:00:00"/>
    <s v="РК-РД-1-ОВ4.2.01-03.00-04"/>
    <n v="18.5"/>
    <n v="38.93"/>
    <m/>
    <m/>
    <m/>
    <s v="В1-В2 Отопление и холод"/>
    <s v="Ссылка на план"/>
    <x v="158"/>
    <m/>
    <m/>
    <m/>
    <d v="2019-12-17T11:28:02"/>
  </r>
  <r>
    <n v="232"/>
    <s v="НБ висят на разных консолях. На разных высотных отметках."/>
    <n v="2"/>
    <s v="Значительное"/>
    <x v="1"/>
    <x v="3"/>
    <s v="rc_cool_heat@rencons.com"/>
    <x v="1"/>
    <d v="2019-11-12T00:00:00"/>
    <d v="2019-12-30T00:00:00"/>
    <s v="РК-РД-1-ОВ4.2.01-03.00-04"/>
    <n v="22.08"/>
    <n v="38.450000000000003"/>
    <m/>
    <m/>
    <m/>
    <s v="В1-В2 Отопление и холод"/>
    <s v="Ссылка на план"/>
    <x v="159"/>
    <m/>
    <m/>
    <m/>
    <d v="2020-02-04T18:12:03"/>
  </r>
  <r>
    <n v="286"/>
    <s v="НБ дефформированы, воздуховоды находятся в зоне выброса воздуха. "/>
    <n v="2"/>
    <s v="Значительное"/>
    <x v="1"/>
    <x v="3"/>
    <s v="rc_cool_heat@rencons.com"/>
    <x v="1"/>
    <d v="2019-11-15T00:00:00"/>
    <d v="2019-12-30T00:00:00"/>
    <s v="РК-РД-1-ОВ4.2.01-03.00-04"/>
    <n v="36.880000000000003"/>
    <n v="50.54"/>
    <m/>
    <m/>
    <m/>
    <s v="В1-В2 Отопление и холод"/>
    <s v="Ссылка на план"/>
    <x v="160"/>
    <m/>
    <m/>
    <m/>
    <d v="2020-02-04T18:19:29"/>
  </r>
  <r>
    <n v="289"/>
    <s v="ВБ висят над электрооборудованием. "/>
    <n v="2"/>
    <s v="Значительное"/>
    <x v="1"/>
    <x v="3"/>
    <s v="rc_cool_heat@rencons.com"/>
    <x v="1"/>
    <d v="2019-11-15T00:00:00"/>
    <d v="2019-12-31T00:00:00"/>
    <s v="РК-РД-1-ОВ4.2.01-03.00-04"/>
    <n v="30.36"/>
    <n v="61.73"/>
    <m/>
    <m/>
    <m/>
    <s v="В1-В2 Отопление и холод"/>
    <s v="Ссылка на план"/>
    <x v="161"/>
    <m/>
    <m/>
    <m/>
    <d v="2019-12-17T16:51:36"/>
  </r>
  <r>
    <n v="284"/>
    <s v="НБ поцарапан. "/>
    <n v="2"/>
    <s v="Значительное"/>
    <x v="1"/>
    <x v="3"/>
    <s v="rc_cool_heat@rencons.com"/>
    <x v="1"/>
    <d v="2019-11-15T00:00:00"/>
    <d v="2019-12-30T00:00:00"/>
    <s v="РК-РД-1-ОВ4.2.01-03.00-04"/>
    <n v="38.69"/>
    <n v="48.45"/>
    <m/>
    <m/>
    <m/>
    <s v="В1-В2 Отопление и холод"/>
    <s v="Ссылка на план"/>
    <x v="162"/>
    <m/>
    <m/>
    <m/>
    <d v="2020-02-04T18:10:57"/>
  </r>
  <r>
    <n v="1211"/>
    <s v="#VRV. Монтаж внутренних блоков."/>
    <n v="2"/>
    <s v="Значительное"/>
    <x v="1"/>
    <x v="3"/>
    <s v="rc_cool_heat@rencons.com"/>
    <x v="1"/>
    <d v="2020-02-06T00:00:00"/>
    <d v="2020-02-14T00:00:00"/>
    <s v="РК-РД-2-ОВ4.2.03-17.05-07"/>
    <n v="29.26"/>
    <n v="25.42"/>
    <m/>
    <m/>
    <m/>
    <s v="L top Отопление и холод"/>
    <s v="Ссылка на план"/>
    <x v="163"/>
    <m/>
    <m/>
    <m/>
    <d v="2020-02-10T08:32:18"/>
  </r>
  <r>
    <n v="1209"/>
    <s v="#VRV. Монтаж внутренних блоков."/>
    <n v="2"/>
    <s v="Значительное"/>
    <x v="1"/>
    <x v="3"/>
    <s v="rc_cool_heat@rencons.com"/>
    <x v="1"/>
    <d v="2020-02-06T00:00:00"/>
    <d v="2020-02-14T00:00:00"/>
    <s v="РК-РД-2-ОВ4.2.03-17.05-07"/>
    <n v="35.83"/>
    <n v="14.94"/>
    <m/>
    <m/>
    <m/>
    <s v="L top Отопление и холод"/>
    <s v="Ссылка на план"/>
    <x v="164"/>
    <m/>
    <m/>
    <m/>
    <d v="2020-02-10T08:32:07"/>
  </r>
  <r>
    <n v="1236"/>
    <s v="#ГПТ. Направление 44. Трубопроводы"/>
    <n v="2"/>
    <s v="Значительное"/>
    <x v="1"/>
    <x v="3"/>
    <s v="rc_cool_heat@rencons.com"/>
    <x v="1"/>
    <d v="2020-02-05T00:00:00"/>
    <d v="2020-02-14T00:00:00"/>
    <s v="РК-РД-2-ПТ4.2.01-19-01"/>
    <n v="21.17"/>
    <n v="33.15"/>
    <m/>
    <m/>
    <m/>
    <s v="Ltop ГПТ"/>
    <s v="Ссылка на план"/>
    <x v="165"/>
    <m/>
    <m/>
    <m/>
    <d v="2020-02-10T08:33:08"/>
  </r>
  <r>
    <n v="1208"/>
    <s v="#VRV. Монтаж внутренних блоков."/>
    <n v="2"/>
    <s v="Значительное"/>
    <x v="1"/>
    <x v="3"/>
    <s v="rc_cool_heat@rencons.com"/>
    <x v="1"/>
    <d v="2020-02-06T00:00:00"/>
    <d v="2020-02-14T00:00:00"/>
    <s v="РК-РД-2-ОВ4.2.03-17.05-07"/>
    <n v="35.450000000000003"/>
    <n v="19.7"/>
    <m/>
    <m/>
    <m/>
    <s v="L top Отопление и холод"/>
    <s v="Ссылка на план"/>
    <x v="166"/>
    <m/>
    <m/>
    <m/>
    <d v="2020-02-10T08:31:53"/>
  </r>
  <r>
    <n v="1190"/>
    <s v="PROMAT"/>
    <n v="2"/>
    <s v="Значительное"/>
    <x v="1"/>
    <x v="3"/>
    <s v="rc_cool_heat@rencons.com"/>
    <x v="1"/>
    <d v="2020-02-05T00:00:00"/>
    <d v="2020-02-14T00:00:00"/>
    <m/>
    <m/>
    <m/>
    <m/>
    <m/>
    <m/>
    <m/>
    <m/>
    <x v="167"/>
    <m/>
    <m/>
    <m/>
    <d v="2020-02-10T08:31:21"/>
  </r>
  <r>
    <n v="1213"/>
    <s v="#VRV. Монтаж внутренних блоков"/>
    <n v="2"/>
    <s v="Значительное"/>
    <x v="1"/>
    <x v="3"/>
    <s v="rc_cool_heat@rencons.com"/>
    <x v="1"/>
    <d v="2020-02-06T00:00:00"/>
    <d v="2020-02-14T00:00:00"/>
    <s v="РК-РД-2-ОВ4.2.03-17.09-07"/>
    <n v="22.48"/>
    <n v="25.89"/>
    <m/>
    <m/>
    <m/>
    <s v="L top Отопление и холод"/>
    <s v="Ссылка на план"/>
    <x v="168"/>
    <m/>
    <m/>
    <m/>
    <d v="2020-02-10T08:32:30"/>
  </r>
  <r>
    <n v="287"/>
    <s v="ВБ отклонения не согласованы. "/>
    <n v="2"/>
    <s v="Значительное"/>
    <x v="1"/>
    <x v="3"/>
    <s v="rc_cool_heat@rencons.com"/>
    <x v="1"/>
    <d v="2019-11-15T00:00:00"/>
    <d v="2020-02-14T00:00:00"/>
    <s v="РК-РД-1-ОВ4.2.01-03.00-04"/>
    <n v="36.840000000000003"/>
    <n v="52.98"/>
    <m/>
    <m/>
    <m/>
    <s v="В1-В2 Отопление и холод"/>
    <s v="Ссылка на план"/>
    <x v="169"/>
    <m/>
    <m/>
    <m/>
    <d v="2020-02-10T13:56:55"/>
  </r>
  <r>
    <n v="285"/>
    <s v="Отклонения от РД не согласованы. "/>
    <n v="2"/>
    <s v="Значительное"/>
    <x v="1"/>
    <x v="3"/>
    <s v="rc_cool_heat@rencons.com"/>
    <x v="1"/>
    <d v="2019-11-15T00:00:00"/>
    <d v="2020-02-14T00:00:00"/>
    <s v="РК-РД-1-ОВ4.2.01-03.00-04"/>
    <n v="38.35"/>
    <n v="48.87"/>
    <m/>
    <m/>
    <m/>
    <s v="В1-В2 Отопление и холод"/>
    <s v="Ссылка на план"/>
    <x v="170"/>
    <m/>
    <m/>
    <m/>
    <d v="2020-02-10T13:56:14"/>
  </r>
  <r>
    <n v="191"/>
    <s v="Консоли не hilti. Большое расстояние от стены. Очень близко к воздуховоду и освещению. "/>
    <n v="2"/>
    <s v="Значительное"/>
    <x v="1"/>
    <x v="3"/>
    <s v="rc_cool_heat@rencons.com"/>
    <x v="1"/>
    <d v="2019-11-08T00:00:00"/>
    <d v="2019-12-30T00:00:00"/>
    <s v="РК-РД-1-ОВ4.2.01-03.00-04"/>
    <n v="72.709999999999994"/>
    <n v="73.75"/>
    <m/>
    <m/>
    <m/>
    <s v="В1-В2 Отопление и холод"/>
    <s v="Ссылка на план"/>
    <x v="107"/>
    <m/>
    <m/>
    <m/>
    <d v="2020-01-21T12:44:04"/>
  </r>
  <r>
    <n v="652"/>
    <s v="Количество конвекторов в луче не по РД. Тип размеры конвекторов не по РД."/>
    <n v="2"/>
    <s v="Значительное"/>
    <x v="1"/>
    <x v="3"/>
    <s v="rc_cool_heat@rencons.com"/>
    <x v="1"/>
    <d v="2019-12-17T00:00:00"/>
    <d v="2019-12-30T00:00:00"/>
    <s v="РК-РД-2-ОВ4.2.03-04.03-04"/>
    <n v="26.91"/>
    <n v="40.42"/>
    <m/>
    <m/>
    <m/>
    <s v="L top Отопление и холод"/>
    <s v="Ссылка на план"/>
    <x v="171"/>
    <m/>
    <m/>
    <m/>
    <d v="2020-01-23T12:47:55"/>
  </r>
  <r>
    <n v="291"/>
    <s v="Трубопровод в зоне выброса воздуха НБ. "/>
    <n v="2"/>
    <s v="Значительное"/>
    <x v="2"/>
    <x v="3"/>
    <s v="rc_cool_heat@rencons.com"/>
    <x v="1"/>
    <d v="2019-11-15T00:00:00"/>
    <d v="2019-12-30T00:00:00"/>
    <s v="РК-РД-1-ОВ4.2.01-03.00-04"/>
    <n v="21.74"/>
    <n v="50.65"/>
    <m/>
    <m/>
    <m/>
    <s v="В1-В2 Отопление и холод"/>
    <s v="Ссылка на план"/>
    <x v="172"/>
    <d v="2020-02-10T13:58:13"/>
    <m/>
    <m/>
    <d v="2020-02-10T13:58:13"/>
  </r>
  <r>
    <n v="270"/>
    <s v="Нет возможности проверить серийный номер. Профиль фанкойла упирается в ВБ. "/>
    <n v="2"/>
    <s v="Значительное"/>
    <x v="2"/>
    <x v="3"/>
    <s v="rc_cool_heat@rencons.com"/>
    <x v="1"/>
    <d v="2019-11-14T00:00:00"/>
    <d v="2019-12-30T00:00:00"/>
    <s v="РК-РД-2-ОВ4.2.03-17.02-06"/>
    <n v="35.549999999999997"/>
    <n v="45.89"/>
    <m/>
    <m/>
    <m/>
    <s v="L top Отопление и холод"/>
    <s v="Ссылка на план"/>
    <x v="173"/>
    <d v="2020-02-06T14:28:08"/>
    <m/>
    <m/>
    <d v="2020-02-06T14:28:15"/>
  </r>
  <r>
    <n v="176"/>
    <s v="В2-3.6.2 нет возможности подключения S&amp;C"/>
    <n v="3"/>
    <s v="Малозначительное"/>
    <x v="2"/>
    <x v="3"/>
    <s v="rc_cool_heat@rencons.com"/>
    <x v="1"/>
    <d v="2019-11-07T00:00:00"/>
    <d v="2019-12-30T00:00:00"/>
    <s v="РК-РД-2-ОВ4.1.03-02.02-03"/>
    <n v="55.31"/>
    <n v="44.44"/>
    <m/>
    <m/>
    <m/>
    <s v="L top Вентиляция"/>
    <s v="Ссылка на план"/>
    <x v="174"/>
    <d v="2020-02-07T11:22:33"/>
    <m/>
    <m/>
    <d v="2020-02-07T11:22:33"/>
  </r>
  <r>
    <n v="187"/>
    <s v="Установка ВБ не соответствует РД. "/>
    <n v="2"/>
    <s v="Значительное"/>
    <x v="2"/>
    <x v="3"/>
    <s v="rc_cool_heat@rencons.com"/>
    <x v="1"/>
    <d v="2019-11-08T00:00:00"/>
    <d v="2019-12-30T00:00:00"/>
    <s v="РК-РД-1-ОВ4.2.01-02.00-04"/>
    <n v="21.36"/>
    <n v="20.3"/>
    <m/>
    <m/>
    <m/>
    <s v="В1-В2 Отопление и холод"/>
    <s v="Ссылка на план"/>
    <x v="175"/>
    <d v="2020-02-10T14:01:01"/>
    <m/>
    <m/>
    <d v="2020-02-10T14:01:02"/>
  </r>
  <r>
    <n v="651"/>
    <s v="Предоставить документы подтверждающие возможности использование данного материала на системах отопления."/>
    <n v="2"/>
    <s v="Значительное"/>
    <x v="0"/>
    <x v="3"/>
    <s v="rc_cool_heat@rencons.com"/>
    <x v="1"/>
    <d v="2019-12-17T00:00:00"/>
    <d v="2019-12-30T00:00:00"/>
    <s v="РК-РД-2-ОВ4.2.03-04.03-04"/>
    <n v="32.340000000000003"/>
    <n v="41.79"/>
    <m/>
    <m/>
    <m/>
    <s v="L top Отопление и холод"/>
    <s v="Ссылка на план"/>
    <x v="176"/>
    <d v="2019-12-19T09:22:34"/>
    <d v="2019-12-19T13:32:13"/>
    <m/>
    <d v="2019-12-19T13:32:14"/>
  </r>
  <r>
    <n v="474"/>
    <s v="Задвижки в зоне противопожарной проходки. "/>
    <n v="2"/>
    <s v="Значительное"/>
    <x v="0"/>
    <x v="3"/>
    <s v="rc_cool_heat@rencons.com"/>
    <x v="1"/>
    <d v="2019-11-29T00:00:00"/>
    <d v="2019-12-06T00:00:00"/>
    <s v="РК-РД-2-ОВ4.2.03-06.00-02"/>
    <n v="12.74"/>
    <n v="41.31"/>
    <m/>
    <m/>
    <m/>
    <s v="L top Отопление и холод"/>
    <s v="Ссылка на план"/>
    <x v="177"/>
    <d v="2019-12-10T10:46:14"/>
    <d v="2019-12-10T13:52:20"/>
    <m/>
    <d v="2019-12-10T13:52:20"/>
  </r>
  <r>
    <n v="473"/>
    <s v="Крепление трубопроводов в зоне стены. "/>
    <n v="2"/>
    <s v="Значительное"/>
    <x v="0"/>
    <x v="3"/>
    <s v="rc_cool_heat@rencons.com"/>
    <x v="1"/>
    <d v="2019-11-29T00:00:00"/>
    <d v="2019-12-06T00:00:00"/>
    <s v="РК-РД-2-ОВ4.2.03-06.00-02"/>
    <n v="12.78"/>
    <n v="41.31"/>
    <m/>
    <m/>
    <m/>
    <s v="L top Отопление и холод"/>
    <s v="Ссылка на план"/>
    <x v="178"/>
    <d v="2019-12-05T10:10:42"/>
    <d v="2019-12-06T17:20:28"/>
    <m/>
    <d v="2019-12-06T17:20:29"/>
  </r>
  <r>
    <n v="475"/>
    <s v="Предоставить узел крепления в районе компенсатора. "/>
    <n v="2"/>
    <s v="Значительное"/>
    <x v="0"/>
    <x v="3"/>
    <s v="rc_cool_heat@rencons.com"/>
    <x v="1"/>
    <d v="2019-11-29T00:00:00"/>
    <d v="2019-12-30T00:00:00"/>
    <s v="РК-РД-2-ОВ4.2.03-05.00-02"/>
    <n v="15.77"/>
    <n v="44.82"/>
    <m/>
    <m/>
    <m/>
    <s v="L top Отопление и холод"/>
    <s v="Ссылка на план"/>
    <x v="179"/>
    <d v="2020-01-21T11:19:00"/>
    <d v="2020-01-21T12:42:17"/>
    <m/>
    <d v="2020-01-21T12:42:17"/>
  </r>
  <r>
    <n v="1084"/>
    <s v="VRV. блоки"/>
    <n v="2"/>
    <s v="Значительное"/>
    <x v="0"/>
    <x v="3"/>
    <s v="rc_cool_heat@rencons.com"/>
    <x v="1"/>
    <d v="2020-01-29T00:00:00"/>
    <d v="2020-02-07T00:00:00"/>
    <s v="РК-РД-2-ОВ4.2.03-18.05-06"/>
    <n v="34.020000000000003"/>
    <n v="33.21"/>
    <m/>
    <m/>
    <m/>
    <s v="L top Отопление и холод"/>
    <s v="Ссылка на план"/>
    <x v="180"/>
    <d v="2020-02-06T17:00:59"/>
    <d v="2020-02-06T17:00:59"/>
    <m/>
    <d v="2020-02-06T17:00:59"/>
  </r>
  <r>
    <n v="1086"/>
    <s v="VRV. блоки"/>
    <n v="2"/>
    <s v="Значительное"/>
    <x v="0"/>
    <x v="3"/>
    <s v="rc_cool_heat@rencons.com"/>
    <x v="1"/>
    <d v="2020-01-29T00:00:00"/>
    <d v="2020-02-07T00:00:00"/>
    <s v="РК-РД-2-ОВ4.2.03-18.09-05"/>
    <n v="26.91"/>
    <n v="23.51"/>
    <m/>
    <m/>
    <m/>
    <s v="L top Отопление и холод"/>
    <s v="Ссылка на план"/>
    <x v="181"/>
    <d v="2020-02-06T17:02:28"/>
    <d v="2020-02-06T17:02:28"/>
    <m/>
    <d v="2020-02-06T17:02:29"/>
  </r>
  <r>
    <n v="1085"/>
    <s v="VRV. блоки."/>
    <n v="2"/>
    <s v="Значительное"/>
    <x v="0"/>
    <x v="3"/>
    <s v="rc_cool_heat@rencons.com"/>
    <x v="1"/>
    <d v="2020-01-29T00:00:00"/>
    <d v="2020-02-07T00:00:00"/>
    <s v="РК-РД-2-ОВ4.2.03-18.09-05"/>
    <n v="35.58"/>
    <n v="25.06"/>
    <m/>
    <m/>
    <m/>
    <s v="L top Отопление и холод"/>
    <s v="Ссылка на план"/>
    <x v="182"/>
    <d v="2020-01-29T13:38:57"/>
    <d v="2020-01-29T13:38:57"/>
    <m/>
    <d v="2020-01-30T08:36:43"/>
  </r>
  <r>
    <n v="75"/>
    <s v="Монтаж компенсаторов выполнен не в соответствии с паспортом на изделие."/>
    <n v="2"/>
    <s v="Значительное"/>
    <x v="0"/>
    <x v="3"/>
    <s v="rc_cool_heat@rencons.com"/>
    <x v="1"/>
    <d v="2019-10-09T00:00:00"/>
    <d v="2019-10-16T00:00:00"/>
    <m/>
    <m/>
    <m/>
    <s v="B2_Блок 3"/>
    <m/>
    <m/>
    <m/>
    <m/>
    <x v="183"/>
    <d v="2019-11-18T10:39:13"/>
    <d v="2019-11-18T10:39:13"/>
    <m/>
    <d v="2019-11-18T10:39:11"/>
  </r>
  <r>
    <n v="129"/>
    <s v="Крепление установлены с нарушением"/>
    <n v="2"/>
    <s v="Значительное"/>
    <x v="0"/>
    <x v="3"/>
    <s v="rc_cool_heat@rencons.com"/>
    <x v="1"/>
    <d v="2019-11-05T00:00:00"/>
    <d v="2019-11-15T00:00:00"/>
    <s v="РК-РД-1-ОВ4.4.02-03-05"/>
    <n v="0"/>
    <n v="0"/>
    <s v="13.B1.1.052_Холодильный центр"/>
    <m/>
    <m/>
    <s v="Холодильный центр"/>
    <s v="Ссылка на план"/>
    <x v="184"/>
    <d v="2019-11-15T18:15:14"/>
    <d v="2019-11-18T08:40:12"/>
    <m/>
    <d v="2019-11-18T08:40:10"/>
  </r>
  <r>
    <n v="130"/>
    <s v="Холодильный Центр"/>
    <n v="2"/>
    <s v="Значительное"/>
    <x v="0"/>
    <x v="3"/>
    <s v="rc_cool_heat@rencons.com"/>
    <x v="1"/>
    <d v="2019-11-05T00:00:00"/>
    <d v="2019-11-15T00:00:00"/>
    <s v="РК-РД-1-ОВ4.4.02-03-05"/>
    <n v="0"/>
    <n v="0"/>
    <s v="13.B1.1.052_Холодильный центр"/>
    <m/>
    <m/>
    <s v="Холодильный центр"/>
    <s v="Ссылка на план"/>
    <x v="185"/>
    <d v="2019-11-16T08:41:19"/>
    <d v="2019-11-18T17:23:18"/>
    <m/>
    <d v="2019-11-18T17:23:18"/>
  </r>
  <r>
    <n v="167"/>
    <s v="Деформация корпуса. "/>
    <n v="2"/>
    <s v="Значительное"/>
    <x v="0"/>
    <x v="3"/>
    <s v="rc_cool_heat@rencons.com"/>
    <x v="1"/>
    <d v="2019-11-15T00:00:00"/>
    <d v="2019-12-30T00:00:00"/>
    <s v="РК-РД-1-ОВ4.2.01-03.00-04"/>
    <n v="60.47"/>
    <n v="33.69"/>
    <m/>
    <m/>
    <m/>
    <s v="В1-В2 Отопление и холод"/>
    <s v="Ссылка на план"/>
    <x v="186"/>
    <d v="2020-02-05T16:55:46"/>
    <d v="2020-02-05T21:19:10"/>
    <m/>
    <d v="2020-02-05T21:19:11"/>
  </r>
  <r>
    <n v="166"/>
    <s v="Деформация корпуса"/>
    <n v="3"/>
    <s v="Малозначительное"/>
    <x v="0"/>
    <x v="3"/>
    <s v="rc_cool_heat@rencons.com"/>
    <x v="1"/>
    <d v="2019-11-06T00:00:00"/>
    <d v="2019-12-30T00:00:00"/>
    <s v="РК-РД-1-ОВ4.2.01-03.00-04"/>
    <n v="59.88"/>
    <n v="34.11"/>
    <m/>
    <m/>
    <m/>
    <s v="В1-В2 Отопление и холод"/>
    <s v="Ссылка на план"/>
    <x v="187"/>
    <d v="2020-02-05T16:55:01"/>
    <d v="2020-02-05T21:19:10"/>
    <m/>
    <d v="2020-02-05T21:19:11"/>
  </r>
  <r>
    <n v="591"/>
    <s v="Узел не соответствует РД."/>
    <n v="2"/>
    <s v="Значительное"/>
    <x v="0"/>
    <x v="3"/>
    <s v="rc_cool_heat@rencons.com"/>
    <x v="1"/>
    <d v="2019-12-11T00:00:00"/>
    <d v="2019-12-16T00:00:00"/>
    <s v="РК-РД-1-ОВ4.2.01-03.12-09"/>
    <n v="18.95"/>
    <n v="64.64"/>
    <m/>
    <m/>
    <m/>
    <s v="В1-В2 Отопление и холод"/>
    <s v="Ссылка на план"/>
    <x v="188"/>
    <d v="2019-12-18T15:40:25"/>
    <d v="2019-12-23T13:48:59"/>
    <m/>
    <d v="2019-12-23T13:49:00"/>
  </r>
  <r>
    <n v="597"/>
    <s v="Узел не соответствует РД."/>
    <n v="2"/>
    <s v="Значительное"/>
    <x v="0"/>
    <x v="3"/>
    <s v="rc_cool_heat@rencons.com"/>
    <x v="1"/>
    <d v="2019-12-11T00:00:00"/>
    <d v="2019-12-16T00:00:00"/>
    <s v="РК-РД-1-ОВ4.2.01-03.10-09"/>
    <n v="5.69"/>
    <n v="79.92"/>
    <m/>
    <m/>
    <m/>
    <s v="В1-В2 Отопление и холод"/>
    <s v="Ссылка на план"/>
    <x v="189"/>
    <d v="2019-12-18T15:41:47"/>
    <d v="2019-12-23T13:49:26"/>
    <m/>
    <d v="2019-12-23T13:49:26"/>
  </r>
  <r>
    <n v="594"/>
    <s v="Узлы не соответствует РД"/>
    <n v="2"/>
    <s v="Значительное"/>
    <x v="0"/>
    <x v="3"/>
    <s v="rc_cool_heat@rencons.com"/>
    <x v="1"/>
    <d v="2019-12-11T00:00:00"/>
    <d v="2019-12-16T00:00:00"/>
    <s v="РК-РД-1-ОВ4.2.01-03.12-09"/>
    <n v="24.88"/>
    <n v="45.24"/>
    <m/>
    <m/>
    <m/>
    <s v="В1-В2 Отопление и холод"/>
    <s v="Ссылка на план"/>
    <x v="190"/>
    <d v="2019-12-23T13:49:16"/>
    <d v="2019-12-23T13:49:18"/>
    <m/>
    <d v="2019-12-23T13:49:18"/>
  </r>
  <r>
    <n v="598"/>
    <s v="Узел не соответствует РД."/>
    <n v="2"/>
    <s v="Значительное"/>
    <x v="0"/>
    <x v="3"/>
    <s v="rc_cool_heat@rencons.com"/>
    <x v="1"/>
    <d v="2019-12-11T00:00:00"/>
    <d v="2019-12-16T00:00:00"/>
    <s v="РК-РД-1-ОВ4.2.01-03.05-10"/>
    <n v="21.6"/>
    <n v="53.45"/>
    <m/>
    <m/>
    <m/>
    <s v="В1-В2 Отопление и холод"/>
    <s v="Ссылка на план"/>
    <x v="191"/>
    <d v="2019-12-18T15:42:46"/>
    <d v="2019-12-23T13:49:36"/>
    <m/>
    <d v="2019-12-23T13:49:36"/>
  </r>
  <r>
    <n v="599"/>
    <s v="Узел не соответствует РД."/>
    <n v="2"/>
    <s v="Значительное"/>
    <x v="0"/>
    <x v="3"/>
    <s v="rc_cool_heat@rencons.com"/>
    <x v="1"/>
    <d v="2019-12-11T00:00:00"/>
    <d v="2019-12-16T00:00:00"/>
    <s v="РК-РД-1-ОВ4.2.01-03.03-09"/>
    <n v="36.76"/>
    <n v="45.95"/>
    <m/>
    <m/>
    <m/>
    <s v="В1-В2 Отопление и холод"/>
    <s v="Ссылка на план"/>
    <x v="192"/>
    <d v="2019-12-18T15:43:19"/>
    <d v="2019-12-23T13:49:44"/>
    <m/>
    <d v="2019-12-23T13:49:44"/>
  </r>
  <r>
    <n v="590"/>
    <s v="Узел 2 не соответствует РД. Насос не по РД. Комбинированный балансировочный клапан не по РД."/>
    <n v="2"/>
    <s v="Значительное"/>
    <x v="0"/>
    <x v="3"/>
    <s v="rc_cool_heat@rencons.com"/>
    <x v="1"/>
    <d v="2019-12-11T00:00:00"/>
    <d v="2019-12-16T00:00:00"/>
    <s v="РК-РД-1-ОВ4.2.01-03.01-09"/>
    <n v="21.43"/>
    <n v="76.61"/>
    <m/>
    <m/>
    <m/>
    <s v="В1-В2 Отопление и холод"/>
    <s v="Ссылка на план"/>
    <x v="193"/>
    <d v="2019-12-18T15:39:38"/>
    <d v="2019-12-23T13:48:50"/>
    <m/>
    <d v="2019-12-23T13:48:50"/>
  </r>
  <r>
    <n v="219"/>
    <s v="Деформация корпуса. "/>
    <n v="2"/>
    <s v="Значительное"/>
    <x v="0"/>
    <x v="3"/>
    <s v="rc_cool_heat@rencons.com"/>
    <x v="1"/>
    <d v="2019-11-12T00:00:00"/>
    <d v="2019-12-30T00:00:00"/>
    <s v="РК-РД-1-ОВ4.2.01-03.00-04"/>
    <n v="21.19"/>
    <n v="67.08"/>
    <m/>
    <m/>
    <m/>
    <s v="В1-В2 Отопление и холод"/>
    <s v="Ссылка на план"/>
    <x v="194"/>
    <d v="2019-12-19T15:11:18"/>
    <d v="2019-12-19T15:11:18"/>
    <m/>
    <d v="2019-12-19T15:32:09"/>
  </r>
  <r>
    <n v="135"/>
    <s v="Крепления не отцентрованы, не затянуты"/>
    <n v="2"/>
    <s v="Значительное"/>
    <x v="0"/>
    <x v="3"/>
    <s v="rc_cool_heat@rencons.com"/>
    <x v="1"/>
    <d v="2019-11-05T00:00:00"/>
    <d v="2019-11-15T00:00:00"/>
    <s v="РК-РД-1-ОВ4.4.02-03-05"/>
    <n v="10.74"/>
    <n v="66.11"/>
    <s v="13.B1.1.052_Холодильный центр"/>
    <m/>
    <m/>
    <s v="Холодильный центр"/>
    <s v="Ссылка на план"/>
    <x v="195"/>
    <d v="2019-11-15T18:17:48"/>
    <d v="2019-11-18T08:40:29"/>
    <m/>
    <d v="2019-11-18T08:40:26"/>
  </r>
  <r>
    <n v="188"/>
    <s v="Отклонение от вертикали spt 63"/>
    <n v="2"/>
    <s v="Значительное"/>
    <x v="0"/>
    <x v="3"/>
    <s v="rc_cool_heat@rencons.com"/>
    <x v="1"/>
    <d v="2019-11-08T00:00:00"/>
    <d v="2019-12-30T00:00:00"/>
    <s v="РК-РД-1-ОВ4.2.01-02.00-04"/>
    <n v="64.38"/>
    <n v="34.4"/>
    <m/>
    <m/>
    <m/>
    <s v="В1-В2 Отопление и холод"/>
    <s v="Ссылка на план"/>
    <x v="196"/>
    <d v="2019-12-18T11:56:30"/>
    <d v="2019-12-23T13:45:53"/>
    <m/>
    <d v="2019-12-23T13:45:54"/>
  </r>
  <r>
    <n v="221"/>
    <s v="Отклонение по горизонтали. "/>
    <n v="2"/>
    <s v="Значительное"/>
    <x v="0"/>
    <x v="3"/>
    <s v="rc_cool_heat@rencons.com"/>
    <x v="1"/>
    <d v="2019-11-12T00:00:00"/>
    <d v="2019-12-30T00:00:00"/>
    <s v="РК-РД-1-ОВ4.2.01-03.00-04"/>
    <n v="19.34"/>
    <n v="65.650000000000006"/>
    <m/>
    <m/>
    <m/>
    <s v="В1-В2 Отопление и холод"/>
    <s v="Ссылка на план"/>
    <x v="197"/>
    <d v="2019-12-19T14:58:30"/>
    <d v="2019-12-19T14:58:30"/>
    <m/>
    <d v="2019-12-19T15:32:02"/>
  </r>
  <r>
    <n v="220"/>
    <s v="Отклонение ВБ по горизонтали. "/>
    <n v="2"/>
    <s v="Значительное"/>
    <x v="0"/>
    <x v="3"/>
    <s v="rc_cool_heat@rencons.com"/>
    <x v="1"/>
    <d v="2019-11-12T00:00:00"/>
    <d v="2019-12-30T00:00:00"/>
    <s v="РК-РД-1-ОВ4.2.01-03.00-04"/>
    <n v="20.82"/>
    <n v="66.37"/>
    <m/>
    <m/>
    <m/>
    <s v="В1-В2 Отопление и холод"/>
    <s v="Ссылка на план"/>
    <x v="198"/>
    <d v="2019-12-19T15:16:07"/>
    <d v="2019-12-19T15:16:07"/>
    <m/>
    <d v="2019-12-19T15:32:30"/>
  </r>
  <r>
    <n v="224"/>
    <s v="ВБ на разных уровнях. "/>
    <n v="2"/>
    <s v="Значительное"/>
    <x v="0"/>
    <x v="3"/>
    <s v="rc_cool_heat@rencons.com"/>
    <x v="1"/>
    <d v="2019-11-12T00:00:00"/>
    <d v="2019-12-30T00:00:00"/>
    <s v="РК-РД-1-ОВ4.2.01-03.00-04"/>
    <n v="17.75"/>
    <n v="65.540000000000006"/>
    <m/>
    <m/>
    <m/>
    <s v="В1-В2 Отопление и холод"/>
    <s v="Ссылка на план"/>
    <x v="157"/>
    <d v="2019-12-19T14:40:36"/>
    <d v="2019-12-19T14:40:36"/>
    <m/>
    <d v="2019-12-19T15:32:01"/>
  </r>
  <r>
    <n v="617"/>
    <s v="Резьба в шахте. "/>
    <n v="2"/>
    <s v="Значительное"/>
    <x v="0"/>
    <x v="3"/>
    <s v="rc_cool_heat@rencons.com"/>
    <x v="1"/>
    <d v="2019-12-13T00:00:00"/>
    <d v="2019-12-17T00:00:00"/>
    <s v="РК-РД-2-ОВ4.2.03-17.03-05"/>
    <n v="30.91"/>
    <n v="51.37"/>
    <m/>
    <m/>
    <m/>
    <s v="L top Отопление и холод"/>
    <s v="Ссылка на план"/>
    <x v="199"/>
    <d v="2019-12-17T09:05:53"/>
    <d v="2019-12-17T19:14:19"/>
    <m/>
    <d v="2019-12-17T19:14:19"/>
  </r>
  <r>
    <n v="616"/>
    <s v="Трубопровод СХБ 3-3 проходит в зоне стены коллекторного шкафа. "/>
    <n v="2"/>
    <s v="Значительное"/>
    <x v="0"/>
    <x v="3"/>
    <s v="rc_cool_heat@rencons.com"/>
    <x v="1"/>
    <d v="2019-12-13T00:00:00"/>
    <d v="2019-12-17T00:00:00"/>
    <s v="РК-РД-2-ОВ4.2.03-17.03-05"/>
    <n v="26.86"/>
    <n v="50.89"/>
    <m/>
    <m/>
    <m/>
    <s v="L top Отопление и холод"/>
    <s v="Ссылка на план"/>
    <x v="200"/>
    <d v="2019-12-17T09:07:16"/>
    <d v="2019-12-19T13:31:23"/>
    <m/>
    <d v="2019-12-19T13:31:23"/>
  </r>
  <r>
    <n v="618"/>
    <s v="Обработка сварных стыков срезает толщину трубопровода более 30%. Сварные стыки необходимо переварить. "/>
    <n v="2"/>
    <s v="Значительное"/>
    <x v="0"/>
    <x v="3"/>
    <s v="rc_cool_heat@rencons.com"/>
    <x v="1"/>
    <d v="2019-12-13T00:00:00"/>
    <d v="2019-12-17T00:00:00"/>
    <s v="РК-РД-2-ОВ4.2.03-20.03-05"/>
    <n v="18.690000000000001"/>
    <n v="49.05"/>
    <m/>
    <m/>
    <m/>
    <s v="L top Отопление и холод"/>
    <s v="Ссылка на план"/>
    <x v="201"/>
    <d v="2019-12-17T09:28:37"/>
    <d v="2019-12-17T19:14:06"/>
    <m/>
    <d v="2019-12-17T19:14:06"/>
  </r>
  <r>
    <n v="251"/>
    <s v="Установить байпас с краном. "/>
    <n v="2"/>
    <s v="Значительное"/>
    <x v="0"/>
    <x v="3"/>
    <s v="rc_cool_heat@rencons.com"/>
    <x v="1"/>
    <d v="2019-11-13T00:00:00"/>
    <d v="2019-11-15T00:00:00"/>
    <s v="РК-РД-2-ОВ4.2.03-02.00-02"/>
    <n v="18.420000000000002"/>
    <n v="33.93"/>
    <m/>
    <m/>
    <m/>
    <s v="L top Отопление и холод"/>
    <s v="Ссылка на план"/>
    <x v="202"/>
    <d v="2019-11-16T11:11:29"/>
    <d v="2019-11-20T15:59:21"/>
    <m/>
    <d v="2019-11-20T16:34:49"/>
  </r>
  <r>
    <n v="249"/>
    <s v="Предоставить схемы трубопроводов с расстановкой креплений. "/>
    <n v="2"/>
    <s v="Значительное"/>
    <x v="0"/>
    <x v="3"/>
    <s v="rc_cool_heat@rencons.com"/>
    <x v="1"/>
    <d v="2019-11-13T00:00:00"/>
    <d v="2019-12-30T00:00:00"/>
    <s v="РК-РД-2-ОВ4.2.03-02.00-02"/>
    <n v="19.13"/>
    <n v="36.130000000000003"/>
    <m/>
    <m/>
    <m/>
    <s v="L top Отопление и холод"/>
    <s v="Ссылка на план"/>
    <x v="203"/>
    <d v="2019-12-19T11:01:14"/>
    <d v="2019-12-19T13:25:02"/>
    <m/>
    <d v="2019-12-19T13:25:03"/>
  </r>
  <r>
    <n v="237"/>
    <s v="центр. Согласовать отклонения трассировки трубопроводов. Указать все изменения в ИД. "/>
    <n v="2"/>
    <s v="Значительное"/>
    <x v="0"/>
    <x v="3"/>
    <s v="rc_cool_heat@rencons.com"/>
    <x v="1"/>
    <d v="2019-11-13T00:00:00"/>
    <d v="2019-11-15T00:00:00"/>
    <s v="РК-РД-1-ОВ4.4.02-03-05"/>
    <n v="25.79"/>
    <n v="28.71"/>
    <s v="13.B1.1.052_Холодильный центр"/>
    <m/>
    <m/>
    <s v="Холодильный центр"/>
    <s v="Ссылка на план"/>
    <x v="204"/>
    <d v="2019-12-11T08:52:42"/>
    <d v="2019-12-16T18:44:55"/>
    <m/>
    <d v="2019-12-16T18:44:55"/>
  </r>
  <r>
    <n v="239"/>
    <s v="центр. Добавить крепления трубопроводов вакуумной диарации. "/>
    <n v="2"/>
    <s v="Значительное"/>
    <x v="0"/>
    <x v="3"/>
    <s v="rc_cool_heat@rencons.com"/>
    <x v="1"/>
    <d v="2019-11-13T00:00:00"/>
    <d v="2019-11-15T00:00:00"/>
    <s v="РК-РД-1-ОВ4.4.02-10-03"/>
    <n v="36.049999999999997"/>
    <n v="76.12"/>
    <s v="13.B1.1.052_Холодильный центр"/>
    <m/>
    <m/>
    <s v="Холодильный центр"/>
    <s v="Ссылка на план"/>
    <x v="205"/>
    <d v="2019-11-16T09:31:20"/>
    <d v="2019-11-19T19:27:46"/>
    <m/>
    <d v="2019-11-19T19:27:46"/>
  </r>
  <r>
    <n v="240"/>
    <s v="Консоль не закреплена к перекрытия. "/>
    <n v="2"/>
    <s v="Значительное"/>
    <x v="0"/>
    <x v="3"/>
    <s v="rc_cool_heat@rencons.com"/>
    <x v="1"/>
    <d v="2019-11-13T00:00:00"/>
    <d v="2019-11-15T00:00:00"/>
    <s v="РК-РД-2-ОВ4.2.03-15.00-02"/>
    <n v="13.08"/>
    <n v="69.23"/>
    <m/>
    <m/>
    <m/>
    <s v="L top Отопление и холод"/>
    <s v="Ссылка на план"/>
    <x v="206"/>
    <d v="2019-11-16T16:46:17"/>
    <d v="2019-11-19T19:27:13"/>
    <m/>
    <d v="2019-11-19T19:27:13"/>
  </r>
  <r>
    <n v="245"/>
    <s v="Неподвижной опоры в РД нет."/>
    <n v="2"/>
    <s v="Значительное"/>
    <x v="0"/>
    <x v="3"/>
    <s v="rc_cool_heat@rencons.com"/>
    <x v="1"/>
    <d v="2019-11-13T00:00:00"/>
    <d v="2019-11-15T00:00:00"/>
    <s v="РК-РД-2-ОВ4.2.03-09.00-02"/>
    <n v="17.12"/>
    <n v="65.709999999999994"/>
    <m/>
    <m/>
    <m/>
    <s v="L top Отопление и холод"/>
    <s v="Ссылка на план"/>
    <x v="207"/>
    <d v="2019-11-20T09:50:40"/>
    <d v="2019-11-20T15:21:35"/>
    <m/>
    <d v="2019-11-20T15:22:29"/>
  </r>
  <r>
    <n v="243"/>
    <s v="Криво установлена консоль."/>
    <n v="2"/>
    <s v="Значительное"/>
    <x v="0"/>
    <x v="3"/>
    <s v="rc_cool_heat@rencons.com"/>
    <x v="1"/>
    <d v="2019-11-13T00:00:00"/>
    <d v="2019-11-15T00:00:00"/>
    <s v="РК-РД-2-ОВ4.2.03-12.09-04"/>
    <n v="25.73"/>
    <n v="50.06"/>
    <m/>
    <m/>
    <m/>
    <s v="L top Отопление и холод"/>
    <s v="Ссылка на план"/>
    <x v="208"/>
    <d v="2019-11-19T15:11:36"/>
    <d v="2019-11-20T15:39:52"/>
    <m/>
    <d v="2019-11-20T15:40:18"/>
  </r>
  <r>
    <n v="242"/>
    <s v="Воздухоотводч"/>
    <n v="2"/>
    <s v="Значительное"/>
    <x v="0"/>
    <x v="3"/>
    <s v="rc_cool_heat@rencons.com"/>
    <x v="1"/>
    <d v="2019-11-13T00:00:00"/>
    <d v="2019-11-15T00:00:00"/>
    <s v="РК-РД-2-ОВ4.2.03-12.09-04"/>
    <n v="32.04"/>
    <n v="25.36"/>
    <m/>
    <m/>
    <m/>
    <s v="L top Отопление и холод"/>
    <s v="Ссылка на план"/>
    <x v="209"/>
    <d v="2019-11-16T16:50:53"/>
    <d v="2019-11-19T19:28:12"/>
    <m/>
    <d v="2019-11-19T19:28:12"/>
  </r>
  <r>
    <n v="248"/>
    <s v="Скользящие опоры не отцентрованы."/>
    <n v="1"/>
    <s v="КРИТИЧЕСКОЕ"/>
    <x v="0"/>
    <x v="3"/>
    <s v="rc_cool_heat@rencons.com"/>
    <x v="1"/>
    <d v="2019-11-13T00:00:00"/>
    <d v="2019-12-30T00:00:00"/>
    <s v="РК-РД-2-ОВ4.2.03-10.09-05"/>
    <n v="23.28"/>
    <n v="26.31"/>
    <m/>
    <m/>
    <m/>
    <s v="L top Отопление и холод"/>
    <s v="Ссылка на план"/>
    <x v="210"/>
    <d v="2019-12-26T18:13:10"/>
    <d v="2020-01-17T13:37:51"/>
    <m/>
    <d v="2020-01-17T13:37:52"/>
  </r>
  <r>
    <n v="238"/>
    <s v="центр. Добавить крепления на трубопроводы вакуумной диарации. "/>
    <n v="2"/>
    <s v="Значительное"/>
    <x v="0"/>
    <x v="3"/>
    <s v="rc_cool_heat@rencons.com"/>
    <x v="1"/>
    <d v="2019-11-13T00:00:00"/>
    <d v="2019-11-15T00:00:00"/>
    <s v="РК-РД-1-ОВ4.4.02-06-05"/>
    <n v="24.88"/>
    <n v="53.9"/>
    <s v="13.B1.1.052_Холодильный центр"/>
    <m/>
    <m/>
    <s v="Холодильный центр"/>
    <s v="Ссылка на план"/>
    <x v="204"/>
    <d v="2019-11-16T09:30:16"/>
    <d v="2019-11-18T08:41:32"/>
    <m/>
    <d v="2019-11-18T08:41:30"/>
  </r>
  <r>
    <n v="241"/>
    <s v="Воздушники в зоне шахты. "/>
    <n v="2"/>
    <s v="Значительное"/>
    <x v="0"/>
    <x v="3"/>
    <s v="rc_cool_heat@rencons.com"/>
    <x v="1"/>
    <d v="2019-11-13T00:00:00"/>
    <d v="2019-11-15T00:00:00"/>
    <s v="РК-РД-2-ОВ4.2.03-15.00-02"/>
    <n v="13.41"/>
    <n v="63.81"/>
    <m/>
    <m/>
    <m/>
    <s v="L top Отопление и холод"/>
    <s v="Ссылка на план"/>
    <x v="211"/>
    <d v="2019-11-16T16:45:31"/>
    <d v="2019-11-19T19:28:02"/>
    <m/>
    <d v="2019-11-19T19:28:03"/>
  </r>
  <r>
    <n v="246"/>
    <s v="Пересечка с вентиляцией."/>
    <n v="2"/>
    <s v="Значительное"/>
    <x v="0"/>
    <x v="3"/>
    <s v="rc_cool_heat@rencons.com"/>
    <x v="1"/>
    <d v="2019-11-13T00:00:00"/>
    <d v="2019-11-15T00:00:00"/>
    <s v="РК-РД-2-ОВ4.2.03-11.09-04"/>
    <n v="23.24"/>
    <n v="25.12"/>
    <m/>
    <m/>
    <m/>
    <s v="L top Отопление и холод"/>
    <s v="Ссылка на план"/>
    <x v="212"/>
    <d v="2019-11-20T17:55:21"/>
    <d v="2019-12-02T09:29:40"/>
    <m/>
    <d v="2019-12-02T09:29:40"/>
  </r>
  <r>
    <n v="244"/>
    <s v="Не лицензирована скользящая опора."/>
    <n v="2"/>
    <s v="Значительное"/>
    <x v="0"/>
    <x v="3"/>
    <s v="rc_cool_heat@rencons.com"/>
    <x v="1"/>
    <d v="2019-11-13T00:00:00"/>
    <d v="2019-11-15T00:00:00"/>
    <s v="РК-РД-2-ОВ4.2.03-09.00-02"/>
    <n v="20.52"/>
    <n v="44.4"/>
    <m/>
    <m/>
    <m/>
    <s v="L top Отопление и холод"/>
    <s v="Ссылка на план"/>
    <x v="213"/>
    <d v="2019-11-18T08:42:17"/>
    <d v="2019-11-19T19:28:40"/>
    <m/>
    <d v="2019-11-19T19:28:40"/>
  </r>
  <r>
    <n v="247"/>
    <s v="Скользящая опора не отцентрована."/>
    <n v="2"/>
    <s v="Значительное"/>
    <x v="0"/>
    <x v="3"/>
    <s v="rc_cool_heat@rencons.com"/>
    <x v="1"/>
    <d v="2019-11-13T00:00:00"/>
    <d v="2019-11-15T00:00:00"/>
    <s v="РК-РД-2-ОВ4.2.03-10.09-05"/>
    <n v="24.13"/>
    <n v="47.2"/>
    <m/>
    <m/>
    <m/>
    <s v="L top Отопление и холод"/>
    <s v="Ссылка на план"/>
    <x v="214"/>
    <d v="2019-11-16T10:50:20"/>
    <d v="2019-11-19T19:29:20"/>
    <m/>
    <d v="2019-11-19T19:29:20"/>
  </r>
  <r>
    <n v="250"/>
    <s v="Добавить крепления на отходящий трубопровод. "/>
    <n v="2"/>
    <s v="Значительное"/>
    <x v="0"/>
    <x v="3"/>
    <s v="rc_cool_heat@rencons.com"/>
    <x v="1"/>
    <d v="2019-11-13T00:00:00"/>
    <d v="2019-11-15T00:00:00"/>
    <s v="РК-РД-2-ОВ4.2.03-02.00-02"/>
    <n v="19.22"/>
    <n v="34.17"/>
    <m/>
    <m/>
    <m/>
    <s v="L top Отопление и холод"/>
    <s v="Ссылка на план"/>
    <x v="215"/>
    <d v="2019-11-16T09:26:18"/>
    <d v="2019-11-20T16:00:32"/>
    <m/>
    <d v="2019-11-20T16:34:49"/>
  </r>
  <r>
    <n v="254"/>
    <s v="Нет возможности сделать изоляцию трубопровода. "/>
    <n v="2"/>
    <s v="Значительное"/>
    <x v="0"/>
    <x v="3"/>
    <s v="rc_cool_heat@rencons.com"/>
    <x v="1"/>
    <d v="2019-11-13T00:00:00"/>
    <d v="2019-11-15T00:00:00"/>
    <s v="РК-РД-2-ОВ4.2.03-02.00-02"/>
    <n v="16.86"/>
    <n v="41.01"/>
    <m/>
    <m/>
    <m/>
    <s v="L top Отопление и холод"/>
    <s v="Ссылка на план"/>
    <x v="216"/>
    <d v="2019-11-16T10:40:47"/>
    <d v="2019-11-20T15:12:57"/>
    <m/>
    <d v="2019-11-20T15:17:50"/>
  </r>
  <r>
    <n v="255"/>
    <s v="Не указаны не подвижные опоры на схеме. "/>
    <n v="2"/>
    <s v="Значительное"/>
    <x v="0"/>
    <x v="3"/>
    <s v="rc_cool_heat@rencons.com"/>
    <x v="1"/>
    <d v="2019-11-13T00:00:00"/>
    <d v="2019-12-30T00:00:00"/>
    <s v="РК-РД-2-ОВ4.2.03-18.05-06"/>
    <n v="32.25"/>
    <n v="23.39"/>
    <m/>
    <m/>
    <m/>
    <s v="L top Отопление и холод"/>
    <s v="Ссылка на план"/>
    <x v="216"/>
    <d v="2019-12-26T18:12:25"/>
    <d v="2019-12-26T19:30:54"/>
    <m/>
    <d v="2019-12-26T19:30:55"/>
  </r>
  <r>
    <n v="256"/>
    <s v="Нет возможности открыть задвижки. "/>
    <n v="2"/>
    <s v="Значительное"/>
    <x v="0"/>
    <x v="3"/>
    <s v="rc_cool_heat@rencons.com"/>
    <x v="1"/>
    <d v="2019-11-13T00:00:00"/>
    <d v="2019-11-15T00:00:00"/>
    <s v="РК-РД-2-ОВ4.2.03-19.05-05"/>
    <n v="32.880000000000003"/>
    <n v="24.11"/>
    <m/>
    <m/>
    <m/>
    <s v="L top Отопление и холод"/>
    <s v="Ссылка на план"/>
    <x v="217"/>
    <d v="2019-11-16T10:59:33"/>
    <d v="2019-11-20T13:37:27"/>
    <m/>
    <d v="2019-11-20T13:37:28"/>
  </r>
  <r>
    <n v="257"/>
    <s v="Задвижки установлены в зоне противопожарной проходки. "/>
    <n v="2"/>
    <s v="Значительное"/>
    <x v="0"/>
    <x v="3"/>
    <s v="rc_cool_heat@rencons.com"/>
    <x v="1"/>
    <d v="2019-11-13T00:00:00"/>
    <d v="2019-11-15T00:00:00"/>
    <s v="РК-РД-2-ОВ4.2.03-20.05-05"/>
    <n v="33.18"/>
    <n v="22.8"/>
    <m/>
    <m/>
    <m/>
    <s v="L top Отопление и холод"/>
    <s v="Ссылка на план"/>
    <x v="218"/>
    <d v="2019-12-10T10:45:17"/>
    <d v="2019-12-10T13:52:21"/>
    <m/>
    <d v="2019-12-10T13:52:22"/>
  </r>
  <r>
    <n v="252"/>
    <s v="Нет возможности открыть задвижку. "/>
    <n v="2"/>
    <s v="Значительное"/>
    <x v="0"/>
    <x v="3"/>
    <s v="rc_cool_heat@rencons.com"/>
    <x v="1"/>
    <d v="2019-11-13T00:00:00"/>
    <d v="2019-11-15T00:00:00"/>
    <s v="РК-РД-2-ОВ4.2.03-02.00-02"/>
    <n v="17.12"/>
    <n v="40.24"/>
    <m/>
    <m/>
    <m/>
    <s v="L top Отопление и холод"/>
    <s v="Ссылка на план"/>
    <x v="219"/>
    <d v="2019-11-16T10:36:52"/>
    <d v="2019-11-20T15:14:11"/>
    <m/>
    <d v="2019-11-20T15:17:54"/>
  </r>
  <r>
    <n v="253"/>
    <s v="Нет возможности заизолировать трубопровод. "/>
    <n v="2"/>
    <s v="Значительное"/>
    <x v="0"/>
    <x v="3"/>
    <s v="rc_cool_heat@rencons.com"/>
    <x v="1"/>
    <d v="2019-11-13T00:00:00"/>
    <d v="2019-11-15T00:00:00"/>
    <s v="РК-РД-2-ОВ4.2.03-02.00-02"/>
    <n v="16.78"/>
    <n v="40.83"/>
    <m/>
    <m/>
    <m/>
    <s v="L top Отопление и холод"/>
    <s v="Ссылка на план"/>
    <x v="220"/>
    <d v="2019-11-16T09:27:21"/>
    <d v="2019-11-20T15:15:11"/>
    <m/>
    <d v="2019-11-20T15:18:06"/>
  </r>
  <r>
    <n v="259"/>
    <s v="Задвижки находятся в зоне противопожарной проходки. "/>
    <n v="2"/>
    <s v="Значительное"/>
    <x v="0"/>
    <x v="3"/>
    <s v="rc_cool_heat@rencons.com"/>
    <x v="1"/>
    <d v="2019-11-13T00:00:00"/>
    <d v="2019-11-15T00:00:00"/>
    <s v="РК-РД-2-ОВ4.2.03-21.05-04"/>
    <n v="32.840000000000003"/>
    <n v="24.11"/>
    <m/>
    <m/>
    <m/>
    <s v="L top Отопление и холод"/>
    <s v="Ссылка на план"/>
    <x v="221"/>
    <d v="2019-12-11T08:53:52"/>
    <d v="2019-12-11T12:08:32"/>
    <m/>
    <d v="2019-12-11T12:08:33"/>
  </r>
  <r>
    <n v="271"/>
    <s v="Пересечка ВБ с электрикой. "/>
    <n v="2"/>
    <s v="Значительное"/>
    <x v="0"/>
    <x v="3"/>
    <s v="rc_cool_heat@rencons.com"/>
    <x v="1"/>
    <d v="2019-11-14T00:00:00"/>
    <d v="2019-12-30T00:00:00"/>
    <s v="РК-РД-2-ОВ4.2.03-18.01-05"/>
    <n v="50.91"/>
    <n v="38.69"/>
    <m/>
    <m/>
    <m/>
    <s v="L top Отопление и холод"/>
    <s v="Ссылка на план"/>
    <x v="222"/>
    <d v="2019-12-18T17:39:22"/>
    <d v="2019-12-19T13:27:59"/>
    <m/>
    <d v="2019-12-19T13:27:59"/>
  </r>
  <r>
    <n v="269"/>
    <s v="ВБ в. Зоне противопожарной проходки. От светильника до блока 40 мм. "/>
    <n v="2"/>
    <s v="Значительное"/>
    <x v="0"/>
    <x v="3"/>
    <s v="rc_cool_heat@rencons.com"/>
    <x v="1"/>
    <d v="2019-11-14T00:00:00"/>
    <d v="2019-12-30T00:00:00"/>
    <s v="РК-РД-2-ОВ4.2.03-17.02-06"/>
    <n v="63.76"/>
    <n v="53.55"/>
    <m/>
    <m/>
    <m/>
    <s v="L top Отопление и холод"/>
    <s v="Ссылка на план"/>
    <x v="223"/>
    <d v="2019-12-18T17:39:54"/>
    <d v="2019-12-19T13:26:37"/>
    <m/>
    <d v="2019-12-19T13:26:37"/>
  </r>
  <r>
    <n v="276"/>
    <s v="Отсутствуют виброизоляторы. "/>
    <n v="2"/>
    <s v="Значительное"/>
    <x v="0"/>
    <x v="3"/>
    <s v="rc_cool_heat@rencons.com"/>
    <x v="1"/>
    <d v="2019-11-14T00:00:00"/>
    <d v="2019-11-18T00:00:00"/>
    <s v="РК-РД-2-ОВ4.2.03-19.03-05"/>
    <n v="17.010000000000002"/>
    <n v="55.24"/>
    <m/>
    <m/>
    <m/>
    <s v="L top Отопление и холод"/>
    <s v="Ссылка на план"/>
    <x v="224"/>
    <d v="2019-11-15T17:37:08"/>
    <d v="2019-11-15T17:37:08"/>
    <m/>
    <d v="2019-11-15T17:37:07"/>
  </r>
  <r>
    <n v="274"/>
    <s v="Не установлены виброизоляторы. "/>
    <n v="2"/>
    <s v="Значительное"/>
    <x v="0"/>
    <x v="3"/>
    <s v="rc_cool_heat@rencons.com"/>
    <x v="1"/>
    <d v="2019-11-14T00:00:00"/>
    <d v="2019-11-18T00:00:00"/>
    <s v="РК-РД-2-ОВ4.2.03-19.04-05"/>
    <n v="30.82"/>
    <n v="74.88"/>
    <m/>
    <m/>
    <m/>
    <s v="L top Отопление и холод"/>
    <s v="Ссылка на план"/>
    <x v="225"/>
    <d v="2019-11-15T17:36:12"/>
    <d v="2019-11-15T17:36:12"/>
    <m/>
    <d v="2019-11-15T17:36:11"/>
  </r>
  <r>
    <n v="275"/>
    <s v="ВБ находится в зоне противопожарной проходки. "/>
    <n v="2"/>
    <s v="Значительное"/>
    <x v="0"/>
    <x v="3"/>
    <s v="rc_cool_heat@rencons.com"/>
    <x v="1"/>
    <d v="2019-11-14T00:00:00"/>
    <d v="2019-12-30T00:00:00"/>
    <s v="РК-РД-2-ОВ4.2.03-19.03-05"/>
    <n v="20.29"/>
    <n v="53.33"/>
    <s v="01.B1.2.009_Преддушевая"/>
    <m/>
    <m/>
    <s v="L top Отопление и холод"/>
    <s v="Ссылка на план"/>
    <x v="226"/>
    <d v="2019-12-17T15:27:44"/>
    <d v="2019-12-17T15:27:56"/>
    <m/>
    <d v="2019-12-17T15:27:58"/>
  </r>
  <r>
    <n v="268"/>
    <s v="Не соответствует мощность блока. "/>
    <n v="2"/>
    <s v="Значительное"/>
    <x v="0"/>
    <x v="3"/>
    <s v="rc_cool_heat@rencons.com"/>
    <x v="1"/>
    <d v="2019-11-14T00:00:00"/>
    <d v="2019-11-18T00:00:00"/>
    <s v="РК-РД-2-ОВ4.2.03-17.02-05"/>
    <n v="63.33"/>
    <n v="59.28"/>
    <m/>
    <m/>
    <m/>
    <s v="L top Отопление и холод"/>
    <s v="Ссылка на план"/>
    <x v="227"/>
    <d v="2019-11-15T17:41:41"/>
    <d v="2019-11-15T17:43:35"/>
    <m/>
    <d v="2019-11-15T17:43:34"/>
  </r>
  <r>
    <n v="290"/>
    <s v="Привязки ВБ не соответствуют РД. "/>
    <n v="2"/>
    <s v="Значительное"/>
    <x v="0"/>
    <x v="3"/>
    <s v="rc_cool_heat@rencons.com"/>
    <x v="1"/>
    <d v="2019-11-15T00:00:00"/>
    <d v="2019-12-30T00:00:00"/>
    <s v="РК-РД-1-ОВ4.2.01-02.05-11"/>
    <n v="43.62"/>
    <n v="64.64"/>
    <m/>
    <m/>
    <m/>
    <s v="В1-В2 Отопление и холод"/>
    <s v="Ссылка на план"/>
    <x v="228"/>
    <d v="2019-12-19T15:24:04"/>
    <d v="2019-12-19T15:24:04"/>
    <m/>
    <d v="2019-12-19T16:25:58"/>
  </r>
  <r>
    <n v="292"/>
    <s v="ВБ висят на разных уровнях. "/>
    <n v="2"/>
    <s v="Значительное"/>
    <x v="0"/>
    <x v="3"/>
    <s v="rc_cool_heat@rencons.com"/>
    <x v="1"/>
    <m/>
    <m/>
    <s v="РК-РД-1-ОВ4.2.01-02.06-12"/>
    <n v="24.27"/>
    <n v="12.63"/>
    <m/>
    <m/>
    <m/>
    <s v="В1-В2 Отопление и холод"/>
    <s v="Ссылка на план"/>
    <x v="229"/>
    <d v="2020-01-22T12:09:02"/>
    <d v="2020-01-22T12:09:02"/>
    <m/>
    <d v="2020-01-22T12:09:02"/>
  </r>
  <r>
    <n v="186"/>
    <s v="Укосины консолей к верху? "/>
    <n v="2"/>
    <s v="Значительное"/>
    <x v="0"/>
    <x v="3"/>
    <s v="rc_cool_heat@rencons.com"/>
    <x v="1"/>
    <d v="2019-11-06T00:00:00"/>
    <d v="2019-11-15T00:00:00"/>
    <s v="РК-РД-1-ОВ4.2.01-02.00-04"/>
    <n v="24.47"/>
    <n v="25.77"/>
    <m/>
    <m/>
    <m/>
    <s v="В1-В2 Отопление и холод"/>
    <s v="Ссылка на план"/>
    <x v="230"/>
    <d v="2019-11-18T10:09:13"/>
    <d v="2019-11-18T10:09:13"/>
    <m/>
    <d v="2019-11-18T10:09:11"/>
  </r>
  <r>
    <n v="228"/>
    <s v="Отклонение от РД не согласовано. ВБ установлен в зоне противопожарной проходки. "/>
    <n v="3"/>
    <s v="Малозначительное"/>
    <x v="0"/>
    <x v="3"/>
    <s v="rc_cool_heat@rencons.com"/>
    <x v="1"/>
    <d v="2019-11-12T00:00:00"/>
    <d v="2019-12-30T00:00:00"/>
    <s v="РК-РД-2-ОВ4.2.03-17.02-05"/>
    <n v="36.159999999999997"/>
    <n v="42.51"/>
    <m/>
    <m/>
    <m/>
    <s v="L top Отопление и холод"/>
    <s v="Ссылка на план"/>
    <x v="231"/>
    <d v="2020-02-04T17:47:21"/>
    <d v="2020-02-04T18:20:38"/>
    <m/>
    <d v="2020-02-04T18:20:38"/>
  </r>
  <r>
    <n v="272"/>
    <s v="Вопрос по пересечка с фанкойлом. "/>
    <n v="3"/>
    <s v="Малозначительное"/>
    <x v="0"/>
    <x v="3"/>
    <s v="rc_cool_heat@rencons.com"/>
    <x v="1"/>
    <d v="2019-11-18T00:00:00"/>
    <d v="2019-12-30T00:00:00"/>
    <s v="РК-РД-2-ОВ4.2.03-18.02-05"/>
    <n v="35.51"/>
    <n v="42.58"/>
    <m/>
    <m/>
    <m/>
    <s v="L top Отопление и холод"/>
    <s v="Ссылка на план"/>
    <x v="232"/>
    <d v="2020-02-04T09:14:12"/>
    <d v="2020-02-04T18:42:13"/>
    <m/>
    <d v="2020-02-04T18:42:13"/>
  </r>
  <r>
    <n v="929"/>
    <s v="Трубопроводы Теплоснабжения и Холодоснабжения"/>
    <n v="2"/>
    <s v="Значительное"/>
    <x v="0"/>
    <x v="3"/>
    <s v="rc_cool_heat@rencons.com"/>
    <x v="1"/>
    <d v="2020-01-16T00:00:00"/>
    <d v="2020-01-24T00:00:00"/>
    <s v="РК-РД-2-ОВ4.2.03-20.04-05"/>
    <n v="37.85"/>
    <n v="91.01"/>
    <m/>
    <m/>
    <m/>
    <s v="L top Отопление и холод"/>
    <s v="Ссылка на план"/>
    <x v="233"/>
    <d v="2020-01-25T15:01:18"/>
    <d v="2020-01-28T14:22:16"/>
    <m/>
    <d v="2020-01-28T14:22:19"/>
  </r>
  <r>
    <n v="928"/>
    <s v="Трубопроводы Теплоснабжение и Холодоснабжение."/>
    <n v="2"/>
    <s v="Значительное"/>
    <x v="0"/>
    <x v="3"/>
    <s v="rc_cool_heat@rencons.com"/>
    <x v="1"/>
    <d v="2020-01-16T00:00:00"/>
    <d v="2020-01-30T00:00:00"/>
    <s v="РК-РД-2-ОВ4.2.03-20.04-05"/>
    <n v="34.78"/>
    <n v="90.42"/>
    <m/>
    <m/>
    <m/>
    <s v="L top Отопление и холод"/>
    <s v="Ссылка на план"/>
    <x v="234"/>
    <d v="2020-01-28T14:22:40"/>
    <d v="2020-01-28T14:22:40"/>
    <m/>
    <d v="2020-01-28T14:22:45"/>
  </r>
  <r>
    <n v="587"/>
    <s v="Дверь не открывается на положенные градус. "/>
    <n v="2"/>
    <s v="Значительное"/>
    <x v="1"/>
    <x v="3"/>
    <s v="rc_fire@rencons.com"/>
    <x v="1"/>
    <m/>
    <m/>
    <s v="РК-РД-2-ПТ4.1.03-10.02-05"/>
    <n v="18.93"/>
    <n v="36.369999999999997"/>
    <m/>
    <m/>
    <m/>
    <s v="L top АУПТ"/>
    <s v="Ссылка на план"/>
    <x v="235"/>
    <m/>
    <m/>
    <m/>
    <d v="2020-01-17T13:39:10"/>
  </r>
  <r>
    <n v="881"/>
    <s v="Дверь не открывается на положенный градус."/>
    <n v="2"/>
    <s v="Значительное"/>
    <x v="1"/>
    <x v="3"/>
    <s v="rc_fire@rencons.com"/>
    <x v="1"/>
    <d v="2020-01-10T00:00:00"/>
    <d v="2020-02-14T00:00:00"/>
    <s v="РК-РД-2-ПТ4.1.03-12.05-04"/>
    <n v="24.08"/>
    <n v="76.37"/>
    <m/>
    <m/>
    <m/>
    <s v="L top АУПТ"/>
    <s v="Ссылка на план"/>
    <x v="236"/>
    <m/>
    <m/>
    <m/>
    <d v="2020-02-10T13:52:59"/>
  </r>
  <r>
    <n v="982"/>
    <s v="#гпт. Направление 34. Трубопроводы"/>
    <n v="2"/>
    <s v="Значительное"/>
    <x v="1"/>
    <x v="3"/>
    <s v="rc_fire@rencons.com"/>
    <x v="1"/>
    <d v="2020-01-21T00:00:00"/>
    <d v="2020-01-30T00:00:00"/>
    <s v="РК-РД-2-ПТ4.2.01-09-01"/>
    <n v="51.03"/>
    <n v="48.78"/>
    <m/>
    <m/>
    <m/>
    <s v="Ltop ГПТ"/>
    <s v="Ссылка на план"/>
    <x v="237"/>
    <m/>
    <m/>
    <m/>
    <d v="2020-01-28T08:42:13"/>
  </r>
  <r>
    <n v="137"/>
    <s v="Доставить крепление на полипропилен"/>
    <n v="2"/>
    <s v="Значительное"/>
    <x v="0"/>
    <x v="3"/>
    <s v="rc_fire@rencons.com"/>
    <x v="1"/>
    <d v="2019-11-05T00:00:00"/>
    <d v="2019-11-15T00:00:00"/>
    <s v="РК-РД-1-ПТ4.3.01-03-05"/>
    <n v="0"/>
    <n v="0"/>
    <s v="13.B1.3.007_АПТ, Насосная"/>
    <m/>
    <m/>
    <s v="Насосная Пожаротушения"/>
    <s v="Ссылка на план"/>
    <x v="238"/>
    <d v="2019-11-20T15:43:21"/>
    <d v="2019-12-02T09:29:51"/>
    <m/>
    <d v="2019-12-02T09:29:51"/>
  </r>
  <r>
    <n v="1042"/>
    <s v="Место расположение баллона не согласовано."/>
    <n v="2"/>
    <s v="Значительное"/>
    <x v="0"/>
    <x v="3"/>
    <s v="rc_fire@rencons.com"/>
    <x v="1"/>
    <d v="2020-01-24T00:00:00"/>
    <d v="2020-01-30T00:00:00"/>
    <s v="РК-РД-2-ПТ4.2.01-13-01"/>
    <n v="16.75"/>
    <n v="41.31"/>
    <m/>
    <m/>
    <m/>
    <s v="Ltop ГПТ"/>
    <s v="Ссылка на план"/>
    <x v="239"/>
    <d v="2020-02-06T12:03:15"/>
    <d v="2020-02-06T12:03:15"/>
    <m/>
    <d v="2020-02-06T12:03:16"/>
  </r>
  <r>
    <n v="528"/>
    <s v="При предъявлении покраски, выполнены противопожарные проходки. Нет возможности проверить качество покраски трубопроводов."/>
    <n v="2"/>
    <s v="Значительное"/>
    <x v="0"/>
    <x v="3"/>
    <s v="rc_fire@rencons.com"/>
    <x v="1"/>
    <d v="2019-12-04T00:00:00"/>
    <d v="2019-12-11T00:00:00"/>
    <s v="РК-РД-1-ПТ4.2.01-04-02"/>
    <n v="25.43"/>
    <n v="50.6"/>
    <m/>
    <m/>
    <m/>
    <s v="В1-В2 ГПТ"/>
    <s v="Ссылка на план"/>
    <x v="240"/>
    <d v="2019-12-13T16:27:00"/>
    <d v="2019-12-13T16:27:00"/>
    <m/>
    <d v="2019-12-13T16:27:01"/>
  </r>
  <r>
    <n v="138"/>
    <s v="Согласовать изменения установок коллекторов. "/>
    <n v="2"/>
    <s v="Значительное"/>
    <x v="0"/>
    <x v="3"/>
    <s v="rc_fire@rencons.com"/>
    <x v="1"/>
    <d v="2019-11-05T00:00:00"/>
    <d v="2019-11-20T00:00:00"/>
    <s v="РК-РД-1-ПТ4.3.01-03-05"/>
    <n v="45.29"/>
    <n v="57.08"/>
    <s v="13.B1.3.007_АПТ, Насосная"/>
    <m/>
    <m/>
    <s v="Насосная Пожаротушения"/>
    <s v="Ссылка на план"/>
    <x v="241"/>
    <d v="2019-11-18T17:47:16"/>
    <d v="2019-12-02T09:28:55"/>
    <m/>
    <d v="2019-12-02T09:28:55"/>
  </r>
  <r>
    <n v="145"/>
    <s v="Не установлены манометр у расходомера"/>
    <n v="2"/>
    <s v="Значительное"/>
    <x v="0"/>
    <x v="3"/>
    <s v="rc_fire@rencons.com"/>
    <x v="1"/>
    <d v="2019-11-05T00:00:00"/>
    <d v="2019-11-15T00:00:00"/>
    <s v="РК-РД-1-ПТ4.3.01-03-05"/>
    <n v="33.31"/>
    <n v="21.49"/>
    <s v="13.B1.3.007_АПТ, Насосная"/>
    <m/>
    <m/>
    <s v="Насосная Пожаротушения"/>
    <s v="Ссылка на план"/>
    <x v="242"/>
    <d v="2019-11-15T11:08:10"/>
    <d v="2019-11-18T15:05:02"/>
    <m/>
    <d v="2019-11-18T15:05:02"/>
  </r>
  <r>
    <n v="146"/>
    <s v="Не тот диаметр. Выяснить какой материал крана должен быть. "/>
    <n v="2"/>
    <s v="Значительное"/>
    <x v="0"/>
    <x v="3"/>
    <s v="rc_fire@rencons.com"/>
    <x v="1"/>
    <d v="2019-11-05T00:00:00"/>
    <d v="2019-11-15T00:00:00"/>
    <s v="РК-РД-1-ПТ4.3.01-03-05"/>
    <n v="34.57"/>
    <n v="59.58"/>
    <s v="13.B1.3.007_АПТ, Насосная"/>
    <m/>
    <m/>
    <s v="Насосная Пожаротушения"/>
    <s v="Ссылка на план"/>
    <x v="243"/>
    <d v="2019-11-15T11:06:43"/>
    <d v="2019-12-02T09:28:37"/>
    <m/>
    <d v="2019-12-02T09:28:37"/>
  </r>
  <r>
    <n v="580"/>
    <s v="Заменить хомуты на трубопроводах согласно диаметру."/>
    <n v="2"/>
    <s v="Значительное"/>
    <x v="0"/>
    <x v="3"/>
    <s v="rc_fire@rencons.com"/>
    <x v="1"/>
    <d v="2019-12-10T00:00:00"/>
    <d v="2019-12-30T00:00:00"/>
    <s v="РК-РД-1-ПТ4.2.01-35-01"/>
    <n v="27.56"/>
    <n v="36.17"/>
    <m/>
    <m/>
    <m/>
    <s v="В1-В2 ГПТ"/>
    <s v="Ссылка на план"/>
    <x v="244"/>
    <d v="2019-12-19T15:04:54"/>
    <d v="2019-12-19T20:38:36"/>
    <m/>
    <d v="2019-12-19T20:38:37"/>
  </r>
  <r>
    <n v="581"/>
    <s v="Шкаф не в проектной отметки."/>
    <n v="2"/>
    <s v="Значительное"/>
    <x v="0"/>
    <x v="3"/>
    <s v="rc_fire@rencons.com"/>
    <x v="1"/>
    <d v="2019-12-10T00:00:00"/>
    <d v="2019-12-16T00:00:00"/>
    <s v="РК-РД-2-ПТ4.1.03-06.09-05"/>
    <n v="34.909999999999997"/>
    <n v="38.450000000000003"/>
    <m/>
    <m/>
    <m/>
    <s v="L top АУПТ"/>
    <s v="Ссылка на план"/>
    <x v="245"/>
    <d v="2019-12-11T15:10:35"/>
    <d v="2019-12-11T15:10:35"/>
    <m/>
    <d v="2019-12-11T15:10:49"/>
  </r>
  <r>
    <n v="583"/>
    <s v="Шкаф не в проектной отметки."/>
    <n v="2"/>
    <s v="Значительное"/>
    <x v="0"/>
    <x v="3"/>
    <s v="rc_fire@rencons.com"/>
    <x v="1"/>
    <d v="2019-12-10T00:00:00"/>
    <d v="2019-12-16T00:00:00"/>
    <s v="РК-РД-2-ПТ4.1.03-06.03-05"/>
    <n v="5.81"/>
    <n v="62.26"/>
    <m/>
    <m/>
    <m/>
    <s v="L top АУПТ"/>
    <s v="Ссылка на план"/>
    <x v="246"/>
    <d v="2019-12-23T13:00:22"/>
    <d v="2019-12-23T13:40:37"/>
    <m/>
    <d v="2019-12-23T13:40:37"/>
  </r>
  <r>
    <n v="585"/>
    <s v="Шкаф не в проектной отметке. "/>
    <n v="2"/>
    <s v="Значительное"/>
    <x v="0"/>
    <x v="3"/>
    <s v="rc_fire@rencons.com"/>
    <x v="1"/>
    <d v="2019-12-10T00:00:00"/>
    <d v="2019-12-16T00:00:00"/>
    <s v="РК-РД-2-ПТ4.1.03-08.02-05"/>
    <n v="59.19"/>
    <n v="63.84"/>
    <m/>
    <m/>
    <m/>
    <s v="L top АУПТ"/>
    <s v="Ссылка на план"/>
    <x v="247"/>
    <d v="2019-12-11T14:55:47"/>
    <d v="2019-12-11T14:55:47"/>
    <m/>
    <d v="2019-12-11T14:55:51"/>
  </r>
  <r>
    <n v="588"/>
    <s v="Тип шкафа не по РД. "/>
    <n v="2"/>
    <s v="Значительное"/>
    <x v="0"/>
    <x v="3"/>
    <s v="rc_fire@rencons.com"/>
    <x v="1"/>
    <d v="2019-12-10T00:00:00"/>
    <d v="2019-12-16T00:00:00"/>
    <s v="РК-РД-2-ПТ4.1.03-10.02-05"/>
    <n v="42.95"/>
    <n v="39.270000000000003"/>
    <m/>
    <m/>
    <m/>
    <s v="L top АУПТ"/>
    <s v="Ссылка на план"/>
    <x v="248"/>
    <d v="2019-12-23T12:27:02"/>
    <d v="2019-12-23T13:40:24"/>
    <m/>
    <d v="2019-12-23T13:40:24"/>
  </r>
  <r>
    <n v="586"/>
    <s v="Шкав не в проектной отметке. "/>
    <n v="2"/>
    <s v="Значительное"/>
    <x v="0"/>
    <x v="3"/>
    <s v="rc_fire@rencons.com"/>
    <x v="1"/>
    <d v="2019-12-10T00:00:00"/>
    <d v="2019-12-16T00:00:00"/>
    <s v="РК-РД-2-ПТ4.1.03-10.05-05"/>
    <n v="21.85"/>
    <n v="48.87"/>
    <m/>
    <m/>
    <m/>
    <s v="L top АУПТ"/>
    <s v="Ссылка на план"/>
    <x v="249"/>
    <d v="2019-12-19T15:00:56"/>
    <d v="2019-12-23T09:53:11"/>
    <m/>
    <d v="2019-12-23T09:53:12"/>
  </r>
  <r>
    <n v="143"/>
    <s v="Отсутствуют дренажные краны. "/>
    <n v="2"/>
    <s v="Значительное"/>
    <x v="0"/>
    <x v="3"/>
    <s v="rc_fire@rencons.com"/>
    <x v="1"/>
    <d v="2019-11-05T00:00:00"/>
    <d v="2019-11-15T00:00:00"/>
    <s v="РК-РД-1-ПТ4.3.01-03-05"/>
    <n v="38.56"/>
    <n v="23.15"/>
    <s v="13.B1.3.007_АПТ, Насосная"/>
    <m/>
    <m/>
    <s v="Насосная Пожаротушения"/>
    <s v="Ссылка на план"/>
    <x v="250"/>
    <d v="2019-11-15T11:10:46"/>
    <d v="2019-11-18T15:04:24"/>
    <m/>
    <d v="2019-11-18T15:04:23"/>
  </r>
  <r>
    <n v="141"/>
    <s v="Высотные отметки не соответствуют РД"/>
    <n v="2"/>
    <s v="Значительное"/>
    <x v="0"/>
    <x v="3"/>
    <s v="rc_fire@rencons.com"/>
    <x v="1"/>
    <d v="2019-11-05T00:00:00"/>
    <d v="2019-11-15T00:00:00"/>
    <s v="РК-РД-1-ПТ4.3.01-03-05"/>
    <n v="37.76"/>
    <n v="33.51"/>
    <s v="13.B1.3.007_АПТ, Насосная"/>
    <m/>
    <m/>
    <s v="Насосная Пожаротушения"/>
    <s v="Ссылка на план"/>
    <x v="251"/>
    <d v="2019-11-18T17:40:34"/>
    <d v="2019-12-02T09:28:46"/>
    <m/>
    <d v="2019-12-02T09:28:46"/>
  </r>
  <r>
    <n v="144"/>
    <s v="Не все установлены расхрдометры"/>
    <n v="2"/>
    <s v="Значительное"/>
    <x v="0"/>
    <x v="3"/>
    <s v="rc_fire@rencons.com"/>
    <x v="1"/>
    <d v="2019-11-05T00:00:00"/>
    <d v="2019-11-15T00:00:00"/>
    <s v="РК-РД-1-ПТ4.3.01-03-05"/>
    <n v="31.62"/>
    <n v="17.739999999999998"/>
    <s v="13.B1.3.007_АПТ, Насосная"/>
    <m/>
    <m/>
    <s v="Насосная Пожаротушения"/>
    <s v="Ссылка на план"/>
    <x v="252"/>
    <d v="2019-11-15T11:09:17"/>
    <d v="2019-11-18T15:04:42"/>
    <m/>
    <d v="2019-11-18T15:04:41"/>
  </r>
  <r>
    <n v="142"/>
    <s v="Заменить болты на нержавейку "/>
    <n v="2"/>
    <s v="Значительное"/>
    <x v="0"/>
    <x v="3"/>
    <s v="rc_fire@rencons.com"/>
    <x v="1"/>
    <d v="2019-11-05T00:00:00"/>
    <d v="2019-11-15T00:00:00"/>
    <s v="РК-РД-1-ПТ4.3.01-03-05"/>
    <n v="38.14"/>
    <n v="20.18"/>
    <s v="13.B1.3.007_АПТ, Насосная"/>
    <m/>
    <m/>
    <s v="Насосная Пожаротушения"/>
    <s v="Ссылка на план"/>
    <x v="253"/>
    <d v="2019-11-18T15:06:51"/>
    <d v="2019-11-18T15:06:51"/>
    <m/>
    <d v="2019-11-18T15:06:50"/>
  </r>
  <r>
    <n v="882"/>
    <s v="Шкаф не в проектной отметки."/>
    <n v="2"/>
    <s v="Значительное"/>
    <x v="0"/>
    <x v="3"/>
    <s v="rc_fire@rencons.com"/>
    <x v="1"/>
    <d v="2020-01-10T00:00:00"/>
    <d v="2020-01-31T00:00:00"/>
    <s v="РК-РД-2-ПТ4.1.03-12.01-04"/>
    <n v="18.27"/>
    <n v="75.12"/>
    <m/>
    <m/>
    <m/>
    <s v="L top АУПТ"/>
    <s v="Ссылка на план"/>
    <x v="254"/>
    <d v="2020-02-05T14:03:57"/>
    <d v="2020-02-05T21:07:49"/>
    <m/>
    <d v="2020-02-05T21:07:49"/>
  </r>
  <r>
    <n v="876"/>
    <s v="Отклонения не согласованы."/>
    <n v="2"/>
    <s v="Значительное"/>
    <x v="0"/>
    <x v="3"/>
    <s v="rc_fire@rencons.com"/>
    <x v="1"/>
    <d v="2020-01-10T00:00:00"/>
    <d v="2020-01-31T00:00:00"/>
    <s v="РК-РД-2-ПТ4.1.03-18.05-03"/>
    <n v="31.75"/>
    <n v="77.44"/>
    <m/>
    <m/>
    <m/>
    <s v="L top АУПТ"/>
    <s v="Ссылка на план"/>
    <x v="255"/>
    <d v="2020-02-04T16:24:46"/>
    <d v="2020-02-04T16:24:46"/>
    <m/>
    <d v="2020-02-04T16:24:46"/>
  </r>
  <r>
    <n v="879"/>
    <s v="Шкафы не в проектной отметки."/>
    <n v="2"/>
    <s v="Значительное"/>
    <x v="0"/>
    <x v="3"/>
    <s v="rc_fire@rencons.com"/>
    <x v="1"/>
    <d v="2020-01-10T00:00:00"/>
    <d v="2020-01-31T00:00:00"/>
    <s v="РК-РД-2-ПТ4.1.03-16.05-04"/>
    <n v="37.18"/>
    <n v="30.48"/>
    <m/>
    <m/>
    <m/>
    <s v="L top АУПТ"/>
    <s v="Ссылка на план"/>
    <x v="256"/>
    <d v="2020-02-05T14:01:55"/>
    <d v="2020-02-05T21:06:30"/>
    <m/>
    <d v="2020-02-05T21:06:31"/>
  </r>
  <r>
    <n v="878"/>
    <s v="Шкафы не в проектной отметки."/>
    <n v="1"/>
    <s v="КРИТИЧЕСКОЕ"/>
    <x v="0"/>
    <x v="3"/>
    <s v="rc_fire@rencons.com"/>
    <x v="1"/>
    <d v="2020-01-10T00:00:00"/>
    <d v="2020-01-31T00:00:00"/>
    <s v="РК-РД-2-ПТ4.1.03-14.05-03"/>
    <n v="21.98"/>
    <n v="79.94"/>
    <m/>
    <m/>
    <m/>
    <s v="L top АУПТ"/>
    <s v="Ссылка на план"/>
    <x v="257"/>
    <d v="2020-02-05T10:32:51"/>
    <d v="2020-02-05T10:32:51"/>
    <m/>
    <d v="2020-02-05T10:32:52"/>
  </r>
  <r>
    <n v="886"/>
    <s v="Шкафы не в проектной отметки."/>
    <n v="2"/>
    <s v="Значительное"/>
    <x v="0"/>
    <x v="3"/>
    <s v="rc_fire@rencons.com"/>
    <x v="1"/>
    <d v="2020-01-10T00:00:00"/>
    <d v="2020-01-31T00:00:00"/>
    <s v="РК-РД-2-ПТ4.1.03-04.06-05"/>
    <n v="50.63"/>
    <n v="49.62"/>
    <m/>
    <m/>
    <m/>
    <s v="L top АУПТ"/>
    <s v="Ссылка на план"/>
    <x v="258"/>
    <d v="2020-02-05T14:09:11"/>
    <d v="2020-02-05T21:01:49"/>
    <m/>
    <d v="2020-02-05T21:01:49"/>
  </r>
  <r>
    <n v="883"/>
    <s v="Шкафы не в проектной отметки."/>
    <n v="2"/>
    <s v="Значительное"/>
    <x v="0"/>
    <x v="3"/>
    <s v="rc_fire@rencons.com"/>
    <x v="1"/>
    <d v="2020-01-10T00:00:00"/>
    <d v="2020-01-31T00:00:00"/>
    <s v="РК-РД-2-ПТ4.1.03-08.08-05"/>
    <n v="20.21"/>
    <n v="52.26"/>
    <m/>
    <m/>
    <m/>
    <s v="L top АУПТ"/>
    <s v="Ссылка на план"/>
    <x v="259"/>
    <d v="2020-02-05T14:05:22"/>
    <d v="2020-02-06T14:57:41"/>
    <m/>
    <d v="2020-02-06T14:57:55"/>
  </r>
  <r>
    <n v="885"/>
    <s v="Шкафы не в проектной отметки."/>
    <n v="2"/>
    <s v="Значительное"/>
    <x v="0"/>
    <x v="3"/>
    <s v="rc_fire@rencons.com"/>
    <x v="1"/>
    <d v="2020-01-10T00:00:00"/>
    <d v="2020-01-31T00:00:00"/>
    <s v="РК-РД-2-ПТ4.1.03-04.07-05"/>
    <n v="16.29"/>
    <n v="61.01"/>
    <m/>
    <m/>
    <m/>
    <s v="L top АУПТ"/>
    <s v="Ссылка на план"/>
    <x v="260"/>
    <d v="2020-02-05T14:14:07"/>
    <d v="2020-02-05T21:03:18"/>
    <m/>
    <d v="2020-02-05T21:03:18"/>
  </r>
  <r>
    <n v="884"/>
    <s v="Тип шкафов не по РД. Установлены не в проектной отметки."/>
    <n v="2"/>
    <s v="Значительное"/>
    <x v="0"/>
    <x v="3"/>
    <s v="rc_fire@rencons.com"/>
    <x v="1"/>
    <d v="2020-01-10T00:00:00"/>
    <d v="2020-01-31T00:00:00"/>
    <s v="РК-РД-2-ПТ4.1.03-04.08-05"/>
    <n v="12.76"/>
    <n v="44.52"/>
    <m/>
    <m/>
    <m/>
    <s v="L top АУПТ"/>
    <s v="Ссылка на план"/>
    <x v="261"/>
    <d v="2020-02-05T14:06:54"/>
    <d v="2020-02-06T14:52:06"/>
    <m/>
    <d v="2020-02-06T14:53:18"/>
  </r>
  <r>
    <n v="985"/>
    <s v="#гпт.  Направление 42. трубопроводы"/>
    <n v="2"/>
    <s v="Значительное"/>
    <x v="0"/>
    <x v="3"/>
    <s v="rc_fire@rencons.com"/>
    <x v="1"/>
    <d v="2020-01-21T00:00:00"/>
    <d v="2020-01-30T00:00:00"/>
    <s v="РК-РД-2-ПТ4.2.01-17-01"/>
    <n v="59.22"/>
    <n v="22.68"/>
    <m/>
    <m/>
    <m/>
    <s v="Ltop ГПТ"/>
    <s v="Ссылка на план"/>
    <x v="262"/>
    <d v="2020-02-05T08:59:58"/>
    <d v="2020-02-05T11:16:05"/>
    <m/>
    <d v="2020-02-05T11:16:09"/>
  </r>
  <r>
    <n v="1172"/>
    <s v="Ограждение парапетов "/>
    <n v="1"/>
    <s v="КРИТИЧЕСКОЕ"/>
    <x v="3"/>
    <x v="4"/>
    <s v="rc_quality@rencons.com"/>
    <x v="1"/>
    <d v="2020-02-04T00:00:00"/>
    <d v="2020-02-06T00:00:00"/>
    <s v="_FJT7Q~3"/>
    <n v="39.020000000000003"/>
    <n v="23.69"/>
    <m/>
    <m/>
    <m/>
    <s v="АР общие планы"/>
    <s v="Ссылка на план"/>
    <x v="263"/>
    <m/>
    <m/>
    <m/>
    <d v="2020-02-05T11:11:01"/>
  </r>
  <r>
    <n v="1266"/>
    <s v="Обратная засыпка песком НВК"/>
    <n v="2"/>
    <s v="Значительное"/>
    <x v="1"/>
    <x v="4"/>
    <s v="rc_vk@rencons.com"/>
    <x v="1"/>
    <d v="2020-02-10T00:00:00"/>
    <d v="2020-02-12T00:00:00"/>
    <s v="20191107_Plan_L1"/>
    <n v="0"/>
    <n v="0"/>
    <m/>
    <m/>
    <m/>
    <s v="Высоты потолков"/>
    <s v="Ссылка на план"/>
    <x v="264"/>
    <m/>
    <m/>
    <m/>
    <d v="2020-02-10T18:25:57"/>
  </r>
  <r>
    <n v="1268"/>
    <s v="Плита КПП"/>
    <n v="2"/>
    <s v="Значительное"/>
    <x v="1"/>
    <x v="4"/>
    <s v="rc_vk@rencons.com"/>
    <x v="1"/>
    <d v="2020-02-10T00:00:00"/>
    <d v="2020-02-13T00:00:00"/>
    <m/>
    <m/>
    <m/>
    <m/>
    <m/>
    <m/>
    <m/>
    <m/>
    <x v="265"/>
    <m/>
    <m/>
    <m/>
    <d v="2020-02-10T18:25:21"/>
  </r>
  <r>
    <n v="519"/>
    <s v="Венткана системы вентиляции"/>
    <n v="2"/>
    <s v="Значительное"/>
    <x v="0"/>
    <x v="4"/>
    <s v="rc_vent@rencons.com"/>
    <x v="1"/>
    <d v="2019-12-03T00:00:00"/>
    <d v="2019-12-06T00:00:00"/>
    <s v="РК-РД-1-АР01-02-10"/>
    <n v="9.7200000000000006"/>
    <n v="32"/>
    <m/>
    <m/>
    <m/>
    <s v="АР планы -8.200"/>
    <s v="Ссылка на план"/>
    <x v="266"/>
    <d v="2019-12-10T11:49:22"/>
    <d v="2019-12-10T16:34:42"/>
    <m/>
    <d v="2019-12-10T16:34:43"/>
  </r>
  <r>
    <n v="870"/>
    <s v="Решетки вентиляции"/>
    <n v="2"/>
    <s v="Значительное"/>
    <x v="0"/>
    <x v="4"/>
    <s v="rc_vent@rencons.com"/>
    <x v="1"/>
    <d v="2020-01-09T00:00:00"/>
    <d v="2020-01-18T00:00:00"/>
    <s v="РК-РД-1-АР01-02-10"/>
    <n v="25.52"/>
    <n v="41.76"/>
    <m/>
    <m/>
    <m/>
    <s v="АР планы -8.200"/>
    <s v="Ссылка на план"/>
    <x v="267"/>
    <d v="2020-01-15T17:56:44"/>
    <d v="2020-01-20T11:14:10"/>
    <m/>
    <d v="2020-01-20T11:14:10"/>
  </r>
  <r>
    <n v="1227"/>
    <s v="Приямок с насосами"/>
    <n v="1"/>
    <s v="КРИТИЧЕСКОЕ"/>
    <x v="3"/>
    <x v="4"/>
    <s v="rc_kzh@rencons.com"/>
    <x v="1"/>
    <d v="2020-02-06T00:00:00"/>
    <d v="2020-02-06T00:00:00"/>
    <s v="РК-РД-1-АР01-02-10"/>
    <n v="40.880000000000003"/>
    <n v="45.92"/>
    <m/>
    <m/>
    <m/>
    <s v="АР планы -8.200"/>
    <s v="Ссылка на план"/>
    <x v="268"/>
    <m/>
    <m/>
    <m/>
    <d v="2020-02-07T10:53:14"/>
  </r>
  <r>
    <n v="1265"/>
    <s v="Обратная засыпка с послойным уплотнением откосов"/>
    <n v="1"/>
    <s v="КРИТИЧЕСКОЕ"/>
    <x v="3"/>
    <x v="4"/>
    <s v="rc_kzh@rencons.com"/>
    <x v="1"/>
    <d v="2020-02-10T00:00:00"/>
    <d v="2020-02-10T00:00:00"/>
    <s v="РК-РД-1-АР01-03-11"/>
    <n v="5.87"/>
    <n v="22.23"/>
    <m/>
    <m/>
    <m/>
    <s v="АР планы -4.200"/>
    <s v="Ссылка на план"/>
    <x v="269"/>
    <m/>
    <m/>
    <m/>
    <d v="2020-02-10T16:10:44"/>
  </r>
  <r>
    <n v="59"/>
    <s v="По результатам осмотра плиты перекрытия (на том -8.400) выявлены по зонам следующие замечания ( см. Прилагаемый план с указанием зон): 1. Высолы по контору трещин в перекрытии (потолок) зоны №1 - №5"/>
    <n v="2"/>
    <s v="Значительное"/>
    <x v="1"/>
    <x v="4"/>
    <s v="rc_kzh@rencons.com"/>
    <x v="1"/>
    <d v="2019-07-24T00:00:00"/>
    <d v="2020-01-20T00:00:00"/>
    <m/>
    <m/>
    <m/>
    <m/>
    <m/>
    <m/>
    <m/>
    <m/>
    <x v="270"/>
    <m/>
    <m/>
    <m/>
    <d v="2019-12-13T15:00:53"/>
  </r>
  <r>
    <n v="461"/>
    <s v="Наружный водопровод"/>
    <n v="2"/>
    <s v="Значительное"/>
    <x v="0"/>
    <x v="4"/>
    <s v="rc_kzh@rencons.com"/>
    <x v="1"/>
    <d v="2019-11-27T00:00:00"/>
    <d v="2019-11-29T00:00:00"/>
    <s v="РК-РД-1-ВК4.1.01-02.00-04"/>
    <n v="25.15"/>
    <n v="81.73"/>
    <m/>
    <m/>
    <m/>
    <s v="Водоснабжение и канализация"/>
    <s v="Ссылка на план"/>
    <x v="271"/>
    <d v="2019-12-06T16:16:29"/>
    <d v="2019-12-09T18:01:37"/>
    <m/>
    <d v="2019-12-09T18:01:39"/>
  </r>
  <r>
    <n v="766"/>
    <s v="Гидроизоляция битумом наружной стены здания  "/>
    <n v="1"/>
    <s v="КРИТИЧЕСКОЕ"/>
    <x v="0"/>
    <x v="4"/>
    <s v="rc_kzh@rencons.com"/>
    <x v="1"/>
    <d v="2019-12-24T00:00:00"/>
    <d v="2019-12-27T00:00:00"/>
    <s v="_1NL38~V"/>
    <n v="17.96"/>
    <n v="9.2899999999999991"/>
    <m/>
    <m/>
    <m/>
    <s v="АР общие планы"/>
    <s v="Ссылка на план"/>
    <x v="272"/>
    <d v="2019-12-25T08:31:44"/>
    <d v="2019-12-25T11:24:33"/>
    <m/>
    <d v="2019-12-25T11:24:34"/>
  </r>
  <r>
    <n v="773"/>
    <s v="Монолитные ж/б стены"/>
    <n v="1"/>
    <s v="КРИТИЧЕСКОЕ"/>
    <x v="0"/>
    <x v="4"/>
    <s v="rc_kzh@rencons.com"/>
    <x v="1"/>
    <d v="2019-12-25T00:00:00"/>
    <d v="2019-12-27T00:00:00"/>
    <s v="РК-РД-2-АР01-14-01"/>
    <n v="14.68"/>
    <n v="55.24"/>
    <m/>
    <m/>
    <m/>
    <s v="АР общие планы"/>
    <s v="Ссылка на план"/>
    <x v="273"/>
    <d v="2019-12-26T18:33:35"/>
    <d v="2019-12-26T18:45:37"/>
    <m/>
    <d v="2019-12-26T18:45:38"/>
  </r>
  <r>
    <n v="692"/>
    <s v="Гидроизоляция ввода сети  канализации в здание"/>
    <n v="2"/>
    <s v="Значительное"/>
    <x v="0"/>
    <x v="4"/>
    <s v="rc_kzh@rencons.com"/>
    <x v="1"/>
    <d v="2019-12-20T00:00:00"/>
    <d v="2019-12-24T00:00:00"/>
    <s v="РК-РД-1-АР01-03-11"/>
    <n v="47.41"/>
    <n v="31.49"/>
    <m/>
    <m/>
    <m/>
    <s v="АР планы -4.200"/>
    <s v="Ссылка на план"/>
    <x v="274"/>
    <d v="2019-12-25T08:46:42"/>
    <d v="2019-12-27T09:54:43"/>
    <m/>
    <d v="2019-12-27T09:54:44"/>
  </r>
  <r>
    <n v="512"/>
    <s v="Ремонт ж/б поверхностей"/>
    <n v="2"/>
    <s v="Значительное"/>
    <x v="0"/>
    <x v="4"/>
    <s v="rc_kzh@rencons.com"/>
    <x v="1"/>
    <d v="2019-12-03T00:00:00"/>
    <d v="2019-12-06T00:00:00"/>
    <s v="_FJT7Q~3"/>
    <n v="30.68"/>
    <n v="49.2"/>
    <m/>
    <m/>
    <m/>
    <s v="АР общие планы"/>
    <s v="Ссылка на план"/>
    <x v="275"/>
    <d v="2019-12-12T08:50:17"/>
    <d v="2019-12-12T17:54:15"/>
    <m/>
    <d v="2019-12-12T17:54:15"/>
  </r>
  <r>
    <n v="73"/>
    <s v="В ходе операционного контроля выполненных работ по гидроизоляции и устройству «пирога» кровли стилобатной части выявлено замечание: 1. С конструкции кровли стилобат через трещины в перекрытии течёт вода на уровень В1 в/о 32—В/Б, отм — -4.200"/>
    <n v="2"/>
    <s v="Значительное"/>
    <x v="0"/>
    <x v="4"/>
    <s v="rc_kzh@rencons.com"/>
    <x v="1"/>
    <d v="2019-10-07T00:00:00"/>
    <d v="2019-10-11T00:00:00"/>
    <m/>
    <m/>
    <m/>
    <s v="Стилобат"/>
    <m/>
    <m/>
    <m/>
    <m/>
    <x v="276"/>
    <d v="2019-11-12T08:38:23"/>
    <d v="2019-11-28T11:54:22"/>
    <m/>
    <d v="2019-11-28T11:54:22"/>
  </r>
  <r>
    <n v="77"/>
    <s v="Основания под колодцы НК-Р2 и НК-Р3 тип ККС-3-80 (проект шифр РК-РД-2-СС4.1.01) выполнены не в соответствии полученной от Технического заказчика &quot;Технологии устройства наружной кабельной канализации ВОЛС&quot; (отсутствует щебень и обработка основания битумным"/>
    <n v="2"/>
    <s v="Значительное"/>
    <x v="0"/>
    <x v="4"/>
    <s v="rc_kzh@rencons.com"/>
    <x v="1"/>
    <d v="2019-10-18T00:00:00"/>
    <d v="2019-10-21T00:00:00"/>
    <m/>
    <m/>
    <m/>
    <s v="Наружные сети"/>
    <m/>
    <m/>
    <m/>
    <m/>
    <x v="146"/>
    <d v="2019-12-06T16:05:11"/>
    <d v="2019-12-09T17:46:54"/>
    <m/>
    <d v="2019-12-09T17:46:54"/>
  </r>
  <r>
    <n v="163"/>
    <s v="Опасное Складирование Ж/Б Элементов фундаментов На Кровле  Блок 1 В/О Э-7  Отм +12,450"/>
    <n v="1"/>
    <s v="КРИТИЧЕСКОЕ"/>
    <x v="0"/>
    <x v="4"/>
    <s v="rc_kzh@rencons.com"/>
    <x v="1"/>
    <m/>
    <m/>
    <m/>
    <m/>
    <m/>
    <m/>
    <m/>
    <m/>
    <m/>
    <m/>
    <x v="277"/>
    <d v="2019-11-22T04:04:53"/>
    <d v="2019-11-28T11:54:35"/>
    <m/>
    <d v="2019-11-28T11:54:35"/>
  </r>
  <r>
    <n v="620"/>
    <s v="Гидроизоляция битумом наружной стены здания "/>
    <n v="1"/>
    <s v="КРИТИЧЕСКОЕ"/>
    <x v="0"/>
    <x v="4"/>
    <s v="rc_kzh@rencons.com"/>
    <x v="1"/>
    <d v="2019-12-13T00:00:00"/>
    <d v="2019-12-13T00:00:00"/>
    <s v="РК-РД-1-АР01-03-11"/>
    <n v="45.96"/>
    <n v="47.59"/>
    <m/>
    <m/>
    <m/>
    <s v="АР планы -4.200"/>
    <s v="Ссылка на план"/>
    <x v="278"/>
    <d v="2019-12-18T08:25:18"/>
    <d v="2019-12-18T08:33:38"/>
    <m/>
    <d v="2019-12-18T08:33:40"/>
  </r>
  <r>
    <n v="1080"/>
    <s v="Ограждение парапетов"/>
    <n v="1"/>
    <s v="КРИТИЧЕСКОЕ"/>
    <x v="3"/>
    <x v="4"/>
    <s v="rc_km@rencons.com"/>
    <x v="1"/>
    <d v="2020-01-29T00:00:00"/>
    <d v="2020-02-05T00:00:00"/>
    <s v="_EAGRX~Q"/>
    <n v="36.619999999999997"/>
    <n v="32.94"/>
    <m/>
    <m/>
    <m/>
    <s v="АР общие планы"/>
    <s v="Ссылка на план"/>
    <x v="279"/>
    <m/>
    <m/>
    <m/>
    <d v="2020-02-04T11:51:20"/>
  </r>
  <r>
    <n v="1241"/>
    <s v="Не ведутся специальные журналы учета работ. Принять меры."/>
    <n v="1"/>
    <s v="КРИТИЧЕСКОЕ"/>
    <x v="3"/>
    <x v="4"/>
    <s v="rc_km@rencons.com"/>
    <x v="1"/>
    <d v="2020-02-07T00:00:00"/>
    <d v="2020-02-11T00:00:00"/>
    <m/>
    <m/>
    <m/>
    <m/>
    <m/>
    <m/>
    <m/>
    <m/>
    <x v="280"/>
    <m/>
    <m/>
    <m/>
    <d v="2020-02-07T17:03:14"/>
  </r>
  <r>
    <n v="910"/>
    <s v="Защитить ЛКП ферм кровли ETFE  от механических повреждений."/>
    <n v="1"/>
    <s v="КРИТИЧЕСКОЕ"/>
    <x v="3"/>
    <x v="4"/>
    <s v="rc_km@rencons.com"/>
    <x v="1"/>
    <d v="2020-01-14T00:00:00"/>
    <d v="2020-01-15T00:00:00"/>
    <m/>
    <m/>
    <m/>
    <m/>
    <m/>
    <m/>
    <m/>
    <m/>
    <x v="281"/>
    <m/>
    <m/>
    <m/>
    <d v="2020-01-21T11:13:24"/>
  </r>
  <r>
    <n v="965"/>
    <s v="Огнезащита металлоконструкций кровли Монокот Крилак"/>
    <n v="2"/>
    <s v="Значительное"/>
    <x v="1"/>
    <x v="4"/>
    <s v="rc_km@rencons.com"/>
    <x v="1"/>
    <d v="2020-01-20T00:00:00"/>
    <d v="2020-02-23T00:00:00"/>
    <s v="РК-РД-2-АР01-10-02"/>
    <n v="37.07"/>
    <n v="65.45"/>
    <m/>
    <m/>
    <m/>
    <s v="АР общие планы"/>
    <s v="Ссылка на план"/>
    <x v="282"/>
    <m/>
    <m/>
    <m/>
    <d v="2020-02-04T11:52:10"/>
  </r>
  <r>
    <n v="690"/>
    <s v="Устройство лотков ETFE"/>
    <n v="1"/>
    <s v="КРИТИЧЕСКОЕ"/>
    <x v="2"/>
    <x v="4"/>
    <s v="rc_km@rencons.com"/>
    <x v="1"/>
    <d v="2019-12-20T00:00:00"/>
    <d v="2019-12-23T00:00:00"/>
    <s v="_1RTDJ~B"/>
    <n v="42.8"/>
    <n v="38.78"/>
    <m/>
    <m/>
    <n v="0"/>
    <s v="АР общие планы"/>
    <s v="Ссылка на план"/>
    <x v="283"/>
    <d v="2020-01-31T17:48:17"/>
    <m/>
    <m/>
    <d v="2020-02-04T11:53:14"/>
  </r>
  <r>
    <n v="398"/>
    <s v="Огнезащита металлоконструкций кровли Блок 1 с отм. 18,078м.  до +26,315м"/>
    <n v="3"/>
    <s v="Малозначительное"/>
    <x v="0"/>
    <x v="4"/>
    <s v="rc_km@rencons.com"/>
    <x v="1"/>
    <d v="2019-11-22T00:00:00"/>
    <d v="2020-01-24T00:00:00"/>
    <s v="РК-РД-2-АР01-10-02"/>
    <n v="21.37"/>
    <n v="37.39"/>
    <m/>
    <m/>
    <m/>
    <s v="АР общие планы"/>
    <s v="Ссылка на план"/>
    <x v="284"/>
    <d v="2020-01-18T14:39:24"/>
    <d v="2020-01-18T15:37:35"/>
    <m/>
    <d v="2020-01-18T15:37:36"/>
  </r>
  <r>
    <n v="677"/>
    <s v="Нанесение огнезащитного состава &quot;Огракс&quot; Блок 1 в\о У-Ш\1/Б-2/Б, L6"/>
    <n v="3"/>
    <s v="Малозначительное"/>
    <x v="0"/>
    <x v="4"/>
    <s v="rc_km@rencons.com"/>
    <x v="1"/>
    <d v="2019-12-19T00:00:00"/>
    <d v="2020-01-24T00:00:00"/>
    <s v="РК-РД-2-АР01-14-01"/>
    <n v="12.36"/>
    <n v="25.42"/>
    <m/>
    <m/>
    <m/>
    <s v="АР общие планы"/>
    <s v="Ссылка на план"/>
    <x v="285"/>
    <d v="2020-01-21T09:03:45"/>
    <d v="2020-01-21T10:46:09"/>
    <m/>
    <d v="2020-01-21T10:46:10"/>
  </r>
  <r>
    <n v="382"/>
    <s v="конструкция кровли ЕТFЕ"/>
    <n v="1"/>
    <s v="КРИТИЧЕСКОЕ"/>
    <x v="0"/>
    <x v="4"/>
    <s v="rc_km@rencons.com"/>
    <x v="1"/>
    <d v="2019-11-21T00:00:00"/>
    <d v="2020-04-01T00:00:00"/>
    <s v="РК-РД-2-АР09.8-02-04 с комментариями"/>
    <n v="43.07"/>
    <n v="41.55"/>
    <m/>
    <m/>
    <m/>
    <s v="Подконструкция кровли ETFE"/>
    <s v="Ссылка на план"/>
    <x v="286"/>
    <d v="2020-01-23T11:00:11"/>
    <d v="2020-01-23T11:00:11"/>
    <m/>
    <d v="2020-01-23T17:07:23"/>
  </r>
  <r>
    <n v="634"/>
    <s v="Неверно выполнен узел стыковки алюминиевого профиля  лотка фермы: отсутствует мембрана Bigtop под шайбой и герметик sikaflex ( см. РК-РД-2-АР09.9-10)"/>
    <n v="1"/>
    <s v="КРИТИЧЕСКОЕ"/>
    <x v="0"/>
    <x v="4"/>
    <s v="rc_km@rencons.com"/>
    <x v="1"/>
    <d v="2019-12-16T00:00:00"/>
    <d v="2020-01-29T00:00:00"/>
    <m/>
    <m/>
    <m/>
    <m/>
    <m/>
    <m/>
    <m/>
    <m/>
    <x v="287"/>
    <d v="2020-01-29T10:01:22"/>
    <d v="2020-01-29T10:47:24"/>
    <m/>
    <d v="2020-01-29T10:47:25"/>
  </r>
  <r>
    <n v="520"/>
    <s v="Монтаж рельсов СОФ"/>
    <n v="1"/>
    <s v="КРИТИЧЕСКОЕ"/>
    <x v="0"/>
    <x v="4"/>
    <s v="rc_km@rencons.com"/>
    <x v="1"/>
    <d v="2019-12-03T00:00:00"/>
    <d v="2019-12-03T00:00:00"/>
    <m/>
    <m/>
    <m/>
    <m/>
    <m/>
    <m/>
    <m/>
    <m/>
    <x v="288"/>
    <d v="2020-01-22T09:25:37"/>
    <d v="2020-01-22T09:25:37"/>
    <m/>
    <d v="2020-01-22T09:25:38"/>
  </r>
  <r>
    <n v="48"/>
    <s v="В ходе операционного контроля монтажа металлоконструкций выявлено незаконченное закрепление конструкций металлической кровли на Блоке 1. Отдельные балки закреплены одним-двумя болтами, хотя кровля выше продолжает монтироваться. Согласно СП 78.13330.2012 п"/>
    <n v="2"/>
    <s v="Значительное"/>
    <x v="0"/>
    <x v="4"/>
    <s v="rc_km@rencons.com"/>
    <x v="1"/>
    <d v="2019-06-05T00:00:00"/>
    <d v="2019-06-08T00:00:00"/>
    <m/>
    <m/>
    <m/>
    <s v="Кровля_Блок 1_A1"/>
    <m/>
    <m/>
    <m/>
    <m/>
    <x v="289"/>
    <d v="2019-11-25T08:55:43"/>
    <d v="2019-11-28T11:54:17"/>
    <m/>
    <d v="2019-11-28T11:54:17"/>
  </r>
  <r>
    <n v="69"/>
    <s v="В ходе операционного контроля работ по огнезащитен конструкций МК выявлено: МК балки не обработаны составом Монокот-Крилак в полном объёме. Выполняются последующие работы по устройству перегородки из газобетон Балка в/о 7-5/ф, Л5"/>
    <n v="2"/>
    <s v="Значительное"/>
    <x v="0"/>
    <x v="4"/>
    <s v="rc_km@rencons.com"/>
    <x v="1"/>
    <d v="2019-09-27T00:00:00"/>
    <d v="2019-09-30T00:00:00"/>
    <m/>
    <m/>
    <m/>
    <s v="L5_Блок 1_A1"/>
    <m/>
    <m/>
    <m/>
    <m/>
    <x v="290"/>
    <d v="2019-11-12T09:32:58"/>
    <d v="2019-11-28T11:54:21"/>
    <m/>
    <d v="2019-11-28T11:54:21"/>
  </r>
  <r>
    <n v="68"/>
    <s v="В результате операционного контроля выполненных работ по окраске узлов металлоконструкций выявлено: Краска нанесена не равномерным слоем, имеются следы подтеков на узлах МК"/>
    <n v="2"/>
    <s v="Значительное"/>
    <x v="0"/>
    <x v="4"/>
    <s v="rc_km@rencons.com"/>
    <x v="1"/>
    <d v="2019-09-27T00:00:00"/>
    <d v="2019-09-30T00:00:00"/>
    <m/>
    <m/>
    <m/>
    <m/>
    <m/>
    <m/>
    <m/>
    <m/>
    <x v="290"/>
    <d v="2019-11-22T13:42:02"/>
    <d v="2019-11-28T11:54:19"/>
    <m/>
    <d v="2019-11-28T11:54:20"/>
  </r>
  <r>
    <n v="192"/>
    <s v="Кровля внутреннего двора"/>
    <n v="1"/>
    <s v="КРИТИЧЕСКОЕ"/>
    <x v="0"/>
    <x v="4"/>
    <s v="rc_km@rencons.com"/>
    <x v="1"/>
    <d v="2019-11-08T00:00:00"/>
    <d v="2019-11-11T00:00:00"/>
    <m/>
    <m/>
    <m/>
    <m/>
    <m/>
    <m/>
    <m/>
    <m/>
    <x v="291"/>
    <d v="2019-11-19T10:18:29"/>
    <d v="2019-11-28T11:54:30"/>
    <m/>
    <d v="2019-11-28T11:54:30"/>
  </r>
  <r>
    <n v="504"/>
    <s v="Сэндвич панели тех.помещение, кровля,  А3, 33/1-33."/>
    <n v="2"/>
    <s v="Значительное"/>
    <x v="0"/>
    <x v="4"/>
    <s v="rc_km@rencons.com"/>
    <x v="1"/>
    <d v="2019-12-10T00:00:00"/>
    <d v="2019-12-18T00:00:00"/>
    <m/>
    <m/>
    <m/>
    <s v="Кровля_Блок 3_A3"/>
    <m/>
    <m/>
    <m/>
    <m/>
    <x v="292"/>
    <d v="2020-01-24T17:24:22"/>
    <d v="2020-01-30T13:53:16"/>
    <m/>
    <d v="2020-01-30T13:53:17"/>
  </r>
  <r>
    <n v="64"/>
    <s v="В ходе приемочного контроля монтажных соединения на болтах с контролируемым натяжением выявлено механическое повреждение элементов монтируемого узла № 93, 178, 198 в осях &quot;1/Б-8&quot;/ &quot;Э-У&quot; блок 1 Кровля . Что препятствует нормальной оценке конструкции соглас"/>
    <n v="2"/>
    <s v="Значительное"/>
    <x v="0"/>
    <x v="4"/>
    <s v="rc_km@rencons.com"/>
    <x v="1"/>
    <d v="2019-08-24T00:00:00"/>
    <d v="2019-08-28T00:00:00"/>
    <m/>
    <m/>
    <m/>
    <s v="Кровля_Блок 1_A1"/>
    <m/>
    <m/>
    <m/>
    <m/>
    <x v="293"/>
    <d v="2019-11-19T10:15:31"/>
    <d v="2019-11-28T11:54:18"/>
    <m/>
    <d v="2019-11-28T11:54:18"/>
  </r>
  <r>
    <n v="385"/>
    <s v="При контрольном осмотре конструкций выявлены следующие дефекты: Сварочные швы имеют непровары в труднодоступных местах. Плохо очищен металл от сварочных брызг. Стенки лотка имеют встречный наклон, из-за сварочной деформации, по 3 мм. с каждой стороны. В ц"/>
    <n v="2"/>
    <s v="Значительное"/>
    <x v="0"/>
    <x v="4"/>
    <s v="rc_km@rencons.com"/>
    <x v="1"/>
    <d v="2019-11-21T00:00:00"/>
    <d v="2019-11-25T00:00:00"/>
    <m/>
    <m/>
    <m/>
    <m/>
    <m/>
    <m/>
    <m/>
    <m/>
    <x v="294"/>
    <d v="2019-12-13T15:01:58"/>
    <d v="2019-12-13T15:01:58"/>
    <m/>
    <d v="2019-12-13T15:01:59"/>
  </r>
  <r>
    <n v="317"/>
    <s v="Узел сопряжения монолитных конструкций стены с фасадными конструкциями в/о 12/И отм +4,050"/>
    <n v="2"/>
    <s v="Значительное"/>
    <x v="0"/>
    <x v="4"/>
    <s v="rc_km@rencons.com"/>
    <x v="1"/>
    <d v="2019-11-18T00:00:00"/>
    <d v="2019-11-21T00:00:00"/>
    <m/>
    <m/>
    <m/>
    <m/>
    <m/>
    <m/>
    <m/>
    <m/>
    <x v="295"/>
    <d v="2019-11-25T09:09:36"/>
    <d v="2019-11-28T11:54:32"/>
    <m/>
    <d v="2019-11-28T11:54:32"/>
  </r>
  <r>
    <n v="916"/>
    <s v="Колонна А1, +12.250, Т-У/6-7."/>
    <n v="2"/>
    <s v="Значительное"/>
    <x v="0"/>
    <x v="4"/>
    <s v="rc_km@rencons.com"/>
    <x v="1"/>
    <d v="2020-01-15T00:00:00"/>
    <d v="2020-01-22T00:00:00"/>
    <m/>
    <m/>
    <m/>
    <m/>
    <m/>
    <m/>
    <m/>
    <m/>
    <x v="296"/>
    <d v="2020-01-22T09:22:54"/>
    <d v="2020-01-22T09:22:54"/>
    <m/>
    <d v="2020-01-22T09:22:55"/>
  </r>
  <r>
    <n v="960"/>
    <s v="Металлоконструкция пожарной лестницы"/>
    <n v="1"/>
    <s v="КРИТИЧЕСКОЕ"/>
    <x v="0"/>
    <x v="4"/>
    <s v="rc_km@rencons.com"/>
    <x v="1"/>
    <d v="2020-01-20T00:00:00"/>
    <d v="2020-01-23T00:00:00"/>
    <s v="РК-РД-2-АР01-10-02"/>
    <n v="34.76"/>
    <n v="59.62"/>
    <m/>
    <m/>
    <m/>
    <s v="АР общие планы"/>
    <s v="Ссылка на план"/>
    <x v="297"/>
    <d v="2020-01-20T16:58:26"/>
    <d v="2020-01-20T17:29:11"/>
    <m/>
    <d v="2020-01-20T17:29:12"/>
  </r>
  <r>
    <n v="693"/>
    <s v="Устройство эксплуатационного люка под лестницей"/>
    <n v="1"/>
    <s v="КРИТИЧЕСКОЕ"/>
    <x v="3"/>
    <x v="4"/>
    <s v="rc_otdelka@rencons.com"/>
    <x v="1"/>
    <d v="2019-12-20T00:00:00"/>
    <d v="2020-01-04T00:00:00"/>
    <s v="РК-РД-1-АР01-02-10"/>
    <n v="29.13"/>
    <n v="20.63"/>
    <s v="14.В2.2.036"/>
    <m/>
    <m/>
    <s v="АР планы -8.200"/>
    <s v="Ссылка на план"/>
    <x v="298"/>
    <m/>
    <m/>
    <m/>
    <d v="2020-02-04T11:47:18"/>
  </r>
  <r>
    <n v="1072"/>
    <s v="Отделка откосов дверей"/>
    <n v="1"/>
    <s v="КРИТИЧЕСКОЕ"/>
    <x v="3"/>
    <x v="4"/>
    <s v="rc_otdelka@rencons.com"/>
    <x v="1"/>
    <d v="2020-01-28T00:00:00"/>
    <d v="2020-01-28T00:00:00"/>
    <s v="_FJT7Q~3"/>
    <n v="27.28"/>
    <n v="24.2"/>
    <m/>
    <m/>
    <m/>
    <s v="АР общие планы"/>
    <s v="Ссылка на план"/>
    <x v="299"/>
    <m/>
    <m/>
    <m/>
    <d v="2020-02-04T11:46:45"/>
  </r>
  <r>
    <n v="1073"/>
    <s v="Отделка откосов дверей "/>
    <n v="1"/>
    <s v="КРИТИЧЕСКОЕ"/>
    <x v="3"/>
    <x v="4"/>
    <s v="rc_otdelka@rencons.com"/>
    <x v="1"/>
    <d v="2020-01-28T00:00:00"/>
    <d v="2020-01-28T00:00:00"/>
    <s v="_FJT7Q~3"/>
    <n v="27.96"/>
    <n v="23.91"/>
    <m/>
    <m/>
    <m/>
    <s v="АР общие планы"/>
    <s v="Ссылка на план"/>
    <x v="300"/>
    <m/>
    <m/>
    <m/>
    <d v="2020-01-28T10:24:32"/>
  </r>
  <r>
    <n v="756"/>
    <s v="Вентилируемый фасад."/>
    <n v="1"/>
    <s v="КРИТИЧЕСКОЕ"/>
    <x v="3"/>
    <x v="4"/>
    <s v="rc_otdelka@rencons.com"/>
    <x v="1"/>
    <d v="2019-12-24T00:00:00"/>
    <d v="2020-01-19T00:00:00"/>
    <s v="_FJT7Q~3"/>
    <n v="16.45"/>
    <n v="28.21"/>
    <m/>
    <m/>
    <m/>
    <s v="АР общие планы"/>
    <s v="Ссылка на план"/>
    <x v="301"/>
    <m/>
    <m/>
    <m/>
    <d v="2019-12-24T11:12:11"/>
  </r>
  <r>
    <n v="760"/>
    <s v="Кровля, плиточное покрытие"/>
    <n v="1"/>
    <s v="КРИТИЧЕСКОЕ"/>
    <x v="3"/>
    <x v="4"/>
    <s v="rc_otdelka@rencons.com"/>
    <x v="1"/>
    <d v="2019-12-24T00:00:00"/>
    <d v="2020-01-06T00:00:00"/>
    <s v="РК-РД-2-АР01-10-02"/>
    <n v="20.03"/>
    <n v="42.27"/>
    <m/>
    <m/>
    <m/>
    <s v="АР общие планы"/>
    <s v="Ссылка на план"/>
    <x v="302"/>
    <m/>
    <m/>
    <m/>
    <d v="2020-02-04T11:47:27"/>
  </r>
  <r>
    <n v="758"/>
    <s v="Гидроизоляция кровли  "/>
    <n v="1"/>
    <s v="КРИТИЧЕСКОЕ"/>
    <x v="3"/>
    <x v="4"/>
    <s v="rc_otdelka@rencons.com"/>
    <x v="1"/>
    <d v="2019-12-24T00:00:00"/>
    <d v="2020-01-18T00:00:00"/>
    <s v="_EAGRX~Q"/>
    <n v="14.74"/>
    <n v="34.18"/>
    <m/>
    <m/>
    <m/>
    <s v="АР общие планы"/>
    <s v="Ссылка на план"/>
    <x v="303"/>
    <m/>
    <m/>
    <m/>
    <d v="2019-12-24T14:15:07"/>
  </r>
  <r>
    <n v="489"/>
    <s v="Отделка. Лестница ЛК-3.3. Монтаж плитки."/>
    <n v="1"/>
    <s v="КРИТИЧЕСКОЕ"/>
    <x v="3"/>
    <x v="4"/>
    <s v="rc_otdelka@rencons.com"/>
    <x v="1"/>
    <d v="2019-11-30T00:00:00"/>
    <d v="2020-01-03T00:00:00"/>
    <m/>
    <m/>
    <m/>
    <m/>
    <m/>
    <m/>
    <m/>
    <m/>
    <x v="304"/>
    <m/>
    <m/>
    <m/>
    <d v="2019-12-11T08:51:37"/>
  </r>
  <r>
    <n v="1089"/>
    <s v="Устройство фальшполов МЭРО "/>
    <n v="1"/>
    <s v="КРИТИЧЕСКОЕ"/>
    <x v="3"/>
    <x v="4"/>
    <s v="rc_otdelka@rencons.com"/>
    <x v="1"/>
    <d v="2020-01-29T00:00:00"/>
    <d v="2020-01-29T00:00:00"/>
    <s v="РК-РД-2-АР01-04-07"/>
    <n v="37.17"/>
    <n v="28.21"/>
    <m/>
    <m/>
    <m/>
    <s v="АР планы 0.000"/>
    <s v="Ссылка на план"/>
    <x v="305"/>
    <m/>
    <m/>
    <m/>
    <d v="2020-01-29T14:17:51"/>
  </r>
  <r>
    <n v="50"/>
    <s v="В процессе операционного контроля выполняемых работ по устройству стен и перегородок из газоблоков в/о (8-34/1)(3-5) блоках 2,3, отм. +8400, L3, примыкающих к ж/б стенам и колоннам ядер жесткости здания выявлено замечание: Суммарное отклонение от продольн"/>
    <n v="1"/>
    <s v="КРИТИЧЕСКОЕ"/>
    <x v="3"/>
    <x v="4"/>
    <s v="rc_otdelka@rencons.com"/>
    <x v="1"/>
    <d v="2019-06-25T00:00:00"/>
    <d v="2020-01-13T00:00:00"/>
    <m/>
    <m/>
    <m/>
    <s v="L3_Блок 2_A2"/>
    <m/>
    <m/>
    <m/>
    <m/>
    <x v="306"/>
    <m/>
    <m/>
    <m/>
    <d v="2019-12-13T15:02:36"/>
  </r>
  <r>
    <n v="210"/>
    <s v="Вентилируемый фасад. Не выполнена подготовка ж/б поверхности бетона, стена l4, в/о Ш2/Ш3"/>
    <n v="1"/>
    <s v="КРИТИЧЕСКОЕ"/>
    <x v="3"/>
    <x v="4"/>
    <s v="rc_otdelka@rencons.com"/>
    <x v="1"/>
    <d v="2019-11-07T00:00:00"/>
    <d v="2020-01-13T00:00:00"/>
    <m/>
    <m/>
    <m/>
    <m/>
    <m/>
    <m/>
    <m/>
    <m/>
    <x v="307"/>
    <m/>
    <m/>
    <m/>
    <d v="2020-01-29T17:38:27"/>
  </r>
  <r>
    <n v="869"/>
    <s v="Отделка стен"/>
    <n v="1"/>
    <s v="КРИТИЧЕСКОЕ"/>
    <x v="3"/>
    <x v="4"/>
    <s v="rc_otdelka@rencons.com"/>
    <x v="1"/>
    <d v="2020-01-09T00:00:00"/>
    <d v="2020-01-14T00:00:00"/>
    <s v="РК-РД-1-АР01-03-11"/>
    <n v="16.66"/>
    <n v="64.87"/>
    <m/>
    <m/>
    <m/>
    <s v="АР планы -4.200"/>
    <s v="Ссылка на план"/>
    <x v="308"/>
    <m/>
    <m/>
    <m/>
    <d v="2020-01-16T11:55:11"/>
  </r>
  <r>
    <n v="1198"/>
    <s v="Штукатурка стен"/>
    <n v="1"/>
    <s v="КРИТИЧЕСКОЕ"/>
    <x v="3"/>
    <x v="4"/>
    <s v="rc_otdelka@rencons.com"/>
    <x v="1"/>
    <d v="2020-02-05T00:00:00"/>
    <d v="2020-02-05T00:00:00"/>
    <s v="L3_Приемка помещений"/>
    <n v="11.68"/>
    <n v="63.48"/>
    <m/>
    <m/>
    <m/>
    <s v="Приемка помещений"/>
    <s v="Ссылка на план"/>
    <x v="309"/>
    <m/>
    <m/>
    <m/>
    <d v="2020-02-05T15:54:51"/>
  </r>
  <r>
    <n v="1263"/>
    <s v="Гидроизоляция кровли   "/>
    <n v="1"/>
    <s v="КРИТИЧЕСКОЕ"/>
    <x v="3"/>
    <x v="4"/>
    <s v="rc_otdelka@rencons.com"/>
    <x v="1"/>
    <d v="2020-02-10T00:00:00"/>
    <d v="2020-02-10T00:00:00"/>
    <s v="_QOSXK~Y"/>
    <n v="37.89"/>
    <n v="52.86"/>
    <m/>
    <m/>
    <m/>
    <s v="АР общие планы"/>
    <s v="Ссылка на план"/>
    <x v="310"/>
    <m/>
    <m/>
    <m/>
    <d v="2020-02-10T10:34:52"/>
  </r>
  <r>
    <n v="921"/>
    <s v="Устройство фальшполов МЭРО "/>
    <n v="1"/>
    <s v="КРИТИЧЕСКОЕ"/>
    <x v="3"/>
    <x v="4"/>
    <s v="rc_otdelka@rencons.com"/>
    <x v="1"/>
    <d v="2020-01-15T00:00:00"/>
    <d v="2020-01-24T00:00:00"/>
    <s v="L3_Приемка помещений"/>
    <n v="21.47"/>
    <n v="38.340000000000003"/>
    <m/>
    <m/>
    <m/>
    <s v="Приемка помещений"/>
    <s v="Ссылка на план"/>
    <x v="311"/>
    <m/>
    <m/>
    <m/>
    <d v="2020-01-28T09:49:34"/>
  </r>
  <r>
    <n v="987"/>
    <s v="Устройство водоприемной воронки канализации"/>
    <n v="1"/>
    <s v="КРИТИЧЕСКОЕ"/>
    <x v="3"/>
    <x v="4"/>
    <s v="rc_otdelka@rencons.com"/>
    <x v="1"/>
    <d v="2020-01-21T00:00:00"/>
    <d v="2020-01-21T00:00:00"/>
    <s v="РК-РД-2-АР01-04-07"/>
    <n v="16.66"/>
    <n v="17.71"/>
    <m/>
    <m/>
    <m/>
    <s v="АР планы 0.000"/>
    <s v="Ссылка на план"/>
    <x v="312"/>
    <m/>
    <m/>
    <m/>
    <d v="2020-02-04T11:48:56"/>
  </r>
  <r>
    <n v="463"/>
    <s v="Штукатурка стен ЛК"/>
    <n v="2"/>
    <s v="Значительное"/>
    <x v="1"/>
    <x v="4"/>
    <s v="rc_otdelka@rencons.com"/>
    <x v="1"/>
    <d v="2019-11-27T00:00:00"/>
    <d v="2020-01-12T00:00:00"/>
    <s v="РК-РД-2-АР01-05-05"/>
    <n v="20.03"/>
    <n v="44.17"/>
    <m/>
    <m/>
    <m/>
    <s v="АР общие планы"/>
    <s v="Ссылка на план"/>
    <x v="313"/>
    <m/>
    <m/>
    <m/>
    <d v="2019-12-12T17:09:17"/>
  </r>
  <r>
    <n v="920"/>
    <s v="Устройство фальшполов МЭРО"/>
    <n v="2"/>
    <s v="Значительное"/>
    <x v="1"/>
    <x v="4"/>
    <s v="rc_otdelka@rencons.com"/>
    <x v="1"/>
    <d v="2020-01-15T00:00:00"/>
    <d v="2020-01-24T00:00:00"/>
    <s v="L3_Приемка помещений"/>
    <n v="20.61"/>
    <n v="44.53"/>
    <m/>
    <m/>
    <m/>
    <s v="Приемка помещений"/>
    <s v="Ссылка на план"/>
    <x v="314"/>
    <m/>
    <m/>
    <m/>
    <d v="2020-01-28T09:49:10"/>
  </r>
  <r>
    <n v="919"/>
    <s v="Устройство фальшполов МЭРА"/>
    <n v="2"/>
    <s v="Значительное"/>
    <x v="1"/>
    <x v="4"/>
    <s v="rc_otdelka@rencons.com"/>
    <x v="1"/>
    <d v="2020-01-15T00:00:00"/>
    <d v="2020-01-24T00:00:00"/>
    <s v="L3_Приемка помещений"/>
    <n v="20.68"/>
    <n v="46.43"/>
    <m/>
    <m/>
    <m/>
    <s v="Приемка помещений"/>
    <s v="Ссылка на план"/>
    <x v="315"/>
    <m/>
    <m/>
    <m/>
    <d v="2020-01-28T09:49:49"/>
  </r>
  <r>
    <n v="511"/>
    <s v="Крепление поручней ЛК"/>
    <n v="3"/>
    <s v="Малозначительное"/>
    <x v="4"/>
    <x v="4"/>
    <s v="rc_otdelka@rencons.com"/>
    <x v="1"/>
    <d v="2019-12-03T00:00:00"/>
    <d v="2020-02-20T00:00:00"/>
    <s v="_FJT7Q~3"/>
    <n v="33.6"/>
    <n v="27.77"/>
    <m/>
    <m/>
    <m/>
    <s v="АР общие планы"/>
    <s v="Ссылка на план"/>
    <x v="316"/>
    <m/>
    <m/>
    <m/>
    <d v="2020-01-13T15:26:57"/>
  </r>
  <r>
    <n v="964"/>
    <s v="Гидроизоляция кровли   "/>
    <n v="3"/>
    <s v="Малозначительное"/>
    <x v="4"/>
    <x v="4"/>
    <s v="rc_otdelka@rencons.com"/>
    <x v="1"/>
    <d v="2020-01-20T00:00:00"/>
    <d v="2020-01-27T00:00:00"/>
    <s v="РК-РД-2-АР01-10-02"/>
    <n v="37.340000000000003"/>
    <n v="65.23"/>
    <m/>
    <m/>
    <m/>
    <s v="АР общие планы"/>
    <s v="Ссылка на план"/>
    <x v="317"/>
    <m/>
    <m/>
    <m/>
    <d v="2020-01-28T09:49:19"/>
  </r>
  <r>
    <n v="1069"/>
    <s v="Вентилируемый фасад. "/>
    <n v="2"/>
    <s v="Значительное"/>
    <x v="2"/>
    <x v="4"/>
    <s v="rc_otdelka@rencons.com"/>
    <x v="1"/>
    <d v="2020-01-28T00:00:00"/>
    <d v="2020-01-29T00:00:00"/>
    <s v="_EAGRX~Q"/>
    <n v="41.81"/>
    <n v="33.6"/>
    <m/>
    <m/>
    <m/>
    <s v="АР общие планы"/>
    <s v="Ссылка на план"/>
    <x v="318"/>
    <d v="2020-02-06T11:46:16"/>
    <m/>
    <m/>
    <d v="2020-02-06T11:45:41"/>
  </r>
  <r>
    <n v="1173"/>
    <s v="Устройство вент. фасадов. Монтаж второго слоя утеплителя"/>
    <n v="2"/>
    <s v="Значительное"/>
    <x v="2"/>
    <x v="4"/>
    <s v="rc_otdelka@rencons.com"/>
    <x v="1"/>
    <d v="2020-02-04T00:00:00"/>
    <d v="2020-02-04T00:00:00"/>
    <s v="_FJT7Q~3"/>
    <n v="37.380000000000003"/>
    <n v="30.39"/>
    <m/>
    <m/>
    <m/>
    <s v="АР общие планы"/>
    <s v="Ссылка на план"/>
    <x v="319"/>
    <d v="2020-02-05T16:41:46"/>
    <m/>
    <m/>
    <d v="2020-02-05T16:41:10"/>
  </r>
  <r>
    <n v="418"/>
    <s v="Блок 2, Л4. Замечания по монтажу тротуарной плитки на кровле."/>
    <n v="1"/>
    <s v="КРИТИЧЕСКОЕ"/>
    <x v="0"/>
    <x v="4"/>
    <s v="rc_otdelka@rencons.com"/>
    <x v="1"/>
    <d v="2019-11-23T00:00:00"/>
    <d v="2019-11-29T00:00:00"/>
    <m/>
    <m/>
    <m/>
    <m/>
    <m/>
    <m/>
    <m/>
    <m/>
    <x v="320"/>
    <d v="2019-12-10T14:26:39"/>
    <d v="2019-12-10T14:26:39"/>
    <m/>
    <d v="2019-12-10T14:33:57"/>
  </r>
  <r>
    <n v="464"/>
    <s v="Хранение сыпучих материалов, щебень"/>
    <n v="1"/>
    <s v="КРИТИЧЕСКОЕ"/>
    <x v="0"/>
    <x v="4"/>
    <s v="rc_otdelka@rencons.com"/>
    <x v="1"/>
    <d v="2019-11-28T00:00:00"/>
    <d v="2019-11-28T00:00:00"/>
    <s v="РК-РД-2-АР01-04-07"/>
    <n v="24.42"/>
    <n v="65.739999999999995"/>
    <m/>
    <m/>
    <m/>
    <s v="АР планы 0.000"/>
    <s v="Ссылка на план"/>
    <x v="321"/>
    <d v="2019-12-10T17:57:21"/>
    <d v="2019-12-10T18:02:41"/>
    <m/>
    <d v="2019-12-10T18:02:42"/>
  </r>
  <r>
    <n v="757"/>
    <s v="Деформационный шов"/>
    <n v="1"/>
    <s v="КРИТИЧЕСКОЕ"/>
    <x v="0"/>
    <x v="4"/>
    <s v="rc_otdelka@rencons.com"/>
    <x v="1"/>
    <d v="2019-12-24T00:00:00"/>
    <d v="2020-01-17T00:00:00"/>
    <s v="_FJT7Q~3"/>
    <n v="17.59"/>
    <n v="27.26"/>
    <m/>
    <m/>
    <m/>
    <s v="АР общие планы"/>
    <s v="Ссылка на план"/>
    <x v="322"/>
    <d v="2020-01-07T14:44:36"/>
    <d v="2020-01-09T09:42:46"/>
    <m/>
    <d v="2020-01-09T09:42:48"/>
  </r>
  <r>
    <n v="762"/>
    <s v="Утеплитель МК колонн"/>
    <n v="1"/>
    <s v="КРИТИЧЕСКОЕ"/>
    <x v="0"/>
    <x v="4"/>
    <s v="rc_otdelka@rencons.com"/>
    <x v="1"/>
    <d v="2019-12-24T00:00:00"/>
    <d v="2019-12-27T00:00:00"/>
    <s v="_QOSXK~Y"/>
    <n v="19.43"/>
    <n v="33.57"/>
    <m/>
    <m/>
    <m/>
    <s v="АР общие планы"/>
    <s v="Ссылка на план"/>
    <x v="323"/>
    <d v="2019-12-26T17:55:06"/>
    <d v="2019-12-27T09:53:51"/>
    <m/>
    <d v="2019-12-27T09:53:51"/>
  </r>
  <r>
    <n v="763"/>
    <s v="Утеплитель МК колонн "/>
    <n v="1"/>
    <s v="КРИТИЧЕСКОЕ"/>
    <x v="0"/>
    <x v="4"/>
    <s v="rc_otdelka@rencons.com"/>
    <x v="1"/>
    <d v="2019-12-24T00:00:00"/>
    <d v="2019-12-27T00:00:00"/>
    <s v="РК-РД-2-АР01-14-01"/>
    <n v="14.84"/>
    <n v="45.24"/>
    <m/>
    <m/>
    <m/>
    <s v="АР общие планы"/>
    <s v="Ссылка на план"/>
    <x v="324"/>
    <d v="2019-12-26T17:56:53"/>
    <d v="2019-12-27T09:53:41"/>
    <m/>
    <d v="2019-12-27T09:53:41"/>
  </r>
  <r>
    <n v="759"/>
    <s v="Пароизоляция пирога кровли "/>
    <n v="1"/>
    <s v="КРИТИЧЕСКОЕ"/>
    <x v="0"/>
    <x v="4"/>
    <s v="rc_otdelka@rencons.com"/>
    <x v="1"/>
    <d v="2019-12-24T00:00:00"/>
    <d v="2020-01-26T00:00:00"/>
    <s v="_1RTDJ~B"/>
    <n v="17.66"/>
    <n v="38.119999999999997"/>
    <m/>
    <m/>
    <m/>
    <s v="АР общие планы"/>
    <s v="Ссылка на план"/>
    <x v="325"/>
    <d v="2019-12-26T10:22:49"/>
    <d v="2019-12-26T10:36:44"/>
    <m/>
    <d v="2019-12-26T10:36:45"/>
  </r>
  <r>
    <n v="1088"/>
    <s v="Устройство фальшполов МЭРО "/>
    <n v="1"/>
    <s v="КРИТИЧЕСКОЕ"/>
    <x v="0"/>
    <x v="4"/>
    <s v="rc_otdelka@rencons.com"/>
    <x v="1"/>
    <d v="2020-01-29T00:00:00"/>
    <d v="2020-01-29T00:00:00"/>
    <s v="РК-РД-2-АР01-04-07"/>
    <n v="37.17"/>
    <n v="27.33"/>
    <m/>
    <m/>
    <m/>
    <s v="АР планы 0.000"/>
    <s v="Ссылка на план"/>
    <x v="326"/>
    <d v="2020-02-05T16:45:53"/>
    <d v="2020-02-05T17:36:13"/>
    <m/>
    <d v="2020-02-05T17:36:14"/>
  </r>
  <r>
    <n v="1095"/>
    <s v="Устройство фальшполов МЭРО "/>
    <n v="1"/>
    <s v="КРИТИЧЕСКОЕ"/>
    <x v="0"/>
    <x v="4"/>
    <s v="rc_otdelka@rencons.com"/>
    <x v="1"/>
    <d v="2020-01-29T00:00:00"/>
    <d v="2020-01-29T00:00:00"/>
    <s v="L3_Приемка помещений"/>
    <n v="21.02"/>
    <n v="37.97"/>
    <m/>
    <m/>
    <m/>
    <s v="Приемка помещений"/>
    <s v="Ссылка на план"/>
    <x v="327"/>
    <d v="2020-02-05T16:43:10"/>
    <d v="2020-02-05T17:37:01"/>
    <m/>
    <d v="2020-02-05T17:37:02"/>
  </r>
  <r>
    <n v="1091"/>
    <s v="Устройство фальшполов МЭРО "/>
    <n v="1"/>
    <s v="КРИТИЧЕСКОЕ"/>
    <x v="0"/>
    <x v="4"/>
    <s v="rc_otdelka@rencons.com"/>
    <x v="1"/>
    <d v="2020-01-29T00:00:00"/>
    <d v="2020-01-29T00:00:00"/>
    <s v="L3_Приемка помещений"/>
    <n v="20.85"/>
    <n v="57.8"/>
    <m/>
    <m/>
    <m/>
    <s v="Приемка помещений"/>
    <s v="Ссылка на план"/>
    <x v="328"/>
    <d v="2020-02-05T16:45:26"/>
    <d v="2020-02-05T17:36:22"/>
    <m/>
    <d v="2020-02-05T17:36:23"/>
  </r>
  <r>
    <n v="1090"/>
    <s v="Устройство фальшполов МЭРО "/>
    <n v="1"/>
    <s v="КРИТИЧЕСКОЕ"/>
    <x v="0"/>
    <x v="4"/>
    <s v="rc_otdelka@rencons.com"/>
    <x v="1"/>
    <d v="2020-01-29T00:00:00"/>
    <d v="2020-01-29T00:00:00"/>
    <s v="L3_Приемка помещений"/>
    <n v="12.09"/>
    <n v="63.41"/>
    <m/>
    <m/>
    <m/>
    <s v="Приемка помещений"/>
    <s v="Ссылка на план"/>
    <x v="329"/>
    <d v="2020-02-05T14:48:53"/>
    <d v="2020-02-05T14:48:53"/>
    <m/>
    <d v="2020-02-05T15:54:51"/>
  </r>
  <r>
    <n v="1093"/>
    <s v="Устройство фальшполов МЭРО "/>
    <n v="1"/>
    <s v="КРИТИЧЕСКОЕ"/>
    <x v="0"/>
    <x v="4"/>
    <s v="rc_otdelka@rencons.com"/>
    <x v="1"/>
    <d v="2020-01-29T00:00:00"/>
    <d v="2020-01-29T00:00:00"/>
    <s v="L3_Приемка помещений"/>
    <n v="27.83"/>
    <n v="49.71"/>
    <m/>
    <m/>
    <m/>
    <s v="Приемка помещений"/>
    <s v="Ссылка на план"/>
    <x v="330"/>
    <d v="2020-02-05T16:44:43"/>
    <d v="2020-02-05T17:36:44"/>
    <m/>
    <d v="2020-02-05T17:36:45"/>
  </r>
  <r>
    <n v="1094"/>
    <s v="Устройство фальшполов МЭРО "/>
    <n v="1"/>
    <s v="КРИТИЧЕСКОЕ"/>
    <x v="0"/>
    <x v="4"/>
    <s v="rc_otdelka@rencons.com"/>
    <x v="1"/>
    <d v="2020-01-29T00:00:00"/>
    <d v="2020-01-29T00:00:00"/>
    <s v="L3_Приемка помещений"/>
    <n v="28.34"/>
    <n v="49.78"/>
    <m/>
    <m/>
    <m/>
    <s v="Приемка помещений"/>
    <s v="Ссылка на план"/>
    <x v="331"/>
    <d v="2020-02-05T16:44:19"/>
    <d v="2020-02-05T17:36:50"/>
    <m/>
    <d v="2020-02-05T17:36:51"/>
  </r>
  <r>
    <n v="1092"/>
    <s v="Устройство фальшполов МЭРО "/>
    <n v="1"/>
    <s v="КРИТИЧЕСКОЕ"/>
    <x v="0"/>
    <x v="4"/>
    <s v="rc_otdelka@rencons.com"/>
    <x v="1"/>
    <d v="2020-01-29T00:00:00"/>
    <d v="2020-01-29T00:00:00"/>
    <s v="L3_Приемка помещений"/>
    <n v="27.38"/>
    <n v="49.85"/>
    <m/>
    <m/>
    <m/>
    <s v="Приемка помещений"/>
    <s v="Ссылка на план"/>
    <x v="332"/>
    <d v="2020-02-05T16:45:07"/>
    <d v="2020-02-05T17:36:31"/>
    <m/>
    <d v="2020-02-05T17:36:32"/>
  </r>
  <r>
    <n v="76"/>
    <s v="В ходе входного контроля выполняемых работ по устройству основания из ЦПС под плитку на кровле Л4-Л5 блока 2 выявлено: На всех мешках ЦПС отсутствует дата производства, отсутствует порядковый уникальный номер мешков ЦПС Предоставить паспорт Предоставить ж"/>
    <n v="2"/>
    <s v="Значительное"/>
    <x v="0"/>
    <x v="4"/>
    <s v="rc_otdelka@rencons.com"/>
    <x v="1"/>
    <d v="2019-10-09T00:00:00"/>
    <d v="2019-10-11T00:00:00"/>
    <m/>
    <m/>
    <m/>
    <s v="L5_Блок 2_A2"/>
    <m/>
    <m/>
    <m/>
    <m/>
    <x v="183"/>
    <d v="2019-11-18T17:10:25"/>
    <d v="2019-11-28T11:54:25"/>
    <m/>
    <d v="2019-11-28T11:54:25"/>
  </r>
  <r>
    <n v="70"/>
    <s v="В процессе операционного контроля выполняемых работ по устройству вентилируемого фасада на уровне L5, блок А3, выявлено замечание: Узел формирования наружных углов фасада выполнен не в соответствии с рабочей документацией РК-РД-2-АР-09.13, лист 04.3, 04.1"/>
    <n v="2"/>
    <s v="Значительное"/>
    <x v="0"/>
    <x v="4"/>
    <s v="rc_otdelka@rencons.com"/>
    <x v="1"/>
    <d v="2019-10-03T00:00:00"/>
    <d v="2019-10-04T00:00:00"/>
    <m/>
    <m/>
    <m/>
    <s v="L5_Блок 3_A3"/>
    <m/>
    <m/>
    <m/>
    <m/>
    <x v="333"/>
    <d v="2019-11-19T16:41:05"/>
    <d v="2019-11-28T11:54:24"/>
    <m/>
    <d v="2019-11-28T11:54:24"/>
  </r>
  <r>
    <n v="514"/>
    <s v="Покрытия пола МЭРО"/>
    <n v="2"/>
    <s v="Значительное"/>
    <x v="0"/>
    <x v="4"/>
    <s v="rc_otdelka@rencons.com"/>
    <x v="1"/>
    <d v="2019-12-03T00:00:00"/>
    <d v="2019-12-26T00:00:00"/>
    <s v="РК-РД-2-АР01-04-07"/>
    <n v="40.81"/>
    <n v="42.78"/>
    <m/>
    <m/>
    <m/>
    <s v="АР планы 0.000"/>
    <s v="Ссылка на план"/>
    <x v="334"/>
    <d v="2019-12-25T08:54:31"/>
    <d v="2019-12-25T09:18:49"/>
    <m/>
    <d v="2019-12-25T09:18:50"/>
  </r>
  <r>
    <n v="114"/>
    <s v="Подвесные потолки"/>
    <n v="3"/>
    <s v="Малозначительное"/>
    <x v="0"/>
    <x v="4"/>
    <s v="rc_otdelka@rencons.com"/>
    <x v="1"/>
    <m/>
    <m/>
    <m/>
    <m/>
    <m/>
    <m/>
    <m/>
    <m/>
    <m/>
    <m/>
    <x v="335"/>
    <d v="2019-12-17T15:30:25"/>
    <d v="2019-12-17T15:30:25"/>
    <m/>
    <d v="2019-12-17T15:30:27"/>
  </r>
  <r>
    <n v="117"/>
    <s v="Установка дверей"/>
    <n v="3"/>
    <s v="Малозначительное"/>
    <x v="0"/>
    <x v="4"/>
    <s v="rc_otdelka@rencons.com"/>
    <x v="1"/>
    <d v="2019-11-04T00:00:00"/>
    <d v="2019-11-11T00:00:00"/>
    <m/>
    <m/>
    <m/>
    <m/>
    <m/>
    <m/>
    <m/>
    <m/>
    <x v="336"/>
    <d v="2019-11-18T17:09:29"/>
    <d v="2019-11-28T11:54:28"/>
    <m/>
    <d v="2019-11-28T11:54:28"/>
  </r>
  <r>
    <n v="584"/>
    <s v="Нарушение правил хранения сыпучих материалов"/>
    <n v="2"/>
    <s v="Значительное"/>
    <x v="0"/>
    <x v="4"/>
    <s v="rc_otdelka@rencons.com"/>
    <x v="1"/>
    <d v="2019-12-10T00:00:00"/>
    <d v="2019-12-10T00:00:00"/>
    <s v="L5_door"/>
    <n v="0"/>
    <n v="0"/>
    <m/>
    <m/>
    <m/>
    <s v="АР планы 0.000"/>
    <s v="Ссылка на план"/>
    <x v="337"/>
    <d v="2019-12-11T11:02:29"/>
    <d v="2019-12-11T11:02:29"/>
    <m/>
    <d v="2019-12-11T11:02:31"/>
  </r>
  <r>
    <n v="577"/>
    <s v="Стойка крепления газобетонной стены, стена, выполнены с недопустимым отклонения от вертикали отм +8600"/>
    <n v="2"/>
    <s v="Значительное"/>
    <x v="0"/>
    <x v="4"/>
    <s v="rc_otdelka@rencons.com"/>
    <x v="1"/>
    <d v="2019-12-10T00:00:00"/>
    <d v="2019-12-13T00:00:00"/>
    <m/>
    <m/>
    <m/>
    <s v="13.L3.2.22-2"/>
    <m/>
    <m/>
    <m/>
    <m/>
    <x v="338"/>
    <d v="2019-12-11T11:01:17"/>
    <d v="2019-12-11T11:01:17"/>
    <m/>
    <d v="2019-12-11T11:01:19"/>
  </r>
  <r>
    <n v="986"/>
    <s v="Откатные складчатые ворота Alpgate 3100*2500"/>
    <n v="2"/>
    <s v="Значительное"/>
    <x v="0"/>
    <x v="4"/>
    <s v="rc_otdelka@rencons.com"/>
    <x v="1"/>
    <d v="2020-01-21T00:00:00"/>
    <d v="2020-01-21T00:00:00"/>
    <s v="РК-РД-1-АР01-03-11"/>
    <n v="15.87"/>
    <n v="60.13"/>
    <m/>
    <m/>
    <m/>
    <s v="АР планы -4.200"/>
    <s v="Ссылка на план"/>
    <x v="339"/>
    <d v="2020-01-31T13:35:31"/>
    <d v="2020-01-31T13:35:31"/>
    <m/>
    <d v="2020-01-31T13:35:32"/>
  </r>
  <r>
    <n v="1124"/>
    <s v="Наливной эпоксидный пол "/>
    <n v="2"/>
    <s v="Значительное"/>
    <x v="0"/>
    <x v="4"/>
    <s v="rc_otdelka@rencons.com"/>
    <x v="1"/>
    <d v="2020-01-31T00:00:00"/>
    <d v="2020-01-31T00:00:00"/>
    <s v="РК-РД-2-АР01-04-07"/>
    <n v="11.16"/>
    <n v="49.78"/>
    <m/>
    <m/>
    <m/>
    <s v="АР планы 0.000"/>
    <s v="Ссылка на план"/>
    <x v="340"/>
    <d v="2020-02-05T11:59:18"/>
    <d v="2020-02-05T13:05:30"/>
    <m/>
    <d v="2020-02-05T13:05:31"/>
  </r>
  <r>
    <n v="621"/>
    <s v="Металлоконструкции, балки крепления ворот"/>
    <n v="2"/>
    <s v="Значительное"/>
    <x v="0"/>
    <x v="4"/>
    <s v="rc_otdelka@rencons.com"/>
    <x v="1"/>
    <d v="2019-12-13T00:00:00"/>
    <d v="2019-12-18T00:00:00"/>
    <s v="РК-РД-1-АР01-03-11"/>
    <n v="6.94"/>
    <n v="28.57"/>
    <m/>
    <m/>
    <m/>
    <s v="АР планы -4.200"/>
    <s v="Ссылка на план"/>
    <x v="341"/>
    <d v="2020-01-08T18:39:12"/>
    <d v="2020-01-08T18:39:12"/>
    <m/>
    <d v="2020-01-08T18:39:13"/>
  </r>
  <r>
    <n v="631"/>
    <s v="Гидроизоляция кровли "/>
    <n v="2"/>
    <s v="Значительное"/>
    <x v="0"/>
    <x v="4"/>
    <s v="rc_otdelka@rencons.com"/>
    <x v="1"/>
    <d v="2019-12-16T00:00:00"/>
    <d v="2019-12-28T00:00:00"/>
    <s v="_FJT7Q~3"/>
    <n v="31.43"/>
    <n v="43.44"/>
    <m/>
    <m/>
    <m/>
    <s v="АР общие планы"/>
    <s v="Ссылка на план"/>
    <x v="342"/>
    <d v="2019-12-17T08:56:03"/>
    <d v="2019-12-22T18:13:12"/>
    <m/>
    <d v="2019-12-22T18:13:14"/>
  </r>
  <r>
    <n v="867"/>
    <s v="Гидроизоляция полов"/>
    <n v="2"/>
    <s v="Значительное"/>
    <x v="0"/>
    <x v="4"/>
    <s v="rc_otdelka@rencons.com"/>
    <x v="1"/>
    <d v="2020-01-09T00:00:00"/>
    <d v="2020-01-12T00:00:00"/>
    <s v="РК-РД-1-АР01-03-11"/>
    <n v="15.77"/>
    <n v="64.94"/>
    <m/>
    <m/>
    <m/>
    <s v="АР планы -4.200"/>
    <s v="Ссылка на план"/>
    <x v="343"/>
    <d v="2020-01-22T16:32:28"/>
    <d v="2020-01-23T09:39:07"/>
    <m/>
    <d v="2020-01-23T09:39:09"/>
  </r>
  <r>
    <n v="323"/>
    <s v="откосы дверей"/>
    <n v="1"/>
    <s v="КРИТИЧЕСКОЕ"/>
    <x v="0"/>
    <x v="4"/>
    <s v="rc_otdelka@rencons.com"/>
    <x v="1"/>
    <d v="2019-11-18T00:00:00"/>
    <d v="2020-01-12T00:00:00"/>
    <s v="РК-РД-1-АР01-03-11"/>
    <n v="21.2"/>
    <n v="15.16"/>
    <m/>
    <m/>
    <m/>
    <s v="АР планы -4.200"/>
    <s v="Ссылка на план"/>
    <x v="344"/>
    <d v="2019-12-25T08:55:20"/>
    <d v="2019-12-25T09:18:32"/>
    <m/>
    <d v="2019-12-25T09:18:34"/>
  </r>
  <r>
    <n v="336"/>
    <s v="Бетонирование пола ИТП НА В1 производится без виброуплотнения"/>
    <n v="1"/>
    <s v="КРИТИЧЕСКОЕ"/>
    <x v="0"/>
    <x v="4"/>
    <s v="rc_otdelka@rencons.com"/>
    <x v="1"/>
    <d v="2019-11-19T00:00:00"/>
    <d v="2019-12-16T00:00:00"/>
    <m/>
    <m/>
    <m/>
    <m/>
    <m/>
    <m/>
    <m/>
    <m/>
    <x v="345"/>
    <d v="2019-12-17T17:27:25"/>
    <d v="2019-12-24T09:50:13"/>
    <m/>
    <d v="2019-12-24T09:50:14"/>
  </r>
  <r>
    <n v="862"/>
    <s v="Укладка пароизоляции &quot;Биполь&quot; ведется на неподготовленное основание ( большое кольчество воды) Блок 2 L7 в\о 13б-18"/>
    <n v="2"/>
    <s v="Значительное"/>
    <x v="0"/>
    <x v="4"/>
    <s v="rc_otdelka@rencons.com"/>
    <x v="1"/>
    <d v="2020-01-08T00:00:00"/>
    <d v="2020-01-22T00:00:00"/>
    <m/>
    <m/>
    <m/>
    <m/>
    <m/>
    <m/>
    <m/>
    <m/>
    <x v="346"/>
    <d v="2020-01-09T12:44:43"/>
    <d v="2020-01-13T15:26:19"/>
    <m/>
    <d v="2020-01-13T15:26:21"/>
  </r>
  <r>
    <n v="1166"/>
    <s v="Установка анкеров, кронштейнов вентфасада"/>
    <n v="1"/>
    <s v="КРИТИЧЕСКОЕ"/>
    <x v="0"/>
    <x v="4"/>
    <s v="rc_otdelka@rencons.com"/>
    <x v="1"/>
    <d v="2020-02-04T00:00:00"/>
    <d v="2020-02-04T00:00:00"/>
    <s v="_EAGRX~Q"/>
    <n v="39.06"/>
    <n v="33.090000000000003"/>
    <m/>
    <m/>
    <m/>
    <s v="АР общие планы"/>
    <s v="Ссылка на план"/>
    <x v="347"/>
    <d v="2020-02-05T11:58:19"/>
    <d v="2020-02-05T13:06:38"/>
    <m/>
    <d v="2020-02-05T13:06:39"/>
  </r>
  <r>
    <n v="868"/>
    <s v="Гидроизоляция полов "/>
    <n v="2"/>
    <s v="Значительное"/>
    <x v="0"/>
    <x v="4"/>
    <s v="rc_otdelka@rencons.com"/>
    <x v="1"/>
    <d v="2020-01-09T00:00:00"/>
    <d v="2020-01-14T00:00:00"/>
    <s v="РК-РД-1-АР01-03-11"/>
    <n v="17.350000000000001"/>
    <n v="64.72"/>
    <m/>
    <m/>
    <m/>
    <s v="АР планы -4.200"/>
    <s v="Ссылка на план"/>
    <x v="348"/>
    <d v="2020-01-22T16:31:51"/>
    <d v="2020-01-23T09:39:15"/>
    <m/>
    <d v="2020-01-23T09:39:16"/>
  </r>
  <r>
    <n v="935"/>
    <s v="Устройство фальшполов МЭРО  "/>
    <n v="1"/>
    <s v="КРИТИЧЕСКОЕ"/>
    <x v="0"/>
    <x v="4"/>
    <s v="rc_otdelka@rencons.com"/>
    <x v="1"/>
    <d v="2020-01-16T00:00:00"/>
    <d v="2020-01-24T00:00:00"/>
    <s v="РК-РД-2-АР01-04-07"/>
    <n v="19.579999999999998"/>
    <n v="43"/>
    <m/>
    <m/>
    <m/>
    <s v="АР планы 0.000"/>
    <s v="Ссылка на план"/>
    <x v="349"/>
    <d v="2020-02-05T16:46:34"/>
    <d v="2020-02-05T17:36:01"/>
    <m/>
    <d v="2020-02-05T17:36:02"/>
  </r>
  <r>
    <n v="938"/>
    <s v="Каркас потолка"/>
    <n v="1"/>
    <s v="КРИТИЧЕСКОЕ"/>
    <x v="0"/>
    <x v="4"/>
    <s v="rc_otdelka@rencons.com"/>
    <x v="1"/>
    <d v="2020-01-17T00:00:00"/>
    <d v="2020-01-21T00:00:00"/>
    <s v="РК-РД-2-АР01-04.06-08"/>
    <n v="18.14"/>
    <n v="32.020000000000003"/>
    <m/>
    <m/>
    <m/>
    <s v="АР планы 0.000"/>
    <s v="Ссылка на план"/>
    <x v="350"/>
    <d v="2020-01-20T11:21:47"/>
    <d v="2020-01-20T11:21:53"/>
    <m/>
    <d v="2020-01-20T11:21:54"/>
  </r>
  <r>
    <n v="642"/>
    <s v="Радиаторы отопления"/>
    <n v="2"/>
    <s v="Значительное"/>
    <x v="0"/>
    <x v="4"/>
    <s v="rc_cool_heat@rencons.com"/>
    <x v="1"/>
    <d v="2019-12-16T00:00:00"/>
    <d v="2019-12-16T00:00:00"/>
    <s v="РК-РД-1-АР01-03-11"/>
    <n v="13.12"/>
    <n v="52.7"/>
    <m/>
    <m/>
    <m/>
    <s v="АР планы -4.200"/>
    <s v="Ссылка на план"/>
    <x v="351"/>
    <d v="2019-12-23T10:26:53"/>
    <d v="2019-12-23T11:04:11"/>
    <m/>
    <d v="2019-12-23T11:04:12"/>
  </r>
  <r>
    <n v="518"/>
    <s v="Устройство гильз под кабеля"/>
    <n v="2"/>
    <s v="Значительное"/>
    <x v="1"/>
    <x v="4"/>
    <s v="rc_electrical@rencons.com"/>
    <x v="1"/>
    <d v="2019-12-03T00:00:00"/>
    <d v="2019-12-04T00:00:00"/>
    <s v="РК-РД-1-АР01-03-11"/>
    <n v="17.97"/>
    <n v="32.799999999999997"/>
    <m/>
    <m/>
    <m/>
    <s v="АР планы -4.200"/>
    <s v="Ссылка на план"/>
    <x v="352"/>
    <m/>
    <m/>
    <m/>
    <d v="2019-12-09T17:41:13"/>
  </r>
  <r>
    <n v="72"/>
    <s v="В ходе операционного контроля было выявлено, что светильники в зоне свободной планировки B2.09 располагаются ниже дверных проёмов (с учётом высоты фальш-пола). Необходимо изменить высотную отметку светильников в зоне фальш-полов."/>
    <n v="2"/>
    <s v="Значительное"/>
    <x v="0"/>
    <x v="4"/>
    <s v="rc_electrical@rencons.com"/>
    <x v="1"/>
    <d v="2019-10-04T00:00:00"/>
    <d v="2019-10-11T00:00:00"/>
    <m/>
    <m/>
    <m/>
    <m/>
    <m/>
    <m/>
    <m/>
    <m/>
    <x v="333"/>
    <d v="2019-11-01T11:39:29"/>
    <d v="2019-11-01T11:39:29"/>
    <m/>
    <d v="2019-11-18T11:34:14"/>
  </r>
  <r>
    <n v="71"/>
    <s v="В ходе операционного контроля в помещениях ВРУ было выявлено, что обрезка кабелей большого сечения производится отрезной болгаркой (УШМ) непосредственно в панелях ВРУ, что приводит к попаданию медной стружки в труднодоступные места, в том числе в микропро"/>
    <n v="2"/>
    <s v="Значительное"/>
    <x v="0"/>
    <x v="4"/>
    <s v="rc_electrical@rencons.com"/>
    <x v="1"/>
    <d v="2019-10-04T00:00:00"/>
    <d v="2019-10-11T00:00:00"/>
    <m/>
    <m/>
    <m/>
    <m/>
    <m/>
    <m/>
    <m/>
    <m/>
    <x v="333"/>
    <d v="2019-11-01T11:39:04"/>
    <d v="2019-11-01T11:39:04"/>
    <m/>
    <d v="2019-11-18T11:33:22"/>
  </r>
  <r>
    <n v="517"/>
    <s v="Кабель ЩАО АС1.В1.2/04"/>
    <n v="2"/>
    <s v="Значительное"/>
    <x v="2"/>
    <x v="4"/>
    <s v="rc_sks@rencons.com"/>
    <x v="1"/>
    <d v="2019-12-03T00:00:00"/>
    <d v="2019-12-05T00:00:00"/>
    <s v="РК-РД-1-АР01-03-11"/>
    <n v="19.2"/>
    <n v="56.78"/>
    <m/>
    <m/>
    <m/>
    <s v="АР планы -4.200"/>
    <s v="Ссылка на план"/>
    <x v="353"/>
    <d v="2020-02-04T16:22:04"/>
    <m/>
    <m/>
    <d v="2020-02-04T16:22:05"/>
  </r>
  <r>
    <n v="516"/>
    <s v="Устройство кабеля КИПвЭнг, КППГ. Прокладка кабеля не завершена. Гильзы для кабеля через стены выступают за плоскость стен. Не выполнить работы по устройству противопожарных дисков"/>
    <n v="2"/>
    <s v="Значительное"/>
    <x v="0"/>
    <x v="4"/>
    <s v="rc_sks@rencons.com"/>
    <x v="1"/>
    <d v="2019-12-03T00:00:00"/>
    <d v="2019-12-06T00:00:00"/>
    <s v="РК-РД-1-АР01-03-11"/>
    <n v="17.79"/>
    <n v="52.11"/>
    <m/>
    <m/>
    <m/>
    <s v="АР планы -4.200"/>
    <s v="Ссылка на план"/>
    <x v="354"/>
    <d v="2019-12-23T14:01:51"/>
    <d v="2019-12-27T09:56:08"/>
    <m/>
    <d v="2019-12-27T09:56:08"/>
  </r>
  <r>
    <n v="1267"/>
    <m/>
    <n v="2"/>
    <s v="Значительное"/>
    <x v="1"/>
    <x v="4"/>
    <s v="prasolov@spgr.ru"/>
    <x v="1"/>
    <m/>
    <m/>
    <s v="20191107_Plan_L1"/>
    <n v="29.29"/>
    <n v="14.38"/>
    <m/>
    <m/>
    <m/>
    <s v="Высоты потолков"/>
    <s v="Ссылка на план"/>
    <x v="355"/>
    <m/>
    <m/>
    <m/>
    <d v="2020-02-10T18:18:52"/>
  </r>
  <r>
    <n v="92"/>
    <s v="Кровля Пароизоляция L4 в осях 18-19"/>
    <n v="2"/>
    <s v="Значительное"/>
    <x v="0"/>
    <x v="4"/>
    <s v="prasolov@spgr.ru"/>
    <x v="1"/>
    <m/>
    <m/>
    <s v="L4_Приемка помещений"/>
    <n v="0"/>
    <n v="0"/>
    <m/>
    <m/>
    <m/>
    <s v="Приемка помещений"/>
    <s v="Ссылка на план"/>
    <x v="356"/>
    <d v="2019-11-11T02:32:52"/>
    <d v="2019-11-28T11:54:26"/>
    <m/>
    <d v="2019-11-28T11:54:27"/>
  </r>
  <r>
    <n v="606"/>
    <s v="В ходе приемочного контроля фасадных панелей в\о 1-8 вдоль оси 3\А был обнаружен один разбитый СТП вдоль оси 3 и несоответствия зазоров между профилями"/>
    <n v="1"/>
    <s v="КРИТИЧЕСКОЕ"/>
    <x v="0"/>
    <x v="5"/>
    <s v="fedorov@spgr.ru"/>
    <x v="1"/>
    <d v="2019-12-12T00:00:00"/>
    <d v="2019-12-19T00:00:00"/>
    <s v="РК-РД-2-АР09.1-05.04-09 с комментариями"/>
    <n v="65.75"/>
    <n v="82"/>
    <m/>
    <m/>
    <m/>
    <s v="АР09.1-Фасады-Панели"/>
    <s v="Ссылка на план"/>
    <x v="357"/>
    <d v="2019-12-13T10:19:14"/>
    <d v="2019-12-13T10:19:23"/>
    <m/>
    <d v="2019-12-13T10:19:24"/>
  </r>
  <r>
    <n v="490"/>
    <s v="Стартовый модуль ( Блок 2 В1 с отм.+5,663м. до +7,851м.) не освидетельствован, подрядчиком ведутся работы по монтажу вышележащих панелей , отсутствует ИГС"/>
    <n v="1"/>
    <s v="КРИТИЧЕСКОЕ"/>
    <x v="3"/>
    <x v="5"/>
    <s v="rc_facades@rencons.com"/>
    <x v="1"/>
    <d v="2019-11-30T00:00:00"/>
    <d v="2019-12-10T00:00:00"/>
    <s v="РК-РД-2-АР09.2-05.03-05_комм"/>
    <n v="26.91"/>
    <n v="42.98"/>
    <m/>
    <m/>
    <m/>
    <s v="АР09.2-Фасады-Панели"/>
    <s v="Ссылка на план"/>
    <x v="358"/>
    <m/>
    <m/>
    <m/>
    <d v="2019-12-09T17:34:38"/>
  </r>
  <r>
    <n v="395"/>
    <s v="Защита фасадных модулей, Блок А1"/>
    <n v="1"/>
    <s v="КРИТИЧЕСКОЕ"/>
    <x v="3"/>
    <x v="5"/>
    <s v="rc_facades@rencons.com"/>
    <x v="1"/>
    <d v="2019-11-22T00:00:00"/>
    <d v="2019-11-22T00:00:00"/>
    <m/>
    <m/>
    <m/>
    <s v="ФС_Тип 11 Вертикальный внутренний теплый модульный фасад КВД и Световых колодцев. Структурное остекление"/>
    <m/>
    <m/>
    <m/>
    <m/>
    <x v="359"/>
    <m/>
    <m/>
    <m/>
    <d v="2019-12-09T17:33:36"/>
  </r>
  <r>
    <n v="218"/>
    <s v="Смонтированные панели не соответствуют РД, заменить на непрозрачные 8шт. B2, торец  L4"/>
    <n v="1"/>
    <s v="КРИТИЧЕСКОЕ"/>
    <x v="3"/>
    <x v="5"/>
    <s v="rc_facades@rencons.com"/>
    <x v="1"/>
    <d v="2019-11-18T00:00:00"/>
    <d v="2020-01-15T00:00:00"/>
    <m/>
    <m/>
    <m/>
    <m/>
    <m/>
    <m/>
    <m/>
    <m/>
    <x v="360"/>
    <m/>
    <m/>
    <m/>
    <d v="2019-12-24T10:21:42"/>
  </r>
  <r>
    <n v="506"/>
    <s v="Базовый стальной профиль (входная группа А1), АКЗ, сварка"/>
    <n v="2"/>
    <s v="Значительное"/>
    <x v="1"/>
    <x v="5"/>
    <s v="rc_facades@rencons.com"/>
    <x v="1"/>
    <d v="2019-12-02T00:00:00"/>
    <d v="2019-12-20T00:00:00"/>
    <s v="РК-РД-2-АР09.1-04.44-02 (3)"/>
    <n v="51.91"/>
    <n v="62.75"/>
    <m/>
    <m/>
    <m/>
    <s v="АР09.1-Фасады-Панели"/>
    <s v="Ссылка на план"/>
    <x v="361"/>
    <m/>
    <m/>
    <m/>
    <d v="2019-12-17T16:55:20"/>
  </r>
  <r>
    <n v="445"/>
    <s v="Замечания к монтажу панелей, В1, L1,2 , Е/К-20"/>
    <n v="2"/>
    <s v="Значительное"/>
    <x v="1"/>
    <x v="5"/>
    <s v="rc_facades@rencons.com"/>
    <x v="1"/>
    <d v="2019-11-26T00:00:00"/>
    <d v="2019-12-23T00:00:00"/>
    <s v="РК-РД-2-АР09.2-05.03-05_комм"/>
    <n v="0"/>
    <n v="0"/>
    <m/>
    <m/>
    <m/>
    <s v="АР09.2-Фасады-Панели"/>
    <s v="Ссылка на план"/>
    <x v="362"/>
    <m/>
    <m/>
    <m/>
    <d v="2019-12-17T16:55:02"/>
  </r>
  <r>
    <n v="813"/>
    <s v="Повреждение ЛКП панелей блока В1, L4, внешний радиус ось 20."/>
    <n v="2"/>
    <s v="Значительное"/>
    <x v="1"/>
    <x v="5"/>
    <s v="rc_facades@rencons.com"/>
    <x v="1"/>
    <d v="2019-12-27T00:00:00"/>
    <d v="2020-01-30T00:00:00"/>
    <m/>
    <m/>
    <m/>
    <m/>
    <m/>
    <m/>
    <m/>
    <m/>
    <x v="363"/>
    <m/>
    <m/>
    <m/>
    <d v="2020-01-15T12:34:02"/>
  </r>
  <r>
    <n v="55"/>
    <s v="В ходе операционного контроля были выявлены замечания к ранее выполненным работам по монтажу фасадных конструкций блока А1 на отм. +4,050 (L2), в осях Д/Ф – 7. В частности, замятие уплотнительных прокладок между панелями, несовпадение дренажных отверстий,"/>
    <n v="2"/>
    <s v="Значительное"/>
    <x v="1"/>
    <x v="5"/>
    <s v="rc_facades@rencons.com"/>
    <x v="1"/>
    <d v="2019-07-09T00:00:00"/>
    <d v="2020-03-15T00:00:00"/>
    <m/>
    <m/>
    <m/>
    <s v="L2_Блок 1_A1"/>
    <m/>
    <m/>
    <m/>
    <m/>
    <x v="364"/>
    <m/>
    <m/>
    <m/>
    <d v="2019-11-18T16:59:03"/>
  </r>
  <r>
    <n v="47"/>
    <s v="В ходе операционного контроля были выявлены замечания к ранее выполненным работам по монтажу фасадных конструкций на отм. +12,600 (L4), в осях 1/Б – 16/21. В частности, замятие уплотнительных прокладок между панелями, неравномерные зазоры между декоративн"/>
    <n v="2"/>
    <s v="Значительное"/>
    <x v="1"/>
    <x v="5"/>
    <s v="rc_facades@rencons.com"/>
    <x v="1"/>
    <d v="2019-05-28T00:00:00"/>
    <d v="2020-03-01T00:00:00"/>
    <m/>
    <m/>
    <m/>
    <s v="L4_Блок 2_B1"/>
    <m/>
    <m/>
    <m/>
    <m/>
    <x v="365"/>
    <m/>
    <m/>
    <m/>
    <d v="2019-12-23T14:14:40"/>
  </r>
  <r>
    <n v="52"/>
    <s v="В ходе операционного контроля были выявлены замечания к ранее выполненным работам по монтажу фасадных конструкций блока А1 на отм. +4,200 (L2), в осях 8/1 / К – 1. В частности, замятие уплотнительных прокладок между панелями, неравномерные зазоры между де"/>
    <n v="2"/>
    <s v="Значительное"/>
    <x v="1"/>
    <x v="5"/>
    <s v="rc_facades@rencons.com"/>
    <x v="1"/>
    <d v="2019-07-09T00:00:00"/>
    <d v="2020-03-15T00:00:00"/>
    <m/>
    <m/>
    <m/>
    <s v="L2_Блок 1_A1"/>
    <m/>
    <m/>
    <m/>
    <m/>
    <x v="366"/>
    <m/>
    <m/>
    <m/>
    <d v="2019-11-18T16:58:21"/>
  </r>
  <r>
    <n v="56"/>
    <s v="В ходе операционного контроля были выявлены замечания к ранее выполненным работам по монтажу фасадных конструкций блока А1 на отм. +8,250 (L3), в осях Д / Т/1 – 7. В частности, замятие уплотнительных прокладок между панелями, несовпадение дренажных отверс"/>
    <n v="2"/>
    <s v="Значительное"/>
    <x v="1"/>
    <x v="5"/>
    <s v="rc_facades@rencons.com"/>
    <x v="1"/>
    <d v="2019-07-09T00:00:00"/>
    <d v="2020-03-15T00:00:00"/>
    <m/>
    <m/>
    <m/>
    <s v="L3_Блок 1_A1"/>
    <m/>
    <m/>
    <m/>
    <m/>
    <x v="364"/>
    <m/>
    <m/>
    <m/>
    <d v="2019-11-18T16:59:15"/>
  </r>
  <r>
    <n v="49"/>
    <s v="При производстве операционного контроля производства работ на блоке А1 в осях 1/Э - 1Б/8 (внешний радиус) выявлены отверстия между уплотнительными прокладками в местах примыкания панелей к кронштейнам второй нитки остекления. Разработать и согласовать реш"/>
    <n v="2"/>
    <s v="Значительное"/>
    <x v="1"/>
    <x v="5"/>
    <s v="rc_facades@rencons.com"/>
    <x v="1"/>
    <d v="2019-06-14T00:00:00"/>
    <d v="2020-03-01T00:00:00"/>
    <m/>
    <m/>
    <m/>
    <s v="L1_Блок 1_A1"/>
    <m/>
    <m/>
    <m/>
    <m/>
    <x v="289"/>
    <m/>
    <m/>
    <m/>
    <d v="2019-12-23T14:15:06"/>
  </r>
  <r>
    <n v="51"/>
    <s v="В ходе операционного контроля были выявлены замечания к ранее выполненным работам по монтажу фасадных конструкций блока А1 на отм. +0,000 (L1), в осях 8/1 / К – 1. В частности, замятие уплотнительных прокладок между панелями, неравномерные зазоры между де"/>
    <n v="2"/>
    <s v="Значительное"/>
    <x v="1"/>
    <x v="5"/>
    <s v="rc_facades@rencons.com"/>
    <x v="1"/>
    <d v="2019-07-09T00:00:00"/>
    <d v="2020-03-15T00:00:00"/>
    <m/>
    <m/>
    <m/>
    <s v="L1_Блок 1_A1"/>
    <m/>
    <m/>
    <m/>
    <m/>
    <x v="306"/>
    <m/>
    <m/>
    <m/>
    <d v="2019-11-18T15:34:17"/>
  </r>
  <r>
    <n v="53"/>
    <s v="В ходе операционного контроля были выявлены замечания к ранее выполненным работам по монтажу фасадных конструкций блока А1 на отм. +8,400 (L3), в осях 8/1 / К – 1. В частности, замятие уплотнительных прокладок между панелями, неравномерные зазоры между де"/>
    <n v="2"/>
    <s v="Значительное"/>
    <x v="1"/>
    <x v="5"/>
    <s v="rc_facades@rencons.com"/>
    <x v="1"/>
    <d v="2019-07-09T00:00:00"/>
    <d v="2020-03-15T00:00:00"/>
    <m/>
    <m/>
    <m/>
    <s v="L3_Блок 1_A1"/>
    <m/>
    <m/>
    <m/>
    <m/>
    <x v="366"/>
    <m/>
    <m/>
    <m/>
    <d v="2019-11-18T16:58:38"/>
  </r>
  <r>
    <n v="54"/>
    <s v="В ходе операционного контроля были выявлены замечания к ранее выполненным работам по монтажу фасадных конструкций блока А1 на отм. +12,600 (L4), в осях Ш/К – 1. В частности, замятие уплотнительных прокладок между панелями, неравномерные зазоры между декор"/>
    <n v="2"/>
    <s v="Значительное"/>
    <x v="1"/>
    <x v="5"/>
    <s v="rc_facades@rencons.com"/>
    <x v="1"/>
    <d v="2019-07-09T00:00:00"/>
    <d v="2020-03-15T00:00:00"/>
    <m/>
    <m/>
    <m/>
    <s v="L4_Блок 1_A1"/>
    <m/>
    <m/>
    <m/>
    <m/>
    <x v="366"/>
    <m/>
    <m/>
    <m/>
    <d v="2019-11-18T16:58:48"/>
  </r>
  <r>
    <n v="57"/>
    <s v="В ходе операционного контроля были выявлены замечания к ранее выполненным работам по монтажу фасадных конструкций блока В2 на отм. +0,000 (L1), в осях 22 / 34/1 – 13/Б. В частности, замятие уплотнительных прокладок между панелями, неравномерные зазоры меж"/>
    <n v="2"/>
    <s v="Значительное"/>
    <x v="1"/>
    <x v="5"/>
    <s v="rc_facades@rencons.com"/>
    <x v="1"/>
    <d v="2019-07-09T00:00:00"/>
    <d v="2020-03-15T00:00:00"/>
    <m/>
    <m/>
    <m/>
    <s v="L1_Блок 3_B2"/>
    <m/>
    <m/>
    <m/>
    <m/>
    <x v="367"/>
    <m/>
    <m/>
    <m/>
    <d v="2019-11-18T16:59:24"/>
  </r>
  <r>
    <n v="58"/>
    <s v="В ходе операционного контроля были выявлены замечания к ранее выполненным работам по монтажу фасадных конструкций блока В2 на отм. +4,200 (L2), в осях 22 / 34/1 – 13/Б. В частности, замятие уплотнительных прокладок между панелями, неравномерные зазоры меж"/>
    <n v="2"/>
    <s v="Значительное"/>
    <x v="1"/>
    <x v="5"/>
    <s v="rc_facades@rencons.com"/>
    <x v="1"/>
    <d v="2019-07-09T00:00:00"/>
    <d v="2020-03-15T00:00:00"/>
    <m/>
    <m/>
    <m/>
    <s v="L2_Блок 3_B2"/>
    <m/>
    <m/>
    <m/>
    <m/>
    <x v="367"/>
    <m/>
    <m/>
    <m/>
    <d v="2019-11-18T16:59:36"/>
  </r>
  <r>
    <n v="61"/>
    <s v="В ходе инспекционного контроля монтажа фасадных элементов блока В1, L1, было выявлено что рамы панелей 13-03-349-70-000 фасада Тип 13, имеют сверхдопустимые раскрытия нижнего стыка, более 0.2 мм данные дефекты необходимо исправить, разработать мероприятия"/>
    <n v="2"/>
    <s v="Значительное"/>
    <x v="1"/>
    <x v="5"/>
    <s v="rc_facades@rencons.com"/>
    <x v="1"/>
    <d v="2019-08-07T00:00:00"/>
    <d v="2019-11-30T00:00:00"/>
    <m/>
    <m/>
    <m/>
    <s v="L1_Блок 2_B1"/>
    <m/>
    <m/>
    <m/>
    <m/>
    <x v="368"/>
    <m/>
    <m/>
    <m/>
    <d v="2019-11-18T16:59:58"/>
  </r>
  <r>
    <n v="62"/>
    <s v="В ходе инспекционного контроля смонтированных фасадных элементов было выявлено что фасадный модуль 04-01-С5-01, на блоке А2, L1 по оси 1/Б - 8 , имеет визуальный дефект, зеркальность модуля не соответствует согласованному образцу. Необходимо заменить данн"/>
    <n v="2"/>
    <s v="Значительное"/>
    <x v="1"/>
    <x v="5"/>
    <s v="rc_facades@rencons.com"/>
    <x v="1"/>
    <d v="2019-08-07T00:00:00"/>
    <d v="2020-02-01T00:00:00"/>
    <m/>
    <m/>
    <m/>
    <s v="L1_Блок 2_A2"/>
    <m/>
    <m/>
    <m/>
    <m/>
    <x v="368"/>
    <m/>
    <m/>
    <m/>
    <d v="2019-12-23T14:15:35"/>
  </r>
  <r>
    <n v="66"/>
    <s v="При осуществлении операционного контроля производства работ на блоке С , L2, отм+4,200, было выявлено ,что панель, установленная справа от оси 15/Н, не соответствует рабочей документации, полностью не прозрачна. Заменить панель на проектную, 11-05-097-СВ-"/>
    <n v="2"/>
    <s v="Значительное"/>
    <x v="1"/>
    <x v="5"/>
    <s v="rc_facades@rencons.com"/>
    <x v="1"/>
    <d v="2019-09-17T00:00:00"/>
    <d v="2019-11-30T00:00:00"/>
    <m/>
    <m/>
    <m/>
    <s v="L2_Блок 2_C"/>
    <m/>
    <m/>
    <m/>
    <m/>
    <x v="369"/>
    <m/>
    <m/>
    <m/>
    <d v="2019-11-18T17:00:57"/>
  </r>
  <r>
    <n v="67"/>
    <s v="При производстве операционного контроля работ на блоках А2,А3,В2, уровень L1, отм. +0.000, оси 8/Б, 10/Б, 13/Б, было обнаружено повреждение цинкового покрытия кронштейнов ржавчиной, из-за длительного нахождения в воде. Обеспечить нормальные условия эксплу"/>
    <n v="2"/>
    <s v="Значительное"/>
    <x v="1"/>
    <x v="5"/>
    <s v="rc_facades@rencons.com"/>
    <x v="1"/>
    <d v="2019-09-23T00:00:00"/>
    <d v="2020-01-31T00:00:00"/>
    <m/>
    <m/>
    <m/>
    <s v="L1_Блок 2_A2"/>
    <m/>
    <m/>
    <m/>
    <m/>
    <x v="369"/>
    <m/>
    <m/>
    <m/>
    <d v="2019-11-18T17:01:09"/>
  </r>
  <r>
    <n v="74"/>
    <s v="При производстве операционного контроля было выявлено что пулестойкие панели Тип23, блока А1, этаж 7, 7.1, по оси 8, имеют значительные визуальные искажения отражаемого света, &quot;линзу&quot;, необходимо произвести замеры и классификацию данного дефекта совместно"/>
    <n v="2"/>
    <s v="Значительное"/>
    <x v="1"/>
    <x v="5"/>
    <s v="rc_facades@rencons.com"/>
    <x v="1"/>
    <d v="2019-10-09T00:00:00"/>
    <d v="2020-05-15T00:00:00"/>
    <m/>
    <m/>
    <m/>
    <m/>
    <m/>
    <m/>
    <m/>
    <m/>
    <x v="276"/>
    <m/>
    <m/>
    <m/>
    <d v="2019-11-12T14:26:47"/>
  </r>
  <r>
    <n v="853"/>
    <s v="Установка верхнего оцинкованного листа противопожарной отсечки_x000a_А1, L13(+50.370), Эрлайн , Фасад Тип-4, оси В÷Д / 1, 24м."/>
    <n v="2"/>
    <s v="Значительное"/>
    <x v="1"/>
    <x v="5"/>
    <s v="rc_facades@rencons.com"/>
    <x v="1"/>
    <d v="2020-01-06T00:00:00"/>
    <d v="2020-01-10T00:00:00"/>
    <m/>
    <m/>
    <m/>
    <m/>
    <m/>
    <m/>
    <m/>
    <m/>
    <x v="370"/>
    <m/>
    <m/>
    <m/>
    <d v="2020-01-13T10:40:08"/>
  </r>
  <r>
    <n v="63"/>
    <s v="При производстве входного контроля было выявлено что панели, смонтированные на блоке В2, в осях 29-30/10Б, отм +8.250, L3 , не имеют верхних ламелей в области решеток . Необходимо установить недостающие элементы."/>
    <n v="2"/>
    <s v="Значительное"/>
    <x v="1"/>
    <x v="5"/>
    <s v="rc_facades@rencons.com"/>
    <x v="1"/>
    <d v="2019-08-21T00:00:00"/>
    <d v="2020-01-10T00:00:00"/>
    <m/>
    <m/>
    <m/>
    <s v="L3_Блок 3_B2"/>
    <m/>
    <m/>
    <m/>
    <m/>
    <x v="293"/>
    <m/>
    <m/>
    <m/>
    <d v="2019-12-24T10:22:12"/>
  </r>
  <r>
    <n v="1162"/>
    <s v="Блок С, верхний ряд панелей в осях Д/Ф-М.  Доработка и несогласованный монтаж."/>
    <n v="2"/>
    <s v="Значительное"/>
    <x v="1"/>
    <x v="5"/>
    <s v="rc_facades@rencons.com"/>
    <x v="1"/>
    <d v="2020-02-03T00:00:00"/>
    <d v="2020-02-28T00:00:00"/>
    <m/>
    <m/>
    <m/>
    <m/>
    <m/>
    <m/>
    <m/>
    <m/>
    <x v="371"/>
    <m/>
    <m/>
    <m/>
    <d v="2020-02-03T17:22:40"/>
  </r>
  <r>
    <n v="1163"/>
    <s v="Вторая нитка остекления, А1, замечания к монтажу металлических конструкций и стекол."/>
    <n v="2"/>
    <s v="Значительное"/>
    <x v="1"/>
    <x v="5"/>
    <s v="rc_facades@rencons.com"/>
    <x v="1"/>
    <d v="2020-02-03T00:00:00"/>
    <d v="2020-02-28T00:00:00"/>
    <m/>
    <m/>
    <m/>
    <m/>
    <m/>
    <m/>
    <m/>
    <m/>
    <x v="372"/>
    <m/>
    <m/>
    <m/>
    <d v="2020-02-03T17:45:56"/>
  </r>
  <r>
    <n v="1220"/>
    <s v="Приемочный контроль кронштейнов А2, L4 ,  8/2-8/3, 1/Б"/>
    <n v="2"/>
    <s v="Значительное"/>
    <x v="1"/>
    <x v="5"/>
    <s v="rc_facades@rencons.com"/>
    <x v="1"/>
    <d v="2020-02-06T00:00:00"/>
    <d v="2020-02-08T00:00:00"/>
    <m/>
    <m/>
    <m/>
    <m/>
    <m/>
    <m/>
    <m/>
    <m/>
    <x v="373"/>
    <m/>
    <m/>
    <m/>
    <d v="2020-02-06T18:01:29"/>
  </r>
  <r>
    <n v="1239"/>
    <s v="Броне пластины пулестойкого фасада, А1, L8."/>
    <n v="2"/>
    <s v="Значительное"/>
    <x v="1"/>
    <x v="5"/>
    <s v="rc_facades@rencons.com"/>
    <x v="1"/>
    <d v="2020-02-07T00:00:00"/>
    <d v="2020-02-07T00:00:00"/>
    <m/>
    <m/>
    <m/>
    <m/>
    <m/>
    <m/>
    <m/>
    <m/>
    <x v="374"/>
    <m/>
    <m/>
    <m/>
    <d v="2020-02-07T16:33:28"/>
  </r>
  <r>
    <n v="911"/>
    <s v="Противопожарная отсечка, верхний лист, Блок А1, L3, оси 7Б/Л-У"/>
    <n v="2"/>
    <s v="Значительное"/>
    <x v="1"/>
    <x v="5"/>
    <s v="rc_facades@rencons.com"/>
    <x v="1"/>
    <d v="2020-01-14T00:00:00"/>
    <d v="2020-01-21T00:00:00"/>
    <m/>
    <m/>
    <m/>
    <m/>
    <m/>
    <m/>
    <m/>
    <m/>
    <x v="375"/>
    <m/>
    <m/>
    <m/>
    <d v="2020-01-15T12:33:54"/>
  </r>
  <r>
    <n v="1264"/>
    <s v="А3, L7, 34/1  панель отличается по цвету от проектного."/>
    <n v="2"/>
    <s v="Значительное"/>
    <x v="1"/>
    <x v="5"/>
    <s v="rc_facades@rencons.com"/>
    <x v="1"/>
    <d v="2020-02-10T00:00:00"/>
    <d v="2020-03-30T00:00:00"/>
    <m/>
    <m/>
    <m/>
    <m/>
    <m/>
    <m/>
    <m/>
    <m/>
    <x v="376"/>
    <m/>
    <m/>
    <m/>
    <d v="2020-02-10T13:25:32"/>
  </r>
  <r>
    <n v="961"/>
    <s v="Блок С,  L3, повреждения алюминиевого профиля фасадных панелей."/>
    <n v="2"/>
    <s v="Значительное"/>
    <x v="1"/>
    <x v="5"/>
    <s v="rc_facades@rencons.com"/>
    <x v="1"/>
    <d v="2020-01-20T00:00:00"/>
    <d v="2020-01-31T00:00:00"/>
    <m/>
    <m/>
    <m/>
    <m/>
    <m/>
    <m/>
    <m/>
    <m/>
    <x v="377"/>
    <m/>
    <m/>
    <m/>
    <d v="2020-01-20T14:55:18"/>
  </r>
  <r>
    <n v="981"/>
    <s v="Монтаж стального и алюминиевого профиля светового колодца в осях 10-12/3-5. Блок 2, А2"/>
    <n v="2"/>
    <s v="Значительное"/>
    <x v="1"/>
    <x v="5"/>
    <s v="rc_facades@rencons.com"/>
    <x v="1"/>
    <d v="2020-01-21T00:00:00"/>
    <d v="2020-01-30T00:00:00"/>
    <m/>
    <m/>
    <m/>
    <m/>
    <m/>
    <m/>
    <m/>
    <m/>
    <x v="378"/>
    <m/>
    <m/>
    <m/>
    <d v="2020-01-21T13:30:34"/>
  </r>
  <r>
    <n v="629"/>
    <s v="Монтаж фасадных панелей в/о 16-18 в доль оси 3/А с отм.+12,570 до отм.+16,770"/>
    <n v="3"/>
    <s v="Малозначительное"/>
    <x v="4"/>
    <x v="5"/>
    <s v="rc_facades@rencons.com"/>
    <x v="1"/>
    <d v="2019-12-15T00:00:00"/>
    <d v="2019-12-15T00:00:00"/>
    <m/>
    <m/>
    <m/>
    <m/>
    <m/>
    <m/>
    <m/>
    <m/>
    <x v="379"/>
    <m/>
    <m/>
    <m/>
    <d v="2019-12-26T14:10:40"/>
  </r>
  <r>
    <n v="483"/>
    <s v="Примыкание в осях 29/13Б, не освидетельствовано"/>
    <n v="1"/>
    <s v="КРИТИЧЕСКОЕ"/>
    <x v="0"/>
    <x v="5"/>
    <s v="rc_facades@rencons.com"/>
    <x v="1"/>
    <d v="2019-11-29T00:00:00"/>
    <d v="2019-11-30T00:00:00"/>
    <s v="РК-РД-2-АР09.2-02.10-06_комм"/>
    <n v="0"/>
    <n v="0"/>
    <s v="РК-РД-2-АР09.2-02.10-06_комм"/>
    <m/>
    <m/>
    <s v="Решетчатый настил"/>
    <s v="Ссылка на план"/>
    <x v="380"/>
    <d v="2019-12-04T08:44:03"/>
    <d v="2019-12-10T09:52:57"/>
    <m/>
    <d v="2019-12-10T09:52:57"/>
  </r>
  <r>
    <n v="550"/>
    <s v="Базовый стальной профиль, Блок А1, в осях 3А, отм.-4,450"/>
    <n v="1"/>
    <s v="КРИТИЧЕСКОЕ"/>
    <x v="0"/>
    <x v="5"/>
    <s v="rc_facades@rencons.com"/>
    <x v="1"/>
    <d v="2019-12-06T00:00:00"/>
    <d v="2019-12-09T00:00:00"/>
    <m/>
    <m/>
    <m/>
    <m/>
    <m/>
    <m/>
    <m/>
    <m/>
    <x v="381"/>
    <d v="2019-12-26T12:03:05"/>
    <d v="2019-12-26T12:03:06"/>
    <m/>
    <d v="2019-12-26T12:03:09"/>
  </r>
  <r>
    <n v="65"/>
    <s v="В ходе операционного контроля проведения работ было выявлено, что панели блока А3, В2, находящиеся в уровне L2, +4,200 , внутренний двор, на пересечении осей 30/7б-10Б, (2шт.) имеют неверно изготовленные алюминиевые кронштейны для видеокамер. Произвести з"/>
    <n v="2"/>
    <s v="Значительное"/>
    <x v="0"/>
    <x v="5"/>
    <s v="rc_facades@rencons.com"/>
    <x v="1"/>
    <d v="2019-08-29T00:00:00"/>
    <d v="2019-11-30T00:00:00"/>
    <m/>
    <m/>
    <m/>
    <s v="L2_Блок 3_A3"/>
    <m/>
    <n v="0"/>
    <m/>
    <m/>
    <x v="369"/>
    <d v="2019-12-10T09:47:03"/>
    <d v="2019-12-10T09:47:03"/>
    <m/>
    <d v="2019-12-10T09:47:03"/>
  </r>
  <r>
    <n v="611"/>
    <s v="Коррозия АКЗ кронштейнов, А2, оси 7/Б-34/21,отм +18,800/+16,300"/>
    <n v="1"/>
    <s v="КРИТИЧЕСКОЕ"/>
    <x v="0"/>
    <x v="5"/>
    <s v="rc_facades@rencons.com"/>
    <x v="1"/>
    <d v="2019-12-12T00:00:00"/>
    <d v="2019-12-15T00:00:00"/>
    <m/>
    <m/>
    <m/>
    <m/>
    <m/>
    <m/>
    <m/>
    <m/>
    <x v="382"/>
    <d v="2019-12-23T14:00:20"/>
    <d v="2019-12-24T10:26:25"/>
    <m/>
    <d v="2019-12-24T10:26:26"/>
  </r>
  <r>
    <n v="605"/>
    <s v="Отсутствует резиновый уплотнитель между панелями c оси С по Т\1, поврежден пластиковый профиль двери, отсутствует крепление кронштейна к панели"/>
    <n v="1"/>
    <s v="КРИТИЧЕСКОЕ"/>
    <x v="0"/>
    <x v="5"/>
    <s v="rc_facades@rencons.com"/>
    <x v="1"/>
    <d v="2019-12-11T00:00:00"/>
    <d v="2019-12-18T00:00:00"/>
    <m/>
    <m/>
    <m/>
    <m/>
    <m/>
    <m/>
    <m/>
    <m/>
    <x v="383"/>
    <d v="2020-01-21T10:36:43"/>
    <d v="2020-01-21T10:36:43"/>
    <m/>
    <d v="2020-01-21T10:36:44"/>
  </r>
  <r>
    <n v="500"/>
    <s v="#Вентиляция. Выпуски для S&amp;C пересекаются с лотками."/>
    <n v="2"/>
    <s v="Значительное"/>
    <x v="0"/>
    <x v="6"/>
    <s v="rc_vent@rencons.com"/>
    <x v="1"/>
    <d v="2019-12-06T00:00:00"/>
    <d v="2019-12-11T00:00:00"/>
    <s v="РК-РД-2-ОВ4.1.03-05.09-02"/>
    <n v="36.17"/>
    <n v="45.36"/>
    <m/>
    <m/>
    <m/>
    <s v="L top Вентиляция"/>
    <s v="Ссылка на план"/>
    <x v="384"/>
    <d v="2019-12-10T16:35:40"/>
    <d v="2020-01-27T10:11:59"/>
    <m/>
    <d v="2020-01-27T10:11:59"/>
  </r>
  <r>
    <n v="205"/>
    <s v="Повреждение трансформаторов тока в ГРЩ-2"/>
    <n v="1"/>
    <s v="КРИТИЧЕСКОЕ"/>
    <x v="3"/>
    <x v="6"/>
    <s v="rc_electrical@rencons.com"/>
    <x v="1"/>
    <d v="2019-11-08T00:00:00"/>
    <d v="2019-11-30T00:00:00"/>
    <s v="РК-РД-1-ЭМ4.1.01-017-01"/>
    <n v="62.64"/>
    <n v="58.73"/>
    <s v="13.B1.2.044_ГРЩ-2"/>
    <m/>
    <m/>
    <s v="ЭМ_Электрооборудование"/>
    <s v="Ссылка на план"/>
    <x v="385"/>
    <m/>
    <m/>
    <m/>
    <d v="2019-11-22T14:44:09"/>
  </r>
  <r>
    <n v="433"/>
    <s v="Отсутствует освещение в помещении по факту и по РД"/>
    <n v="2"/>
    <s v="Значительное"/>
    <x v="1"/>
    <x v="6"/>
    <s v="rc_electrical@rencons.com"/>
    <x v="1"/>
    <d v="2019-11-22T00:00:00"/>
    <d v="2019-12-22T00:00:00"/>
    <s v="РК-РД-1-ЭО4.1.01-019-02"/>
    <n v="54.77"/>
    <n v="20.63"/>
    <m/>
    <m/>
    <m/>
    <s v="ЭО_Освещение внутреннее"/>
    <s v="Ссылка на план"/>
    <x v="386"/>
    <m/>
    <m/>
    <m/>
    <d v="2019-12-09T17:37:22"/>
  </r>
  <r>
    <n v="807"/>
    <s v="Нарушено расстояние от воздуховода до лотка (3 места) в электрощитовой"/>
    <n v="2"/>
    <s v="Значительное"/>
    <x v="1"/>
    <x v="6"/>
    <s v="rc_electrical@rencons.com"/>
    <x v="1"/>
    <d v="2019-12-27T00:00:00"/>
    <d v="2020-01-27T00:00:00"/>
    <s v="РК-РД-1-ЭМ4.1.01-003-01"/>
    <n v="29.85"/>
    <n v="23.27"/>
    <s v="13.B2.1.024_ЭЩ"/>
    <m/>
    <m/>
    <s v="ЭМ_Электрооборудование"/>
    <s v="Ссылка на план"/>
    <x v="387"/>
    <m/>
    <m/>
    <m/>
    <d v="2019-12-27T15:28:36"/>
  </r>
  <r>
    <n v="808"/>
    <s v="Прокладка вторичных цепей моноблоков RM-6"/>
    <n v="2"/>
    <s v="Значительное"/>
    <x v="1"/>
    <x v="6"/>
    <s v="rc_electrical@rencons.com"/>
    <x v="1"/>
    <d v="2019-12-27T00:00:00"/>
    <d v="2020-01-15T00:00:00"/>
    <s v="РК-РД-1-ЭМ4.1.01-014-01"/>
    <n v="28.42"/>
    <n v="67.92"/>
    <m/>
    <m/>
    <m/>
    <s v="ЭМ_Электрооборудование"/>
    <s v="Ссылка на план"/>
    <x v="388"/>
    <m/>
    <m/>
    <m/>
    <d v="2019-12-27T16:18:09"/>
  </r>
  <r>
    <n v="1240"/>
    <s v="Количество коммутационных аппаратов в щите не соответствует количеству групп на плане"/>
    <n v="2"/>
    <s v="Значительное"/>
    <x v="1"/>
    <x v="6"/>
    <s v="rc_electrical@rencons.com"/>
    <x v="1"/>
    <d v="2020-02-07T00:00:00"/>
    <d v="2020-03-07T00:00:00"/>
    <s v="РК-РД-1-ЭМ4.1.01-019-01"/>
    <n v="58.18"/>
    <n v="31.06"/>
    <s v="13.B1.2.026_ЭЩ автостоянки"/>
    <m/>
    <m/>
    <s v="ЭМ_Электрооборудование"/>
    <s v="Ссылка на план"/>
    <x v="389"/>
    <m/>
    <m/>
    <m/>
    <d v="2020-02-07T17:07:50"/>
  </r>
  <r>
    <n v="502"/>
    <s v="#Вентиляция."/>
    <n v="2"/>
    <s v="Значительное"/>
    <x v="0"/>
    <x v="6"/>
    <s v="rc_electrical@rencons.com"/>
    <x v="1"/>
    <m/>
    <m/>
    <s v="РК-РД-2-ОВ4.1.03-06.09-03"/>
    <n v="26.23"/>
    <n v="46.55"/>
    <m/>
    <m/>
    <m/>
    <s v="L top Вентиляция"/>
    <s v="Ссылка на план"/>
    <x v="390"/>
    <d v="2019-12-18T10:26:38"/>
    <d v="2020-01-27T10:09:31"/>
    <m/>
    <d v="2020-01-27T10:09:32"/>
  </r>
  <r>
    <n v="430"/>
    <s v="Датчики АПС на потолке перекрыты смежными системами"/>
    <n v="2"/>
    <s v="Значительное"/>
    <x v="1"/>
    <x v="6"/>
    <s v="rc_sks@rencons.com"/>
    <x v="1"/>
    <d v="2019-11-25T00:00:00"/>
    <d v="2020-02-14T00:00:00"/>
    <s v="РК-РД-1-АПС4.1.01-005-05"/>
    <n v="39.29"/>
    <n v="53.87"/>
    <s v="13.B2.2.060 Коридор"/>
    <m/>
    <m/>
    <s v="ПБ_АПС"/>
    <s v="Ссылка на план"/>
    <x v="391"/>
    <m/>
    <m/>
    <m/>
    <d v="2020-02-07T13:50:10"/>
  </r>
  <r>
    <n v="481"/>
    <s v="Расстояние от датчика АПС до решётки воздуховода менее 1 метра"/>
    <n v="2"/>
    <s v="Значительное"/>
    <x v="1"/>
    <x v="6"/>
    <s v="rc_sks@rencons.com"/>
    <x v="1"/>
    <d v="2019-11-29T00:00:00"/>
    <d v="2019-12-22T00:00:00"/>
    <s v="РК-РД-1-АПС4.1.01-018-05 (1)"/>
    <n v="59.16"/>
    <n v="22.93"/>
    <s v="09.B1.3.014_ПУИ"/>
    <m/>
    <m/>
    <s v="ПБ_АПС"/>
    <s v="Ссылка на план"/>
    <x v="392"/>
    <m/>
    <m/>
    <m/>
    <d v="2019-12-09T17:37:40"/>
  </r>
  <r>
    <n v="60"/>
    <s v="В ходе операционного контроля было выявлено фактическое отсутствие пожарных датчиков АПС в двухсветном пространстве рампы №5 (пом. 02.B1.3.001.1). Датчики в проекте на отметке -4.200 и на отметке 0.000 не предусмотрены. Необходимо разместить датчики с учё"/>
    <n v="2"/>
    <s v="Значительное"/>
    <x v="1"/>
    <x v="6"/>
    <s v="rc_sks@rencons.com"/>
    <x v="1"/>
    <d v="2019-08-01T00:00:00"/>
    <d v="2019-08-08T00:00:00"/>
    <m/>
    <m/>
    <m/>
    <s v="02.B1.3.001_Рампа N 5 (въезд для уровня В1)"/>
    <m/>
    <m/>
    <m/>
    <m/>
    <x v="270"/>
    <m/>
    <m/>
    <m/>
    <d v="2019-12-18T15:26:26"/>
  </r>
  <r>
    <n v="542"/>
    <s v="Лотки BMS переполнены. Необходима замена."/>
    <n v="2"/>
    <s v="Значительное"/>
    <x v="1"/>
    <x v="6"/>
    <s v="rc_sks@rencons.com"/>
    <x v="1"/>
    <d v="2019-12-05T00:00:00"/>
    <d v="2019-12-19T00:00:00"/>
    <s v="РК-РД-1-ЭМ4.3.01-024-02"/>
    <n v="15.16"/>
    <n v="49.82"/>
    <m/>
    <m/>
    <m/>
    <s v="Лотки В1, В2"/>
    <s v="Ссылка на план"/>
    <x v="393"/>
    <m/>
    <m/>
    <m/>
    <d v="2019-12-09T17:37:31"/>
  </r>
  <r>
    <n v="266"/>
    <s v="Лотки BMS переполнены. Необходима замена."/>
    <n v="2"/>
    <s v="Значительное"/>
    <x v="1"/>
    <x v="6"/>
    <s v="rc_sks@rencons.com"/>
    <x v="1"/>
    <d v="2019-11-14T00:00:00"/>
    <d v="2019-11-21T00:00:00"/>
    <s v="РК-РД-1-ЭМ4.3.01-051-01"/>
    <n v="25.85"/>
    <n v="34.11"/>
    <m/>
    <m/>
    <m/>
    <s v="Лотки В1, В2"/>
    <s v="Ссылка на план"/>
    <x v="394"/>
    <m/>
    <m/>
    <m/>
    <d v="2019-11-22T14:44:29"/>
  </r>
  <r>
    <n v="482"/>
    <s v="Расстояние от датчика АПС до решётки воздуховода менее 1 метра "/>
    <n v="2"/>
    <s v="Значительное"/>
    <x v="2"/>
    <x v="6"/>
    <s v="rc_sks@rencons.com"/>
    <x v="1"/>
    <d v="2019-11-29T00:00:00"/>
    <d v="2019-12-22T00:00:00"/>
    <s v="РК-РД-1-АПС4.1.01-018-05 (1)"/>
    <n v="39.65"/>
    <n v="53.52"/>
    <s v="13.B1.2.011_Мультиплексорная ИТСО"/>
    <m/>
    <m/>
    <s v="ПБ_АПС"/>
    <s v="Ссылка на план"/>
    <x v="395"/>
    <d v="2020-02-10T13:48:24"/>
    <m/>
    <m/>
    <d v="2020-02-10T13:48:27"/>
  </r>
  <r>
    <n v="546"/>
    <s v="Датчики АПС на потолке перекрыты смежными системами"/>
    <n v="2"/>
    <s v="Значительное"/>
    <x v="2"/>
    <x v="6"/>
    <s v="rc_sks@rencons.com"/>
    <x v="1"/>
    <d v="2019-12-06T00:00:00"/>
    <d v="2019-12-20T00:00:00"/>
    <s v="РК-РД-1-АПС4.1.01-005-05"/>
    <n v="30.84"/>
    <n v="32.200000000000003"/>
    <m/>
    <m/>
    <m/>
    <s v="ПБ_АПС"/>
    <s v="Ссылка на план"/>
    <x v="396"/>
    <d v="2019-12-24T16:51:20"/>
    <m/>
    <m/>
    <d v="2019-12-24T16:51:22"/>
  </r>
  <r>
    <n v="930"/>
    <s v="Расстояние от кондиционера до датчика АПС менее нормативного"/>
    <n v="2"/>
    <s v="Значительное"/>
    <x v="2"/>
    <x v="6"/>
    <s v="rc_sks@rencons.com"/>
    <x v="1"/>
    <d v="2020-01-16T00:00:00"/>
    <d v="2020-01-31T00:00:00"/>
    <s v="РК-РД-1-АПС4.1.01-018-05 (1)"/>
    <n v="52.82"/>
    <n v="46.83"/>
    <m/>
    <m/>
    <m/>
    <s v="ПБ_АПС"/>
    <s v="Ссылка на план"/>
    <x v="397"/>
    <d v="2020-02-10T13:02:02"/>
    <m/>
    <m/>
    <d v="2020-02-10T13:02:12"/>
  </r>
  <r>
    <n v="375"/>
    <s v="Расстояние от датчиков АПС до светильников менее 0,5 метра "/>
    <n v="2"/>
    <s v="Значительное"/>
    <x v="0"/>
    <x v="6"/>
    <s v="rc_sks@rencons.com"/>
    <x v="1"/>
    <d v="2019-11-20T00:00:00"/>
    <d v="2019-11-30T00:00:00"/>
    <s v="РК-РД-1-АПС4.1.01-018-05 (1)"/>
    <n v="33.14"/>
    <n v="15.82"/>
    <m/>
    <m/>
    <m/>
    <s v="ПБ_АПС"/>
    <s v="Ссылка на план"/>
    <x v="398"/>
    <d v="2019-11-29T09:54:17"/>
    <d v="2019-12-03T09:55:45"/>
    <m/>
    <d v="2019-12-03T09:55:45"/>
  </r>
  <r>
    <n v="905"/>
    <s v="Необходимо добавить извещатели"/>
    <n v="2"/>
    <s v="Значительное"/>
    <x v="0"/>
    <x v="6"/>
    <s v="rc_sks@rencons.com"/>
    <x v="1"/>
    <d v="2020-01-14T00:00:00"/>
    <d v="2020-01-15T00:00:00"/>
    <s v="РК-РД-1-АПС4.1.01-018-05 (1)"/>
    <n v="27.42"/>
    <n v="27.25"/>
    <m/>
    <m/>
    <m/>
    <s v="ПБ_АПС"/>
    <s v="Ссылка на план"/>
    <x v="399"/>
    <d v="2020-02-04T14:32:47"/>
    <d v="2020-02-07T13:43:53"/>
    <m/>
    <d v="2020-02-07T13:43:54"/>
  </r>
  <r>
    <n v="97"/>
    <s v="Кабель HF проложен в лотке АПС"/>
    <n v="2"/>
    <s v="Значительное"/>
    <x v="0"/>
    <x v="6"/>
    <s v="rc_sks@rencons.com"/>
    <x v="1"/>
    <d v="2019-11-01T00:00:00"/>
    <d v="2019-11-08T00:00:00"/>
    <s v="РК-РД-1-АПС4.1.01-005-05"/>
    <n v="33.75"/>
    <n v="26.06"/>
    <m/>
    <m/>
    <m/>
    <s v="ПБ_АПС"/>
    <s v="Ссылка на план"/>
    <x v="400"/>
    <d v="2019-12-02T10:07:51"/>
    <d v="2019-12-02T10:49:40"/>
    <m/>
    <d v="2019-12-02T10:49:40"/>
  </r>
  <r>
    <n v="533"/>
    <s v="Коробка в зоне воздуховода."/>
    <n v="2"/>
    <s v="Значительное"/>
    <x v="0"/>
    <x v="6"/>
    <s v="rc_sks@rencons.com"/>
    <x v="1"/>
    <d v="2019-12-04T00:00:00"/>
    <d v="2019-12-10T00:00:00"/>
    <s v="РК-РД-2-ОВ4.1.03-02.05-03"/>
    <n v="28.67"/>
    <n v="78.569999999999993"/>
    <m/>
    <m/>
    <m/>
    <s v="L top Вентиляция"/>
    <s v="Ссылка на план"/>
    <x v="401"/>
    <d v="2019-12-12T18:19:44"/>
    <d v="2019-12-16T18:43:21"/>
    <m/>
    <d v="2019-12-16T18:43:21"/>
  </r>
  <r>
    <n v="579"/>
    <s v="Извещатели АПС на потолке перекрыты смежными разделами"/>
    <n v="2"/>
    <s v="Значительное"/>
    <x v="0"/>
    <x v="6"/>
    <s v="rc_sks@rencons.com"/>
    <x v="1"/>
    <d v="2019-12-10T00:00:00"/>
    <d v="2019-12-17T00:00:00"/>
    <s v="РК-РД-1-АПС4.1.01-005-05"/>
    <n v="32.130000000000003"/>
    <n v="47.46"/>
    <m/>
    <m/>
    <m/>
    <s v="ПБ_АПС"/>
    <s v="Ссылка на план"/>
    <x v="402"/>
    <d v="2020-02-04T14:25:38"/>
    <d v="2020-02-07T13:43:03"/>
    <m/>
    <d v="2020-02-07T13:43:03"/>
  </r>
  <r>
    <n v="326"/>
    <s v="Расстояние от датчиков АПС до светильников менее 0,5 метра"/>
    <n v="2"/>
    <s v="Значительное"/>
    <x v="0"/>
    <x v="6"/>
    <s v="rc_sks@rencons.com"/>
    <x v="1"/>
    <d v="2019-11-18T00:00:00"/>
    <d v="2019-11-30T00:00:00"/>
    <s v="РК-РД-1-АПС4.1.01-005-05"/>
    <n v="70.78"/>
    <n v="60.07"/>
    <m/>
    <m/>
    <m/>
    <s v="ПБ_АПС"/>
    <s v="Ссылка на план"/>
    <x v="403"/>
    <d v="2019-11-29T09:53:49"/>
    <d v="2019-12-03T09:54:10"/>
    <m/>
    <d v="2019-12-03T09:54:10"/>
  </r>
  <r>
    <n v="328"/>
    <s v="Расстояние от датчика АПС до решётки воздуховода менее 1 метра "/>
    <n v="2"/>
    <s v="Значительное"/>
    <x v="0"/>
    <x v="6"/>
    <s v="rc_sks@rencons.com"/>
    <x v="1"/>
    <d v="2019-11-18T00:00:00"/>
    <d v="2019-11-30T00:00:00"/>
    <s v="РК-РД-1-АПС4.1.01-005-05"/>
    <n v="64.81"/>
    <n v="66.97"/>
    <m/>
    <m/>
    <m/>
    <s v="ПБ_АПС"/>
    <s v="Ссылка на план"/>
    <x v="404"/>
    <d v="2019-11-29T09:54:03"/>
    <d v="2019-12-03T09:54:39"/>
    <m/>
    <d v="2019-12-03T09:54:39"/>
  </r>
  <r>
    <n v="329"/>
    <s v="Расстояние от датчика АПС до кондиционера менее 1 метра"/>
    <n v="2"/>
    <s v="Значительное"/>
    <x v="0"/>
    <x v="6"/>
    <s v="rc_sks@rencons.com"/>
    <x v="1"/>
    <d v="2019-11-18T00:00:00"/>
    <d v="2019-11-30T00:00:00"/>
    <s v="РК-РД-1-АПС4.1.01-005-05"/>
    <n v="57.03"/>
    <n v="67.459999999999994"/>
    <m/>
    <m/>
    <m/>
    <s v="ПБ_АПС"/>
    <s v="Ссылка на план"/>
    <x v="405"/>
    <d v="2019-11-29T09:54:08"/>
    <d v="2019-12-03T09:54:53"/>
    <m/>
    <d v="2019-12-03T09:54:53"/>
  </r>
  <r>
    <n v="327"/>
    <s v="Расстояние от датчика АПС до решётки воздуховода менее 1 метра"/>
    <n v="2"/>
    <s v="Значительное"/>
    <x v="0"/>
    <x v="6"/>
    <s v="rc_sks@rencons.com"/>
    <x v="1"/>
    <d v="2019-11-18T00:00:00"/>
    <d v="2019-11-30T00:00:00"/>
    <s v="РК-РД-1-АПС4.1.01-005-05"/>
    <n v="66.069999999999993"/>
    <n v="47.46"/>
    <m/>
    <m/>
    <m/>
    <s v="ПБ_АПС"/>
    <s v="Ссылка на план"/>
    <x v="404"/>
    <d v="2019-11-29T09:53:59"/>
    <d v="2019-12-03T09:54:25"/>
    <m/>
    <d v="2019-12-03T09:54:25"/>
  </r>
  <r>
    <n v="330"/>
    <s v="Расстояние от датчика АПС до решётки воздуховода менее 1 метра"/>
    <n v="2"/>
    <s v="Значительное"/>
    <x v="0"/>
    <x v="6"/>
    <s v="rc_sks@rencons.com"/>
    <x v="1"/>
    <d v="2019-11-18T00:00:00"/>
    <d v="2019-11-30T00:00:00"/>
    <s v="РК-РД-1-АПС4.1.01-005-05"/>
    <n v="59.23"/>
    <n v="67.599999999999994"/>
    <m/>
    <m/>
    <m/>
    <s v="ПБ_АПС"/>
    <s v="Ссылка на план"/>
    <x v="406"/>
    <d v="2019-11-29T09:54:13"/>
    <d v="2019-12-03T09:55:20"/>
    <m/>
    <d v="2019-12-03T09:55:21"/>
  </r>
  <r>
    <n v="674"/>
    <s v="Расстояние от датчика АПС до решётки воздуховода менее 1 метра "/>
    <n v="2"/>
    <s v="Значительное"/>
    <x v="0"/>
    <x v="6"/>
    <s v="rc_sks@rencons.com"/>
    <x v="1"/>
    <d v="2019-11-29T00:00:00"/>
    <d v="2020-01-24T00:00:00"/>
    <s v="РК-РД-1-АПС4.1.01-005-05"/>
    <n v="36.159999999999997"/>
    <n v="36.1"/>
    <m/>
    <m/>
    <m/>
    <s v="ПБ_АПС"/>
    <s v="Ссылка на план"/>
    <x v="407"/>
    <d v="2020-02-04T16:21:25"/>
    <d v="2020-02-05T09:22:42"/>
    <m/>
    <d v="2020-02-05T09:22:42"/>
  </r>
  <r>
    <n v="1161"/>
    <s v="Работа на высоте"/>
    <n v="1"/>
    <s v="КРИТИЧЕСКОЕ"/>
    <x v="0"/>
    <x v="7"/>
    <s v="rc_safety@rencons.com"/>
    <x v="1"/>
    <d v="2020-02-03T00:00:00"/>
    <d v="2020-02-03T00:00:00"/>
    <m/>
    <m/>
    <m/>
    <s v="Кровля_Блок 2_C"/>
    <n v="0"/>
    <m/>
    <m/>
    <m/>
    <x v="408"/>
    <d v="2020-02-03T16:55:46"/>
    <d v="2020-02-03T17:23:27"/>
    <m/>
    <d v="2020-02-03T17:24:01"/>
  </r>
  <r>
    <n v="1176"/>
    <s v="Нарушение правил работ на высоте"/>
    <n v="2"/>
    <s v="Значительное"/>
    <x v="1"/>
    <x v="7"/>
    <s v="aecom_safety@spgr.ru"/>
    <x v="1"/>
    <m/>
    <m/>
    <m/>
    <m/>
    <m/>
    <m/>
    <m/>
    <m/>
    <m/>
    <m/>
    <x v="409"/>
    <m/>
    <m/>
    <m/>
    <d v="2020-02-04T17:49:07"/>
  </r>
  <r>
    <n v="1178"/>
    <m/>
    <n v="3"/>
    <s v="Малозначительное"/>
    <x v="4"/>
    <x v="7"/>
    <s v="aecom_safety@spgr.ru"/>
    <x v="1"/>
    <m/>
    <m/>
    <s v="L6.1_ОТ и ТБ"/>
    <n v="0"/>
    <n v="0"/>
    <m/>
    <m/>
    <m/>
    <s v="ОТ и ТБ"/>
    <s v="Ссылка на план"/>
    <x v="410"/>
    <m/>
    <m/>
    <m/>
    <d v="2020-02-04T17:49:39"/>
  </r>
  <r>
    <n v="1177"/>
    <s v="При проведении работ 111"/>
    <n v="1"/>
    <s v="КРИТИЧЕСКОЕ"/>
    <x v="3"/>
    <x v="7"/>
    <s v="sobchenko@spgr.ru"/>
    <x v="1"/>
    <m/>
    <m/>
    <s v="L1_ОТ и ТБ"/>
    <n v="43.35"/>
    <n v="21.06"/>
    <m/>
    <n v="0"/>
    <m/>
    <s v="ОТ и ТБ"/>
    <s v="Ссылка на план"/>
    <x v="411"/>
    <m/>
    <m/>
    <m/>
    <d v="2020-02-04T17:48:56"/>
  </r>
  <r>
    <n v="467"/>
    <s v="Ферма кровли ETFE в/о 1/В-13/Б/14-16 на отм.+13,900  не закреплена к фасадной балке."/>
    <n v="1"/>
    <s v="КРИТИЧЕСКОЕ"/>
    <x v="0"/>
    <x v="7"/>
    <s v="rc_km@rencons.com"/>
    <x v="1"/>
    <d v="2019-11-28T00:00:00"/>
    <d v="2019-11-29T00:00:00"/>
    <s v="РК-РД-2-АР09.16-01.03-04"/>
    <n v="0"/>
    <n v="0"/>
    <m/>
    <m/>
    <m/>
    <s v="Рельсы СОФ"/>
    <s v="Ссылка на план"/>
    <x v="412"/>
    <d v="2019-12-06T11:22:07"/>
    <d v="2019-12-10T10:05:54"/>
    <m/>
    <d v="2019-12-10T10:05:55"/>
  </r>
  <r>
    <n v="1071"/>
    <s v="Сварочные работы в зоне действующего прохода людей"/>
    <n v="1"/>
    <s v="КРИТИЧЕСКОЕ"/>
    <x v="0"/>
    <x v="7"/>
    <s v="rc_cool_heat@rencons.com"/>
    <x v="1"/>
    <d v="2020-01-28T00:00:00"/>
    <d v="2020-01-28T00:00:00"/>
    <s v="_EAGRX~Q"/>
    <n v="42.36"/>
    <n v="34.99"/>
    <m/>
    <m/>
    <m/>
    <s v="АР общие планы"/>
    <s v="Ссылка на план"/>
    <x v="413"/>
    <d v="2020-02-10T16:57:24"/>
    <d v="2020-02-10T16:58:49"/>
    <m/>
    <d v="2020-02-10T16:58:50"/>
  </r>
  <r>
    <n v="980"/>
    <m/>
    <n v="2"/>
    <s v="Значительное"/>
    <x v="0"/>
    <x v="8"/>
    <s v="veresov@spgr.ru"/>
    <x v="1"/>
    <m/>
    <m/>
    <m/>
    <m/>
    <m/>
    <m/>
    <m/>
    <m/>
    <m/>
    <m/>
    <x v="414"/>
    <d v="2020-01-29T13:57:55"/>
    <d v="2020-01-29T13:57:55"/>
    <m/>
    <d v="2020-01-29T13:57:56"/>
  </r>
  <r>
    <n v="429"/>
    <s v="Передефектовки Панелей А2, L2, Внутренний Двор , √4,6"/>
    <n v="2"/>
    <s v="Значительное"/>
    <x v="0"/>
    <x v="8"/>
    <s v="lesyuta@spgr.ru"/>
    <x v="1"/>
    <d v="2019-11-25T00:00:00"/>
    <d v="2019-11-25T00:00:00"/>
    <m/>
    <m/>
    <m/>
    <s v="ФС_Тип 11 Вертикальный внутренний теплый модульный фасад КВД и Световых колодцев. Структурное остекление"/>
    <m/>
    <m/>
    <m/>
    <m/>
    <x v="415"/>
    <d v="2019-11-25T16:43:25"/>
    <d v="2019-12-12T17:45:55"/>
    <m/>
    <d v="2019-12-12T17:45:55"/>
  </r>
  <r>
    <n v="566"/>
    <s v="Устройство пароизоляции ферм ETFE, 1 этап, в осях 24-25/С-У, узлы 21-24."/>
    <n v="2"/>
    <s v="Значительное"/>
    <x v="0"/>
    <x v="8"/>
    <s v="oluferov@spgr.ru"/>
    <x v="0"/>
    <d v="2019-12-08T00:00:00"/>
    <d v="2019-12-08T00:00:00"/>
    <m/>
    <m/>
    <m/>
    <m/>
    <m/>
    <m/>
    <m/>
    <m/>
    <x v="416"/>
    <d v="2019-12-09T08:58:22"/>
    <d v="2019-12-09T08:58:22"/>
    <m/>
    <d v="2019-12-09T09:05:05"/>
  </r>
  <r>
    <n v="567"/>
    <s v="Устройство утепления ферм ETFE, 1 этап, в осях 24-25/С-У, узлы 9-12."/>
    <n v="2"/>
    <s v="Значительное"/>
    <x v="0"/>
    <x v="8"/>
    <s v="oluferov@spgr.ru"/>
    <x v="0"/>
    <d v="2019-12-08T00:00:00"/>
    <d v="2019-12-08T00:00:00"/>
    <m/>
    <m/>
    <m/>
    <m/>
    <m/>
    <m/>
    <m/>
    <m/>
    <x v="417"/>
    <d v="2019-12-09T09:10:46"/>
    <d v="2019-12-09T09:10:46"/>
    <m/>
    <d v="2019-12-09T09:10:46"/>
  </r>
  <r>
    <n v="958"/>
    <s v="Затяжка резьбовых соединений фермы ETFE, 2 очередь, этап 3, оси 9-10/Ф-Ш, узлы 1-17"/>
    <n v="2"/>
    <s v="Значительное"/>
    <x v="0"/>
    <x v="8"/>
    <s v="oluferov@spgr.ru"/>
    <x v="0"/>
    <d v="2020-01-19T00:00:00"/>
    <d v="2020-01-19T00:00:00"/>
    <m/>
    <m/>
    <m/>
    <m/>
    <m/>
    <m/>
    <m/>
    <m/>
    <x v="418"/>
    <d v="2020-01-20T09:32:53"/>
    <d v="2020-01-20T09:32:53"/>
    <m/>
    <d v="2020-01-20T09:36:18"/>
  </r>
  <r>
    <n v="959"/>
    <s v="Восстановление ЛКП резьбовых соединений фермы ETFE, 2 очередь, этап 3, оси 9-10/Ф-Ш, узлы 1-17"/>
    <n v="2"/>
    <s v="Значительное"/>
    <x v="0"/>
    <x v="8"/>
    <s v="oluferov@spgr.ru"/>
    <x v="0"/>
    <d v="2020-01-19T00:00:00"/>
    <d v="2020-01-19T00:00:00"/>
    <m/>
    <m/>
    <m/>
    <m/>
    <m/>
    <m/>
    <m/>
    <m/>
    <x v="419"/>
    <d v="2020-01-20T09:36:57"/>
    <d v="2020-01-20T09:36:57"/>
    <m/>
    <d v="2020-01-20T09:37:34"/>
  </r>
  <r>
    <n v="348"/>
    <s v="Керамзит, сетка в/о 19-21"/>
    <n v="2"/>
    <s v="Значительное"/>
    <x v="0"/>
    <x v="8"/>
    <s v="svetashov@spgr.ru"/>
    <x v="1"/>
    <d v="2019-11-19T00:00:00"/>
    <d v="2019-11-19T00:00:00"/>
    <s v="_FJT7Q~3"/>
    <n v="33.840000000000003"/>
    <n v="45.99"/>
    <m/>
    <m/>
    <m/>
    <s v="АР общие планы"/>
    <s v="Ссылка на план"/>
    <x v="420"/>
    <d v="2019-11-19T17:09:49"/>
    <d v="2019-11-28T11:29:28"/>
    <m/>
    <d v="2019-11-28T11:29:29"/>
  </r>
  <r>
    <n v="640"/>
    <s v="Опалубка Стм-2.89"/>
    <n v="2"/>
    <s v="Значительное"/>
    <x v="0"/>
    <x v="8"/>
    <s v="birukov@spgr.ru"/>
    <x v="1"/>
    <m/>
    <m/>
    <m/>
    <m/>
    <m/>
    <m/>
    <m/>
    <m/>
    <m/>
    <m/>
    <x v="421"/>
    <d v="2019-12-17T06:54:18"/>
    <d v="2019-12-17T06:54:18"/>
    <m/>
    <d v="2019-12-17T06:54:19"/>
  </r>
  <r>
    <n v="1064"/>
    <s v="Монтаж оцинкованного листа в/о К-Л по оси 1 отм +46,200 Блок №1"/>
    <n v="2"/>
    <s v="Значительное"/>
    <x v="0"/>
    <x v="8"/>
    <s v="birukov@spgr.ru"/>
    <x v="1"/>
    <d v="2020-01-26T00:00:00"/>
    <d v="2020-01-26T00:00:00"/>
    <m/>
    <m/>
    <m/>
    <m/>
    <m/>
    <m/>
    <m/>
    <m/>
    <x v="422"/>
    <d v="2020-01-26T18:45:24"/>
    <d v="2020-01-26T18:45:24"/>
    <m/>
    <d v="2020-01-26T18:45:24"/>
  </r>
  <r>
    <n v="1065"/>
    <s v="Противопожарная отсечка в/о 9/1 по 1/Б отм +12,450 Блок №2"/>
    <n v="2"/>
    <s v="Значительное"/>
    <x v="0"/>
    <x v="8"/>
    <s v="birukov@spgr.ru"/>
    <x v="1"/>
    <d v="2020-01-26T00:00:00"/>
    <d v="2020-01-26T00:00:00"/>
    <m/>
    <m/>
    <m/>
    <m/>
    <m/>
    <m/>
    <m/>
    <m/>
    <x v="422"/>
    <d v="2020-01-26T18:44:58"/>
    <d v="2020-01-26T18:44:58"/>
    <m/>
    <d v="2020-01-26T18:44:58"/>
  </r>
  <r>
    <n v="687"/>
    <s v="Гидроизоляция стен тоннеля входной группы ГО и ЧС;КРН-8 томи-4,250"/>
    <n v="2"/>
    <s v="Значительное"/>
    <x v="0"/>
    <x v="8"/>
    <s v="birukov@spgr.ru"/>
    <x v="1"/>
    <d v="2019-12-20T00:00:00"/>
    <d v="2019-12-20T00:00:00"/>
    <m/>
    <m/>
    <m/>
    <m/>
    <m/>
    <m/>
    <m/>
    <m/>
    <x v="423"/>
    <d v="2019-12-20T06:32:28"/>
    <d v="2019-12-20T06:32:28"/>
    <m/>
    <d v="2019-12-20T07:07:03"/>
  </r>
  <r>
    <n v="522"/>
    <s v="Монтаж  рельсов СОФ в/о 21-26 по оси 7/Б  Кровля Блок №3.1"/>
    <n v="3"/>
    <s v="Малозначительное"/>
    <x v="0"/>
    <x v="8"/>
    <s v="birukov@spgr.ru"/>
    <x v="1"/>
    <d v="2019-12-03T00:00:00"/>
    <d v="2019-12-03T00:00:00"/>
    <m/>
    <m/>
    <m/>
    <m/>
    <m/>
    <m/>
    <m/>
    <m/>
    <x v="424"/>
    <d v="2019-12-20T22:58:03"/>
    <d v="2019-12-20T22:58:03"/>
    <m/>
    <d v="2019-12-20T22:58:03"/>
  </r>
  <r>
    <n v="424"/>
    <s v="Монтаж Панелей ЗИПС L13.1.003"/>
    <n v="1"/>
    <s v="КРИТИЧЕСКОЕ"/>
    <x v="0"/>
    <x v="8"/>
    <s v="birukov@spgr.ru"/>
    <x v="1"/>
    <d v="2019-11-25T00:00:00"/>
    <d v="2019-11-25T00:00:00"/>
    <m/>
    <m/>
    <m/>
    <m/>
    <m/>
    <m/>
    <m/>
    <m/>
    <x v="425"/>
    <d v="2019-12-20T22:58:31"/>
    <d v="2019-12-20T22:58:31"/>
    <m/>
    <d v="2019-12-20T22:58:31"/>
  </r>
  <r>
    <n v="697"/>
    <s v="Устройство вертик г/и в/о Ш/2-Ш/4 "/>
    <n v="2"/>
    <s v="Значительное"/>
    <x v="0"/>
    <x v="8"/>
    <s v="birukov@spgr.ru"/>
    <x v="1"/>
    <d v="2019-12-20T00:00:00"/>
    <d v="2019-12-20T00:00:00"/>
    <m/>
    <m/>
    <m/>
    <m/>
    <m/>
    <m/>
    <m/>
    <m/>
    <x v="426"/>
    <d v="2019-12-21T05:41:06"/>
    <d v="2019-12-21T05:41:06"/>
    <m/>
    <d v="2019-12-21T05:41:07"/>
  </r>
  <r>
    <n v="409"/>
    <s v="Монтаж Фасадных Панелей в/о 19-20 вдоль оси 3/А с отм +4.170 до  отм+5,793"/>
    <n v="1"/>
    <s v="КРИТИЧЕСКОЕ"/>
    <x v="0"/>
    <x v="8"/>
    <s v="birukov@spgr.ru"/>
    <x v="1"/>
    <d v="2019-11-23T00:00:00"/>
    <d v="2019-11-23T00:00:00"/>
    <m/>
    <m/>
    <m/>
    <m/>
    <m/>
    <m/>
    <m/>
    <m/>
    <x v="427"/>
    <d v="2019-12-20T22:59:19"/>
    <d v="2019-12-20T22:59:19"/>
    <m/>
    <d v="2019-12-20T22:59:19"/>
  </r>
  <r>
    <n v="753"/>
    <s v="Устройство горизонтальной рулонной г/и в/о Е2-В2/1.2-3.2 КПП отм -2.350"/>
    <n v="2"/>
    <s v="Значительное"/>
    <x v="0"/>
    <x v="8"/>
    <s v="birukov@spgr.ru"/>
    <x v="1"/>
    <d v="2019-12-23T00:00:00"/>
    <d v="2019-12-23T00:00:00"/>
    <m/>
    <m/>
    <m/>
    <m/>
    <m/>
    <m/>
    <m/>
    <m/>
    <x v="428"/>
    <d v="2019-12-24T00:16:13"/>
    <d v="2019-12-24T00:16:13"/>
    <m/>
    <d v="2019-12-24T00:16:13"/>
  </r>
  <r>
    <n v="770"/>
    <s v="Монтаж фасадных панелей/о 15-16 в доль оси 3/А отм +7,801 Блок 2"/>
    <n v="2"/>
    <s v="Значительное"/>
    <x v="0"/>
    <x v="8"/>
    <s v="birukov@spgr.ru"/>
    <x v="1"/>
    <d v="2019-12-25T00:00:00"/>
    <d v="2019-12-25T00:00:00"/>
    <m/>
    <m/>
    <m/>
    <m/>
    <m/>
    <m/>
    <m/>
    <m/>
    <x v="429"/>
    <d v="2019-12-25T06:40:01"/>
    <d v="2019-12-25T06:40:01"/>
    <m/>
    <d v="2019-12-25T06:40:03"/>
  </r>
  <r>
    <n v="811"/>
    <s v="Монтаж металлических дверей В1"/>
    <n v="3"/>
    <s v="Малозначительное"/>
    <x v="0"/>
    <x v="8"/>
    <s v="birukov@spgr.ru"/>
    <x v="1"/>
    <d v="2019-12-27T00:00:00"/>
    <d v="2019-12-27T00:00:00"/>
    <m/>
    <m/>
    <m/>
    <m/>
    <m/>
    <m/>
    <m/>
    <m/>
    <x v="430"/>
    <d v="2019-12-27T17:57:01"/>
    <d v="2019-12-27T17:57:01"/>
    <m/>
    <d v="2019-12-27T17:57:02"/>
  </r>
  <r>
    <n v="915"/>
    <s v="Гидравлическое испытание замков колодца №12 системы К-2"/>
    <n v="2"/>
    <s v="Значительное"/>
    <x v="0"/>
    <x v="8"/>
    <s v="birukov@spgr.ru"/>
    <x v="1"/>
    <d v="2020-01-14T00:00:00"/>
    <d v="2020-01-15T00:00:00"/>
    <m/>
    <m/>
    <m/>
    <m/>
    <m/>
    <m/>
    <m/>
    <m/>
    <x v="431"/>
    <d v="2020-01-15T02:34:17"/>
    <d v="2020-01-15T02:34:17"/>
    <m/>
    <d v="2020-01-15T02:34:17"/>
  </r>
  <r>
    <n v="818"/>
    <s v="Устройство-во откосов помещений 13.L2.3.004-...001;010;009"/>
    <n v="2"/>
    <s v="Значительное"/>
    <x v="0"/>
    <x v="8"/>
    <s v="birukov@spgr.ru"/>
    <x v="1"/>
    <d v="2019-12-28T00:00:00"/>
    <d v="2019-12-28T00:00:00"/>
    <m/>
    <m/>
    <m/>
    <m/>
    <m/>
    <m/>
    <m/>
    <m/>
    <x v="432"/>
    <d v="2019-12-28T16:28:26"/>
    <d v="2019-12-28T16:28:26"/>
    <m/>
    <d v="2019-12-28T16:28:31"/>
  </r>
  <r>
    <n v="527"/>
    <s v="Огнезащитна м/к (огракс) Блок 1 отм +54,650 в/о 5-6/1 в/о И-Л "/>
    <n v="2"/>
    <s v="Значительное"/>
    <x v="0"/>
    <x v="8"/>
    <s v="birukov@spgr.ru"/>
    <x v="1"/>
    <d v="2019-12-04T00:00:00"/>
    <d v="2019-12-04T00:00:00"/>
    <m/>
    <m/>
    <m/>
    <m/>
    <m/>
    <m/>
    <m/>
    <m/>
    <x v="433"/>
    <d v="2019-12-04T17:58:36"/>
    <d v="2019-12-12T17:46:35"/>
    <m/>
    <d v="2019-12-12T17:46:36"/>
  </r>
  <r>
    <n v="154"/>
    <s v="Решётчатый настил Секция 23 Блок 1"/>
    <n v="2"/>
    <s v="Значительное"/>
    <x v="0"/>
    <x v="8"/>
    <s v="birukov@spgr.ru"/>
    <x v="1"/>
    <d v="2019-11-06T00:00:00"/>
    <d v="2019-11-06T00:00:00"/>
    <m/>
    <m/>
    <m/>
    <m/>
    <n v="4"/>
    <n v="0"/>
    <m/>
    <m/>
    <x v="434"/>
    <d v="2019-11-22T04:05:11"/>
    <d v="2019-12-12T17:50:31"/>
    <m/>
    <d v="2019-12-12T17:50:31"/>
  </r>
  <r>
    <n v="555"/>
    <s v="Устройство Противопожарной Отсечки 1-вы уровень (переход сТ в Х зону) в/о 23-24 по оси 10/Б том +12,600 Блок 2"/>
    <n v="2"/>
    <s v="Значительное"/>
    <x v="0"/>
    <x v="8"/>
    <s v="birukov@spgr.ru"/>
    <x v="1"/>
    <d v="2019-12-07T00:00:00"/>
    <d v="2019-12-07T00:00:00"/>
    <m/>
    <m/>
    <m/>
    <m/>
    <m/>
    <m/>
    <m/>
    <m/>
    <x v="435"/>
    <d v="2019-12-07T11:45:10"/>
    <d v="2019-12-12T17:49:08"/>
    <m/>
    <d v="2019-12-12T17:49:09"/>
  </r>
  <r>
    <n v="554"/>
    <s v="Операционный контроль панелей фасада панель №117;116 L1А3 ;№132 L2 A3"/>
    <n v="1"/>
    <s v="КРИТИЧЕСКОЕ"/>
    <x v="0"/>
    <x v="8"/>
    <s v="birukov@spgr.ru"/>
    <x v="1"/>
    <d v="2019-12-07T00:00:00"/>
    <d v="2019-12-07T00:00:00"/>
    <m/>
    <m/>
    <m/>
    <m/>
    <m/>
    <m/>
    <m/>
    <m/>
    <x v="435"/>
    <d v="2019-12-11T09:12:30"/>
    <d v="2019-12-12T17:48:47"/>
    <m/>
    <d v="2019-12-12T18:09:43"/>
  </r>
  <r>
    <n v="951"/>
    <s v="Устройство-во горизонтальной г/и Барьер БО 07.L3.1.062;063 "/>
    <n v="2"/>
    <s v="Значительное"/>
    <x v="0"/>
    <x v="8"/>
    <s v="birukov@spgr.ru"/>
    <x v="1"/>
    <d v="2020-01-19T00:00:00"/>
    <d v="2020-01-19T00:00:00"/>
    <m/>
    <m/>
    <m/>
    <m/>
    <m/>
    <m/>
    <m/>
    <m/>
    <x v="436"/>
    <d v="2020-01-19T16:31:57"/>
    <d v="2020-01-19T16:31:57"/>
    <m/>
    <d v="2020-01-19T16:31:58"/>
  </r>
  <r>
    <n v="1121"/>
    <s v="Устройство п/а отсечки в/о Д-И по оси 15 отм +16,650 Блок №2.1"/>
    <n v="2"/>
    <s v="Значительное"/>
    <x v="0"/>
    <x v="8"/>
    <s v="birukov@spgr.ru"/>
    <x v="1"/>
    <d v="2020-01-30T00:00:00"/>
    <d v="2020-01-30T00:00:00"/>
    <m/>
    <m/>
    <m/>
    <m/>
    <m/>
    <m/>
    <m/>
    <m/>
    <x v="437"/>
    <d v="2020-02-04T08:04:47"/>
    <d v="2020-02-04T08:04:47"/>
    <m/>
    <d v="2020-02-04T08:04:48"/>
  </r>
  <r>
    <n v="604"/>
    <s v="Армирование стены ФМ 1.2 в/о Ш/2-Ш/3 том -8.550"/>
    <n v="2"/>
    <s v="Значительное"/>
    <x v="0"/>
    <x v="8"/>
    <s v="birukov@spgr.ru"/>
    <x v="1"/>
    <d v="2019-12-11T00:00:00"/>
    <d v="2019-12-11T00:00:00"/>
    <m/>
    <m/>
    <m/>
    <m/>
    <m/>
    <m/>
    <m/>
    <m/>
    <x v="438"/>
    <d v="2019-12-12T17:50:48"/>
    <d v="2019-12-12T17:50:48"/>
    <m/>
    <d v="2019-12-12T17:50:48"/>
  </r>
  <r>
    <n v="1122"/>
    <s v="Монтаж опалубки подпорной стены в/о Г-Е по 1 отм.-6,200"/>
    <n v="2"/>
    <s v="Значительное"/>
    <x v="0"/>
    <x v="8"/>
    <s v="birukov@spgr.ru"/>
    <x v="1"/>
    <d v="2020-01-31T00:00:00"/>
    <d v="2020-01-31T00:00:00"/>
    <m/>
    <m/>
    <m/>
    <m/>
    <m/>
    <m/>
    <m/>
    <m/>
    <x v="439"/>
    <d v="2020-01-31T05:02:32"/>
    <d v="2020-01-31T05:02:32"/>
    <m/>
    <d v="2020-01-31T05:02:32"/>
  </r>
  <r>
    <n v="425"/>
    <s v="Устройство Г/И Ковра Кровли (1 Слой ЭПП) В/О 16-18 М/О 5/Б-7/Б Отм +12,800 БЛОК 2"/>
    <n v="2"/>
    <s v="Значительное"/>
    <x v="0"/>
    <x v="8"/>
    <s v="birukov@spgr.ru"/>
    <x v="1"/>
    <d v="2019-11-25T00:00:00"/>
    <d v="2019-11-25T00:00:00"/>
    <m/>
    <m/>
    <m/>
    <m/>
    <m/>
    <m/>
    <m/>
    <m/>
    <x v="440"/>
    <d v="2019-11-25T18:08:29"/>
    <d v="2019-12-12T17:50:16"/>
    <m/>
    <d v="2019-12-12T17:50:17"/>
  </r>
  <r>
    <n v="537"/>
    <s v="Заделка вертикального стыка участка фасадной стены в/о М-Л по оси 34/1 L3 Блок 3мин.ватой"/>
    <n v="2"/>
    <s v="Значительное"/>
    <x v="0"/>
    <x v="8"/>
    <s v="birukov@spgr.ru"/>
    <x v="1"/>
    <d v="2019-12-04T00:00:00"/>
    <d v="2019-12-04T00:00:00"/>
    <m/>
    <m/>
    <m/>
    <m/>
    <m/>
    <m/>
    <m/>
    <m/>
    <x v="441"/>
    <d v="2019-12-04T18:59:50"/>
    <d v="2019-12-12T17:48:36"/>
    <m/>
    <d v="2019-12-12T17:48:36"/>
  </r>
  <r>
    <n v="831"/>
    <s v="Производство работ "/>
    <n v="2"/>
    <s v="Значительное"/>
    <x v="0"/>
    <x v="8"/>
    <s v="birukov@spgr.ru"/>
    <x v="1"/>
    <d v="2020-01-02T00:00:00"/>
    <d v="2020-01-03T00:00:00"/>
    <m/>
    <m/>
    <m/>
    <m/>
    <m/>
    <m/>
    <m/>
    <m/>
    <x v="442"/>
    <d v="2020-01-03T06:28:00"/>
    <d v="2020-01-03T06:28:00"/>
    <m/>
    <d v="2020-01-03T06:28:01"/>
  </r>
  <r>
    <n v="840"/>
    <s v="Чистота основания и обмазочная г/и битумом примыкания СВГ и здания в/о 9-12 по оси 1/Б"/>
    <n v="2"/>
    <s v="Значительное"/>
    <x v="0"/>
    <x v="8"/>
    <s v="birukov@spgr.ru"/>
    <x v="1"/>
    <d v="2020-01-03T00:00:00"/>
    <d v="2020-01-04T00:00:00"/>
    <m/>
    <m/>
    <m/>
    <m/>
    <m/>
    <m/>
    <m/>
    <m/>
    <x v="443"/>
    <d v="2020-01-04T05:09:04"/>
    <d v="2020-01-04T05:09:04"/>
    <m/>
    <d v="2020-01-04T05:09:05"/>
  </r>
  <r>
    <n v="1148"/>
    <s v="Монтаж опалубки плиты ГО ЧС в/о Ш-Ш/2 на отм.-4,400"/>
    <n v="2"/>
    <s v="Значительное"/>
    <x v="0"/>
    <x v="8"/>
    <s v="birukov@spgr.ru"/>
    <x v="1"/>
    <d v="2020-02-01T00:00:00"/>
    <d v="2020-02-01T00:00:00"/>
    <m/>
    <m/>
    <m/>
    <m/>
    <m/>
    <m/>
    <m/>
    <m/>
    <x v="444"/>
    <d v="2020-02-01T00:29:02"/>
    <d v="2020-02-01T00:29:02"/>
    <m/>
    <d v="2020-02-01T00:29:02"/>
  </r>
  <r>
    <n v="857"/>
    <s v="   Армирование стены КРМ -8 КПП-2"/>
    <n v="3"/>
    <s v="Малозначительное"/>
    <x v="0"/>
    <x v="8"/>
    <s v="birukov@spgr.ru"/>
    <x v="1"/>
    <d v="2020-01-07T00:00:00"/>
    <d v="2020-01-07T00:00:00"/>
    <m/>
    <m/>
    <m/>
    <m/>
    <m/>
    <m/>
    <m/>
    <m/>
    <x v="445"/>
    <d v="2020-01-07T23:34:25"/>
    <d v="2020-01-07T23:34:25"/>
    <m/>
    <d v="2020-01-07T23:34:25"/>
  </r>
  <r>
    <n v="1182"/>
    <s v="Устройство  бетонной  подготовки (армирование ,опалубка) в/о В-Ж водопровод В-1"/>
    <n v="3"/>
    <s v="Малозначительное"/>
    <x v="0"/>
    <x v="8"/>
    <s v="birukov@spgr.ru"/>
    <x v="1"/>
    <d v="2020-02-05T00:00:00"/>
    <d v="2020-02-05T00:00:00"/>
    <m/>
    <m/>
    <m/>
    <m/>
    <m/>
    <m/>
    <m/>
    <m/>
    <x v="446"/>
    <d v="2020-02-05T02:58:36"/>
    <d v="2020-02-05T02:58:36"/>
    <m/>
    <d v="2020-02-05T02:58:38"/>
  </r>
  <r>
    <n v="880"/>
    <s v="Восстановление ЛКП М/К (ферм)"/>
    <n v="2"/>
    <s v="Значительное"/>
    <x v="0"/>
    <x v="8"/>
    <s v="birukov@spgr.ru"/>
    <x v="1"/>
    <d v="2020-01-10T00:00:00"/>
    <d v="2020-01-10T00:00:00"/>
    <m/>
    <m/>
    <m/>
    <m/>
    <m/>
    <m/>
    <m/>
    <m/>
    <x v="447"/>
    <d v="2020-01-10T14:05:25"/>
    <d v="2020-01-10T14:05:25"/>
    <m/>
    <d v="2020-01-10T17:12:46"/>
  </r>
  <r>
    <n v="889"/>
    <s v="Теплоизоляция кровли в/о 1/А-5 L10 Блок №1"/>
    <n v="3"/>
    <s v="Малозначительное"/>
    <x v="0"/>
    <x v="8"/>
    <s v="birukov@spgr.ru"/>
    <x v="1"/>
    <d v="2020-01-10T00:00:00"/>
    <d v="2020-01-10T00:00:00"/>
    <m/>
    <m/>
    <m/>
    <m/>
    <m/>
    <m/>
    <m/>
    <m/>
    <x v="448"/>
    <d v="2020-01-10T14:39:04"/>
    <d v="2020-01-10T14:39:04"/>
    <m/>
    <d v="2020-01-10T17:12:47"/>
  </r>
  <r>
    <n v="887"/>
    <s v="Устройство бет стяжки (пирог согласно проека+ армирование) пом. 09L1.1.06-016"/>
    <n v="2"/>
    <s v="Значительное"/>
    <x v="0"/>
    <x v="8"/>
    <s v="birukov@spgr.ru"/>
    <x v="1"/>
    <d v="2020-01-10T00:00:00"/>
    <d v="2020-01-10T00:00:00"/>
    <m/>
    <m/>
    <m/>
    <m/>
    <m/>
    <m/>
    <m/>
    <m/>
    <x v="449"/>
    <d v="2020-01-10T14:05:17"/>
    <d v="2020-01-10T14:05:17"/>
    <m/>
    <d v="2020-01-10T17:12:47"/>
  </r>
  <r>
    <n v="1233"/>
    <s v="Монтаж утеплителя вентфасада 1 слой в/о 12-14 по оси 2/Б отм +12,460 Блок №2"/>
    <n v="2"/>
    <s v="Значительное"/>
    <x v="0"/>
    <x v="8"/>
    <s v="birukov@spgr.ru"/>
    <x v="1"/>
    <d v="2020-02-07T00:00:00"/>
    <d v="2020-02-07T00:00:00"/>
    <m/>
    <m/>
    <m/>
    <m/>
    <m/>
    <m/>
    <m/>
    <m/>
    <x v="450"/>
    <d v="2020-02-07T18:35:44"/>
    <d v="2020-02-07T18:35:44"/>
    <m/>
    <d v="2020-02-07T18:35:44"/>
  </r>
  <r>
    <n v="1249"/>
    <s v="Каркас перегородки из ГКЛ 07L 3.094"/>
    <n v="2"/>
    <s v="Значительное"/>
    <x v="0"/>
    <x v="8"/>
    <s v="birukov@spgr.ru"/>
    <x v="1"/>
    <d v="2020-02-08T00:00:00"/>
    <d v="2020-02-08T00:00:00"/>
    <m/>
    <m/>
    <m/>
    <m/>
    <m/>
    <m/>
    <m/>
    <m/>
    <x v="451"/>
    <d v="2020-02-08T17:44:47"/>
    <d v="2020-02-08T17:44:47"/>
    <m/>
    <d v="2020-02-08T17:44:47"/>
  </r>
  <r>
    <n v="925"/>
    <s v="Гидравлические испытания системы К-1 захватка 6;8"/>
    <n v="2"/>
    <s v="Значительное"/>
    <x v="0"/>
    <x v="8"/>
    <s v="birukov@spgr.ru"/>
    <x v="1"/>
    <d v="2020-01-16T00:00:00"/>
    <d v="2020-01-16T00:00:00"/>
    <m/>
    <m/>
    <m/>
    <m/>
    <m/>
    <m/>
    <m/>
    <m/>
    <x v="452"/>
    <d v="2020-01-16T06:14:32"/>
    <d v="2020-01-16T06:14:32"/>
    <m/>
    <d v="2020-01-16T06:14:32"/>
  </r>
  <r>
    <n v="941"/>
    <s v="Устройство полимерных полов 03 В1.001;"/>
    <n v="2"/>
    <s v="Значительное"/>
    <x v="0"/>
    <x v="8"/>
    <s v="birukov@spgr.ru"/>
    <x v="1"/>
    <d v="2020-01-18T00:00:00"/>
    <d v="2020-01-18T00:00:00"/>
    <m/>
    <m/>
    <m/>
    <m/>
    <m/>
    <m/>
    <m/>
    <m/>
    <x v="453"/>
    <d v="2020-01-18T10:57:41"/>
    <d v="2020-01-18T10:57:41"/>
    <m/>
    <d v="2020-01-18T12:26:54"/>
  </r>
  <r>
    <n v="945"/>
    <s v="Устройство мощения кровли тротуарной плиткой 1/Б-6/Б м/о Т-С отм+30.000 Блок 1 "/>
    <n v="2"/>
    <s v="Значительное"/>
    <x v="0"/>
    <x v="8"/>
    <s v="birukov@spgr.ru"/>
    <x v="1"/>
    <d v="2020-01-18T00:00:00"/>
    <d v="2020-01-18T00:00:00"/>
    <m/>
    <m/>
    <m/>
    <m/>
    <m/>
    <m/>
    <m/>
    <m/>
    <x v="453"/>
    <d v="2020-01-18T12:27:40"/>
    <d v="2020-01-18T12:27:40"/>
    <m/>
    <d v="2020-01-18T12:27:40"/>
  </r>
  <r>
    <n v="942"/>
    <s v="Армирование стяжки 13L4.2.06-1;14L4.2.033"/>
    <n v="2"/>
    <s v="Значительное"/>
    <x v="0"/>
    <x v="8"/>
    <s v="birukov@spgr.ru"/>
    <x v="1"/>
    <d v="2020-01-18T00:00:00"/>
    <d v="2020-01-18T00:00:00"/>
    <m/>
    <m/>
    <m/>
    <m/>
    <m/>
    <m/>
    <m/>
    <m/>
    <x v="453"/>
    <d v="2020-01-18T11:05:57"/>
    <d v="2020-01-18T11:05:57"/>
    <m/>
    <d v="2020-01-18T12:26:54"/>
  </r>
  <r>
    <n v="946"/>
    <s v="Вертикальный лист противопож отсечки в/о Н по7 L9;L7 Блок 1;Б 1 в/о в/о л/19 отм +16.800"/>
    <n v="2"/>
    <s v="Значительное"/>
    <x v="0"/>
    <x v="8"/>
    <s v="birukov@spgr.ru"/>
    <x v="1"/>
    <d v="2020-01-18T00:00:00"/>
    <d v="2020-01-18T00:00:00"/>
    <m/>
    <m/>
    <m/>
    <m/>
    <m/>
    <m/>
    <m/>
    <m/>
    <x v="454"/>
    <d v="2020-01-18T12:30:00"/>
    <d v="2020-01-18T12:30:00"/>
    <m/>
    <d v="2020-01-18T12:30:00"/>
  </r>
  <r>
    <n v="953"/>
    <s v="Монтаж верхнего накрывающего листа L11 в/о К-Л по оси 7 Блок №1"/>
    <n v="2"/>
    <s v="Значительное"/>
    <x v="0"/>
    <x v="8"/>
    <s v="birukov@spgr.ru"/>
    <x v="1"/>
    <d v="2020-01-19T00:00:00"/>
    <d v="2020-01-19T00:00:00"/>
    <m/>
    <m/>
    <m/>
    <m/>
    <m/>
    <m/>
    <m/>
    <m/>
    <x v="455"/>
    <d v="2020-01-19T16:29:18"/>
    <d v="2020-01-19T16:29:18"/>
    <m/>
    <d v="2020-01-19T16:29:18"/>
  </r>
  <r>
    <n v="1024"/>
    <s v="Монтаж тротуарной плитки на кровле в/о 10/Б-18 Блок Б1 отм +21.000"/>
    <n v="2"/>
    <s v="Значительное"/>
    <x v="0"/>
    <x v="8"/>
    <s v="birukov@spgr.ru"/>
    <x v="1"/>
    <d v="2020-01-23T00:00:00"/>
    <d v="2020-01-23T00:00:00"/>
    <m/>
    <m/>
    <m/>
    <m/>
    <m/>
    <m/>
    <m/>
    <m/>
    <x v="456"/>
    <d v="2020-01-23T18:37:15"/>
    <d v="2020-01-23T18:37:15"/>
    <m/>
    <d v="2020-01-23T18:37:15"/>
  </r>
  <r>
    <n v="1023"/>
    <s v="Устройство подсыпки из керамзита кровли в/о 4-7 м/о Д-Е Блок №1 отм +52,150"/>
    <n v="2"/>
    <s v="Значительное"/>
    <x v="0"/>
    <x v="8"/>
    <s v="birukov@spgr.ru"/>
    <x v="1"/>
    <d v="2020-01-23T00:00:00"/>
    <d v="2020-01-23T00:00:00"/>
    <m/>
    <m/>
    <m/>
    <m/>
    <m/>
    <m/>
    <m/>
    <m/>
    <x v="457"/>
    <d v="2020-01-26T15:38:07"/>
    <d v="2020-01-26T15:38:07"/>
    <m/>
    <d v="2020-01-26T18:43:40"/>
  </r>
  <r>
    <n v="1021"/>
    <s v="Устройство подстилающего слоя пола «Сика Левел» 09.L1.1.009-011 "/>
    <n v="2"/>
    <s v="Значительное"/>
    <x v="0"/>
    <x v="8"/>
    <s v="birukov@spgr.ru"/>
    <x v="1"/>
    <d v="2020-01-23T00:00:00"/>
    <d v="2020-01-23T00:00:00"/>
    <m/>
    <m/>
    <m/>
    <m/>
    <m/>
    <m/>
    <m/>
    <m/>
    <x v="458"/>
    <d v="2020-01-23T18:34:49"/>
    <d v="2020-01-23T18:34:49"/>
    <m/>
    <d v="2020-01-23T18:34:49"/>
  </r>
  <r>
    <n v="1096"/>
    <s v="Дефектовка огнезащиты несущих конструкций"/>
    <n v="2"/>
    <s v="Значительное"/>
    <x v="2"/>
    <x v="8"/>
    <s v="fedorov@spgr.ru"/>
    <x v="1"/>
    <m/>
    <m/>
    <s v="РК-РД-2-ОЗ1.1.01-008-03"/>
    <n v="0"/>
    <n v="0"/>
    <m/>
    <m/>
    <m/>
    <s v="ОГНЕЗАЩИТА МК МОНОКОТ"/>
    <s v="Ссылка на план"/>
    <x v="459"/>
    <d v="2020-01-29T17:20:09"/>
    <m/>
    <m/>
    <d v="2020-01-29T17:20:09"/>
  </r>
  <r>
    <n v="1102"/>
    <s v="Дефектовка огнезащиты несущих конструкций"/>
    <n v="2"/>
    <s v="Значительное"/>
    <x v="2"/>
    <x v="8"/>
    <s v="fedorov@spgr.ru"/>
    <x v="1"/>
    <m/>
    <m/>
    <s v="РК-РД-2-ОЗ1.1.02-005-03"/>
    <n v="0"/>
    <n v="0"/>
    <m/>
    <m/>
    <m/>
    <s v="ОГНЕЗАЩИТА МК МОНОКОТ"/>
    <s v="Ссылка на план"/>
    <x v="460"/>
    <d v="2020-01-29T17:29:16"/>
    <m/>
    <m/>
    <d v="2020-01-29T17:29:17"/>
  </r>
  <r>
    <n v="1100"/>
    <s v="Дефектовка огнезащиты несущих конструкций"/>
    <n v="2"/>
    <s v="Значительное"/>
    <x v="2"/>
    <x v="8"/>
    <s v="fedorov@spgr.ru"/>
    <x v="1"/>
    <m/>
    <m/>
    <s v="РК-РД-2-ОЗ1.1.02-003-02"/>
    <n v="0"/>
    <n v="0"/>
    <m/>
    <m/>
    <m/>
    <s v="ОГНЕЗАЩИТА МК МОНОКОТ"/>
    <s v="Ссылка на план"/>
    <x v="461"/>
    <d v="2020-01-29T17:27:24"/>
    <m/>
    <m/>
    <d v="2020-01-29T17:27:44"/>
  </r>
  <r>
    <n v="1101"/>
    <s v="Дефектовка огнезащиты несущих конструкций"/>
    <n v="2"/>
    <s v="Значительное"/>
    <x v="2"/>
    <x v="8"/>
    <s v="fedorov@spgr.ru"/>
    <x v="1"/>
    <m/>
    <m/>
    <s v="РК-РД-2-ОЗ1.1.02-004-02"/>
    <n v="0"/>
    <n v="0"/>
    <m/>
    <m/>
    <m/>
    <s v="ОГНЕЗАЩИТА МК МОНОКОТ"/>
    <s v="Ссылка на план"/>
    <x v="462"/>
    <d v="2020-01-29T17:28:19"/>
    <m/>
    <m/>
    <d v="2020-01-29T17:28:37"/>
  </r>
  <r>
    <n v="1098"/>
    <s v="Дефектовка огнезащиты несущих конструкций"/>
    <n v="2"/>
    <s v="Значительное"/>
    <x v="2"/>
    <x v="8"/>
    <s v="fedorov@spgr.ru"/>
    <x v="1"/>
    <m/>
    <m/>
    <s v="РК-РД-2-ОЗ1.1.01-009-03"/>
    <n v="0"/>
    <n v="0"/>
    <m/>
    <m/>
    <m/>
    <s v="ОГНЕЗАЩИТА МК МОНОКОТ"/>
    <s v="Ссылка на план"/>
    <x v="463"/>
    <d v="2020-01-29T17:19:56"/>
    <m/>
    <m/>
    <d v="2020-01-29T17:20:30"/>
  </r>
  <r>
    <n v="1105"/>
    <s v="Дефектовка огнезащиты несущих конструкций"/>
    <n v="2"/>
    <s v="Значительное"/>
    <x v="2"/>
    <x v="8"/>
    <s v="fedorov@spgr.ru"/>
    <x v="1"/>
    <m/>
    <m/>
    <s v="РК-РД-2-ОЗ2.1.01-008-02"/>
    <n v="0"/>
    <n v="0"/>
    <m/>
    <m/>
    <m/>
    <s v="ОГНЕЗАЩИТА МК МОНОКОТ"/>
    <s v="Ссылка на план"/>
    <x v="464"/>
    <d v="2020-01-29T17:31:33"/>
    <m/>
    <m/>
    <d v="2020-01-29T17:31:33"/>
  </r>
  <r>
    <n v="1099"/>
    <s v="Дефектовка огнезащиты несущих конструкций"/>
    <n v="2"/>
    <s v="Значительное"/>
    <x v="2"/>
    <x v="8"/>
    <s v="fedorov@spgr.ru"/>
    <x v="1"/>
    <m/>
    <m/>
    <s v="РК-РД-2-ОЗ1.1.01-010-02"/>
    <n v="0"/>
    <n v="0"/>
    <m/>
    <m/>
    <m/>
    <s v="ОГНЕЗАЩИТА МК МОНОКОТ"/>
    <s v="Ссылка на план"/>
    <x v="465"/>
    <d v="2020-01-29T17:21:33"/>
    <m/>
    <m/>
    <d v="2020-01-29T17:21:42"/>
  </r>
  <r>
    <n v="1103"/>
    <s v="Дефектовка огнезащиты несущих конструкций"/>
    <n v="2"/>
    <s v="Значительное"/>
    <x v="2"/>
    <x v="8"/>
    <s v="fedorov@spgr.ru"/>
    <x v="1"/>
    <m/>
    <m/>
    <s v="РК-РД-2-ОЗ1.1.02-006-02"/>
    <n v="0"/>
    <n v="0"/>
    <m/>
    <m/>
    <m/>
    <s v="ОГНЕЗАЩИТА МК МОНОКОТ"/>
    <s v="Ссылка на план"/>
    <x v="466"/>
    <d v="2020-01-29T17:29:52"/>
    <m/>
    <m/>
    <d v="2020-01-29T17:29:56"/>
  </r>
  <r>
    <n v="1104"/>
    <s v="Дефектовка огнезащиты несущих конструкций"/>
    <n v="2"/>
    <s v="Значительное"/>
    <x v="2"/>
    <x v="8"/>
    <s v="fedorov@spgr.ru"/>
    <x v="1"/>
    <m/>
    <m/>
    <s v="РК-РД-2-ОЗ2.1.01-006-01"/>
    <n v="0"/>
    <n v="0"/>
    <m/>
    <m/>
    <m/>
    <s v="ОГНЕЗАЩИТА МК МОНОКОТ"/>
    <s v="Ссылка на план"/>
    <x v="467"/>
    <d v="2020-01-29T17:30:28"/>
    <m/>
    <m/>
    <d v="2020-01-29T17:30:29"/>
  </r>
  <r>
    <n v="1106"/>
    <s v="Дефектовка огнезащиты несущих конструкций"/>
    <n v="2"/>
    <s v="Значительное"/>
    <x v="2"/>
    <x v="8"/>
    <s v="fedorov@spgr.ru"/>
    <x v="1"/>
    <m/>
    <m/>
    <s v="РК-РД-2-ОЗ2.1.01-009-02"/>
    <n v="0"/>
    <n v="0"/>
    <m/>
    <m/>
    <m/>
    <s v="ОГНЕЗАЩИТА МК МОНОКОТ"/>
    <s v="Ссылка на план"/>
    <x v="468"/>
    <d v="2020-01-29T17:32:55"/>
    <m/>
    <m/>
    <d v="2020-01-29T17:32:55"/>
  </r>
  <r>
    <n v="1225"/>
    <s v="Прокладка водопроводной трубы  в/о В-Ж водопровод В-1"/>
    <n v="2"/>
    <s v="Значительное"/>
    <x v="2"/>
    <x v="8"/>
    <s v="fedorov@spgr.ru"/>
    <x v="1"/>
    <d v="2020-02-07T00:00:00"/>
    <d v="2020-02-07T00:00:00"/>
    <m/>
    <m/>
    <m/>
    <m/>
    <m/>
    <m/>
    <m/>
    <m/>
    <x v="469"/>
    <d v="2020-02-07T06:40:08"/>
    <m/>
    <m/>
    <d v="2020-02-07T06:45:08"/>
  </r>
  <r>
    <n v="673"/>
    <s v="Устройство гидроизоляции парапета на стилобате в\о 22-25/в-б"/>
    <n v="2"/>
    <s v="Значительное"/>
    <x v="0"/>
    <x v="8"/>
    <s v="fedorov@spgr.ru"/>
    <x v="1"/>
    <d v="2019-12-19T00:00:00"/>
    <d v="2019-12-19T00:00:00"/>
    <m/>
    <m/>
    <m/>
    <m/>
    <m/>
    <m/>
    <m/>
    <m/>
    <x v="470"/>
    <d v="2019-12-19T12:04:42"/>
    <d v="2019-12-19T12:04:42"/>
    <m/>
    <d v="2019-12-19T12:07:11"/>
  </r>
  <r>
    <n v="751"/>
    <s v="Устройство гидроизоляции кровли Блок 1 в\о С-Р\1Б-5 Уровень L7"/>
    <n v="2"/>
    <s v="Значительное"/>
    <x v="0"/>
    <x v="8"/>
    <s v="fedorov@spgr.ru"/>
    <x v="1"/>
    <d v="2019-12-23T00:00:00"/>
    <d v="2019-12-23T00:00:00"/>
    <m/>
    <m/>
    <m/>
    <m/>
    <m/>
    <m/>
    <m/>
    <m/>
    <x v="471"/>
    <d v="2019-12-23T18:51:03"/>
    <d v="2019-12-24T09:50:58"/>
    <m/>
    <d v="2019-12-24T09:50:59"/>
  </r>
  <r>
    <n v="761"/>
    <s v="Устройство пароизоляции на стилобате в\о 17-19\г-б"/>
    <n v="2"/>
    <s v="Значительное"/>
    <x v="0"/>
    <x v="8"/>
    <s v="fedorov@spgr.ru"/>
    <x v="1"/>
    <d v="2019-12-24T00:00:00"/>
    <d v="2019-12-24T00:00:00"/>
    <m/>
    <m/>
    <m/>
    <m/>
    <m/>
    <m/>
    <m/>
    <m/>
    <x v="472"/>
    <d v="2019-12-24T11:13:46"/>
    <d v="2019-12-24T11:13:46"/>
    <m/>
    <d v="2019-12-24T11:13:55"/>
  </r>
  <r>
    <n v="1261"/>
    <s v="Монтаж фасадных панелей Блок С L4"/>
    <n v="2"/>
    <s v="Значительное"/>
    <x v="0"/>
    <x v="8"/>
    <s v="fedorov@spgr.ru"/>
    <x v="1"/>
    <d v="2020-02-09T00:00:00"/>
    <d v="2020-02-09T00:00:00"/>
    <s v="РК-РД-2-АР09.2-04.26-03"/>
    <n v="31.08"/>
    <n v="61.9"/>
    <m/>
    <m/>
    <m/>
    <s v="АР09.2-Фасады-Панели"/>
    <s v="Ссылка на план"/>
    <x v="473"/>
    <d v="2020-02-09T23:27:03"/>
    <d v="2020-02-10T06:05:24"/>
    <m/>
    <d v="2020-02-10T06:05:24"/>
  </r>
  <r>
    <n v="1262"/>
    <s v="Обратная засыпка с послойным уплотнением участка НВК 5 Водопровод В1 в\о В-К\1Б"/>
    <n v="2"/>
    <s v="Значительное"/>
    <x v="0"/>
    <x v="8"/>
    <s v="fedorov@spgr.ru"/>
    <x v="1"/>
    <d v="2020-02-10T00:00:00"/>
    <d v="2020-02-10T00:00:00"/>
    <m/>
    <m/>
    <m/>
    <m/>
    <m/>
    <m/>
    <m/>
    <m/>
    <x v="474"/>
    <d v="2020-02-10T06:03:16"/>
    <d v="2020-02-10T06:03:18"/>
    <m/>
    <d v="2020-02-10T06:04:55"/>
  </r>
  <r>
    <n v="790"/>
    <s v="Гидроизоляция вводов канализации К1"/>
    <n v="1"/>
    <s v="КРИТИЧЕСКОЕ"/>
    <x v="3"/>
    <x v="8"/>
    <s v="sobchenko@spgr.ru"/>
    <x v="1"/>
    <d v="2019-12-25T00:00:00"/>
    <d v="2020-01-31T00:00:00"/>
    <s v="РК-РД-1-АР01-03-11"/>
    <n v="22.81"/>
    <n v="13.34"/>
    <m/>
    <m/>
    <n v="0"/>
    <s v="АР планы -4.200"/>
    <s v="Ссылка на план"/>
    <x v="475"/>
    <m/>
    <m/>
    <m/>
    <d v="2020-02-01T14:19:32"/>
  </r>
  <r>
    <n v="795"/>
    <s v="Гидроизоляция вводов канализации К1 "/>
    <n v="2"/>
    <s v="Значительное"/>
    <x v="1"/>
    <x v="8"/>
    <s v="sobchenko@spgr.ru"/>
    <x v="1"/>
    <d v="2019-12-25T00:00:00"/>
    <d v="2020-01-31T00:00:00"/>
    <s v="РК-РД-1-АР01-03-11"/>
    <n v="29.3"/>
    <n v="15.23"/>
    <m/>
    <m/>
    <m/>
    <s v="АР планы -4.200"/>
    <s v="Ссылка на план"/>
    <x v="476"/>
    <m/>
    <m/>
    <m/>
    <d v="2020-01-16T11:02:40"/>
  </r>
  <r>
    <n v="936"/>
    <m/>
    <n v="2"/>
    <s v="Значительное"/>
    <x v="1"/>
    <x v="8"/>
    <s v="sobchenko@spgr.ru"/>
    <x v="1"/>
    <m/>
    <m/>
    <s v="-4.200_B01_Panels Model"/>
    <n v="0"/>
    <n v="0"/>
    <m/>
    <m/>
    <m/>
    <s v="ЭМ_Щиты_сводные планы"/>
    <s v="Ссылка на план"/>
    <x v="477"/>
    <m/>
    <m/>
    <m/>
    <d v="2020-01-17T15:27:49"/>
  </r>
  <r>
    <n v="681"/>
    <s v="Гидроизоляция стены в грунте в/о Г-И/33-34."/>
    <n v="2"/>
    <s v="Значительное"/>
    <x v="0"/>
    <x v="8"/>
    <s v="sorokin.v@spgr.ru"/>
    <x v="1"/>
    <d v="2019-12-19T00:00:00"/>
    <d v="2019-12-19T00:00:00"/>
    <m/>
    <m/>
    <m/>
    <m/>
    <m/>
    <m/>
    <m/>
    <m/>
    <x v="478"/>
    <d v="2019-12-21T11:26:08"/>
    <d v="2019-12-21T11:26:08"/>
    <m/>
    <d v="2019-12-21T11:54:06"/>
  </r>
  <r>
    <n v="909"/>
    <s v="Двери"/>
    <n v="2"/>
    <s v="Значительное"/>
    <x v="0"/>
    <x v="8"/>
    <s v="sorokin.v@spgr.ru"/>
    <x v="1"/>
    <d v="2020-01-20T00:00:00"/>
    <d v="2020-01-20T00:00:00"/>
    <m/>
    <m/>
    <m/>
    <m/>
    <m/>
    <m/>
    <m/>
    <m/>
    <x v="479"/>
    <d v="2020-01-20T11:23:36"/>
    <d v="2020-01-20T11:23:36"/>
    <m/>
    <d v="2020-01-20T11:23:36"/>
  </r>
  <r>
    <n v="907"/>
    <s v="Гидроизоляция"/>
    <n v="2"/>
    <s v="Значительное"/>
    <x v="0"/>
    <x v="8"/>
    <s v="sorokin.v@spgr.ru"/>
    <x v="1"/>
    <d v="2020-01-20T00:00:00"/>
    <d v="2020-01-20T00:00:00"/>
    <m/>
    <m/>
    <m/>
    <m/>
    <m/>
    <m/>
    <m/>
    <m/>
    <x v="479"/>
    <d v="2020-01-20T11:24:03"/>
    <d v="2020-01-20T11:24:03"/>
    <m/>
    <d v="2020-01-20T11:24:03"/>
  </r>
  <r>
    <n v="903"/>
    <s v="Ввод закладных труб под кабели ВОЛС"/>
    <n v="2"/>
    <s v="Значительное"/>
    <x v="1"/>
    <x v="8"/>
    <s v="rc_kzh@rencons.com"/>
    <x v="1"/>
    <d v="2020-01-13T00:00:00"/>
    <d v="2020-01-15T00:00:00"/>
    <s v="РК-РД-1-АР01-03-11"/>
    <n v="48.37"/>
    <n v="48.98"/>
    <m/>
    <m/>
    <m/>
    <s v="АР планы -4.200"/>
    <s v="Ссылка на план"/>
    <x v="480"/>
    <m/>
    <m/>
    <m/>
    <d v="2020-01-13T16:59:59"/>
  </r>
  <r>
    <n v="645"/>
    <s v="Гидроизоляция битумом наружной стены здания  "/>
    <n v="2"/>
    <s v="Значительное"/>
    <x v="0"/>
    <x v="8"/>
    <s v="rc_kzh@rencons.com"/>
    <x v="1"/>
    <d v="2019-12-17T00:00:00"/>
    <d v="2019-12-17T00:00:00"/>
    <s v="РК-РД-1-АР01-03-11"/>
    <n v="43.04"/>
    <n v="17.57"/>
    <m/>
    <m/>
    <m/>
    <s v="АР планы -4.200"/>
    <s v="Ссылка на план"/>
    <x v="481"/>
    <d v="2019-12-17T17:32:26"/>
    <d v="2019-12-17T17:32:26"/>
    <m/>
    <d v="2019-12-17T17:32:28"/>
  </r>
  <r>
    <n v="646"/>
    <s v="Гидроизоляция битумом наружной стены здания  "/>
    <n v="2"/>
    <s v="Значительное"/>
    <x v="0"/>
    <x v="8"/>
    <s v="rc_kzh@rencons.com"/>
    <x v="1"/>
    <d v="2019-12-17T00:00:00"/>
    <d v="2019-12-17T00:00:00"/>
    <s v="РК-РД-1-АР01-03-11"/>
    <n v="46.89"/>
    <n v="36.729999999999997"/>
    <m/>
    <m/>
    <m/>
    <s v="АР планы -4.200"/>
    <s v="Ссылка на план"/>
    <x v="482"/>
    <d v="2019-12-17T17:32:20"/>
    <d v="2019-12-17T17:32:20"/>
    <m/>
    <d v="2019-12-17T17:32:22"/>
  </r>
  <r>
    <n v="644"/>
    <s v="Гидроизоляция битумом наружной стены здания  "/>
    <n v="2"/>
    <s v="Значительное"/>
    <x v="0"/>
    <x v="8"/>
    <s v="rc_kzh@rencons.com"/>
    <x v="1"/>
    <d v="2019-12-17T00:00:00"/>
    <d v="2019-12-17T00:00:00"/>
    <s v="РК-РД-1-АР01-03-11"/>
    <n v="33.56"/>
    <n v="15.82"/>
    <m/>
    <m/>
    <m/>
    <s v="АР планы -4.200"/>
    <s v="Ссылка на план"/>
    <x v="483"/>
    <d v="2019-12-17T17:32:31"/>
    <d v="2019-12-17T17:32:31"/>
    <m/>
    <d v="2019-12-17T17:32:33"/>
  </r>
  <r>
    <n v="972"/>
    <s v="Бетонирование фундамента подпорной стены ПС-10"/>
    <n v="2"/>
    <s v="Значительное"/>
    <x v="0"/>
    <x v="8"/>
    <s v="rc_kzh@rencons.com"/>
    <x v="1"/>
    <d v="2020-01-21T00:00:00"/>
    <d v="2020-01-21T00:00:00"/>
    <s v="РК-РД-1-АР01-03-11"/>
    <n v="5.5"/>
    <n v="55.17"/>
    <m/>
    <m/>
    <m/>
    <s v="АР планы -4.200"/>
    <s v="Ссылка на план"/>
    <x v="484"/>
    <d v="2020-01-24T16:42:15"/>
    <d v="2020-01-24T16:42:15"/>
    <m/>
    <d v="2020-01-24T16:42:16"/>
  </r>
  <r>
    <n v="974"/>
    <s v="Устройство бетонной плиты под сети канализации"/>
    <n v="2"/>
    <s v="Значительное"/>
    <x v="0"/>
    <x v="8"/>
    <s v="rc_kzh@rencons.com"/>
    <x v="1"/>
    <d v="2020-01-21T00:00:00"/>
    <d v="2020-01-21T00:00:00"/>
    <s v="РК-РД-1-АР01-03-11"/>
    <n v="4.7699999999999996"/>
    <n v="62.54"/>
    <m/>
    <m/>
    <m/>
    <s v="АР планы -4.200"/>
    <s v="Ссылка на план"/>
    <x v="485"/>
    <d v="2020-01-24T16:42:22"/>
    <d v="2020-01-24T16:42:22"/>
    <m/>
    <d v="2020-01-24T16:42:23"/>
  </r>
  <r>
    <n v="973"/>
    <s v="Бетонирование фундамента подпорной стены ПС-10 "/>
    <n v="2"/>
    <s v="Значительное"/>
    <x v="0"/>
    <x v="8"/>
    <s v="rc_kzh@rencons.com"/>
    <x v="1"/>
    <d v="2020-01-21T00:00:00"/>
    <d v="2020-01-21T00:00:00"/>
    <s v="РК-РД-1-АР01-03-11"/>
    <n v="4.88"/>
    <n v="48.47"/>
    <m/>
    <m/>
    <m/>
    <s v="АР планы -4.200"/>
    <s v="Ссылка на план"/>
    <x v="486"/>
    <d v="2020-01-24T16:42:07"/>
    <d v="2020-01-24T16:42:07"/>
    <m/>
    <d v="2020-01-24T16:42:08"/>
  </r>
  <r>
    <n v="1222"/>
    <s v="Освидетельствование сборки фермы кровли ETFE  для монтажа в/о Д-Е/7-10"/>
    <n v="2"/>
    <s v="Значительное"/>
    <x v="0"/>
    <x v="8"/>
    <s v="rc_km@rencons.com"/>
    <x v="1"/>
    <d v="2020-02-06T00:00:00"/>
    <d v="2020-02-06T00:00:00"/>
    <m/>
    <m/>
    <m/>
    <m/>
    <m/>
    <m/>
    <m/>
    <m/>
    <x v="487"/>
    <d v="2020-02-06T19:44:51"/>
    <d v="2020-02-06T19:44:51"/>
    <m/>
    <d v="2020-02-06T19:44:52"/>
  </r>
  <r>
    <n v="977"/>
    <s v="Гидроизоляция кровли ETFE полипропиленом в/о 24-26/7/Б-10/Б  ."/>
    <n v="2"/>
    <s v="Значительное"/>
    <x v="0"/>
    <x v="8"/>
    <s v="rc_km@rencons.com"/>
    <x v="1"/>
    <d v="2020-01-21T00:00:00"/>
    <d v="2020-01-21T00:00:00"/>
    <m/>
    <m/>
    <m/>
    <m/>
    <m/>
    <m/>
    <m/>
    <m/>
    <x v="488"/>
    <d v="2020-01-21T17:43:06"/>
    <d v="2020-01-21T17:43:06"/>
    <m/>
    <d v="2020-01-21T17:43:30"/>
  </r>
  <r>
    <n v="1175"/>
    <s v="ГКЛ стены"/>
    <n v="1"/>
    <s v="КРИТИЧЕСКОЕ"/>
    <x v="3"/>
    <x v="8"/>
    <s v="rc_otdelka@rencons.com"/>
    <x v="1"/>
    <d v="2020-02-04T00:00:00"/>
    <d v="2020-02-04T00:00:00"/>
    <s v="РК-РД-2-АР01-04-07"/>
    <n v="13.26"/>
    <n v="16.18"/>
    <m/>
    <m/>
    <m/>
    <s v="АР планы 0.000"/>
    <s v="Ссылка на план"/>
    <x v="489"/>
    <m/>
    <m/>
    <m/>
    <d v="2020-02-04T15:01:42"/>
  </r>
  <r>
    <n v="1171"/>
    <s v="Примыкание стен из гипсоволокнистых плитк фасадам."/>
    <n v="2"/>
    <s v="Значительное"/>
    <x v="2"/>
    <x v="8"/>
    <s v="rc_otdelka@rencons.com"/>
    <x v="1"/>
    <d v="2020-02-04T00:00:00"/>
    <d v="2020-02-04T00:00:00"/>
    <s v="L2__Приемка помещений"/>
    <n v="43.59"/>
    <n v="47.01"/>
    <m/>
    <m/>
    <m/>
    <s v="Приемка помещений"/>
    <s v="Ссылка на план"/>
    <x v="490"/>
    <d v="2020-02-04T14:27:10"/>
    <m/>
    <m/>
    <d v="2020-02-04T14:38:02"/>
  </r>
  <r>
    <n v="1170"/>
    <s v="Металлический каркас дверного проема"/>
    <n v="2"/>
    <s v="Значительное"/>
    <x v="2"/>
    <x v="8"/>
    <s v="rc_otdelka@rencons.com"/>
    <x v="1"/>
    <d v="2020-02-04T00:00:00"/>
    <d v="2020-02-04T00:00:00"/>
    <s v="_FJT7Q~3"/>
    <n v="13.95"/>
    <n v="26.97"/>
    <m/>
    <m/>
    <m/>
    <s v="АР общие планы"/>
    <s v="Ссылка на план"/>
    <x v="491"/>
    <d v="2020-02-04T14:17:42"/>
    <m/>
    <m/>
    <d v="2020-02-04T14:38:00"/>
  </r>
  <r>
    <n v="1045"/>
    <s v="Складчатые стеклянные ворота"/>
    <n v="2"/>
    <s v="Значительное"/>
    <x v="0"/>
    <x v="8"/>
    <s v="rc_otdelka@rencons.com"/>
    <x v="1"/>
    <d v="2020-01-24T00:00:00"/>
    <d v="2020-01-24T00:00:00"/>
    <s v="РК-РД-1-АР01-03-11"/>
    <n v="16.32"/>
    <n v="60.2"/>
    <m/>
    <m/>
    <m/>
    <s v="АР планы -4.200"/>
    <s v="Ссылка на план"/>
    <x v="492"/>
    <d v="2020-01-24T14:31:37"/>
    <d v="2020-01-29T13:58:10"/>
    <m/>
    <d v="2020-01-29T13:58:11"/>
  </r>
  <r>
    <n v="654"/>
    <s v="Пароизоляция пирога кровли"/>
    <n v="2"/>
    <s v="Значительное"/>
    <x v="0"/>
    <x v="8"/>
    <s v="rc_otdelka@rencons.com"/>
    <x v="1"/>
    <d v="2019-12-17T00:00:00"/>
    <d v="2019-12-22T00:00:00"/>
    <s v="_FJT7Q~3"/>
    <n v="33.46"/>
    <n v="50.51"/>
    <m/>
    <m/>
    <m/>
    <s v="АР общие планы"/>
    <s v="Ссылка на план"/>
    <x v="493"/>
    <d v="2019-12-18T08:37:49"/>
    <d v="2019-12-18T08:47:52"/>
    <m/>
    <d v="2019-12-18T08:47:54"/>
  </r>
  <r>
    <n v="1070"/>
    <s v="Вентилируемый фасад. "/>
    <n v="2"/>
    <s v="Значительное"/>
    <x v="0"/>
    <x v="8"/>
    <s v="rc_otdelka@rencons.com"/>
    <x v="1"/>
    <d v="2020-01-28T00:00:00"/>
    <d v="2020-01-28T00:00:00"/>
    <s v="_EAGRX~Q"/>
    <n v="35.93"/>
    <n v="30.61"/>
    <m/>
    <m/>
    <m/>
    <s v="АР общие планы"/>
    <s v="Ссылка на план"/>
    <x v="494"/>
    <d v="2020-01-29T10:17:40"/>
    <d v="2020-01-29T10:17:40"/>
    <m/>
    <d v="2020-01-29T10:17:42"/>
  </r>
  <r>
    <n v="1046"/>
    <s v="Складчатые стеклянные ворота "/>
    <n v="2"/>
    <s v="Значительное"/>
    <x v="0"/>
    <x v="8"/>
    <s v="rc_otdelka@rencons.com"/>
    <x v="1"/>
    <d v="2020-01-24T00:00:00"/>
    <d v="2020-01-24T00:00:00"/>
    <s v="РК-РД-1-АР01-03-11"/>
    <n v="16.59"/>
    <n v="61.88"/>
    <m/>
    <m/>
    <m/>
    <s v="АР планы -4.200"/>
    <s v="Ссылка на план"/>
    <x v="495"/>
    <d v="2020-01-24T14:32:55"/>
    <d v="2020-01-29T13:58:16"/>
    <m/>
    <d v="2020-01-29T13:58:17"/>
  </r>
  <r>
    <n v="1047"/>
    <s v="Складчатые стеклянные ворота "/>
    <n v="2"/>
    <s v="Значительное"/>
    <x v="0"/>
    <x v="8"/>
    <s v="rc_otdelka@rencons.com"/>
    <x v="1"/>
    <d v="2020-01-24T00:00:00"/>
    <d v="2020-01-24T00:00:00"/>
    <s v="РК-РД-1-АР01-03-11"/>
    <n v="16.149999999999999"/>
    <n v="62.9"/>
    <m/>
    <m/>
    <m/>
    <s v="АР планы -4.200"/>
    <s v="Ссылка на план"/>
    <x v="496"/>
    <d v="2020-01-24T14:35:33"/>
    <d v="2020-01-29T13:58:26"/>
    <m/>
    <d v="2020-01-29T13:58:28"/>
  </r>
  <r>
    <n v="1082"/>
    <s v="Наливной самовыравнивающий пол Sika level "/>
    <n v="2"/>
    <s v="Значительное"/>
    <x v="0"/>
    <x v="8"/>
    <s v="rc_otdelka@rencons.com"/>
    <x v="1"/>
    <d v="2020-01-29T00:00:00"/>
    <d v="2020-01-29T00:00:00"/>
    <s v="РК-РД-2-АР01-04-07"/>
    <n v="10.89"/>
    <n v="58.38"/>
    <m/>
    <m/>
    <m/>
    <s v="АР планы 0.000"/>
    <s v="Ссылка на план"/>
    <x v="497"/>
    <d v="2020-01-29T10:30:33"/>
    <d v="2020-01-29T10:30:33"/>
    <m/>
    <d v="2020-01-29T10:31:25"/>
  </r>
  <r>
    <n v="509"/>
    <s v="Вентилируемый фасад. Анкера в газобетон, бетон"/>
    <n v="2"/>
    <s v="Значительное"/>
    <x v="0"/>
    <x v="8"/>
    <s v="rc_otdelka@rencons.com"/>
    <x v="1"/>
    <d v="2019-12-03T00:00:00"/>
    <d v="2019-12-03T00:00:00"/>
    <s v="_FJT7Q~3"/>
    <n v="40.090000000000003"/>
    <n v="28.35"/>
    <m/>
    <m/>
    <m/>
    <s v="АР общие планы"/>
    <s v="Ссылка на план"/>
    <x v="498"/>
    <d v="2019-12-04T13:02:31"/>
    <d v="2019-12-12T17:46:11"/>
    <m/>
    <d v="2019-12-12T17:46:11"/>
  </r>
  <r>
    <n v="371"/>
    <s v="Наливной эпоксидный пол "/>
    <n v="2"/>
    <s v="Значительное"/>
    <x v="0"/>
    <x v="8"/>
    <s v="rc_otdelka@rencons.com"/>
    <x v="1"/>
    <d v="2019-11-20T00:00:00"/>
    <d v="2019-11-20T00:00:00"/>
    <s v="РК-РД-1-АР01-03-11"/>
    <n v="43.87"/>
    <n v="51.68"/>
    <m/>
    <m/>
    <m/>
    <s v="АР планы -4.200"/>
    <s v="Ссылка на план"/>
    <x v="499"/>
    <d v="2019-11-21T17:35:00"/>
    <d v="2019-12-12T17:49:43"/>
    <m/>
    <d v="2019-12-12T17:49:43"/>
  </r>
  <r>
    <n v="834"/>
    <s v="Меро"/>
    <n v="2"/>
    <s v="Значительное"/>
    <x v="0"/>
    <x v="8"/>
    <s v="rc_otdelka@rencons.com"/>
    <x v="1"/>
    <d v="2020-01-20T00:00:00"/>
    <d v="2020-01-20T00:00:00"/>
    <m/>
    <m/>
    <m/>
    <m/>
    <m/>
    <m/>
    <m/>
    <m/>
    <x v="500"/>
    <d v="2020-01-16T11:02:36"/>
    <d v="2020-01-20T11:08:37"/>
    <m/>
    <d v="2020-01-20T11:08:38"/>
  </r>
  <r>
    <n v="833"/>
    <s v="Тротуарная плитка "/>
    <n v="2"/>
    <s v="Значительное"/>
    <x v="0"/>
    <x v="8"/>
    <s v="rc_otdelka@rencons.com"/>
    <x v="1"/>
    <d v="2020-01-20T00:00:00"/>
    <d v="2020-01-20T00:00:00"/>
    <m/>
    <m/>
    <m/>
    <m/>
    <m/>
    <m/>
    <m/>
    <m/>
    <x v="500"/>
    <d v="2020-01-20T11:25:41"/>
    <d v="2020-01-20T11:25:41"/>
    <m/>
    <d v="2020-01-20T11:25:41"/>
  </r>
  <r>
    <n v="324"/>
    <s v="откосы дверей"/>
    <n v="2"/>
    <s v="Значительное"/>
    <x v="0"/>
    <x v="8"/>
    <s v="rc_otdelka@rencons.com"/>
    <x v="1"/>
    <d v="2019-11-18T00:00:00"/>
    <d v="2019-11-30T00:00:00"/>
    <s v="РК-РД-1-АР01-03-11"/>
    <n v="14.7"/>
    <n v="16.690000000000001"/>
    <s v="14.B1.2.027_Тамбур-шлюз"/>
    <m/>
    <m/>
    <s v="АР планы -4.200"/>
    <s v="Ссылка на план"/>
    <x v="501"/>
    <d v="2019-11-21T17:36:01"/>
    <d v="2019-12-10T11:55:32"/>
    <m/>
    <d v="2019-12-10T11:55:32"/>
  </r>
  <r>
    <n v="866"/>
    <s v="Гидроизоляция кровли   "/>
    <n v="2"/>
    <s v="Значительное"/>
    <x v="0"/>
    <x v="8"/>
    <s v="rc_otdelka@rencons.com"/>
    <x v="1"/>
    <d v="2020-01-09T00:00:00"/>
    <d v="2020-01-09T00:00:00"/>
    <s v="РК-РД-2-АР01-10-02"/>
    <n v="36.549999999999997"/>
    <n v="62.9"/>
    <m/>
    <m/>
    <m/>
    <s v="АР общие планы"/>
    <s v="Ссылка на план"/>
    <x v="502"/>
    <d v="2020-01-16T08:39:20"/>
    <d v="2020-01-20T11:12:56"/>
    <m/>
    <d v="2020-01-20T11:12:57"/>
  </r>
  <r>
    <n v="902"/>
    <s v="Тротуарная плитка  на кровле"/>
    <n v="2"/>
    <s v="Значительное"/>
    <x v="0"/>
    <x v="8"/>
    <s v="rc_otdelka@rencons.com"/>
    <x v="1"/>
    <d v="2020-01-13T00:00:00"/>
    <d v="2020-01-13T00:00:00"/>
    <s v="_EAGRX~Q"/>
    <n v="30.81"/>
    <n v="58.82"/>
    <m/>
    <m/>
    <m/>
    <s v="АР общие планы"/>
    <s v="Ссылка на план"/>
    <x v="503"/>
    <d v="2020-01-16T08:38:00"/>
    <d v="2020-01-20T11:12:13"/>
    <m/>
    <d v="2020-01-20T11:12:14"/>
  </r>
  <r>
    <n v="988"/>
    <s v="Покрытие кровли - брусчатка"/>
    <n v="2"/>
    <s v="Значительное"/>
    <x v="0"/>
    <x v="8"/>
    <s v="rc_otdelka@rencons.com"/>
    <x v="1"/>
    <d v="2020-01-21T00:00:00"/>
    <d v="2020-01-21T00:00:00"/>
    <s v="РК-РД-2-АР01-15-01"/>
    <n v="15.9"/>
    <n v="49.64"/>
    <m/>
    <m/>
    <m/>
    <s v="АР общие планы"/>
    <s v="Ссылка на план"/>
    <x v="504"/>
    <d v="2020-01-22T16:32:54"/>
    <d v="2020-01-22T16:34:35"/>
    <m/>
    <d v="2020-01-22T16:34:36"/>
  </r>
  <r>
    <n v="991"/>
    <s v="Покрытие пола Sika"/>
    <n v="2"/>
    <s v="Значительное"/>
    <x v="0"/>
    <x v="8"/>
    <s v="rc_otdelka@rencons.com"/>
    <x v="1"/>
    <d v="2020-01-21T00:00:00"/>
    <d v="2020-01-21T00:00:00"/>
    <s v="РК-РД-2-АР01-05-05"/>
    <n v="20.47"/>
    <n v="42.13"/>
    <m/>
    <m/>
    <m/>
    <s v="АР общие планы"/>
    <s v="Ссылка на план"/>
    <x v="505"/>
    <d v="2020-01-21T16:10:27"/>
    <d v="2020-01-21T16:10:27"/>
    <m/>
    <d v="2020-01-21T16:10:39"/>
  </r>
  <r>
    <n v="471"/>
    <s v="Бетонирование ПРМ-2а"/>
    <n v="2"/>
    <s v="Значительное"/>
    <x v="0"/>
    <x v="8"/>
    <s v="groholskii@spgr.ru"/>
    <x v="1"/>
    <d v="2019-11-29T00:00:00"/>
    <d v="2019-11-29T00:00:00"/>
    <m/>
    <m/>
    <m/>
    <m/>
    <m/>
    <m/>
    <m/>
    <m/>
    <x v="506"/>
    <d v="2019-11-29T05:27:12"/>
    <d v="2019-11-29T05:27:12"/>
    <m/>
    <d v="2019-11-29T05:29:30"/>
  </r>
  <r>
    <n v="949"/>
    <s v="Гидроизоляция вводов"/>
    <n v="2"/>
    <s v="Значительное"/>
    <x v="0"/>
    <x v="8"/>
    <s v="groholskii@spgr.ru"/>
    <x v="1"/>
    <d v="2020-01-18T00:00:00"/>
    <d v="2020-01-19T00:00:00"/>
    <m/>
    <m/>
    <m/>
    <m/>
    <m/>
    <m/>
    <m/>
    <m/>
    <x v="507"/>
    <d v="2020-01-19T06:43:14"/>
    <d v="2020-01-19T06:43:14"/>
    <m/>
    <d v="2020-01-19T06:46:54"/>
  </r>
  <r>
    <n v="1019"/>
    <s v="Гидроизоляция СВГ"/>
    <n v="2"/>
    <s v="Значительное"/>
    <x v="0"/>
    <x v="8"/>
    <s v="groholskii@spgr.ru"/>
    <x v="1"/>
    <d v="2020-01-22T00:00:00"/>
    <d v="2020-01-23T00:00:00"/>
    <m/>
    <m/>
    <m/>
    <m/>
    <m/>
    <m/>
    <m/>
    <m/>
    <x v="508"/>
    <d v="2020-01-23T06:50:33"/>
    <d v="2020-01-23T06:50:33"/>
    <m/>
    <d v="2020-01-23T06:51:30"/>
  </r>
  <r>
    <n v="308"/>
    <s v="Оклеечная вертикальная Г/И, КРМ-2"/>
    <n v="2"/>
    <s v="Значительное"/>
    <x v="0"/>
    <x v="8"/>
    <s v="groholskii@spgr.ru"/>
    <x v="1"/>
    <d v="2019-11-17T00:00:00"/>
    <d v="2019-11-17T00:00:00"/>
    <m/>
    <m/>
    <m/>
    <m/>
    <m/>
    <m/>
    <m/>
    <m/>
    <x v="509"/>
    <d v="2019-11-17T02:56:09"/>
    <d v="2019-11-17T02:56:09"/>
    <m/>
    <d v="2019-11-17T02:56:30"/>
  </r>
  <r>
    <n v="859"/>
    <s v="Вертикальная гидроизоляция СВГ"/>
    <n v="2"/>
    <s v="Значительное"/>
    <x v="0"/>
    <x v="8"/>
    <s v="groholskii@spgr.ru"/>
    <x v="1"/>
    <d v="2020-01-08T00:00:00"/>
    <d v="2020-01-08T00:00:00"/>
    <m/>
    <m/>
    <m/>
    <m/>
    <m/>
    <m/>
    <m/>
    <m/>
    <x v="510"/>
    <d v="2020-01-08T14:08:51"/>
    <d v="2020-01-08T14:08:51"/>
    <m/>
    <d v="2020-01-08T14:09:12"/>
  </r>
  <r>
    <n v="1167"/>
    <s v="Кабельная линия 20 кВ (резиновая плитка)"/>
    <n v="2"/>
    <s v="Значительное"/>
    <x v="0"/>
    <x v="8"/>
    <s v="groholskii@spgr.ru"/>
    <x v="1"/>
    <d v="2020-01-27T00:00:00"/>
    <d v="2020-01-28T00:00:00"/>
    <m/>
    <m/>
    <m/>
    <m/>
    <m/>
    <m/>
    <m/>
    <m/>
    <x v="511"/>
    <d v="2020-02-04T10:53:51"/>
    <d v="2020-02-04T10:53:51"/>
    <m/>
    <d v="2020-02-04T18:24:37"/>
  </r>
  <r>
    <n v="892"/>
    <s v="Противопожарные отсечки фасадов"/>
    <n v="2"/>
    <s v="Значительное"/>
    <x v="0"/>
    <x v="8"/>
    <s v="groholskii@spgr.ru"/>
    <x v="1"/>
    <d v="2020-01-11T00:00:00"/>
    <d v="2020-01-11T00:00:00"/>
    <m/>
    <m/>
    <m/>
    <m/>
    <m/>
    <m/>
    <m/>
    <m/>
    <x v="512"/>
    <d v="2020-01-11T16:40:16"/>
    <d v="2020-01-11T16:40:16"/>
    <m/>
    <d v="2020-01-11T16:40:16"/>
  </r>
  <r>
    <n v="895"/>
    <s v="Металлические колонны КПП 2"/>
    <n v="2"/>
    <s v="Значительное"/>
    <x v="0"/>
    <x v="8"/>
    <s v="groholskii@spgr.ru"/>
    <x v="1"/>
    <d v="2020-01-11T00:00:00"/>
    <d v="2020-01-11T00:00:00"/>
    <m/>
    <m/>
    <m/>
    <m/>
    <m/>
    <m/>
    <m/>
    <m/>
    <x v="513"/>
    <d v="2020-01-11T17:29:58"/>
    <d v="2020-01-11T17:29:58"/>
    <m/>
    <d v="2020-01-11T17:30:34"/>
  </r>
  <r>
    <n v="1253"/>
    <s v="Армирование фундаментной плиты"/>
    <n v="2"/>
    <s v="Значительное"/>
    <x v="0"/>
    <x v="8"/>
    <s v="groholskii@spgr.ru"/>
    <x v="1"/>
    <d v="2020-02-08T00:00:00"/>
    <d v="2020-02-09T00:00:00"/>
    <m/>
    <m/>
    <m/>
    <m/>
    <m/>
    <m/>
    <m/>
    <m/>
    <x v="514"/>
    <d v="2020-02-09T05:46:36"/>
    <d v="2020-02-09T05:46:36"/>
    <m/>
    <d v="2020-02-09T05:46:58"/>
  </r>
  <r>
    <n v="918"/>
    <s v="Монтаж кровли внутреннего двора"/>
    <n v="2"/>
    <s v="Значительное"/>
    <x v="0"/>
    <x v="8"/>
    <s v="groholskii@spgr.ru"/>
    <x v="1"/>
    <d v="2020-01-15T00:00:00"/>
    <d v="2020-01-15T00:00:00"/>
    <m/>
    <m/>
    <m/>
    <m/>
    <m/>
    <m/>
    <m/>
    <m/>
    <x v="515"/>
    <d v="2020-01-15T17:19:21"/>
    <d v="2020-01-15T17:19:21"/>
    <m/>
    <d v="2020-01-15T17:19:32"/>
  </r>
  <r>
    <n v="917"/>
    <s v="Сборка решетчатой кровли"/>
    <n v="2"/>
    <s v="Значительное"/>
    <x v="0"/>
    <x v="8"/>
    <s v="groholskii@spgr.ru"/>
    <x v="1"/>
    <d v="2020-01-15T00:00:00"/>
    <d v="2020-01-15T00:00:00"/>
    <m/>
    <m/>
    <m/>
    <m/>
    <m/>
    <m/>
    <m/>
    <m/>
    <x v="516"/>
    <d v="2020-01-15T17:12:59"/>
    <d v="2020-01-15T17:12:59"/>
    <m/>
    <d v="2020-01-15T17:18:01"/>
  </r>
  <r>
    <n v="971"/>
    <s v="Оклеечная гидроизоляция вводов топливопровода"/>
    <n v="2"/>
    <s v="Значительное"/>
    <x v="0"/>
    <x v="8"/>
    <s v="rc_electrical@rencons.com"/>
    <x v="1"/>
    <d v="2020-01-21T00:00:00"/>
    <d v="2020-01-21T00:00:00"/>
    <s v="РК-РД-1-АР01-03-11"/>
    <n v="6.8"/>
    <n v="26.24"/>
    <m/>
    <m/>
    <m/>
    <s v="АР планы -4.200"/>
    <s v="Ссылка на план"/>
    <x v="517"/>
    <d v="2020-01-24T16:42:37"/>
    <d v="2020-01-24T16:42:37"/>
    <m/>
    <d v="2020-01-24T16:42:38"/>
  </r>
  <r>
    <n v="666"/>
    <s v="Гидроизоляция цоколя. Подготовка основания "/>
    <n v="2"/>
    <s v="Значительное"/>
    <x v="0"/>
    <x v="8"/>
    <s v="prasolov@spgr.ru"/>
    <x v="1"/>
    <m/>
    <m/>
    <m/>
    <m/>
    <m/>
    <m/>
    <m/>
    <m/>
    <m/>
    <m/>
    <x v="518"/>
    <d v="2019-12-22T17:25:37"/>
    <d v="2019-12-22T17:25:37"/>
    <m/>
    <d v="2019-12-22T17:25:37"/>
  </r>
  <r>
    <n v="669"/>
    <s v="Устройство подбетонки фундаментной Плиты КПП"/>
    <n v="2"/>
    <s v="Значительное"/>
    <x v="0"/>
    <x v="8"/>
    <s v="prasolov@spgr.ru"/>
    <x v="1"/>
    <m/>
    <m/>
    <m/>
    <m/>
    <m/>
    <m/>
    <m/>
    <m/>
    <m/>
    <m/>
    <x v="519"/>
    <d v="2019-12-22T17:25:40"/>
    <d v="2019-12-22T17:25:40"/>
    <m/>
    <d v="2019-12-22T17:25:40"/>
  </r>
  <r>
    <n v="663"/>
    <s v="Гидроизоляция фундаментной Плиты КПП"/>
    <n v="2"/>
    <s v="Значительное"/>
    <x v="0"/>
    <x v="8"/>
    <s v="prasolov@spgr.ru"/>
    <x v="1"/>
    <m/>
    <m/>
    <m/>
    <m/>
    <m/>
    <m/>
    <m/>
    <m/>
    <m/>
    <m/>
    <x v="520"/>
    <d v="2019-12-22T17:25:35"/>
    <d v="2019-12-22T17:25:35"/>
    <m/>
    <d v="2019-12-22T17:25:35"/>
  </r>
  <r>
    <n v="1204"/>
    <s v="инспекция строительной площадки"/>
    <n v="3"/>
    <s v="Малозначительное"/>
    <x v="4"/>
    <x v="9"/>
    <s v="rysev@spgr.ru"/>
    <x v="1"/>
    <d v="2020-02-05T00:00:00"/>
    <d v="2020-02-07T00:00:00"/>
    <m/>
    <m/>
    <m/>
    <m/>
    <m/>
    <m/>
    <m/>
    <m/>
    <x v="521"/>
    <m/>
    <m/>
    <m/>
    <d v="2020-02-05T18:04:18"/>
  </r>
  <r>
    <n v="399"/>
    <s v="Инспекция строительной площадки"/>
    <n v="2"/>
    <s v="Значительное"/>
    <x v="0"/>
    <x v="9"/>
    <s v="rysev@spgr.ru"/>
    <x v="1"/>
    <d v="2019-11-20T00:00:00"/>
    <d v="2019-11-22T00:00:00"/>
    <m/>
    <m/>
    <m/>
    <m/>
    <m/>
    <m/>
    <m/>
    <m/>
    <x v="522"/>
    <d v="2019-11-22T16:47:17"/>
    <d v="2019-11-22T16:47:17"/>
    <m/>
    <d v="2019-11-22T16:48:13"/>
  </r>
  <r>
    <n v="436"/>
    <s v="Инспекция бытового городка, прилегающей территории и тренспорта"/>
    <n v="3"/>
    <s v="Малозначительное"/>
    <x v="0"/>
    <x v="9"/>
    <s v="rysev@spgr.ru"/>
    <x v="1"/>
    <d v="2019-11-25T00:00:00"/>
    <d v="2019-11-29T00:00:00"/>
    <m/>
    <m/>
    <m/>
    <m/>
    <m/>
    <m/>
    <m/>
    <m/>
    <x v="523"/>
    <d v="2019-12-03T10:08:28"/>
    <d v="2019-12-03T10:08:28"/>
    <m/>
    <d v="2019-12-03T10:08:28"/>
  </r>
  <r>
    <n v="476"/>
    <s v="инспекция строительной площадки"/>
    <n v="3"/>
    <s v="Малозначительное"/>
    <x v="0"/>
    <x v="9"/>
    <s v="rysev@spgr.ru"/>
    <x v="1"/>
    <d v="2019-11-27T00:00:00"/>
    <d v="2019-12-03T00:00:00"/>
    <m/>
    <m/>
    <m/>
    <m/>
    <m/>
    <m/>
    <m/>
    <m/>
    <x v="524"/>
    <d v="2019-12-03T10:09:11"/>
    <d v="2019-12-03T10:09:11"/>
    <m/>
    <d v="2019-12-03T10:09:12"/>
  </r>
  <r>
    <n v="508"/>
    <s v="Инспекция бытового городка, прилегающей территории и механизации"/>
    <n v="3"/>
    <s v="Малозначительное"/>
    <x v="0"/>
    <x v="9"/>
    <s v="rysev@spgr.ru"/>
    <x v="1"/>
    <d v="2019-12-02T00:00:00"/>
    <d v="2019-12-07T00:00:00"/>
    <m/>
    <m/>
    <m/>
    <m/>
    <m/>
    <m/>
    <m/>
    <m/>
    <x v="525"/>
    <d v="2019-12-06T17:21:54"/>
    <d v="2019-12-06T17:21:54"/>
    <m/>
    <d v="2019-12-06T17:21:54"/>
  </r>
  <r>
    <n v="806"/>
    <s v="инспекция бытового городка, прилегающей территории и техники"/>
    <n v="2"/>
    <s v="Значительное"/>
    <x v="0"/>
    <x v="9"/>
    <s v="rysev@spgr.ru"/>
    <x v="1"/>
    <d v="2019-12-23T00:00:00"/>
    <d v="2019-12-27T00:00:00"/>
    <m/>
    <m/>
    <m/>
    <m/>
    <m/>
    <m/>
    <m/>
    <m/>
    <x v="526"/>
    <d v="2019-12-27T16:59:44"/>
    <d v="2019-12-27T16:59:44"/>
    <m/>
    <d v="2019-12-27T16:59:46"/>
  </r>
  <r>
    <n v="91"/>
    <s v="Инспекция Бытового городка, прилегающей территории и транспортных средств"/>
    <n v="2"/>
    <s v="Значительное"/>
    <x v="0"/>
    <x v="9"/>
    <s v="rysev@spgr.ru"/>
    <x v="1"/>
    <d v="2019-11-01T00:00:00"/>
    <d v="2019-11-01T00:00:00"/>
    <m/>
    <m/>
    <m/>
    <m/>
    <m/>
    <m/>
    <m/>
    <m/>
    <x v="527"/>
    <d v="2019-11-01T17:52:17"/>
    <d v="2019-11-06T08:59:54"/>
    <m/>
    <d v="2019-11-08T17:57:13"/>
  </r>
  <r>
    <n v="549"/>
    <s v="ООО &quot;Тепловые и противопожарные системы&quot;"/>
    <n v="2"/>
    <s v="Значительное"/>
    <x v="0"/>
    <x v="9"/>
    <s v="rysev@spgr.ru"/>
    <x v="1"/>
    <d v="2019-12-05T00:00:00"/>
    <d v="2019-12-05T00:00:00"/>
    <m/>
    <m/>
    <m/>
    <m/>
    <m/>
    <m/>
    <m/>
    <m/>
    <x v="528"/>
    <d v="2019-12-06T17:19:38"/>
    <d v="2019-12-06T17:19:38"/>
    <m/>
    <d v="2019-12-06T17:19:48"/>
  </r>
  <r>
    <n v="551"/>
    <s v="ООО &quot;Электропроф&quot;"/>
    <n v="2"/>
    <s v="Значительное"/>
    <x v="0"/>
    <x v="9"/>
    <s v="rysev@spgr.ru"/>
    <x v="1"/>
    <d v="2019-12-05T00:00:00"/>
    <d v="2019-12-05T00:00:00"/>
    <m/>
    <m/>
    <m/>
    <m/>
    <m/>
    <m/>
    <m/>
    <m/>
    <x v="529"/>
    <d v="2019-12-06T17:24:10"/>
    <d v="2019-12-06T17:24:10"/>
    <m/>
    <d v="2019-12-06T17:24:10"/>
  </r>
  <r>
    <n v="151"/>
    <s v="ООО &quot;ШАДАКССТРОЙ&quot; полимерный пол"/>
    <n v="3"/>
    <s v="Малозначительное"/>
    <x v="0"/>
    <x v="9"/>
    <s v="rysev@spgr.ru"/>
    <x v="1"/>
    <d v="2019-11-05T00:00:00"/>
    <d v="2019-11-19T00:00:00"/>
    <m/>
    <m/>
    <m/>
    <m/>
    <m/>
    <m/>
    <m/>
    <m/>
    <x v="530"/>
    <d v="2019-11-15T12:06:16"/>
    <d v="2019-11-15T12:06:16"/>
    <m/>
    <d v="2019-11-15T12:06:16"/>
  </r>
  <r>
    <n v="185"/>
    <s v="Инспекция строительной площадки по соблюдению норм ОТ, ТБ, ПБ и ООС"/>
    <n v="2"/>
    <s v="Значительное"/>
    <x v="0"/>
    <x v="9"/>
    <s v="rysev@spgr.ru"/>
    <x v="1"/>
    <d v="2019-11-06T00:00:00"/>
    <d v="2019-11-11T00:00:00"/>
    <m/>
    <m/>
    <m/>
    <m/>
    <m/>
    <m/>
    <m/>
    <m/>
    <x v="531"/>
    <d v="2019-11-08T11:49:54"/>
    <d v="2019-11-13T17:47:43"/>
    <m/>
    <d v="2019-11-13T17:47:44"/>
  </r>
  <r>
    <n v="578"/>
    <s v="Инспекция бытового городка, прилегающей территории и транспортных средств"/>
    <n v="2"/>
    <s v="Значительное"/>
    <x v="0"/>
    <x v="9"/>
    <s v="rysev@spgr.ru"/>
    <x v="1"/>
    <d v="2019-12-09T00:00:00"/>
    <d v="2019-12-14T00:00:00"/>
    <m/>
    <m/>
    <m/>
    <m/>
    <m/>
    <m/>
    <m/>
    <m/>
    <x v="532"/>
    <d v="2019-12-10T12:24:03"/>
    <d v="2019-12-13T18:00:02"/>
    <m/>
    <d v="2019-12-13T18:00:03"/>
  </r>
  <r>
    <n v="206"/>
    <s v="Инспекция бытового городка, прилегающей территории."/>
    <n v="2"/>
    <s v="Значительное"/>
    <x v="0"/>
    <x v="9"/>
    <s v="rysev@spgr.ru"/>
    <x v="1"/>
    <d v="2019-11-11T00:00:00"/>
    <d v="2019-11-15T00:00:00"/>
    <m/>
    <m/>
    <m/>
    <m/>
    <m/>
    <m/>
    <m/>
    <m/>
    <x v="533"/>
    <d v="2019-11-11T16:15:37"/>
    <d v="2019-11-15T15:10:04"/>
    <m/>
    <d v="2019-11-15T15:10:05"/>
  </r>
  <r>
    <n v="260"/>
    <s v="Инспекция строительной площадки"/>
    <n v="2"/>
    <s v="Значительное"/>
    <x v="0"/>
    <x v="9"/>
    <s v="rysev@spgr.ru"/>
    <x v="1"/>
    <d v="2019-11-13T00:00:00"/>
    <d v="2019-11-18T00:00:00"/>
    <m/>
    <m/>
    <m/>
    <m/>
    <m/>
    <m/>
    <m/>
    <m/>
    <x v="534"/>
    <d v="2019-11-13T17:55:24"/>
    <d v="2019-11-15T15:16:02"/>
    <m/>
    <d v="2019-12-12T13:51:33"/>
  </r>
  <r>
    <n v="153"/>
    <s v="ООО &quot;МАКРО&quot; отделка лестничных маршей"/>
    <n v="3"/>
    <s v="Малозначительное"/>
    <x v="0"/>
    <x v="9"/>
    <s v="rysev@spgr.ru"/>
    <x v="1"/>
    <d v="2019-11-05T00:00:00"/>
    <d v="2019-11-14T00:00:00"/>
    <m/>
    <m/>
    <m/>
    <m/>
    <m/>
    <m/>
    <m/>
    <m/>
    <x v="535"/>
    <d v="2019-11-22T16:49:17"/>
    <d v="2019-11-22T16:49:17"/>
    <m/>
    <d v="2019-11-22T16:49:17"/>
  </r>
  <r>
    <n v="332"/>
    <s v="Инспекция бытовых помещений, прилегающей территории и средств механизации"/>
    <n v="2"/>
    <s v="Значительное"/>
    <x v="0"/>
    <x v="9"/>
    <s v="rysev@spgr.ru"/>
    <x v="1"/>
    <d v="2019-11-18T00:00:00"/>
    <d v="2019-11-22T00:00:00"/>
    <m/>
    <m/>
    <m/>
    <m/>
    <m/>
    <m/>
    <m/>
    <m/>
    <x v="536"/>
    <d v="2019-11-18T17:34:12"/>
    <d v="2019-11-22T16:41:02"/>
    <m/>
    <d v="2019-11-22T16:41:03"/>
  </r>
  <r>
    <n v="680"/>
    <s v="А2, L1, 7,42, Повторная дефектовка панелей."/>
    <n v="2"/>
    <s v="Значительное"/>
    <x v="2"/>
    <x v="10"/>
    <s v="lesyuta@spgr.ru"/>
    <x v="1"/>
    <d v="2019-12-19T00:00:00"/>
    <d v="2019-12-19T00:00:00"/>
    <m/>
    <m/>
    <m/>
    <m/>
    <m/>
    <m/>
    <m/>
    <m/>
    <x v="537"/>
    <d v="2019-12-19T17:55:46"/>
    <m/>
    <m/>
    <d v="2019-12-19T17:55:47"/>
  </r>
  <r>
    <n v="699"/>
    <s v="Передефектовка панелей со сколами, А2, L2, №19,27,35."/>
    <n v="2"/>
    <s v="Значительное"/>
    <x v="2"/>
    <x v="10"/>
    <s v="lesyuta@spgr.ru"/>
    <x v="1"/>
    <m/>
    <m/>
    <m/>
    <m/>
    <m/>
    <m/>
    <m/>
    <m/>
    <m/>
    <m/>
    <x v="538"/>
    <d v="2019-12-21T10:09:00"/>
    <m/>
    <m/>
    <d v="2019-12-21T10:09:00"/>
  </r>
  <r>
    <n v="184"/>
    <s v="Приемка панелей"/>
    <n v="2"/>
    <s v="Значительное"/>
    <x v="0"/>
    <x v="10"/>
    <s v="lesyuta@spgr.ru"/>
    <x v="1"/>
    <d v="2019-11-07T00:00:00"/>
    <d v="2019-11-07T00:00:00"/>
    <s v="РК-РД-2-АР09.1-05.04-09 с комментариями"/>
    <n v="69.62"/>
    <n v="52.27"/>
    <m/>
    <m/>
    <m/>
    <s v="АР09.1-Фасады-Панели"/>
    <s v="Ссылка на план"/>
    <x v="539"/>
    <d v="2019-11-08T10:32:13"/>
    <d v="2019-11-08T10:32:18"/>
    <m/>
    <d v="2019-11-08T10:32:18"/>
  </r>
  <r>
    <n v="322"/>
    <s v="Нижнее примыкание, оцинкованный лист."/>
    <n v="2"/>
    <s v="Значительное"/>
    <x v="0"/>
    <x v="10"/>
    <s v="lesyuta@spgr.ru"/>
    <x v="1"/>
    <d v="2019-11-18T00:00:00"/>
    <d v="2019-11-18T00:00:00"/>
    <s v="РК-РД-2-АР09.2-05.02-02_комм"/>
    <n v="60.3"/>
    <n v="53.39"/>
    <m/>
    <m/>
    <m/>
    <s v="АР09.2-Фасады-Панели"/>
    <s v="Ссылка на план"/>
    <x v="540"/>
    <d v="2019-11-18T14:46:20"/>
    <d v="2019-12-13T14:59:29"/>
    <m/>
    <d v="2019-12-13T14:59:31"/>
  </r>
  <r>
    <n v="854"/>
    <s v="Установка финишного алюминиевого профиля и минеральной ваты противопожарной отсечки, А2, L5,_x0009_(+16.800),_x0009_Эрлайн, Тип-11,_x0009_9/1÷10/1 / 1/Б"/>
    <n v="2"/>
    <s v="Значительное"/>
    <x v="0"/>
    <x v="10"/>
    <s v="lesyuta@spgr.ru"/>
    <x v="1"/>
    <d v="2020-01-06T00:00:00"/>
    <d v="2020-01-06T00:00:00"/>
    <m/>
    <m/>
    <m/>
    <m/>
    <m/>
    <m/>
    <m/>
    <m/>
    <x v="541"/>
    <d v="2020-01-06T14:48:54"/>
    <d v="2020-01-07T10:23:09"/>
    <m/>
    <d v="2020-01-07T10:23:10"/>
  </r>
  <r>
    <n v="413"/>
    <s v="Окраска монтажных соединений фермы 14/1-15 / 7/Б-У."/>
    <n v="2"/>
    <s v="Значительное"/>
    <x v="0"/>
    <x v="10"/>
    <s v="oluferov@spgr.ru"/>
    <x v="0"/>
    <d v="2019-11-23T00:00:00"/>
    <d v="2019-11-23T00:00:00"/>
    <m/>
    <m/>
    <m/>
    <m/>
    <m/>
    <m/>
    <m/>
    <m/>
    <x v="542"/>
    <d v="2019-11-23T15:40:37"/>
    <d v="2019-11-23T15:40:37"/>
    <m/>
    <d v="2019-11-23T15:44:54"/>
  </r>
  <r>
    <n v="421"/>
    <s v="Проверка нятяжения ВПБ. Блок 2.2. Кровля. Узлы №№285, 291"/>
    <n v="2"/>
    <s v="Значительное"/>
    <x v="0"/>
    <x v="10"/>
    <s v="oluferov@spgr.ru"/>
    <x v="0"/>
    <d v="2019-11-24T00:00:00"/>
    <d v="2019-11-24T00:00:00"/>
    <m/>
    <m/>
    <m/>
    <m/>
    <m/>
    <m/>
    <m/>
    <m/>
    <x v="543"/>
    <d v="2019-11-25T08:53:00"/>
    <d v="2019-11-25T08:53:00"/>
    <m/>
    <d v="2019-11-25T08:53:05"/>
  </r>
  <r>
    <n v="700"/>
    <s v="Блок 2.1. Л2. Окраска и герметизация узловых соединений. Узлы 62,63,64,94,95,96"/>
    <n v="2"/>
    <s v="Значительное"/>
    <x v="0"/>
    <x v="10"/>
    <s v="oluferov@spgr.ru"/>
    <x v="0"/>
    <d v="2019-12-21T00:00:00"/>
    <d v="2019-12-21T00:00:00"/>
    <m/>
    <m/>
    <m/>
    <m/>
    <m/>
    <m/>
    <m/>
    <m/>
    <x v="544"/>
    <d v="2019-12-21T15:00:32"/>
    <d v="2019-12-21T15:00:32"/>
    <m/>
    <d v="2019-12-21T15:02:34"/>
  </r>
  <r>
    <n v="701"/>
    <s v="Блок 2.1. Л3-4. Затяжка ВПБ фасадных балок верхнего уровня. Узлы 181,182,185,165,164,163"/>
    <n v="2"/>
    <s v="Значительное"/>
    <x v="0"/>
    <x v="10"/>
    <s v="oluferov@spgr.ru"/>
    <x v="0"/>
    <d v="2019-12-21T00:00:00"/>
    <d v="2019-12-21T00:00:00"/>
    <m/>
    <m/>
    <m/>
    <m/>
    <m/>
    <m/>
    <m/>
    <m/>
    <x v="545"/>
    <d v="2019-12-21T15:23:22"/>
    <d v="2019-12-21T15:23:22"/>
    <m/>
    <d v="2019-12-21T15:23:26"/>
  </r>
  <r>
    <n v="494"/>
    <s v="Монтаж ВПБ.  Блок 1. Кровля. Прогоны. Узлы №№741,744,745,746,747,748. L16-L18."/>
    <n v="2"/>
    <s v="Значительное"/>
    <x v="0"/>
    <x v="10"/>
    <s v="oluferov@spgr.ru"/>
    <x v="0"/>
    <d v="2019-11-30T00:00:00"/>
    <d v="2019-11-30T00:00:00"/>
    <m/>
    <m/>
    <m/>
    <m/>
    <m/>
    <m/>
    <m/>
    <m/>
    <x v="546"/>
    <d v="2019-12-01T09:04:27"/>
    <d v="2019-12-01T09:04:27"/>
    <m/>
    <d v="2019-12-01T09:04:36"/>
  </r>
  <r>
    <n v="495"/>
    <s v="Монтаж ВПБ, Блок 2.1. Узел №46. L3."/>
    <n v="2"/>
    <s v="Значительное"/>
    <x v="0"/>
    <x v="10"/>
    <s v="oluferov@spgr.ru"/>
    <x v="0"/>
    <d v="2019-11-30T00:00:00"/>
    <d v="2019-11-30T00:00:00"/>
    <m/>
    <m/>
    <m/>
    <m/>
    <m/>
    <m/>
    <m/>
    <m/>
    <x v="547"/>
    <d v="2019-12-01T09:11:13"/>
    <d v="2019-12-01T09:11:13"/>
    <m/>
    <d v="2019-12-01T09:11:34"/>
  </r>
  <r>
    <n v="496"/>
    <s v="Монтаж ВПБ.  Блок 1. Кровля. Прогоны. Узлы №№98,99,643"/>
    <n v="2"/>
    <s v="Значительное"/>
    <x v="0"/>
    <x v="10"/>
    <s v="oluferov@spgr.ru"/>
    <x v="0"/>
    <d v="2019-11-30T00:00:00"/>
    <d v="2019-11-30T00:00:00"/>
    <m/>
    <m/>
    <m/>
    <m/>
    <m/>
    <m/>
    <m/>
    <m/>
    <x v="548"/>
    <d v="2019-12-01T11:02:09"/>
    <d v="2019-12-01T11:02:09"/>
    <m/>
    <d v="2019-12-01T11:28:40"/>
  </r>
  <r>
    <n v="955"/>
    <s v="Проверка натяжения ВПБ устройства лотков ферм ETFE, узлы №№124,125,126,126/1,127,128,129,130,122"/>
    <n v="2"/>
    <s v="Значительное"/>
    <x v="0"/>
    <x v="10"/>
    <s v="oluferov@spgr.ru"/>
    <x v="0"/>
    <d v="2020-01-19T00:00:00"/>
    <d v="2020-01-19T00:00:00"/>
    <m/>
    <m/>
    <m/>
    <m/>
    <m/>
    <m/>
    <m/>
    <m/>
    <x v="549"/>
    <d v="2020-01-20T08:51:54"/>
    <d v="2020-01-20T08:51:54"/>
    <m/>
    <d v="2020-01-20T09:10:36"/>
  </r>
  <r>
    <n v="957"/>
    <s v="Пароизоляция лотков ферм ETFE, в узлах 108,110,110.1,111,112"/>
    <n v="2"/>
    <s v="Значительное"/>
    <x v="0"/>
    <x v="10"/>
    <s v="oluferov@spgr.ru"/>
    <x v="0"/>
    <d v="2020-01-19T00:00:00"/>
    <d v="2020-01-19T00:00:00"/>
    <m/>
    <m/>
    <m/>
    <m/>
    <m/>
    <m/>
    <m/>
    <m/>
    <x v="550"/>
    <d v="2020-01-20T09:19:17"/>
    <d v="2020-01-20T09:19:17"/>
    <m/>
    <d v="2020-01-20T09:19:43"/>
  </r>
  <r>
    <n v="849"/>
    <s v="Монтаж теплоизоляции лотков кровли ферм ETFE в осях 24-26/ 7/Б-Р, узлы 9,10,11,12,"/>
    <n v="2"/>
    <s v="Значительное"/>
    <x v="0"/>
    <x v="10"/>
    <s v="oluferov@spgr.ru"/>
    <x v="0"/>
    <d v="2019-12-08T00:00:00"/>
    <d v="2019-12-08T00:00:00"/>
    <m/>
    <m/>
    <m/>
    <m/>
    <m/>
    <m/>
    <m/>
    <m/>
    <x v="551"/>
    <d v="2020-01-06T11:31:20"/>
    <d v="2020-01-06T11:31:20"/>
    <m/>
    <d v="2020-01-06T11:38:08"/>
  </r>
  <r>
    <n v="852"/>
    <s v="Монтаж ВПБ лотков кровли ферм ETFE в осях 27-28/ 7/Б-Р, узлы  71,73,84,77,79,87,88"/>
    <n v="2"/>
    <s v="Значительное"/>
    <x v="0"/>
    <x v="10"/>
    <s v="oluferov@spgr.ru"/>
    <x v="0"/>
    <d v="2019-12-22T00:00:00"/>
    <d v="2019-12-22T00:00:00"/>
    <m/>
    <m/>
    <m/>
    <m/>
    <m/>
    <m/>
    <m/>
    <m/>
    <x v="552"/>
    <d v="2020-01-06T11:56:00"/>
    <d v="2020-01-06T11:56:00"/>
    <m/>
    <d v="2020-01-06T11:49:55"/>
  </r>
  <r>
    <n v="850"/>
    <s v="Монтаж пароизоляционной ленты лотков кровли ферм ETFE в осях 24-26/ 7/Б-Р, узлы 10,17,19,26,28,35"/>
    <n v="2"/>
    <s v="Значительное"/>
    <x v="0"/>
    <x v="10"/>
    <s v="oluferov@spgr.ru"/>
    <x v="0"/>
    <d v="2019-12-22T00:00:00"/>
    <d v="2019-12-22T00:00:00"/>
    <m/>
    <m/>
    <m/>
    <m/>
    <m/>
    <m/>
    <m/>
    <m/>
    <x v="553"/>
    <d v="2020-01-06T11:40:02"/>
    <d v="2020-01-06T11:40:02"/>
    <m/>
    <d v="2020-01-06T11:33:57"/>
  </r>
  <r>
    <n v="851"/>
    <s v="Монтаж ВПБ лотков кровли ферм ETFE в осях 27-28/ 7/Б-Р, узлы опор 61,62,63,64,65,66,69,70,71,73"/>
    <n v="2"/>
    <s v="Значительное"/>
    <x v="0"/>
    <x v="10"/>
    <s v="oluferov@spgr.ru"/>
    <x v="0"/>
    <d v="2019-12-22T00:00:00"/>
    <d v="2019-12-22T00:00:00"/>
    <m/>
    <m/>
    <m/>
    <m/>
    <m/>
    <m/>
    <m/>
    <m/>
    <x v="554"/>
    <d v="2020-01-06T11:50:12"/>
    <d v="2020-01-06T11:50:12"/>
    <m/>
    <d v="2020-01-06T11:44:07"/>
  </r>
  <r>
    <n v="338"/>
    <s v="Затяжка ВПБ. Блок 2.2. Кровля. Балки. Узел 190."/>
    <n v="2"/>
    <s v="Значительное"/>
    <x v="0"/>
    <x v="10"/>
    <s v="oluferov@spgr.ru"/>
    <x v="0"/>
    <d v="2019-11-17T00:00:00"/>
    <d v="2019-11-17T00:00:00"/>
    <s v="РК-РД-2-КМ2.1.10-012-00"/>
    <n v="0"/>
    <n v="0"/>
    <s v="Кровля_Блок 2_C"/>
    <m/>
    <m/>
    <s v="Металлоконструкции кровли блок 2.2"/>
    <s v="Ссылка на план"/>
    <x v="555"/>
    <d v="2019-11-19T09:22:20"/>
    <d v="2019-11-19T09:22:20"/>
    <m/>
    <d v="2019-11-19T09:45:44"/>
  </r>
  <r>
    <n v="340"/>
    <s v="Проверка натяжения ВПТ. Блок 2.2. Кровля, отм. +37.650. Узлы 19, 21, 23."/>
    <n v="2"/>
    <s v="Значительное"/>
    <x v="0"/>
    <x v="10"/>
    <s v="oluferov@spgr.ru"/>
    <x v="0"/>
    <d v="2019-11-17T00:00:00"/>
    <d v="2019-11-17T00:00:00"/>
    <s v="РК-РД-2-КМ2.1.10-012-00"/>
    <n v="0"/>
    <n v="0"/>
    <s v="Кровля_Блок 2_C"/>
    <m/>
    <m/>
    <s v="Металлоконструкции кровли блок 2.2"/>
    <s v="Ссылка на план"/>
    <x v="556"/>
    <d v="2019-11-19T09:57:47"/>
    <d v="2019-11-19T09:57:47"/>
    <m/>
    <d v="2019-11-19T09:57:47"/>
  </r>
  <r>
    <n v="342"/>
    <s v="Проверка натяжения высокопрочных болтов. Блок 2.2. Кровля. Узел 122"/>
    <n v="2"/>
    <s v="Значительное"/>
    <x v="0"/>
    <x v="10"/>
    <s v="oluferov@spgr.ru"/>
    <x v="0"/>
    <d v="2019-11-17T00:00:00"/>
    <d v="2019-11-17T00:00:00"/>
    <s v="РК-РД-2-КМ2.1.10-012-00"/>
    <n v="21.79"/>
    <n v="79.03"/>
    <s v="Кровля_Блок 2_C"/>
    <m/>
    <m/>
    <s v="Металлоконструкции кровли блок 2.2"/>
    <s v="Ссылка на план"/>
    <x v="557"/>
    <d v="2019-11-19T10:13:58"/>
    <d v="2019-11-19T10:13:58"/>
    <m/>
    <d v="2019-11-19T10:15:31"/>
  </r>
  <r>
    <n v="345"/>
    <s v="Проверка натяжения ВПБ. Кровля. Блок 1. Узел 522."/>
    <n v="2"/>
    <s v="Значительное"/>
    <x v="0"/>
    <x v="10"/>
    <s v="oluferov@spgr.ru"/>
    <x v="0"/>
    <d v="2019-11-10T00:00:00"/>
    <d v="2019-11-10T00:00:00"/>
    <m/>
    <m/>
    <m/>
    <s v="Кровля_Блок 1_A1"/>
    <m/>
    <m/>
    <m/>
    <m/>
    <x v="558"/>
    <d v="2019-11-19T10:26:32"/>
    <d v="2019-11-19T10:26:32"/>
    <m/>
    <d v="2019-11-19T10:29:02"/>
  </r>
  <r>
    <n v="347"/>
    <s v="Проверка сборки фермы кровли внутреннего двора в осях 21-22/7Б-10Б"/>
    <n v="2"/>
    <s v="Значительное"/>
    <x v="0"/>
    <x v="10"/>
    <s v="oluferov@spgr.ru"/>
    <x v="0"/>
    <d v="2019-11-17T00:00:00"/>
    <d v="2019-11-17T00:00:00"/>
    <m/>
    <m/>
    <m/>
    <s v="Кровля_Блок 3_A3"/>
    <m/>
    <m/>
    <m/>
    <m/>
    <x v="559"/>
    <d v="2019-11-19T10:54:19"/>
    <d v="2019-11-19T10:54:19"/>
    <m/>
    <d v="2019-11-19T10:55:10"/>
  </r>
  <r>
    <n v="900"/>
    <s v="Монтаж фасадных панелей на отм. +46.170. Блок 1. Тип 4, в осях 1/И-Л. (1 шт.)"/>
    <n v="2"/>
    <s v="Значительное"/>
    <x v="0"/>
    <x v="10"/>
    <s v="oluferov@spgr.ru"/>
    <x v="0"/>
    <d v="2020-01-12T00:00:00"/>
    <d v="2020-01-12T00:00:00"/>
    <m/>
    <m/>
    <m/>
    <m/>
    <m/>
    <m/>
    <m/>
    <m/>
    <x v="560"/>
    <d v="2020-01-12T17:49:13"/>
    <d v="2020-01-12T17:49:13"/>
    <m/>
    <d v="2020-01-12T17:50:48"/>
  </r>
  <r>
    <n v="1257"/>
    <s v="Проверка натяжения ВПБ устройства лотков (№1-25) ферм ETFE, узлы №204,205,206,207,208,210"/>
    <n v="2"/>
    <s v="Значительное"/>
    <x v="0"/>
    <x v="10"/>
    <s v="oluferov@spgr.ru"/>
    <x v="0"/>
    <d v="2020-02-02T00:00:00"/>
    <d v="2020-02-02T00:00:00"/>
    <m/>
    <m/>
    <m/>
    <s v="L4_Блок 3_A3"/>
    <m/>
    <m/>
    <m/>
    <m/>
    <x v="561"/>
    <d v="2020-02-09T10:09:14"/>
    <d v="2020-02-09T10:09:14"/>
    <m/>
    <d v="2020-02-09T14:21:48"/>
  </r>
  <r>
    <n v="1258"/>
    <s v="Монтаж фасадных панелей на отм. +37.770. Блок 1. Тип 2, в осях 6/1 /Л-П. (3 шт.)"/>
    <n v="2"/>
    <s v="Значительное"/>
    <x v="0"/>
    <x v="10"/>
    <s v="oluferov@spgr.ru"/>
    <x v="0"/>
    <d v="2020-02-09T00:00:00"/>
    <d v="2020-02-09T00:00:00"/>
    <m/>
    <m/>
    <m/>
    <m/>
    <m/>
    <m/>
    <m/>
    <m/>
    <x v="562"/>
    <d v="2020-02-09T14:19:49"/>
    <d v="2020-02-09T14:19:49"/>
    <m/>
    <d v="2020-02-09T14:20:19"/>
  </r>
  <r>
    <n v="1256"/>
    <s v="Утепление лотков ферм ETFE в осях 32-33/ 7Б-Р, лоток 1-26"/>
    <n v="2"/>
    <s v="Значительное"/>
    <x v="0"/>
    <x v="10"/>
    <s v="oluferov@spgr.ru"/>
    <x v="0"/>
    <d v="2020-02-02T00:00:00"/>
    <d v="2020-02-02T00:00:00"/>
    <m/>
    <m/>
    <m/>
    <s v="L4_Блок 3_A3"/>
    <m/>
    <m/>
    <m/>
    <m/>
    <x v="563"/>
    <d v="2020-02-09T10:01:57"/>
    <d v="2020-02-09T10:01:57"/>
    <m/>
    <d v="2020-02-09T14:21:36"/>
  </r>
  <r>
    <n v="1259"/>
    <s v="Монтаж фасадных панелей на отм. +12.570. Блок 1. Тип 4, в осях 3/Э-Ш. (2 шт.)"/>
    <n v="2"/>
    <s v="Значительное"/>
    <x v="0"/>
    <x v="10"/>
    <s v="oluferov@spgr.ru"/>
    <x v="0"/>
    <d v="2020-02-09T00:00:00"/>
    <d v="2020-02-09T00:00:00"/>
    <m/>
    <m/>
    <m/>
    <m/>
    <m/>
    <m/>
    <m/>
    <m/>
    <x v="564"/>
    <d v="2020-02-09T14:25:38"/>
    <d v="2020-02-09T14:25:38"/>
    <m/>
    <d v="2020-02-09T14:26:01"/>
  </r>
  <r>
    <n v="956"/>
    <s v="Утепление лотков ферм ETFE, в узлах 99-103"/>
    <n v="2"/>
    <s v="Значительное"/>
    <x v="0"/>
    <x v="10"/>
    <s v="oluferov@spgr.ru"/>
    <x v="0"/>
    <d v="2020-01-19T00:00:00"/>
    <d v="2020-01-19T00:00:00"/>
    <m/>
    <m/>
    <m/>
    <m/>
    <m/>
    <m/>
    <m/>
    <m/>
    <x v="565"/>
    <d v="2020-01-20T09:09:38"/>
    <d v="2020-01-20T09:09:38"/>
    <m/>
    <d v="2020-01-20T09:09:46"/>
  </r>
  <r>
    <n v="394"/>
    <s v="На участке длинной 4,5 м от стены В/о Л-Р/1, толщина щебеночного основания менее 300мм&quot; (Согласно РД щебень фракции 20-40 мм -300мм."/>
    <n v="2"/>
    <s v="Значительное"/>
    <x v="0"/>
    <x v="10"/>
    <s v="svetashov@spgr.ru"/>
    <x v="1"/>
    <m/>
    <m/>
    <m/>
    <m/>
    <m/>
    <m/>
    <m/>
    <m/>
    <m/>
    <m/>
    <x v="566"/>
    <d v="2019-11-23T06:57:04"/>
    <d v="2019-11-28T11:29:32"/>
    <m/>
    <d v="2019-11-28T11:29:32"/>
  </r>
  <r>
    <n v="576"/>
    <s v="Вентилируемый фасад. Монтаж аквапанели"/>
    <n v="2"/>
    <s v="Значительное"/>
    <x v="0"/>
    <x v="10"/>
    <s v="svetashov@spgr.ru"/>
    <x v="1"/>
    <d v="2019-12-10T00:00:00"/>
    <d v="2019-12-10T00:00:00"/>
    <s v="_FJT7Q~3"/>
    <n v="41.43"/>
    <n v="33.6"/>
    <m/>
    <m/>
    <m/>
    <s v="АР общие планы"/>
    <s v="Ссылка на план"/>
    <x v="567"/>
    <d v="2019-12-10T11:56:05"/>
    <d v="2019-12-10T11:56:05"/>
    <m/>
    <d v="2019-12-10T11:56:05"/>
  </r>
  <r>
    <n v="349"/>
    <s v="Геотекстиль, мембрана плантер гео"/>
    <n v="2"/>
    <s v="Значительное"/>
    <x v="0"/>
    <x v="10"/>
    <s v="svetashov@spgr.ru"/>
    <x v="1"/>
    <d v="2019-11-19T00:00:00"/>
    <d v="2019-11-19T00:00:00"/>
    <s v="_EAGRX~Q"/>
    <n v="21.06"/>
    <n v="26.75"/>
    <m/>
    <m/>
    <m/>
    <s v="АР общие планы"/>
    <s v="Ссылка на план"/>
    <x v="568"/>
    <d v="2019-11-19T17:10:18"/>
    <d v="2019-11-28T11:29:30"/>
    <m/>
    <d v="2019-11-28T11:29:30"/>
  </r>
  <r>
    <n v="346"/>
    <s v="Пароизоляция пирога кровли пандуса. Замечания убрать воду и грязь с пароизоляции"/>
    <n v="2"/>
    <s v="Значительное"/>
    <x v="0"/>
    <x v="10"/>
    <s v="svetashov@spgr.ru"/>
    <x v="1"/>
    <d v="2019-11-19T00:00:00"/>
    <d v="2019-11-19T00:00:00"/>
    <s v="РК-РД-2-АР01-04-07"/>
    <n v="33.770000000000003"/>
    <n v="47.16"/>
    <m/>
    <m/>
    <m/>
    <s v="АР планы 0.000"/>
    <s v="Ссылка на план"/>
    <x v="569"/>
    <d v="2019-11-19T17:10:15"/>
    <d v="2019-11-28T11:29:34"/>
    <m/>
    <d v="2019-11-28T11:29:34"/>
  </r>
  <r>
    <n v="638"/>
    <s v="Монтаж м/к Блок 1 L16 (платформа под оборудование)"/>
    <n v="2"/>
    <s v="Значительное"/>
    <x v="0"/>
    <x v="10"/>
    <s v="birukov@spgr.ru"/>
    <x v="1"/>
    <d v="2019-12-17T00:00:00"/>
    <d v="2019-12-17T00:00:00"/>
    <m/>
    <m/>
    <m/>
    <m/>
    <m/>
    <m/>
    <m/>
    <m/>
    <x v="421"/>
    <d v="2019-12-17T02:49:15"/>
    <d v="2019-12-17T02:49:15"/>
    <m/>
    <d v="2019-12-17T06:52:13"/>
  </r>
  <r>
    <n v="637"/>
    <s v="Устройство вертикальной г/и в/о П-М по оси 34/1 отм -4,250"/>
    <n v="2"/>
    <s v="Значительное"/>
    <x v="0"/>
    <x v="10"/>
    <s v="birukov@spgr.ru"/>
    <x v="1"/>
    <d v="2019-12-17T00:00:00"/>
    <d v="2019-12-17T00:00:00"/>
    <m/>
    <m/>
    <m/>
    <m/>
    <m/>
    <m/>
    <m/>
    <m/>
    <x v="570"/>
    <d v="2019-12-17T06:56:23"/>
    <d v="2019-12-17T06:56:23"/>
    <m/>
    <d v="2019-12-17T06:56:25"/>
  </r>
  <r>
    <n v="639"/>
    <s v="Армирование ростверка См-12 отм -0,250"/>
    <n v="2"/>
    <s v="Значительное"/>
    <x v="0"/>
    <x v="10"/>
    <s v="birukov@spgr.ru"/>
    <x v="1"/>
    <d v="2019-12-17T00:00:00"/>
    <d v="2019-12-17T00:00:00"/>
    <m/>
    <m/>
    <m/>
    <m/>
    <m/>
    <m/>
    <m/>
    <m/>
    <x v="421"/>
    <d v="2019-12-17T06:56:46"/>
    <d v="2019-12-17T06:56:46"/>
    <m/>
    <d v="2019-12-17T06:56:53"/>
  </r>
  <r>
    <n v="388"/>
    <s v="Монтаж  уплотнительной  резины и стартового профиля в/о И-Л в доль оси 15/1 отм +8,370"/>
    <n v="2"/>
    <s v="Значительное"/>
    <x v="0"/>
    <x v="10"/>
    <s v="birukov@spgr.ru"/>
    <x v="1"/>
    <d v="2019-11-21T00:00:00"/>
    <d v="2019-11-21T00:00:00"/>
    <m/>
    <m/>
    <m/>
    <m/>
    <m/>
    <m/>
    <m/>
    <m/>
    <x v="571"/>
    <d v="2019-12-12T16:19:15"/>
    <d v="2019-12-12T16:19:15"/>
    <m/>
    <d v="2019-12-12T18:09:44"/>
  </r>
  <r>
    <n v="392"/>
    <s v="Армирование парапета ПРМ 4а в/о И-Л м/о 31-33 отм -0,650"/>
    <n v="2"/>
    <s v="Значительное"/>
    <x v="0"/>
    <x v="10"/>
    <s v="birukov@spgr.ru"/>
    <x v="1"/>
    <d v="2019-11-22T00:00:00"/>
    <d v="2019-11-22T00:00:00"/>
    <m/>
    <m/>
    <m/>
    <m/>
    <m/>
    <m/>
    <m/>
    <m/>
    <x v="572"/>
    <d v="2019-12-12T16:19:32"/>
    <d v="2019-12-12T16:19:32"/>
    <m/>
    <d v="2019-12-12T18:09:45"/>
  </r>
  <r>
    <n v="391"/>
    <s v="Оклеечная Г/И КРМ-10 (4,5 м в стор Оси У/1)"/>
    <n v="2"/>
    <s v="Значительное"/>
    <x v="0"/>
    <x v="10"/>
    <s v="birukov@spgr.ru"/>
    <x v="1"/>
    <d v="2019-11-22T00:00:00"/>
    <d v="2019-11-22T00:00:00"/>
    <m/>
    <m/>
    <m/>
    <m/>
    <m/>
    <m/>
    <m/>
    <m/>
    <x v="573"/>
    <d v="2019-12-12T16:19:27"/>
    <d v="2019-12-12T16:19:27"/>
    <m/>
    <d v="2019-12-12T18:09:45"/>
  </r>
  <r>
    <n v="407"/>
    <s v="Проверка натяжения Простых И ВП Болтов УЗЕЛ 321,322,327,328,179,182,183,185,188,189,194,195,196-204"/>
    <n v="2"/>
    <s v="Значительное"/>
    <x v="0"/>
    <x v="10"/>
    <s v="birukov@spgr.ru"/>
    <x v="1"/>
    <d v="2019-11-22T00:00:00"/>
    <d v="2019-11-22T00:00:00"/>
    <m/>
    <m/>
    <m/>
    <m/>
    <m/>
    <m/>
    <m/>
    <m/>
    <x v="574"/>
    <d v="2019-12-12T16:19:45"/>
    <d v="2019-12-12T16:19:45"/>
    <m/>
    <d v="2019-12-12T18:09:46"/>
  </r>
  <r>
    <n v="405"/>
    <s v="Основание под Колодец НВК-6 КОЛОДЕЦ 56"/>
    <n v="2"/>
    <s v="Значительное"/>
    <x v="0"/>
    <x v="10"/>
    <s v="birukov@spgr.ru"/>
    <x v="1"/>
    <d v="2019-11-22T00:00:00"/>
    <d v="2019-11-22T00:00:00"/>
    <m/>
    <m/>
    <m/>
    <m/>
    <m/>
    <m/>
    <m/>
    <m/>
    <x v="575"/>
    <d v="2019-12-12T16:19:37"/>
    <d v="2019-12-12T16:19:37"/>
    <m/>
    <d v="2019-12-12T18:09:45"/>
  </r>
  <r>
    <n v="408"/>
    <s v="Окраска ВПУ Блок 2.2 Узел 172,173,182-186,188,194,195,282,284,286,288,290,298,302,304,431-436,439,440,442,443,590,591,594,595,600,606,610-613"/>
    <n v="2"/>
    <s v="Значительное"/>
    <x v="0"/>
    <x v="10"/>
    <s v="birukov@spgr.ru"/>
    <x v="1"/>
    <d v="2019-11-23T00:00:00"/>
    <d v="2019-11-23T00:00:00"/>
    <m/>
    <m/>
    <m/>
    <m/>
    <m/>
    <m/>
    <m/>
    <m/>
    <x v="576"/>
    <d v="2019-12-12T16:19:48"/>
    <d v="2019-12-12T16:19:48"/>
    <m/>
    <d v="2019-12-12T18:09:46"/>
  </r>
  <r>
    <n v="406"/>
    <s v="Армирование Надстраеваемых Стен Иперекрытий В/о 14-15/А"/>
    <n v="2"/>
    <s v="Значительное"/>
    <x v="0"/>
    <x v="10"/>
    <s v="birukov@spgr.ru"/>
    <x v="1"/>
    <d v="2019-11-23T00:00:00"/>
    <d v="2019-11-23T00:00:00"/>
    <m/>
    <m/>
    <m/>
    <m/>
    <m/>
    <m/>
    <m/>
    <m/>
    <x v="577"/>
    <d v="2019-12-12T16:19:42"/>
    <d v="2019-12-12T16:19:42"/>
    <m/>
    <d v="2019-12-12T18:09:45"/>
  </r>
  <r>
    <n v="1066"/>
    <s v="Устройство противопожарной отсечки из мин.ваты в/о 23-27 по оси 13/Б Блок Б2 отм -0,250"/>
    <n v="2"/>
    <s v="Значительное"/>
    <x v="0"/>
    <x v="10"/>
    <s v="birukov@spgr.ru"/>
    <x v="1"/>
    <d v="2020-01-26T00:00:00"/>
    <d v="2020-01-26T00:00:00"/>
    <m/>
    <m/>
    <m/>
    <m/>
    <m/>
    <m/>
    <m/>
    <m/>
    <x v="578"/>
    <d v="2020-01-26T15:38:57"/>
    <d v="2020-01-26T15:38:57"/>
    <m/>
    <d v="2020-01-26T18:43:40"/>
  </r>
  <r>
    <n v="1063"/>
    <s v="Монтаж панелей фасада в о 16-13 м/о С-Т Блок 2 отм +12,450"/>
    <n v="2"/>
    <s v="Значительное"/>
    <x v="0"/>
    <x v="10"/>
    <s v="birukov@spgr.ru"/>
    <x v="1"/>
    <d v="2020-01-26T00:00:00"/>
    <d v="2020-01-26T00:00:00"/>
    <m/>
    <m/>
    <m/>
    <m/>
    <m/>
    <m/>
    <m/>
    <m/>
    <x v="422"/>
    <d v="2020-01-26T18:44:18"/>
    <d v="2020-01-26T18:44:18"/>
    <m/>
    <d v="2020-01-26T18:44:19"/>
  </r>
  <r>
    <n v="684"/>
    <s v="Монтаж м/к (ферм)"/>
    <n v="3"/>
    <s v="Малозначительное"/>
    <x v="0"/>
    <x v="10"/>
    <s v="birukov@spgr.ru"/>
    <x v="1"/>
    <d v="2019-12-19T00:00:00"/>
    <d v="2019-12-19T00:00:00"/>
    <m/>
    <m/>
    <m/>
    <m/>
    <m/>
    <m/>
    <m/>
    <m/>
    <x v="579"/>
    <d v="2019-12-20T06:31:25"/>
    <d v="2019-12-20T06:31:25"/>
    <m/>
    <d v="2019-12-20T07:03:26"/>
  </r>
  <r>
    <n v="688"/>
    <s v="Монтаж кронштейна"/>
    <n v="3"/>
    <s v="Малозначительное"/>
    <x v="0"/>
    <x v="10"/>
    <s v="birukov@spgr.ru"/>
    <x v="1"/>
    <d v="2019-12-20T00:00:00"/>
    <d v="2019-12-20T00:00:00"/>
    <m/>
    <m/>
    <m/>
    <m/>
    <m/>
    <m/>
    <m/>
    <m/>
    <x v="423"/>
    <d v="2019-12-20T07:02:44"/>
    <d v="2019-12-20T07:02:44"/>
    <m/>
    <d v="2019-12-20T07:07:03"/>
  </r>
  <r>
    <n v="686"/>
    <s v="Монтаж панелей фасада в/о 15-17 в доль оси 1/Г с отм +4.170 до отм +8,370 Блок 2;в/о 18-20 по 3/А и Д-И по 19/1 отм 16,800 Блок №2"/>
    <n v="3"/>
    <s v="Малозначительное"/>
    <x v="0"/>
    <x v="10"/>
    <s v="birukov@spgr.ru"/>
    <x v="1"/>
    <d v="2019-12-20T00:00:00"/>
    <d v="2019-12-20T00:00:00"/>
    <m/>
    <m/>
    <m/>
    <m/>
    <m/>
    <m/>
    <m/>
    <m/>
    <x v="580"/>
    <d v="2019-12-20T06:32:54"/>
    <d v="2019-12-20T06:32:54"/>
    <m/>
    <d v="2019-12-20T07:03:26"/>
  </r>
  <r>
    <n v="431"/>
    <s v="Армирование парапета Прм-4а в/о А-Б м/о 22-26 на отм.-0,650"/>
    <n v="2"/>
    <s v="Значительное"/>
    <x v="0"/>
    <x v="10"/>
    <s v="birukov@spgr.ru"/>
    <x v="1"/>
    <d v="2019-11-25T00:00:00"/>
    <d v="2019-11-25T00:00:00"/>
    <m/>
    <m/>
    <m/>
    <m/>
    <m/>
    <m/>
    <m/>
    <m/>
    <x v="581"/>
    <d v="2019-12-12T16:19:54"/>
    <d v="2019-12-12T16:19:54"/>
    <m/>
    <d v="2019-12-12T18:09:47"/>
  </r>
  <r>
    <n v="432"/>
    <s v="Проверка натяжения ВП и обычных болтов М/К  Блок 2.2 Узел №130;193;285/1;Блок 1 Узел №37;38;40;Кровля-84 узла (см. чек-лист)"/>
    <n v="2"/>
    <s v="Значительное"/>
    <x v="0"/>
    <x v="10"/>
    <s v="birukov@spgr.ru"/>
    <x v="1"/>
    <d v="2019-11-25T00:00:00"/>
    <d v="2019-11-25T00:00:00"/>
    <m/>
    <m/>
    <m/>
    <m/>
    <m/>
    <m/>
    <m/>
    <m/>
    <x v="582"/>
    <d v="2019-12-12T16:19:58"/>
    <d v="2019-12-12T16:19:58"/>
    <m/>
    <d v="2019-12-12T18:09:47"/>
  </r>
  <r>
    <n v="426"/>
    <s v="Шпатлёвка 13L3.2.27,26,25,11L3.2.042"/>
    <n v="2"/>
    <s v="Значительное"/>
    <x v="0"/>
    <x v="10"/>
    <s v="birukov@spgr.ru"/>
    <x v="1"/>
    <d v="2019-11-25T00:00:00"/>
    <d v="2019-11-25T00:00:00"/>
    <m/>
    <m/>
    <m/>
    <m/>
    <m/>
    <m/>
    <m/>
    <m/>
    <x v="583"/>
    <d v="2019-12-12T16:19:51"/>
    <d v="2019-12-12T16:19:51"/>
    <m/>
    <d v="2019-12-12T18:09:48"/>
  </r>
  <r>
    <n v="698"/>
    <s v="Монтаж м/к (ферма) Узел №6.8;7.15;3.78-3.82;14;16;17;307-310"/>
    <n v="2"/>
    <s v="Значительное"/>
    <x v="0"/>
    <x v="10"/>
    <s v="birukov@spgr.ru"/>
    <x v="1"/>
    <d v="2019-12-20T00:00:00"/>
    <d v="2019-12-20T00:00:00"/>
    <m/>
    <m/>
    <m/>
    <m/>
    <m/>
    <m/>
    <m/>
    <m/>
    <x v="426"/>
    <d v="2019-12-21T05:36:33"/>
    <d v="2019-12-21T05:36:33"/>
    <m/>
    <d v="2019-12-21T05:38:36"/>
  </r>
  <r>
    <n v="449"/>
    <s v="Устройство огнезащиты (огракс) мет.конструкций  Блок  1 отм L-15 в/о Р-С м/о 1-2;в/о Л-И  по оси 1"/>
    <n v="2"/>
    <s v="Значительное"/>
    <x v="0"/>
    <x v="10"/>
    <s v="birukov@spgr.ru"/>
    <x v="1"/>
    <d v="2019-11-26T00:00:00"/>
    <d v="2019-11-26T00:00:00"/>
    <m/>
    <m/>
    <m/>
    <m/>
    <m/>
    <m/>
    <m/>
    <m/>
    <x v="584"/>
    <d v="2019-12-12T16:20:09"/>
    <d v="2019-12-12T16:20:09"/>
    <m/>
    <d v="2019-12-12T18:09:47"/>
  </r>
  <r>
    <n v="448"/>
    <s v="Проверка  натяжения ВП и обычных болтов  Блок 1 25 узлов,согласно  приложенного списка  Блок №1 Узел №149-154;82-91;93;95;39;41;74;73475;78;79;65461;59"/>
    <n v="2"/>
    <s v="Значительное"/>
    <x v="0"/>
    <x v="10"/>
    <s v="birukov@spgr.ru"/>
    <x v="1"/>
    <d v="2019-11-26T00:00:00"/>
    <d v="2019-11-26T00:00:00"/>
    <m/>
    <m/>
    <m/>
    <m/>
    <m/>
    <m/>
    <m/>
    <m/>
    <x v="585"/>
    <d v="2019-12-12T16:20:05"/>
    <d v="2019-12-12T16:20:05"/>
    <m/>
    <d v="2019-12-12T18:09:47"/>
  </r>
  <r>
    <n v="486"/>
    <s v="Монтаж  панелей фасадов в/о Е-К в доль оси 19/1 с отм +16.770 до отм +20,970 Блок 2"/>
    <n v="1"/>
    <s v="КРИТИЧЕСКОЕ"/>
    <x v="0"/>
    <x v="10"/>
    <s v="birukov@spgr.ru"/>
    <x v="1"/>
    <d v="2019-11-29T00:00:00"/>
    <d v="2019-11-29T00:00:00"/>
    <m/>
    <m/>
    <m/>
    <m/>
    <m/>
    <m/>
    <m/>
    <m/>
    <x v="586"/>
    <d v="2019-12-12T16:20:11"/>
    <d v="2019-12-12T16:20:11"/>
    <m/>
    <d v="2019-12-12T18:09:49"/>
  </r>
  <r>
    <n v="755"/>
    <s v="Монтаж м/к (ферм) Узлы №7.16;2.131-2.135"/>
    <n v="2"/>
    <s v="Значительное"/>
    <x v="0"/>
    <x v="10"/>
    <s v="birukov@spgr.ru"/>
    <x v="1"/>
    <d v="2019-12-24T00:00:00"/>
    <d v="2019-12-24T00:00:00"/>
    <m/>
    <m/>
    <m/>
    <m/>
    <m/>
    <m/>
    <m/>
    <m/>
    <x v="587"/>
    <d v="2019-12-24T02:55:01"/>
    <d v="2019-12-24T02:55:01"/>
    <m/>
    <d v="2019-12-24T02:55:04"/>
  </r>
  <r>
    <n v="754"/>
    <s v="Опалубка и армирование основания бетонной подготовки колодца 57-57А отм -4,200"/>
    <n v="2"/>
    <s v="Значительное"/>
    <x v="0"/>
    <x v="10"/>
    <s v="birukov@spgr.ru"/>
    <x v="1"/>
    <d v="2019-12-23T00:00:00"/>
    <d v="2019-12-23T00:00:00"/>
    <m/>
    <m/>
    <m/>
    <m/>
    <m/>
    <m/>
    <m/>
    <m/>
    <x v="588"/>
    <d v="2019-12-24T00:15:15"/>
    <d v="2019-12-24T00:15:15"/>
    <m/>
    <d v="2019-12-24T00:15:15"/>
  </r>
  <r>
    <n v="487"/>
    <s v="Монтаж  панелей фасада в/о 17-20 в доль оси 3/А с отм +6,312 до отм +8,370 Блок 2;в/о 10-13 в доль оси И с отм+0.120 до отм+4.170 Блок 2"/>
    <n v="2"/>
    <s v="Значительное"/>
    <x v="0"/>
    <x v="10"/>
    <s v="birukov@spgr.ru"/>
    <x v="1"/>
    <d v="2019-11-30T00:00:00"/>
    <d v="2019-11-30T00:00:00"/>
    <m/>
    <m/>
    <m/>
    <m/>
    <m/>
    <m/>
    <m/>
    <m/>
    <x v="589"/>
    <d v="2019-12-12T16:20:15"/>
    <d v="2019-12-12T16:20:15"/>
    <m/>
    <d v="2019-12-12T18:09:49"/>
  </r>
  <r>
    <n v="488"/>
    <s v="Монтаж кронштейнов  КРН 04Х в/о Д-Л  вдоль оси 15/1 на отм +25.050 блок 2"/>
    <n v="2"/>
    <s v="Значительное"/>
    <x v="0"/>
    <x v="10"/>
    <s v="birukov@spgr.ru"/>
    <x v="1"/>
    <d v="2019-11-30T00:00:00"/>
    <d v="2019-11-30T00:00:00"/>
    <m/>
    <m/>
    <m/>
    <m/>
    <m/>
    <m/>
    <m/>
    <m/>
    <x v="590"/>
    <d v="2019-12-12T16:20:17"/>
    <d v="2019-12-12T16:20:17"/>
    <m/>
    <d v="2019-12-12T18:09:49"/>
  </r>
  <r>
    <n v="493"/>
    <s v="Контроль натяжения обычных и ВПБ Блок №1 Кровля Узел №578;329;534;537;548;147;638;647;637;648;701;712"/>
    <n v="2"/>
    <s v="Значительное"/>
    <x v="0"/>
    <x v="10"/>
    <s v="birukov@spgr.ru"/>
    <x v="1"/>
    <d v="2019-12-01T00:00:00"/>
    <d v="2019-12-01T00:00:00"/>
    <m/>
    <m/>
    <m/>
    <m/>
    <m/>
    <m/>
    <m/>
    <m/>
    <x v="591"/>
    <d v="2019-12-12T16:20:20"/>
    <d v="2019-12-12T16:20:20"/>
    <m/>
    <d v="2019-12-12T18:09:50"/>
  </r>
  <r>
    <n v="771"/>
    <s v="Монтаж фасадных панелей в/о Е-К в доль оси 15/1 отм +15.794"/>
    <n v="3"/>
    <s v="Малозначительное"/>
    <x v="0"/>
    <x v="10"/>
    <s v="birukov@spgr.ru"/>
    <x v="1"/>
    <d v="2019-12-24T00:00:00"/>
    <d v="2019-12-24T00:00:00"/>
    <m/>
    <m/>
    <m/>
    <m/>
    <m/>
    <m/>
    <m/>
    <m/>
    <x v="429"/>
    <d v="2019-12-25T06:41:13"/>
    <d v="2019-12-25T06:41:13"/>
    <m/>
    <d v="2019-12-25T06:41:14"/>
  </r>
  <r>
    <n v="772"/>
    <s v="Монтаж м/к (ферм)"/>
    <n v="2"/>
    <s v="Значительное"/>
    <x v="0"/>
    <x v="10"/>
    <s v="birukov@spgr.ru"/>
    <x v="1"/>
    <d v="2019-12-25T00:00:00"/>
    <d v="2019-12-25T00:00:00"/>
    <m/>
    <m/>
    <m/>
    <m/>
    <m/>
    <m/>
    <m/>
    <m/>
    <x v="429"/>
    <d v="2019-12-25T06:40:58"/>
    <d v="2019-12-25T06:40:58"/>
    <m/>
    <d v="2019-12-25T06:40:59"/>
  </r>
  <r>
    <n v="810"/>
    <s v="Монтаж решетчатого настила в/о 25-29 м/о 6/Б-1/Б;21-23 м/о 1/Б-6/Б  Кровля А3"/>
    <n v="2"/>
    <s v="Значительное"/>
    <x v="0"/>
    <x v="10"/>
    <s v="birukov@spgr.ru"/>
    <x v="1"/>
    <d v="2019-12-27T00:00:00"/>
    <d v="2019-12-27T00:00:00"/>
    <m/>
    <m/>
    <m/>
    <m/>
    <m/>
    <m/>
    <m/>
    <m/>
    <x v="430"/>
    <d v="2019-12-27T17:58:29"/>
    <d v="2019-12-27T17:58:29"/>
    <m/>
    <d v="2019-12-27T17:58:29"/>
  </r>
  <r>
    <n v="812"/>
    <s v="Монтаж м/к"/>
    <n v="2"/>
    <s v="Значительное"/>
    <x v="0"/>
    <x v="10"/>
    <s v="birukov@spgr.ru"/>
    <x v="1"/>
    <d v="2019-12-27T00:00:00"/>
    <d v="2019-12-27T00:00:00"/>
    <m/>
    <m/>
    <m/>
    <m/>
    <m/>
    <m/>
    <m/>
    <m/>
    <x v="430"/>
    <d v="2019-12-27T17:58:13"/>
    <d v="2019-12-27T17:58:13"/>
    <m/>
    <d v="2019-12-27T17:58:14"/>
  </r>
  <r>
    <n v="809"/>
    <s v="Окраска Узлов ВПБ №5;8;28;42;43;44;45;46;49;67;68;50;51;52;53;54;55;69;70;2 отм +66,850 Блок №1"/>
    <n v="2"/>
    <s v="Значительное"/>
    <x v="0"/>
    <x v="10"/>
    <s v="birukov@spgr.ru"/>
    <x v="1"/>
    <d v="2019-12-27T00:00:00"/>
    <d v="2019-12-27T00:00:00"/>
    <m/>
    <m/>
    <m/>
    <m/>
    <m/>
    <m/>
    <m/>
    <m/>
    <x v="430"/>
    <d v="2019-12-27T18:05:16"/>
    <d v="2019-12-27T18:05:16"/>
    <m/>
    <d v="2019-12-27T18:05:16"/>
  </r>
  <r>
    <n v="523"/>
    <s v="ОЗ (Огракс) и финишное покрытие м/к  в/о  1-5 м/о В-Е отм +64,800 блок 1"/>
    <n v="2"/>
    <s v="Значительное"/>
    <x v="0"/>
    <x v="10"/>
    <s v="birukov@spgr.ru"/>
    <x v="1"/>
    <d v="2019-12-03T00:00:00"/>
    <d v="2019-12-03T00:00:00"/>
    <m/>
    <m/>
    <m/>
    <m/>
    <m/>
    <m/>
    <m/>
    <m/>
    <x v="592"/>
    <d v="2019-12-12T16:20:30"/>
    <d v="2019-12-12T16:20:30"/>
    <m/>
    <d v="2019-12-12T18:09:50"/>
  </r>
  <r>
    <n v="521"/>
    <s v="Проверка натяжения ВП и обычных  болтов  Блок 2.2 кровля Узел №449;453;454;455;17"/>
    <n v="2"/>
    <s v="Значительное"/>
    <x v="0"/>
    <x v="10"/>
    <s v="birukov@spgr.ru"/>
    <x v="1"/>
    <d v="2019-12-03T00:00:00"/>
    <d v="2019-12-03T00:00:00"/>
    <s v="_SFPB9~V"/>
    <n v="0"/>
    <n v="0"/>
    <m/>
    <m/>
    <m/>
    <s v="АР общие планы"/>
    <s v="Ссылка на план"/>
    <x v="593"/>
    <d v="2019-12-12T16:20:24"/>
    <d v="2019-12-12T16:20:24"/>
    <m/>
    <d v="2019-12-12T18:09:50"/>
  </r>
  <r>
    <n v="815"/>
    <s v="Устройство г/и кровли в /о 27-29 м/о 13/Б-14/Б отм -0,250 Блок №3"/>
    <n v="2"/>
    <s v="Значительное"/>
    <x v="0"/>
    <x v="10"/>
    <s v="birukov@spgr.ru"/>
    <x v="1"/>
    <d v="2019-12-28T00:00:00"/>
    <d v="2019-12-28T00:00:00"/>
    <m/>
    <m/>
    <m/>
    <m/>
    <m/>
    <m/>
    <m/>
    <m/>
    <x v="432"/>
    <d v="2019-12-28T16:27:53"/>
    <d v="2019-12-28T16:27:53"/>
    <m/>
    <d v="2019-12-28T16:27:53"/>
  </r>
  <r>
    <n v="816"/>
    <s v="Шпатлёвка 13 L2.3.020"/>
    <n v="2"/>
    <s v="Значительное"/>
    <x v="0"/>
    <x v="10"/>
    <s v="birukov@spgr.ru"/>
    <x v="1"/>
    <d v="2019-12-28T00:00:00"/>
    <d v="2019-12-28T00:00:00"/>
    <m/>
    <m/>
    <m/>
    <m/>
    <m/>
    <m/>
    <m/>
    <m/>
    <x v="432"/>
    <d v="2019-12-28T16:29:36"/>
    <d v="2019-12-28T16:29:36"/>
    <m/>
    <d v="2019-12-28T16:29:52"/>
  </r>
  <r>
    <n v="820"/>
    <s v=" Монтаж утеплителя вент фасада в/о 27-29 м/о 1/Б-3/Б L3 Блок №3"/>
    <n v="2"/>
    <s v="Значительное"/>
    <x v="0"/>
    <x v="10"/>
    <s v="birukov@spgr.ru"/>
    <x v="1"/>
    <d v="2019-12-28T00:00:00"/>
    <d v="2019-12-28T00:00:00"/>
    <m/>
    <m/>
    <m/>
    <m/>
    <m/>
    <m/>
    <m/>
    <m/>
    <x v="432"/>
    <d v="2019-12-28T16:26:40"/>
    <d v="2019-12-28T16:26:40"/>
    <m/>
    <d v="2019-12-28T16:26:41"/>
  </r>
  <r>
    <n v="529"/>
    <s v="Окраска м/к блок 2 (согласно приложенного списка)"/>
    <n v="2"/>
    <s v="Значительное"/>
    <x v="0"/>
    <x v="10"/>
    <s v="birukov@spgr.ru"/>
    <x v="1"/>
    <d v="2019-12-04T00:00:00"/>
    <d v="2019-12-04T00:00:00"/>
    <m/>
    <m/>
    <m/>
    <m/>
    <m/>
    <m/>
    <m/>
    <m/>
    <x v="594"/>
    <d v="2019-12-12T16:20:35"/>
    <d v="2019-12-12T16:20:35"/>
    <m/>
    <d v="2019-12-12T18:09:52"/>
  </r>
  <r>
    <n v="536"/>
    <s v="Затяжка ВПБ и болтов без контролируемого натяжения Блок №1 Кровля Узел №898;897;896;899;893;900;901;894;895;902;750;891;890;889;892"/>
    <n v="2"/>
    <s v="Значительное"/>
    <x v="0"/>
    <x v="10"/>
    <s v="birukov@spgr.ru"/>
    <x v="1"/>
    <d v="2019-12-04T00:00:00"/>
    <d v="2019-12-04T00:00:00"/>
    <m/>
    <m/>
    <m/>
    <m/>
    <m/>
    <m/>
    <m/>
    <m/>
    <x v="595"/>
    <d v="2019-12-12T16:20:47"/>
    <d v="2019-12-12T16:20:47"/>
    <m/>
    <d v="2019-12-12T18:09:52"/>
  </r>
  <r>
    <n v="535"/>
    <s v="Монтаж и пароизоляция стыков лотков в/о 24-25 по оси 7/Б"/>
    <n v="2"/>
    <s v="Значительное"/>
    <x v="0"/>
    <x v="10"/>
    <s v="birukov@spgr.ru"/>
    <x v="1"/>
    <d v="2019-12-04T00:00:00"/>
    <d v="2019-12-04T00:00:00"/>
    <m/>
    <m/>
    <m/>
    <m/>
    <m/>
    <m/>
    <m/>
    <m/>
    <x v="595"/>
    <d v="2019-12-12T16:20:56"/>
    <d v="2019-12-12T16:20:56"/>
    <m/>
    <d v="2019-12-12T18:09:51"/>
  </r>
  <r>
    <n v="817"/>
    <s v="Устройство полов МЭРО 13 L2.3.003"/>
    <n v="2"/>
    <s v="Значительное"/>
    <x v="0"/>
    <x v="10"/>
    <s v="birukov@spgr.ru"/>
    <x v="1"/>
    <d v="2019-12-28T00:00:00"/>
    <d v="2019-12-28T00:00:00"/>
    <m/>
    <m/>
    <m/>
    <m/>
    <m/>
    <m/>
    <m/>
    <m/>
    <x v="432"/>
    <d v="2019-12-28T16:29:16"/>
    <d v="2019-12-28T16:29:16"/>
    <m/>
    <d v="2019-12-28T16:29:16"/>
  </r>
  <r>
    <n v="821"/>
    <s v="Монтаж панелей фасада в/о Е-3/А по оси 15/1 Блок 2.2 отм L3; в/о Л-К по оси 19/1 L5 Блок 2.2"/>
    <n v="2"/>
    <s v="Значительное"/>
    <x v="0"/>
    <x v="10"/>
    <s v="birukov@spgr.ru"/>
    <x v="1"/>
    <d v="2019-12-28T00:00:00"/>
    <d v="2019-12-28T00:00:00"/>
    <m/>
    <m/>
    <m/>
    <m/>
    <m/>
    <m/>
    <m/>
    <m/>
    <x v="432"/>
    <d v="2019-12-28T16:31:08"/>
    <d v="2019-12-28T16:31:08"/>
    <m/>
    <d v="2019-12-28T16:31:09"/>
  </r>
  <r>
    <n v="125"/>
    <s v="Проверка натяжения ВПБ  Блок №1 (прогоны) Узел №605;606;7;8;22;23;24;36;37;38 отм +46,050 Узел №1;3;6;8;15;18;19;21;22;24"/>
    <n v="3"/>
    <s v="Малозначительное"/>
    <x v="0"/>
    <x v="10"/>
    <s v="birukov@spgr.ru"/>
    <x v="1"/>
    <d v="2019-11-05T00:00:00"/>
    <d v="2019-11-05T00:00:00"/>
    <s v="РК-РД-1-ОВ4.2.01-03.07-09"/>
    <n v="0"/>
    <n v="0"/>
    <s v="02.B1.3.001_Рампа N 5 (въезд для уровня В1)"/>
    <n v="6"/>
    <n v="0"/>
    <s v="В1-В2 Отопление и холод"/>
    <s v="Ссылка на план"/>
    <x v="596"/>
    <d v="2019-12-12T16:18:37"/>
    <d v="2019-12-12T16:18:37"/>
    <m/>
    <d v="2019-12-12T18:09:43"/>
  </r>
  <r>
    <n v="559"/>
    <s v="Монтаж кронштейнов в/о151-19 по оси 3А Блок 2 том+25,200"/>
    <n v="3"/>
    <s v="Малозначительное"/>
    <x v="0"/>
    <x v="10"/>
    <s v="birukov@spgr.ru"/>
    <x v="1"/>
    <d v="2019-12-07T00:00:00"/>
    <d v="2019-12-07T00:00:00"/>
    <m/>
    <m/>
    <m/>
    <m/>
    <m/>
    <m/>
    <m/>
    <m/>
    <x v="597"/>
    <d v="2019-12-20T22:57:09"/>
    <d v="2019-12-20T22:57:09"/>
    <m/>
    <d v="2019-12-20T22:57:09"/>
  </r>
  <r>
    <n v="557"/>
    <s v="Монтаж фасадных панелей L4 в/о 21-28 по оси 7/Б"/>
    <n v="3"/>
    <s v="Малозначительное"/>
    <x v="0"/>
    <x v="10"/>
    <s v="birukov@spgr.ru"/>
    <x v="1"/>
    <d v="2019-12-07T00:00:00"/>
    <d v="2019-12-07T00:00:00"/>
    <m/>
    <m/>
    <m/>
    <m/>
    <m/>
    <m/>
    <m/>
    <m/>
    <x v="597"/>
    <d v="2019-12-20T22:57:37"/>
    <d v="2019-12-20T22:57:37"/>
    <m/>
    <d v="2019-12-20T22:57:37"/>
  </r>
  <r>
    <n v="152"/>
    <s v="Гидроизоляция плиты КРМ-5"/>
    <n v="2"/>
    <s v="Значительное"/>
    <x v="0"/>
    <x v="10"/>
    <s v="birukov@spgr.ru"/>
    <x v="1"/>
    <m/>
    <m/>
    <m/>
    <m/>
    <m/>
    <m/>
    <m/>
    <m/>
    <m/>
    <m/>
    <x v="598"/>
    <d v="2019-12-12T16:18:42"/>
    <d v="2019-12-12T16:18:42"/>
    <m/>
    <d v="2019-12-12T18:09:43"/>
  </r>
  <r>
    <n v="156"/>
    <s v="Контроль натяжения ВПБ в узлах М/К Блок №2.2  Кровля Узел №436;172;196;198;257;451;271;198;73;40;30;86;88;90;108 Блок №1 отм +46,050 Узел №25;27;16;13"/>
    <n v="3"/>
    <s v="Малозначительное"/>
    <x v="0"/>
    <x v="10"/>
    <s v="birukov@spgr.ru"/>
    <x v="1"/>
    <d v="2019-11-06T00:00:00"/>
    <d v="2019-11-06T00:00:00"/>
    <m/>
    <m/>
    <m/>
    <m/>
    <m/>
    <m/>
    <m/>
    <m/>
    <x v="599"/>
    <d v="2019-12-12T16:18:45"/>
    <d v="2019-12-12T16:18:45"/>
    <m/>
    <d v="2019-12-12T18:09:43"/>
  </r>
  <r>
    <n v="161"/>
    <s v="Ремонт  ОЗП &quot;Огракс&quot; Блок 1 Отм +16,650 В/о  Ш/2-8/1"/>
    <n v="2"/>
    <s v="Значительное"/>
    <x v="0"/>
    <x v="10"/>
    <s v="birukov@spgr.ru"/>
    <x v="1"/>
    <d v="2019-11-06T00:00:00"/>
    <d v="2019-11-06T00:00:00"/>
    <m/>
    <m/>
    <m/>
    <m/>
    <m/>
    <m/>
    <m/>
    <m/>
    <x v="600"/>
    <d v="2019-11-06T17:45:07"/>
    <d v="2019-12-12T13:51:12"/>
    <m/>
    <d v="2019-12-12T13:51:12"/>
  </r>
  <r>
    <n v="558"/>
    <s v="Проверка натяжения ВПБ блок№1 кровля"/>
    <n v="2"/>
    <s v="Значительное"/>
    <x v="0"/>
    <x v="10"/>
    <s v="birukov@spgr.ru"/>
    <x v="1"/>
    <d v="2019-12-07T00:00:00"/>
    <d v="2019-12-07T00:00:00"/>
    <m/>
    <m/>
    <m/>
    <m/>
    <m/>
    <m/>
    <m/>
    <m/>
    <x v="597"/>
    <d v="2019-12-12T16:21:27"/>
    <d v="2019-12-12T16:21:27"/>
    <m/>
    <d v="2019-12-12T18:09:53"/>
  </r>
  <r>
    <n v="556"/>
    <s v="Г/и плиты ГОиЧС том -4.200 и том -9.200"/>
    <n v="2"/>
    <s v="Значительное"/>
    <x v="0"/>
    <x v="10"/>
    <s v="birukov@spgr.ru"/>
    <x v="1"/>
    <d v="2019-12-07T00:00:00"/>
    <d v="2019-12-07T00:00:00"/>
    <m/>
    <m/>
    <m/>
    <m/>
    <m/>
    <m/>
    <m/>
    <m/>
    <x v="435"/>
    <d v="2019-12-12T16:21:15"/>
    <d v="2019-12-12T16:21:15"/>
    <m/>
    <d v="2019-12-12T18:09:53"/>
  </r>
  <r>
    <n v="563"/>
    <s v="Устройство противопожарной отсечки и монтаж мембраны в/о 21-25 по оси 10/Б Блок 2.2 томи+12,600;в/о 14-17 по оси 7/Б Блок 2 том +8.400"/>
    <n v="2"/>
    <s v="Значительное"/>
    <x v="0"/>
    <x v="10"/>
    <s v="birukov@spgr.ru"/>
    <x v="1"/>
    <d v="2019-12-08T00:00:00"/>
    <d v="2019-12-08T00:00:00"/>
    <m/>
    <m/>
    <m/>
    <m/>
    <m/>
    <m/>
    <m/>
    <m/>
    <x v="601"/>
    <d v="2019-12-12T16:22:37"/>
    <d v="2019-12-12T16:22:37"/>
    <m/>
    <d v="2019-12-12T18:09:59"/>
  </r>
  <r>
    <n v="564"/>
    <s v="Монтаж панелей фасада в/о 19-17 по оси 3/А том +16,800 Блок №2"/>
    <n v="2"/>
    <s v="Значительное"/>
    <x v="0"/>
    <x v="10"/>
    <s v="birukov@spgr.ru"/>
    <x v="1"/>
    <d v="2019-12-08T00:00:00"/>
    <d v="2019-12-08T00:00:00"/>
    <m/>
    <m/>
    <m/>
    <m/>
    <m/>
    <m/>
    <m/>
    <m/>
    <x v="601"/>
    <d v="2019-12-12T16:22:32"/>
    <d v="2019-12-12T16:22:32"/>
    <m/>
    <d v="2019-12-12T18:10:52"/>
  </r>
  <r>
    <n v="940"/>
    <s v="Каркас подшивного потолка 05.L1.2.028;07.L1.3.100;...143;09L2.2.004;"/>
    <n v="3"/>
    <s v="Малозначительное"/>
    <x v="0"/>
    <x v="10"/>
    <s v="birukov@spgr.ru"/>
    <x v="1"/>
    <d v="2020-01-18T00:00:00"/>
    <d v="2020-01-18T00:00:00"/>
    <m/>
    <m/>
    <m/>
    <m/>
    <m/>
    <m/>
    <m/>
    <m/>
    <x v="453"/>
    <d v="2020-01-18T11:03:03"/>
    <d v="2020-01-18T11:03:03"/>
    <m/>
    <d v="2020-01-18T12:26:54"/>
  </r>
  <r>
    <n v="182"/>
    <s v="Проверка  затяжки  ВПБ Блок №1 Узел №258;263;264;306;307;308;309;310;311;313-317; Блок 2.2 Узел №9;15;29;91;99;174;147;148;145;146;149;144;38;175;305;439;440;441;442"/>
    <n v="2"/>
    <s v="Значительное"/>
    <x v="0"/>
    <x v="10"/>
    <s v="birukov@spgr.ru"/>
    <x v="1"/>
    <d v="2019-11-08T00:00:00"/>
    <d v="2019-11-08T00:00:00"/>
    <m/>
    <m/>
    <m/>
    <m/>
    <m/>
    <m/>
    <m/>
    <m/>
    <x v="602"/>
    <d v="2019-12-12T16:18:51"/>
    <d v="2019-12-12T16:18:51"/>
    <m/>
    <d v="2019-12-12T18:09:43"/>
  </r>
  <r>
    <n v="595"/>
    <s v="Окраска м/к Блок №2.2 Узел №449;429;450;451;452;453;454;455"/>
    <n v="3"/>
    <s v="Малозначительное"/>
    <x v="0"/>
    <x v="10"/>
    <s v="birukov@spgr.ru"/>
    <x v="1"/>
    <d v="2019-12-11T00:00:00"/>
    <d v="2019-12-11T00:00:00"/>
    <m/>
    <m/>
    <m/>
    <m/>
    <m/>
    <m/>
    <m/>
    <m/>
    <x v="603"/>
    <d v="2019-12-12T16:22:42"/>
    <d v="2019-12-12T16:22:42"/>
    <m/>
    <d v="2019-12-12T18:10:52"/>
  </r>
  <r>
    <n v="950"/>
    <s v="Устройство г/и кровли Блок№2 в/о 18-13/Б м/о К-Е отм +25,200"/>
    <n v="2"/>
    <s v="Значительное"/>
    <x v="0"/>
    <x v="10"/>
    <s v="birukov@spgr.ru"/>
    <x v="1"/>
    <d v="2020-01-19T00:00:00"/>
    <d v="2020-01-19T00:00:00"/>
    <m/>
    <m/>
    <m/>
    <m/>
    <m/>
    <m/>
    <m/>
    <m/>
    <x v="436"/>
    <d v="2020-01-19T16:32:51"/>
    <d v="2020-01-19T16:32:51"/>
    <m/>
    <d v="2020-01-19T16:32:52"/>
  </r>
  <r>
    <n v="196"/>
    <s v="Армирование и опалубка парапета  Прм-18.1 и Прм-18.3 в/о А-В м/о 1-5 отм +62,850"/>
    <n v="3"/>
    <s v="Малозначительное"/>
    <x v="0"/>
    <x v="10"/>
    <s v="birukov@spgr.ru"/>
    <x v="1"/>
    <d v="2019-11-08T00:00:00"/>
    <d v="2019-11-08T00:00:00"/>
    <m/>
    <m/>
    <m/>
    <m/>
    <m/>
    <m/>
    <m/>
    <m/>
    <x v="604"/>
    <d v="2019-12-12T16:18:56"/>
    <d v="2019-12-12T16:18:56"/>
    <m/>
    <d v="2019-12-12T18:09:44"/>
  </r>
  <r>
    <n v="200"/>
    <s v="Проверка Натяжения ВПБ Блок №1 Узел №171;172;174;181;183;184;269;503;513 Блок №2.2;43;44;35;36;34;27;28;96;97;98;112;276;302;306;445;77;78;81;82;106;141;142;143;150;151;152;153;154"/>
    <n v="2"/>
    <s v="Значительное"/>
    <x v="0"/>
    <x v="10"/>
    <s v="birukov@spgr.ru"/>
    <x v="1"/>
    <d v="2019-11-09T00:00:00"/>
    <d v="2019-11-09T00:00:00"/>
    <m/>
    <m/>
    <m/>
    <m/>
    <m/>
    <m/>
    <m/>
    <m/>
    <x v="605"/>
    <d v="2019-12-12T16:19:07"/>
    <d v="2019-12-12T16:19:07"/>
    <m/>
    <d v="2019-12-12T18:09:44"/>
  </r>
  <r>
    <n v="198"/>
    <s v="Монтаж Фасадных Панелей  в/о 1-4/А с отм +41,970 до отм +46,170"/>
    <n v="3"/>
    <s v="Малозначительное"/>
    <x v="0"/>
    <x v="10"/>
    <s v="birukov@spgr.ru"/>
    <x v="1"/>
    <d v="2019-11-09T00:00:00"/>
    <d v="2019-11-09T00:00:00"/>
    <m/>
    <m/>
    <m/>
    <m/>
    <m/>
    <m/>
    <m/>
    <m/>
    <x v="606"/>
    <d v="2019-12-12T16:18:59"/>
    <d v="2019-12-12T16:18:59"/>
    <m/>
    <d v="2019-12-12T18:09:44"/>
  </r>
  <r>
    <n v="199"/>
    <s v="Монтаж фасадных панелей в/о5/1-6/1 вдоль оси 3А с отм +29,370 до отм +33,570"/>
    <n v="2"/>
    <s v="Значительное"/>
    <x v="0"/>
    <x v="10"/>
    <s v="birukov@spgr.ru"/>
    <x v="1"/>
    <m/>
    <m/>
    <m/>
    <m/>
    <m/>
    <m/>
    <m/>
    <m/>
    <m/>
    <m/>
    <x v="607"/>
    <d v="2019-12-12T16:19:03"/>
    <d v="2019-12-12T16:19:03"/>
    <m/>
    <d v="2019-12-12T18:09:44"/>
  </r>
  <r>
    <n v="201"/>
    <s v="Оклеечная Вертикальная Г/И  Входной Группы КРМ-4"/>
    <n v="3"/>
    <s v="Малозначительное"/>
    <x v="0"/>
    <x v="10"/>
    <s v="birukov@spgr.ru"/>
    <x v="1"/>
    <d v="2019-11-09T00:00:00"/>
    <d v="2019-11-09T00:00:00"/>
    <m/>
    <m/>
    <m/>
    <m/>
    <m/>
    <m/>
    <m/>
    <m/>
    <x v="608"/>
    <d v="2019-12-12T16:19:11"/>
    <d v="2019-12-12T16:19:11"/>
    <m/>
    <d v="2019-12-12T18:09:44"/>
  </r>
  <r>
    <n v="596"/>
    <s v="Утепление лотков кровли внутреннего двора"/>
    <n v="3"/>
    <s v="Малозначительное"/>
    <x v="0"/>
    <x v="10"/>
    <s v="birukov@spgr.ru"/>
    <x v="1"/>
    <d v="2019-12-11T00:00:00"/>
    <d v="2019-12-11T00:00:00"/>
    <m/>
    <m/>
    <m/>
    <m/>
    <m/>
    <m/>
    <m/>
    <m/>
    <x v="603"/>
    <d v="2019-12-12T16:22:46"/>
    <d v="2019-12-12T16:22:46"/>
    <m/>
    <d v="2019-12-12T18:10:52"/>
  </r>
  <r>
    <n v="612"/>
    <s v="Покраска узлов болтовых соединений М/К Узел №160;159;158;12-37 блок №1 Кровля"/>
    <n v="2"/>
    <s v="Значительное"/>
    <x v="0"/>
    <x v="10"/>
    <s v="birukov@spgr.ru"/>
    <x v="1"/>
    <d v="2019-12-12T00:00:00"/>
    <d v="2019-12-12T00:00:00"/>
    <m/>
    <m/>
    <m/>
    <m/>
    <m/>
    <m/>
    <m/>
    <m/>
    <x v="609"/>
    <d v="2019-12-12T17:07:26"/>
    <d v="2019-12-12T17:07:26"/>
    <m/>
    <d v="2019-12-12T18:09:38"/>
  </r>
  <r>
    <n v="603"/>
    <s v="Окраска М/К"/>
    <n v="2"/>
    <s v="Значительное"/>
    <x v="0"/>
    <x v="10"/>
    <s v="birukov@spgr.ru"/>
    <x v="1"/>
    <d v="2019-12-11T00:00:00"/>
    <d v="2019-12-11T00:00:00"/>
    <m/>
    <m/>
    <m/>
    <m/>
    <m/>
    <m/>
    <m/>
    <m/>
    <x v="438"/>
    <d v="2019-12-12T16:22:53"/>
    <d v="2019-12-12T16:22:53"/>
    <m/>
    <d v="2019-12-12T18:10:52"/>
  </r>
  <r>
    <n v="602"/>
    <s v="Затяжка ВПБ Блок №1 Кровля Узел №191;162;163;189;188;185;184;183;170;169;168;167 Блок 2.1 Узел №174;173;172"/>
    <n v="2"/>
    <s v="Значительное"/>
    <x v="0"/>
    <x v="10"/>
    <s v="birukov@spgr.ru"/>
    <x v="1"/>
    <d v="2019-12-11T00:00:00"/>
    <d v="2019-12-11T00:00:00"/>
    <m/>
    <m/>
    <m/>
    <m/>
    <m/>
    <m/>
    <m/>
    <m/>
    <x v="610"/>
    <d v="2019-12-12T16:22:49"/>
    <d v="2019-12-12T16:22:49"/>
    <m/>
    <d v="2019-12-12T18:10:52"/>
  </r>
  <r>
    <n v="389"/>
    <s v="Монтаж Фасадных Панелей в/о 22-23 в доль оси 1/Б с отм +16,882 до отм +20,9 70 Блок 3; в/о И-Л  в доль оси 15/1  с  отм + 4,170 до отм +8,370 Блок №2"/>
    <n v="2"/>
    <s v="Значительное"/>
    <x v="0"/>
    <x v="10"/>
    <s v="birukov@spgr.ru"/>
    <x v="1"/>
    <d v="2019-11-21T00:00:00"/>
    <d v="2019-11-21T00:00:00"/>
    <m/>
    <m/>
    <m/>
    <m/>
    <m/>
    <m/>
    <m/>
    <m/>
    <x v="611"/>
    <d v="2019-12-12T16:19:19"/>
    <d v="2019-12-12T16:19:19"/>
    <m/>
    <d v="2019-12-12T18:09:44"/>
  </r>
  <r>
    <n v="390"/>
    <s v="Проверка натяжения обычных  и ВП болтов Узел №1;2 Отм +62 Блок №1;Узел №180;181;184;186;187;190;191;192;193;461 блок 2.2 Кровля"/>
    <n v="3"/>
    <s v="Малозначительное"/>
    <x v="0"/>
    <x v="10"/>
    <s v="birukov@spgr.ru"/>
    <x v="1"/>
    <d v="2019-11-21T00:00:00"/>
    <d v="2019-11-21T00:00:00"/>
    <m/>
    <m/>
    <m/>
    <m/>
    <m/>
    <m/>
    <m/>
    <m/>
    <x v="612"/>
    <d v="2019-12-12T16:19:23"/>
    <d v="2019-12-12T16:19:23"/>
    <m/>
    <d v="2019-12-12T18:09:45"/>
  </r>
  <r>
    <n v="607"/>
    <s v="Окраска Узлов м/К"/>
    <n v="2"/>
    <s v="Значительное"/>
    <x v="0"/>
    <x v="10"/>
    <s v="birukov@spgr.ru"/>
    <x v="1"/>
    <d v="2019-12-12T00:00:00"/>
    <d v="2019-12-12T00:00:00"/>
    <m/>
    <m/>
    <m/>
    <m/>
    <m/>
    <m/>
    <m/>
    <m/>
    <x v="613"/>
    <d v="2019-12-12T17:07:57"/>
    <d v="2019-12-12T17:07:57"/>
    <m/>
    <d v="2019-12-12T18:10:53"/>
  </r>
  <r>
    <n v="609"/>
    <s v="Монтаж лотков Узлы №25;29;30;26"/>
    <n v="2"/>
    <s v="Значительное"/>
    <x v="0"/>
    <x v="10"/>
    <s v="birukov@spgr.ru"/>
    <x v="1"/>
    <d v="2019-12-12T00:00:00"/>
    <d v="2019-12-12T00:00:00"/>
    <m/>
    <m/>
    <m/>
    <m/>
    <m/>
    <m/>
    <m/>
    <m/>
    <x v="614"/>
    <d v="2019-12-12T17:09:34"/>
    <d v="2019-12-12T17:09:34"/>
    <m/>
    <d v="2019-12-12T18:10:53"/>
  </r>
  <r>
    <n v="172"/>
    <s v="Армирование и опалубка бетонного основания  между колодцами 8о;8а;8кгн ливневой канализации"/>
    <n v="2"/>
    <s v="Значительное"/>
    <x v="0"/>
    <x v="10"/>
    <s v="birukov@spgr.ru"/>
    <x v="1"/>
    <d v="2019-11-06T00:00:00"/>
    <d v="2019-11-06T00:00:00"/>
    <m/>
    <m/>
    <m/>
    <m/>
    <m/>
    <m/>
    <m/>
    <m/>
    <x v="615"/>
    <d v="2019-11-06T17:44:39"/>
    <d v="2019-12-12T13:50:59"/>
    <m/>
    <d v="2019-12-12T13:51:00"/>
  </r>
  <r>
    <n v="613"/>
    <s v="Контроль натяжения болтов Блок №2.2 Узел №49;52;53;"/>
    <n v="2"/>
    <s v="Значительное"/>
    <x v="0"/>
    <x v="10"/>
    <s v="birukov@spgr.ru"/>
    <x v="1"/>
    <d v="2019-12-12T00:00:00"/>
    <d v="2019-12-12T00:00:00"/>
    <m/>
    <m/>
    <m/>
    <m/>
    <m/>
    <m/>
    <m/>
    <m/>
    <x v="609"/>
    <d v="2019-12-12T17:09:17"/>
    <d v="2019-12-12T17:09:17"/>
    <m/>
    <d v="2019-12-12T18:10:52"/>
  </r>
  <r>
    <n v="630"/>
    <s v="Монтаж м/к Блок №1 Кровля Узел №869-888;903-906"/>
    <n v="2"/>
    <s v="Значительное"/>
    <x v="0"/>
    <x v="10"/>
    <s v="birukov@spgr.ru"/>
    <x v="1"/>
    <d v="2019-12-15T00:00:00"/>
    <d v="2019-12-15T00:00:00"/>
    <m/>
    <m/>
    <m/>
    <m/>
    <m/>
    <m/>
    <m/>
    <m/>
    <x v="379"/>
    <d v="2019-12-15T23:32:20"/>
    <d v="2019-12-15T23:32:20"/>
    <m/>
    <d v="2019-12-15T23:32:21"/>
  </r>
  <r>
    <n v="1147"/>
    <s v="Монтаж кронштейнов фасадной в/о Л-Н вдоль 6/1 на отм.+38,160; в/о К-Л вдоль оси 6/1 на отм.+42,360"/>
    <n v="2"/>
    <s v="Значительное"/>
    <x v="0"/>
    <x v="10"/>
    <s v="birukov@spgr.ru"/>
    <x v="1"/>
    <d v="2020-01-31T00:00:00"/>
    <d v="2020-01-31T00:00:00"/>
    <m/>
    <m/>
    <m/>
    <m/>
    <m/>
    <m/>
    <m/>
    <m/>
    <x v="616"/>
    <d v="2020-02-01T00:29:11"/>
    <d v="2020-02-01T00:29:11"/>
    <m/>
    <d v="2020-02-01T00:29:11"/>
  </r>
  <r>
    <n v="636"/>
    <s v="Устройство противопожарной отсечки в/о 28-30 по оси 7/Б отм +12,450 Блок 2.3"/>
    <n v="3"/>
    <s v="Малозначительное"/>
    <x v="0"/>
    <x v="10"/>
    <s v="birukov@spgr.ru"/>
    <x v="1"/>
    <d v="2019-12-16T00:00:00"/>
    <d v="2019-12-16T00:00:00"/>
    <m/>
    <m/>
    <m/>
    <m/>
    <m/>
    <m/>
    <m/>
    <m/>
    <x v="617"/>
    <d v="2019-12-17T02:45:07"/>
    <d v="2019-12-17T02:45:07"/>
    <m/>
    <d v="2019-12-17T06:52:12"/>
  </r>
  <r>
    <n v="841"/>
    <s v="Гидравлические испытания замков колодца №69А и №71 системы К-1"/>
    <n v="2"/>
    <s v="Значительное"/>
    <x v="0"/>
    <x v="10"/>
    <s v="birukov@spgr.ru"/>
    <x v="1"/>
    <d v="2020-01-03T00:00:00"/>
    <d v="2020-01-03T00:00:00"/>
    <m/>
    <m/>
    <m/>
    <m/>
    <m/>
    <m/>
    <m/>
    <m/>
    <x v="443"/>
    <d v="2020-01-04T05:07:16"/>
    <d v="2020-01-04T05:07:16"/>
    <m/>
    <d v="2020-01-04T05:07:16"/>
  </r>
  <r>
    <n v="1149"/>
    <s v="Монтаж фасадных панелей в/о 12-14 вдоль оси И с отм +0,120 до отм. +4,170 Блок №2"/>
    <n v="2"/>
    <s v="Значительное"/>
    <x v="0"/>
    <x v="10"/>
    <s v="birukov@spgr.ru"/>
    <x v="1"/>
    <d v="2020-02-01T00:00:00"/>
    <d v="2020-02-01T00:00:00"/>
    <m/>
    <m/>
    <m/>
    <m/>
    <m/>
    <m/>
    <m/>
    <m/>
    <x v="618"/>
    <d v="2020-02-01T04:18:01"/>
    <d v="2020-02-01T04:18:01"/>
    <m/>
    <d v="2020-02-01T04:18:01"/>
  </r>
  <r>
    <n v="1150"/>
    <s v="Армирование и монтаж опалубки под оборудование в/о Т-У по оси 1 на отм.-2,500"/>
    <n v="2"/>
    <s v="Значительное"/>
    <x v="0"/>
    <x v="10"/>
    <s v="birukov@spgr.ru"/>
    <x v="1"/>
    <d v="2020-02-01T00:00:00"/>
    <d v="2020-02-01T00:00:00"/>
    <m/>
    <m/>
    <m/>
    <m/>
    <m/>
    <m/>
    <m/>
    <m/>
    <x v="619"/>
    <d v="2020-02-01T04:20:43"/>
    <d v="2020-02-01T04:20:43"/>
    <m/>
    <d v="2020-02-01T04:20:44"/>
  </r>
  <r>
    <n v="1151"/>
    <s v="Проверка натяжения ВПБ Блок №1 отм+66,850 Узел №139;140;141;142;149;150;151;152;153;154"/>
    <n v="3"/>
    <s v="Малозначительное"/>
    <x v="0"/>
    <x v="10"/>
    <s v="birukov@spgr.ru"/>
    <x v="1"/>
    <d v="2020-02-01T00:00:00"/>
    <d v="2020-02-01T00:00:00"/>
    <m/>
    <m/>
    <m/>
    <m/>
    <m/>
    <m/>
    <m/>
    <m/>
    <x v="620"/>
    <d v="2020-02-01T07:21:15"/>
    <d v="2020-02-01T07:21:15"/>
    <m/>
    <d v="2020-02-01T07:21:15"/>
  </r>
  <r>
    <n v="855"/>
    <s v="Монтаж панелей фасада в/о 19/1-20 м/о К-Н с отм +16,770 до отм +20,970"/>
    <n v="2"/>
    <s v="Значительное"/>
    <x v="0"/>
    <x v="10"/>
    <s v="birukov@spgr.ru"/>
    <x v="1"/>
    <d v="2020-01-06T00:00:00"/>
    <d v="2020-01-06T00:00:00"/>
    <m/>
    <m/>
    <m/>
    <m/>
    <m/>
    <m/>
    <m/>
    <m/>
    <x v="621"/>
    <d v="2020-01-06T21:55:19"/>
    <d v="2020-01-06T21:55:19"/>
    <m/>
    <d v="2020-01-06T21:55:19"/>
  </r>
  <r>
    <n v="856"/>
    <s v="Монтаж м/к(пьедесталы под оборудование)L16 Блок №1  F 27.1 ;F 55.1"/>
    <n v="2"/>
    <s v="Значительное"/>
    <x v="0"/>
    <x v="10"/>
    <s v="birukov@spgr.ru"/>
    <x v="1"/>
    <d v="2020-01-06T00:00:00"/>
    <d v="2020-01-06T00:00:00"/>
    <m/>
    <m/>
    <m/>
    <m/>
    <m/>
    <m/>
    <m/>
    <m/>
    <x v="622"/>
    <d v="2020-01-06T23:45:46"/>
    <d v="2020-01-06T23:45:46"/>
    <m/>
    <d v="2020-01-06T23:45:46"/>
  </r>
  <r>
    <n v="858"/>
    <s v="Монтаж фасадных панелей в/о 15/1-16 по оси Т с отм +0,120 до отм +4.170;в/о Т-У в доль оси 3/В с отм +0,120 до отм +4,170"/>
    <n v="2"/>
    <s v="Значительное"/>
    <x v="0"/>
    <x v="10"/>
    <s v="birukov@spgr.ru"/>
    <x v="1"/>
    <d v="2020-01-08T00:00:00"/>
    <d v="2020-01-08T00:00:00"/>
    <m/>
    <m/>
    <m/>
    <m/>
    <m/>
    <m/>
    <m/>
    <m/>
    <x v="623"/>
    <d v="2020-01-08T01:39:55"/>
    <d v="2020-01-08T01:39:55"/>
    <m/>
    <d v="2020-01-08T01:39:56"/>
  </r>
  <r>
    <n v="1165"/>
    <s v="Монтаж фасадных панелей"/>
    <n v="2"/>
    <s v="Значительное"/>
    <x v="0"/>
    <x v="10"/>
    <s v="birukov@spgr.ru"/>
    <x v="1"/>
    <d v="2020-02-03T00:00:00"/>
    <d v="2020-02-03T00:00:00"/>
    <m/>
    <m/>
    <m/>
    <m/>
    <m/>
    <m/>
    <m/>
    <m/>
    <x v="624"/>
    <d v="2020-02-04T08:04:53"/>
    <d v="2020-02-04T08:04:53"/>
    <m/>
    <d v="2020-02-04T08:04:53"/>
  </r>
  <r>
    <n v="1183"/>
    <s v="Проверка натяжения ВПБ Блок №1 отм + №584;587;583;574;573;157;244 (30)"/>
    <n v="2"/>
    <s v="Значительное"/>
    <x v="0"/>
    <x v="10"/>
    <s v="birukov@spgr.ru"/>
    <x v="1"/>
    <d v="2020-02-05T00:00:00"/>
    <d v="2020-02-05T00:00:00"/>
    <m/>
    <m/>
    <m/>
    <m/>
    <m/>
    <m/>
    <m/>
    <m/>
    <x v="625"/>
    <d v="2020-02-05T03:00:08"/>
    <d v="2020-02-05T03:00:08"/>
    <m/>
    <d v="2020-02-05T03:00:08"/>
  </r>
  <r>
    <n v="1184"/>
    <s v="Монтаж панелей фасада в/о Д-К в доль оси 13 Блок 2 отм +8,400"/>
    <n v="2"/>
    <s v="Значительное"/>
    <x v="0"/>
    <x v="10"/>
    <s v="birukov@spgr.ru"/>
    <x v="1"/>
    <d v="2020-02-05T00:00:00"/>
    <d v="2020-02-05T00:00:00"/>
    <m/>
    <m/>
    <m/>
    <m/>
    <m/>
    <m/>
    <m/>
    <m/>
    <x v="625"/>
    <d v="2020-02-07T09:17:01"/>
    <d v="2020-02-07T09:17:01"/>
    <m/>
    <d v="2020-02-07T09:17:02"/>
  </r>
  <r>
    <n v="1181"/>
    <s v="Армирование плиты перекрытия в/о 9/1-10/1 м/о 3-5 отм +8,400 Блок 1 (проем под К-6)"/>
    <n v="3"/>
    <s v="Малозначительное"/>
    <x v="0"/>
    <x v="10"/>
    <s v="birukov@spgr.ru"/>
    <x v="1"/>
    <d v="2020-02-04T00:00:00"/>
    <d v="2020-02-04T00:00:00"/>
    <m/>
    <m/>
    <m/>
    <m/>
    <m/>
    <m/>
    <m/>
    <m/>
    <x v="446"/>
    <d v="2020-02-05T02:57:19"/>
    <d v="2020-02-05T02:57:19"/>
    <m/>
    <d v="2020-02-05T02:57:19"/>
  </r>
  <r>
    <n v="890"/>
    <s v="Устройство керамогранита пола пом.13.L13.1.003"/>
    <n v="3"/>
    <s v="Малозначительное"/>
    <x v="0"/>
    <x v="10"/>
    <s v="birukov@spgr.ru"/>
    <x v="1"/>
    <d v="2020-01-10T00:00:00"/>
    <d v="2020-01-10T00:00:00"/>
    <m/>
    <m/>
    <m/>
    <m/>
    <m/>
    <m/>
    <m/>
    <m/>
    <x v="448"/>
    <d v="2020-01-10T17:13:28"/>
    <d v="2020-01-10T17:13:28"/>
    <m/>
    <d v="2020-01-10T17:13:29"/>
  </r>
  <r>
    <n v="888"/>
    <s v="Устройство перегородок из ГКЛ (каркас+ ГКЛ) пом № 07L3.1 . 060-063;09L3.1.002"/>
    <n v="2"/>
    <s v="Значительное"/>
    <x v="0"/>
    <x v="10"/>
    <s v="birukov@spgr.ru"/>
    <x v="1"/>
    <d v="2020-01-10T00:00:00"/>
    <d v="2020-01-10T00:00:00"/>
    <m/>
    <m/>
    <m/>
    <m/>
    <m/>
    <m/>
    <m/>
    <m/>
    <x v="449"/>
    <d v="2020-01-10T14:04:52"/>
    <d v="2020-01-10T14:04:52"/>
    <m/>
    <d v="2020-01-10T17:12:47"/>
  </r>
  <r>
    <n v="891"/>
    <s v="Устройство оклеенной г/и 07L3.1.089-092.1"/>
    <n v="2"/>
    <s v="Значительное"/>
    <x v="0"/>
    <x v="10"/>
    <s v="birukov@spgr.ru"/>
    <x v="1"/>
    <d v="2020-01-11T00:00:00"/>
    <d v="2020-01-11T00:00:00"/>
    <m/>
    <m/>
    <m/>
    <m/>
    <m/>
    <m/>
    <m/>
    <m/>
    <x v="626"/>
    <d v="2020-01-11T13:06:12"/>
    <d v="2020-01-11T13:06:12"/>
    <m/>
    <d v="2020-01-11T13:06:14"/>
  </r>
  <r>
    <n v="1230"/>
    <s v="Шпатлёвка потолка 07L1.1.021;09L1.1.020;09L1.1.09;13;1411L1.2.040"/>
    <n v="2"/>
    <s v="Значительное"/>
    <x v="0"/>
    <x v="10"/>
    <s v="birukov@spgr.ru"/>
    <x v="1"/>
    <d v="2020-02-07T00:00:00"/>
    <d v="2020-02-07T00:00:00"/>
    <m/>
    <m/>
    <m/>
    <m/>
    <m/>
    <m/>
    <m/>
    <m/>
    <x v="450"/>
    <d v="2020-02-07T18:35:02"/>
    <d v="2020-02-07T18:35:02"/>
    <m/>
    <d v="2020-02-07T18:35:02"/>
  </r>
  <r>
    <n v="1232"/>
    <s v="Штукатурка в/о 14-15 м/о 1/Б-3 отм -0,250"/>
    <n v="2"/>
    <s v="Значительное"/>
    <x v="0"/>
    <x v="10"/>
    <s v="birukov@spgr.ru"/>
    <x v="1"/>
    <d v="2020-02-07T00:00:00"/>
    <d v="2020-02-07T00:00:00"/>
    <m/>
    <m/>
    <m/>
    <m/>
    <m/>
    <m/>
    <m/>
    <m/>
    <x v="450"/>
    <d v="2020-02-07T18:35:09"/>
    <d v="2020-02-07T18:35:09"/>
    <m/>
    <d v="2020-02-07T18:35:09"/>
  </r>
  <r>
    <n v="1231"/>
    <s v="Облицовка пола и стен керамогранита "/>
    <n v="2"/>
    <s v="Значительное"/>
    <x v="0"/>
    <x v="10"/>
    <s v="birukov@spgr.ru"/>
    <x v="1"/>
    <d v="2020-02-07T00:00:00"/>
    <d v="2020-02-07T00:00:00"/>
    <m/>
    <m/>
    <m/>
    <m/>
    <m/>
    <m/>
    <m/>
    <m/>
    <x v="450"/>
    <d v="2020-02-07T18:33:59"/>
    <d v="2020-02-07T18:33:59"/>
    <m/>
    <d v="2020-02-07T18:34:04"/>
  </r>
  <r>
    <n v="1238"/>
    <s v="Устройство горизонтальной г/и (ЭПП) отм +25,200 в/о 1/Б-3 м/о Ф-У "/>
    <n v="2"/>
    <s v="Значительное"/>
    <x v="0"/>
    <x v="10"/>
    <s v="birukov@spgr.ru"/>
    <x v="1"/>
    <d v="2020-02-07T00:00:00"/>
    <d v="2020-02-07T00:00:00"/>
    <m/>
    <m/>
    <m/>
    <m/>
    <m/>
    <m/>
    <m/>
    <m/>
    <x v="627"/>
    <d v="2020-02-07T17:53:43"/>
    <d v="2020-02-07T17:53:43"/>
    <m/>
    <d v="2020-02-07T17:53:43"/>
  </r>
  <r>
    <n v="1251"/>
    <s v="Устройство-во кровли в/о 1/Б-1 м/о Е-К отм +54,850"/>
    <n v="2"/>
    <s v="Значительное"/>
    <x v="0"/>
    <x v="10"/>
    <s v="birukov@spgr.ru"/>
    <x v="1"/>
    <d v="2020-02-08T00:00:00"/>
    <d v="2020-02-08T00:00:00"/>
    <m/>
    <m/>
    <m/>
    <m/>
    <m/>
    <m/>
    <m/>
    <m/>
    <x v="628"/>
    <d v="2020-02-08T17:46:41"/>
    <d v="2020-02-08T17:46:41"/>
    <m/>
    <d v="2020-02-08T17:46:41"/>
  </r>
  <r>
    <n v="1250"/>
    <s v="Устройство пароизоляции кровли в/о 5-7/Б м/о 3/А -Е отм +58,650 Блок №1"/>
    <n v="2"/>
    <s v="Значительное"/>
    <x v="0"/>
    <x v="10"/>
    <s v="birukov@spgr.ru"/>
    <x v="1"/>
    <d v="2020-02-08T00:00:00"/>
    <d v="2020-02-08T00:00:00"/>
    <m/>
    <m/>
    <m/>
    <m/>
    <m/>
    <m/>
    <m/>
    <m/>
    <x v="628"/>
    <d v="2020-02-08T17:47:23"/>
    <d v="2020-02-08T17:47:23"/>
    <m/>
    <d v="2020-02-08T17:47:24"/>
  </r>
  <r>
    <n v="1248"/>
    <s v="Монтаж кронштейнов КПП1"/>
    <n v="2"/>
    <s v="Значительное"/>
    <x v="0"/>
    <x v="10"/>
    <s v="birukov@spgr.ru"/>
    <x v="1"/>
    <d v="2020-02-08T00:00:00"/>
    <d v="2020-02-08T00:00:00"/>
    <m/>
    <m/>
    <m/>
    <m/>
    <m/>
    <m/>
    <m/>
    <m/>
    <x v="629"/>
    <d v="2020-02-08T17:45:54"/>
    <d v="2020-02-08T17:45:54"/>
    <m/>
    <d v="2020-02-08T17:45:55"/>
  </r>
  <r>
    <n v="1247"/>
    <s v="монтаж панелей фасада в/о отм +33,600 Блок 1"/>
    <n v="2"/>
    <s v="Значительное"/>
    <x v="0"/>
    <x v="10"/>
    <s v="birukov@spgr.ru"/>
    <x v="1"/>
    <d v="2020-02-08T00:00:00"/>
    <d v="2020-02-08T00:00:00"/>
    <m/>
    <m/>
    <m/>
    <m/>
    <m/>
    <m/>
    <m/>
    <m/>
    <x v="629"/>
    <d v="2020-02-08T17:45:02"/>
    <d v="2020-02-08T17:45:02"/>
    <m/>
    <d v="2020-02-08T17:45:02"/>
  </r>
  <r>
    <n v="913"/>
    <s v="Устройство вертик г/и в/о 21-23 по оси 1/Б до отм -0,960"/>
    <n v="2"/>
    <s v="Значительное"/>
    <x v="0"/>
    <x v="10"/>
    <s v="birukov@spgr.ru"/>
    <x v="1"/>
    <d v="2020-01-14T00:00:00"/>
    <d v="2020-01-14T00:00:00"/>
    <m/>
    <m/>
    <m/>
    <m/>
    <m/>
    <m/>
    <m/>
    <m/>
    <x v="630"/>
    <d v="2020-01-15T01:03:22"/>
    <d v="2020-01-15T01:03:22"/>
    <m/>
    <d v="2020-01-15T01:03:23"/>
  </r>
  <r>
    <n v="914"/>
    <s v="Армирование фундамент.плиты ФМ 1.1 в/о Ш/2-Э по оси 1/Б отм.-8,550"/>
    <n v="2"/>
    <s v="Значительное"/>
    <x v="0"/>
    <x v="10"/>
    <s v="birukov@spgr.ru"/>
    <x v="1"/>
    <d v="2020-01-14T00:00:00"/>
    <d v="2020-01-15T00:00:00"/>
    <m/>
    <m/>
    <m/>
    <m/>
    <m/>
    <m/>
    <m/>
    <m/>
    <x v="631"/>
    <d v="2020-01-15T02:34:26"/>
    <d v="2020-01-15T02:34:26"/>
    <m/>
    <d v="2020-01-15T02:34:31"/>
  </r>
  <r>
    <n v="926"/>
    <s v="Монтаж опалубки и бетонирование стен в/о Л-Р по оси 1 КРМ-8 отм-4,350;"/>
    <n v="2"/>
    <s v="Значительное"/>
    <x v="0"/>
    <x v="10"/>
    <s v="birukov@spgr.ru"/>
    <x v="1"/>
    <d v="2020-01-16T00:00:00"/>
    <d v="2020-01-16T00:00:00"/>
    <m/>
    <m/>
    <m/>
    <m/>
    <m/>
    <m/>
    <m/>
    <m/>
    <x v="632"/>
    <d v="2020-01-16T06:16:09"/>
    <d v="2020-01-16T06:16:09"/>
    <m/>
    <d v="2020-01-16T06:16:10"/>
  </r>
  <r>
    <n v="944"/>
    <s v="Монтаж пола МЭР 13L4.1.012"/>
    <n v="2"/>
    <s v="Значительное"/>
    <x v="0"/>
    <x v="10"/>
    <s v="birukov@spgr.ru"/>
    <x v="1"/>
    <d v="2020-01-18T00:00:00"/>
    <d v="2020-01-18T00:00:00"/>
    <m/>
    <m/>
    <m/>
    <m/>
    <m/>
    <m/>
    <m/>
    <m/>
    <x v="453"/>
    <d v="2020-01-18T11:04:11"/>
    <d v="2020-01-18T11:04:11"/>
    <m/>
    <d v="2020-01-18T12:26:55"/>
  </r>
  <r>
    <n v="943"/>
    <s v="Гидроизоляция кровли (2 слой +примыкания) в/о 10/Б-18 м/о Л-К отм +25,200 Блок 2"/>
    <n v="2"/>
    <s v="Значительное"/>
    <x v="0"/>
    <x v="10"/>
    <s v="birukov@spgr.ru"/>
    <x v="1"/>
    <d v="2020-01-18T00:00:00"/>
    <d v="2020-01-18T00:00:00"/>
    <m/>
    <m/>
    <m/>
    <m/>
    <m/>
    <m/>
    <m/>
    <m/>
    <x v="453"/>
    <d v="2020-01-18T11:05:03"/>
    <d v="2020-01-18T11:05:03"/>
    <m/>
    <d v="2020-01-18T12:26:54"/>
  </r>
  <r>
    <n v="947"/>
    <s v="Монтаж кронштейнов в/о И-Д по оси 19 L8 Б1 (8 шт)"/>
    <n v="2"/>
    <s v="Значительное"/>
    <x v="0"/>
    <x v="10"/>
    <s v="birukov@spgr.ru"/>
    <x v="1"/>
    <d v="2020-01-18T00:00:00"/>
    <d v="2020-01-18T00:00:00"/>
    <m/>
    <m/>
    <m/>
    <m/>
    <m/>
    <m/>
    <m/>
    <m/>
    <x v="454"/>
    <d v="2020-01-18T12:28:40"/>
    <d v="2020-01-18T12:28:40"/>
    <m/>
    <d v="2020-01-18T12:28:40"/>
  </r>
  <r>
    <n v="952"/>
    <s v="Устройство вент. фасадов(монтаж аквапанелей) в/о 31-34 по оси 5 L5 Блок №3"/>
    <n v="1"/>
    <s v="КРИТИЧЕСКОЕ"/>
    <x v="0"/>
    <x v="10"/>
    <s v="birukov@spgr.ru"/>
    <x v="1"/>
    <d v="2020-01-19T00:00:00"/>
    <d v="2020-01-20T00:00:00"/>
    <m/>
    <m/>
    <m/>
    <m/>
    <m/>
    <m/>
    <m/>
    <m/>
    <x v="436"/>
    <d v="2020-01-19T16:27:29"/>
    <d v="2020-01-19T16:27:29"/>
    <m/>
    <d v="2020-01-19T16:27:29"/>
  </r>
  <r>
    <n v="954"/>
    <s v="Заполнение минватой межэтажные противопожарной отсечки L2 в/о 8/1-8/3 по оси 1/Б "/>
    <n v="2"/>
    <s v="Значительное"/>
    <x v="0"/>
    <x v="10"/>
    <s v="birukov@spgr.ru"/>
    <x v="1"/>
    <d v="2020-01-19T00:00:00"/>
    <d v="2020-01-19T00:00:00"/>
    <m/>
    <m/>
    <m/>
    <m/>
    <m/>
    <m/>
    <m/>
    <m/>
    <x v="455"/>
    <d v="2020-01-19T16:25:45"/>
    <d v="2020-01-19T16:25:45"/>
    <m/>
    <d v="2020-01-19T16:25:52"/>
  </r>
  <r>
    <n v="1006"/>
    <s v="шпатлёвка потолков L2.07.2Е1;7;11L2.2.040;13L4.1.002."/>
    <n v="2"/>
    <s v="Значительное"/>
    <x v="0"/>
    <x v="10"/>
    <s v="birukov@spgr.ru"/>
    <x v="1"/>
    <d v="2020-01-22T00:00:00"/>
    <d v="2020-01-22T00:00:00"/>
    <m/>
    <m/>
    <m/>
    <m/>
    <m/>
    <m/>
    <m/>
    <m/>
    <x v="633"/>
    <d v="2020-01-22T18:58:44"/>
    <d v="2020-01-22T18:58:44"/>
    <m/>
    <d v="2020-01-22T18:58:44"/>
  </r>
  <r>
    <n v="1010"/>
    <s v="Устройство плитки пола 13L4.2.09"/>
    <n v="2"/>
    <s v="Значительное"/>
    <x v="0"/>
    <x v="10"/>
    <s v="birukov@spgr.ru"/>
    <x v="1"/>
    <d v="2020-01-22T00:00:00"/>
    <d v="2020-01-22T00:00:00"/>
    <m/>
    <m/>
    <m/>
    <m/>
    <m/>
    <m/>
    <m/>
    <m/>
    <x v="634"/>
    <d v="2020-01-22T19:01:20"/>
    <d v="2020-01-22T19:01:20"/>
    <m/>
    <d v="2020-01-22T19:01:20"/>
  </r>
  <r>
    <n v="1011"/>
    <s v="Устройство полов из арт-винила 13L2.3.015;13L6.1.006"/>
    <n v="2"/>
    <s v="Значительное"/>
    <x v="0"/>
    <x v="10"/>
    <s v="birukov@spgr.ru"/>
    <x v="1"/>
    <d v="2020-01-22T00:00:00"/>
    <d v="2020-01-22T00:00:00"/>
    <m/>
    <m/>
    <m/>
    <m/>
    <m/>
    <m/>
    <m/>
    <m/>
    <x v="634"/>
    <d v="2020-01-22T19:00:36"/>
    <d v="2020-01-22T19:00:36"/>
    <m/>
    <d v="2020-01-22T19:00:37"/>
  </r>
  <r>
    <n v="1009"/>
    <s v="Устройство перегородок из ГСП пом 14L1.1021;09L1.1003;004;005"/>
    <n v="2"/>
    <s v="Значительное"/>
    <x v="0"/>
    <x v="10"/>
    <s v="birukov@spgr.ru"/>
    <x v="1"/>
    <d v="2020-01-22T00:00:00"/>
    <d v="2020-01-22T00:00:00"/>
    <m/>
    <m/>
    <m/>
    <m/>
    <m/>
    <m/>
    <m/>
    <m/>
    <x v="633"/>
    <d v="2020-01-22T19:02:06"/>
    <d v="2020-01-22T19:02:06"/>
    <m/>
    <d v="2020-01-22T19:02:06"/>
  </r>
  <r>
    <n v="1012"/>
    <s v="Устройство пола МЭР пом.13L4.1.011"/>
    <n v="2"/>
    <s v="Значительное"/>
    <x v="0"/>
    <x v="10"/>
    <s v="birukov@spgr.ru"/>
    <x v="1"/>
    <d v="2020-01-22T00:00:00"/>
    <d v="2020-01-22T00:00:00"/>
    <m/>
    <m/>
    <m/>
    <m/>
    <m/>
    <m/>
    <m/>
    <m/>
    <x v="634"/>
    <d v="2020-01-22T18:59:29"/>
    <d v="2020-01-22T18:59:29"/>
    <m/>
    <d v="2020-01-22T18:59:29"/>
  </r>
  <r>
    <n v="1007"/>
    <s v="Устройство г/и кровли в/о 10Б-18 м/о Н-Л Блок 2 отм +21,000"/>
    <n v="2"/>
    <s v="Значительное"/>
    <x v="0"/>
    <x v="10"/>
    <s v="birukov@spgr.ru"/>
    <x v="1"/>
    <d v="2020-01-22T00:00:00"/>
    <d v="2020-01-22T00:00:00"/>
    <m/>
    <m/>
    <m/>
    <m/>
    <m/>
    <m/>
    <m/>
    <m/>
    <x v="633"/>
    <d v="2020-01-22T19:03:04"/>
    <d v="2020-01-22T19:03:04"/>
    <m/>
    <d v="2020-01-22T19:03:04"/>
  </r>
  <r>
    <n v="1026"/>
    <s v="Устройство огнезащиты (Монокот) в/о Б-Д м/о 1-2 отм +62;850 Блок №1"/>
    <n v="2"/>
    <s v="Значительное"/>
    <x v="0"/>
    <x v="10"/>
    <s v="birukov@spgr.ru"/>
    <x v="1"/>
    <d v="2020-01-23T00:00:00"/>
    <d v="2020-01-23T00:00:00"/>
    <m/>
    <m/>
    <m/>
    <m/>
    <m/>
    <m/>
    <m/>
    <m/>
    <x v="456"/>
    <d v="2020-01-23T18:36:27"/>
    <d v="2020-01-23T18:36:27"/>
    <m/>
    <d v="2020-01-23T18:36:28"/>
  </r>
  <r>
    <n v="1025"/>
    <s v="Монтаж ГКЛ потолка 09.L2.2.003"/>
    <n v="2"/>
    <s v="Значительное"/>
    <x v="0"/>
    <x v="10"/>
    <s v="birukov@spgr.ru"/>
    <x v="1"/>
    <d v="2020-01-23T00:00:00"/>
    <d v="2020-01-23T00:00:00"/>
    <m/>
    <m/>
    <m/>
    <m/>
    <m/>
    <m/>
    <m/>
    <m/>
    <x v="456"/>
    <d v="2020-01-23T18:34:02"/>
    <d v="2020-01-23T18:34:02"/>
    <m/>
    <d v="2020-01-23T18:34:03"/>
  </r>
  <r>
    <n v="1022"/>
    <s v="Устройство полов из керамогранита 13L2.1.009;11L2.2.036"/>
    <n v="2"/>
    <s v="Значительное"/>
    <x v="0"/>
    <x v="10"/>
    <s v="birukov@spgr.ru"/>
    <x v="1"/>
    <d v="2020-01-23T00:00:00"/>
    <d v="2020-01-23T00:00:00"/>
    <m/>
    <m/>
    <m/>
    <m/>
    <m/>
    <m/>
    <m/>
    <m/>
    <x v="456"/>
    <d v="2020-01-23T18:35:23"/>
    <d v="2020-01-23T18:35:23"/>
    <m/>
    <d v="2020-01-23T18:35:23"/>
  </r>
  <r>
    <n v="1054"/>
    <s v="Затяжка высокопрочных болтов Блок 1 отм.+62.650 ( Узлы  23,143,145,117,118,96) отм. +58,450 Узлы 139,167"/>
    <n v="2"/>
    <s v="Значительное"/>
    <x v="0"/>
    <x v="10"/>
    <s v="fedorov@spgr.ru"/>
    <x v="1"/>
    <d v="2020-01-25T00:00:00"/>
    <d v="2020-01-25T00:00:00"/>
    <m/>
    <m/>
    <m/>
    <m/>
    <m/>
    <m/>
    <m/>
    <m/>
    <x v="635"/>
    <d v="2020-01-25T07:24:01"/>
    <d v="2020-01-25T07:24:01"/>
    <m/>
    <d v="2020-01-25T07:26:59"/>
  </r>
  <r>
    <n v="1055"/>
    <s v="Монтаж опалубки ПС-10 вдоль оси 1"/>
    <n v="2"/>
    <s v="Значительное"/>
    <x v="0"/>
    <x v="10"/>
    <s v="fedorov@spgr.ru"/>
    <x v="1"/>
    <d v="2020-01-25T00:00:00"/>
    <d v="2020-01-25T00:00:00"/>
    <m/>
    <m/>
    <m/>
    <m/>
    <m/>
    <m/>
    <m/>
    <m/>
    <x v="636"/>
    <d v="2020-01-25T07:29:12"/>
    <d v="2020-01-25T07:29:12"/>
    <m/>
    <d v="2020-01-25T07:30:05"/>
  </r>
  <r>
    <n v="1056"/>
    <s v="Монтаж фасадных панелей Блок Б2 в\о К-Р вдоль оси 10 с отм.+12,570 до отм. +17,709"/>
    <n v="2"/>
    <s v="Значительное"/>
    <x v="0"/>
    <x v="10"/>
    <s v="fedorov@spgr.ru"/>
    <x v="1"/>
    <d v="2020-01-25T00:00:00"/>
    <d v="2020-01-25T00:00:00"/>
    <m/>
    <m/>
    <m/>
    <m/>
    <m/>
    <m/>
    <m/>
    <m/>
    <x v="637"/>
    <d v="2020-01-25T07:30:13"/>
    <d v="2020-01-25T07:30:13"/>
    <m/>
    <d v="2020-01-25T07:32:17"/>
  </r>
  <r>
    <n v="386"/>
    <s v="Монтаж прогонов  Блок 1 Кровля  Узлы №22,37,24,38,25,39,59,80"/>
    <n v="2"/>
    <s v="Значительное"/>
    <x v="0"/>
    <x v="10"/>
    <s v="fedorov@spgr.ru"/>
    <x v="1"/>
    <d v="2019-11-21T00:00:00"/>
    <d v="2019-11-21T00:00:00"/>
    <m/>
    <m/>
    <m/>
    <m/>
    <m/>
    <n v="0"/>
    <m/>
    <m/>
    <x v="638"/>
    <d v="2019-11-21T18:10:05"/>
    <d v="2019-11-21T18:10:05"/>
    <m/>
    <d v="2019-11-21T18:18:00"/>
  </r>
  <r>
    <n v="404"/>
    <s v="Монтаж прогонов (затяжка болтовых соединений) в\о У-Э\5/1-8/1 отм. +18,078"/>
    <n v="2"/>
    <s v="Значительное"/>
    <x v="0"/>
    <x v="10"/>
    <s v="fedorov@spgr.ru"/>
    <x v="1"/>
    <d v="2019-11-22T00:00:00"/>
    <d v="2019-11-22T00:00:00"/>
    <s v="РК-РД-2-АР01-17-01"/>
    <n v="19.05"/>
    <n v="29.35"/>
    <m/>
    <m/>
    <m/>
    <s v="АР общие планы"/>
    <s v="Ссылка на план"/>
    <x v="639"/>
    <d v="2019-11-02T06:41:30"/>
    <d v="2019-12-12T21:43:17"/>
    <m/>
    <d v="2019-12-12T21:43:18"/>
  </r>
  <r>
    <n v="899"/>
    <s v="Устройство противопожарной отсечки (верхний оцинкованный лист) Блок B1 уровень  L4 в\о 18-21 вдоль оси 10"/>
    <n v="2"/>
    <s v="Значительное"/>
    <x v="0"/>
    <x v="10"/>
    <s v="fedorov@spgr.ru"/>
    <x v="1"/>
    <d v="2020-01-12T00:00:00"/>
    <d v="2020-01-12T00:00:00"/>
    <m/>
    <m/>
    <m/>
    <m/>
    <m/>
    <m/>
    <m/>
    <m/>
    <x v="640"/>
    <d v="2020-01-12T03:01:02"/>
    <d v="2020-01-12T03:01:02"/>
    <m/>
    <d v="2020-01-12T03:02:00"/>
  </r>
  <r>
    <n v="403"/>
    <s v="Затяжка ВПБ Блок 2.2 Кровля Узлы 291,291/1,446,598,599,287,191,283,607,607,147. Затяжка шпилек Блок 2.1 отм. +4,100м. Узлы 20-23"/>
    <n v="2"/>
    <s v="Значительное"/>
    <x v="0"/>
    <x v="10"/>
    <s v="fedorov@spgr.ru"/>
    <x v="1"/>
    <d v="2019-11-22T00:00:00"/>
    <d v="2019-11-22T00:00:00"/>
    <s v="РК-РД-2-АР01-18-01"/>
    <n v="35.950000000000003"/>
    <n v="62.92"/>
    <m/>
    <m/>
    <m/>
    <s v="АР общие планы"/>
    <s v="Ссылка на план"/>
    <x v="641"/>
    <d v="2019-11-02T06:41:30"/>
    <d v="2019-12-12T21:43:17"/>
    <m/>
    <d v="2019-12-12T21:43:18"/>
  </r>
  <r>
    <n v="1061"/>
    <s v="Затяжка болтов безконтрольного натяжения Блок 1 Узлы 141,142 отм. +62,450м."/>
    <n v="2"/>
    <s v="Значительное"/>
    <x v="0"/>
    <x v="10"/>
    <s v="fedorov@spgr.ru"/>
    <x v="1"/>
    <d v="2020-01-25T00:00:00"/>
    <d v="2020-01-25T00:00:00"/>
    <m/>
    <m/>
    <m/>
    <m/>
    <m/>
    <m/>
    <m/>
    <m/>
    <x v="642"/>
    <d v="2020-01-26T05:55:43"/>
    <d v="2020-01-26T05:55:43"/>
    <m/>
    <d v="2020-01-26T05:55:53"/>
  </r>
  <r>
    <n v="1062"/>
    <s v="Армировние и монтаж опалубки перекрытия в\о3-5/9/1-10/1 отм. -4,350м. Блок 2"/>
    <n v="2"/>
    <s v="Значительное"/>
    <x v="0"/>
    <x v="10"/>
    <s v="fedorov@spgr.ru"/>
    <x v="1"/>
    <d v="2020-01-26T00:00:00"/>
    <d v="2020-01-26T00:00:00"/>
    <m/>
    <m/>
    <m/>
    <m/>
    <m/>
    <m/>
    <m/>
    <m/>
    <x v="643"/>
    <d v="2020-01-26T05:56:46"/>
    <d v="2020-01-26T05:56:46"/>
    <m/>
    <d v="2020-01-26T05:56:52"/>
  </r>
  <r>
    <n v="683"/>
    <s v="Затяжка высокопрочных болтов Блок 2.1 Узлы 118,115,93,178,193"/>
    <n v="2"/>
    <s v="Значительное"/>
    <x v="0"/>
    <x v="10"/>
    <s v="fedorov@spgr.ru"/>
    <x v="1"/>
    <d v="2019-12-19T00:00:00"/>
    <d v="2019-12-19T00:00:00"/>
    <m/>
    <m/>
    <m/>
    <m/>
    <m/>
    <m/>
    <m/>
    <m/>
    <x v="644"/>
    <d v="2019-12-19T18:08:42"/>
    <d v="2019-12-19T18:08:42"/>
    <m/>
    <d v="2019-12-19T18:08:51"/>
  </r>
  <r>
    <n v="434"/>
    <s v="Затяжка высокопрочных болтов Блок 1 Кровля Узел 519, Блок 2.2 Кровля Узлы 210-216,9,10,11"/>
    <n v="2"/>
    <s v="Значительное"/>
    <x v="0"/>
    <x v="10"/>
    <s v="fedorov@spgr.ru"/>
    <x v="1"/>
    <d v="2019-11-26T00:00:00"/>
    <d v="2019-11-26T00:00:00"/>
    <m/>
    <m/>
    <m/>
    <m/>
    <m/>
    <m/>
    <m/>
    <m/>
    <x v="645"/>
    <d v="2019-11-02T06:41:30"/>
    <d v="2019-12-12T21:43:17"/>
    <m/>
    <d v="2019-12-12T21:43:18"/>
  </r>
  <r>
    <n v="450"/>
    <s v="Монтаж панелей фасада в\о И-Н\15\1, Е-Л\19\1 отм. +12,600 Блок 2"/>
    <n v="2"/>
    <s v="Значительное"/>
    <x v="0"/>
    <x v="10"/>
    <s v="fedorov@spgr.ru"/>
    <x v="1"/>
    <d v="2019-11-27T00:00:00"/>
    <d v="2019-11-27T00:00:00"/>
    <m/>
    <m/>
    <m/>
    <m/>
    <m/>
    <m/>
    <m/>
    <m/>
    <x v="646"/>
    <d v="2019-11-02T06:41:30"/>
    <d v="2019-12-12T21:43:17"/>
    <m/>
    <d v="2019-12-12T21:43:19"/>
  </r>
  <r>
    <n v="485"/>
    <s v="Окраска и герметизация соединений на высокопрочных болтах Блок 2.2 Кровля в\о Д-И\15-19 отм. +41,650м. и в\о  Е-К\15-15/1 отм. +29,050."/>
    <n v="2"/>
    <s v="Значительное"/>
    <x v="0"/>
    <x v="10"/>
    <s v="fedorov@spgr.ru"/>
    <x v="1"/>
    <d v="2019-11-29T00:00:00"/>
    <d v="2019-11-29T00:00:00"/>
    <m/>
    <m/>
    <m/>
    <m/>
    <m/>
    <m/>
    <m/>
    <m/>
    <x v="647"/>
    <d v="2019-11-02T06:41:30"/>
    <d v="2019-12-12T21:43:17"/>
    <m/>
    <d v="2019-12-12T21:43:19"/>
  </r>
  <r>
    <n v="492"/>
    <s v="Монтаж панелей фасадной системы в\о 3-5\22-25 отм. +12,570м. Блок 3 (Тип 11)"/>
    <n v="2"/>
    <s v="Значительное"/>
    <x v="0"/>
    <x v="10"/>
    <s v="fedorov@spgr.ru"/>
    <x v="1"/>
    <d v="2019-11-30T00:00:00"/>
    <d v="2019-11-30T00:00:00"/>
    <m/>
    <m/>
    <m/>
    <m/>
    <m/>
    <m/>
    <m/>
    <m/>
    <x v="648"/>
    <d v="2019-11-02T06:41:30"/>
    <d v="2019-12-12T21:43:17"/>
    <m/>
    <d v="2019-12-12T21:43:19"/>
  </r>
  <r>
    <n v="765"/>
    <s v="Затяжка высокопрочных болтов Блок 2.1 отм. +15,241м. Узлы 168-170,159,160,195,196"/>
    <n v="2"/>
    <s v="Значительное"/>
    <x v="0"/>
    <x v="10"/>
    <s v="fedorov@spgr.ru"/>
    <x v="1"/>
    <d v="2019-12-24T00:00:00"/>
    <d v="2019-12-24T00:00:00"/>
    <m/>
    <m/>
    <m/>
    <m/>
    <m/>
    <m/>
    <m/>
    <m/>
    <x v="649"/>
    <d v="2019-12-24T17:16:34"/>
    <d v="2019-12-24T17:16:34"/>
    <m/>
    <d v="2019-12-24T17:16:41"/>
  </r>
  <r>
    <n v="767"/>
    <s v="Окраска и герметизация болтовых соединений на кровле Блок 1 в\о узлы 500-545"/>
    <n v="2"/>
    <s v="Значительное"/>
    <x v="0"/>
    <x v="10"/>
    <s v="fedorov@spgr.ru"/>
    <x v="1"/>
    <d v="2019-12-24T00:00:00"/>
    <d v="2019-12-24T00:00:00"/>
    <m/>
    <m/>
    <m/>
    <m/>
    <m/>
    <m/>
    <m/>
    <m/>
    <x v="650"/>
    <d v="2019-12-24T17:19:39"/>
    <d v="2019-12-24T17:19:39"/>
    <m/>
    <d v="2019-12-24T17:20:20"/>
  </r>
  <r>
    <n v="769"/>
    <s v="Решетчатый настил типа 16 в\о 21/2-31/10Б-11Б"/>
    <n v="2"/>
    <s v="Значительное"/>
    <x v="0"/>
    <x v="10"/>
    <s v="fedorov@spgr.ru"/>
    <x v="1"/>
    <d v="2019-12-24T00:00:00"/>
    <d v="2019-12-24T00:00:00"/>
    <s v="РК-РД-2-АР09-06_комм"/>
    <n v="49.85"/>
    <n v="42.47"/>
    <m/>
    <m/>
    <m/>
    <s v="Решетчатый настил"/>
    <s v="Ссылка на план"/>
    <x v="651"/>
    <d v="2019-12-24T18:51:10"/>
    <d v="2019-12-24T18:51:10"/>
    <m/>
    <d v="2019-12-24T18:51:49"/>
  </r>
  <r>
    <n v="1078"/>
    <s v="Виниловое покрытие пола пом. 13.L1.3.020 Укладка плитки пол + стены пом. 09.L1.2.004 Пароизоляция Биполь ( кровля) L8"/>
    <n v="2"/>
    <s v="Значительное"/>
    <x v="0"/>
    <x v="10"/>
    <s v="fedorov@spgr.ru"/>
    <x v="1"/>
    <d v="2020-01-28T00:00:00"/>
    <d v="2020-01-28T00:00:00"/>
    <m/>
    <m/>
    <m/>
    <m/>
    <m/>
    <m/>
    <m/>
    <m/>
    <x v="652"/>
    <d v="2020-01-28T19:16:28"/>
    <d v="2020-01-28T19:16:28"/>
    <m/>
    <d v="2020-01-28T19:18:50"/>
  </r>
  <r>
    <n v="525"/>
    <s v="Окраска и герметизация соединений на ВПБ в\о Г-Д\10-13 Узлы 5,10,13,15"/>
    <n v="2"/>
    <s v="Значительное"/>
    <x v="0"/>
    <x v="10"/>
    <s v="fedorov@spgr.ru"/>
    <x v="1"/>
    <d v="2019-12-04T00:00:00"/>
    <d v="2019-12-04T00:00:00"/>
    <m/>
    <m/>
    <m/>
    <m/>
    <m/>
    <m/>
    <m/>
    <m/>
    <x v="653"/>
    <d v="2019-11-02T06:41:30"/>
    <d v="2019-12-12T21:43:17"/>
    <m/>
    <d v="2019-12-12T21:43:19"/>
  </r>
  <r>
    <n v="822"/>
    <s v="Монтаж кронштейнов Блок С отм. +12.600м. в\о 13-14/П-С, Л-Р вдоль оси 13"/>
    <n v="2"/>
    <s v="Значительное"/>
    <x v="0"/>
    <x v="10"/>
    <s v="fedorov@spgr.ru"/>
    <x v="1"/>
    <d v="2019-12-28T00:00:00"/>
    <d v="2019-12-28T00:00:00"/>
    <m/>
    <m/>
    <m/>
    <m/>
    <m/>
    <m/>
    <m/>
    <m/>
    <x v="654"/>
    <d v="2019-12-28T23:29:13"/>
    <d v="2019-12-28T23:29:13"/>
    <m/>
    <d v="2019-12-29T00:10:50"/>
  </r>
  <r>
    <n v="103"/>
    <s v="Затяжка ВПБ. Блок 3.1 Узлы 375. Блок 2.2 Узлы 171,159,177,178,157,158,52,13,433,434 Блок 2.2 77,82,50 - Кровля"/>
    <n v="2"/>
    <s v="Значительное"/>
    <x v="0"/>
    <x v="10"/>
    <s v="fedorov@spgr.ru"/>
    <x v="1"/>
    <d v="2019-11-02T00:00:00"/>
    <d v="2019-11-02T00:00:00"/>
    <m/>
    <m/>
    <m/>
    <m/>
    <m/>
    <m/>
    <m/>
    <m/>
    <x v="655"/>
    <d v="2019-11-02T06:41:30"/>
    <d v="2019-12-12T21:43:17"/>
    <m/>
    <d v="2019-12-12T21:43:18"/>
  </r>
  <r>
    <n v="101"/>
    <s v="Затяжка ВПБ. Блок 1. Кровля. Узлы № 21,271,-274,277-280,443,505,509"/>
    <n v="2"/>
    <s v="Значительное"/>
    <x v="0"/>
    <x v="10"/>
    <s v="fedorov@spgr.ru"/>
    <x v="1"/>
    <d v="2019-11-02T00:00:00"/>
    <d v="2019-11-02T00:00:00"/>
    <m/>
    <m/>
    <m/>
    <m/>
    <m/>
    <n v="0"/>
    <m/>
    <m/>
    <x v="656"/>
    <d v="2019-11-02T06:33:28"/>
    <d v="2019-12-12T18:01:02"/>
    <m/>
    <d v="2019-12-12T18:01:03"/>
  </r>
  <r>
    <n v="814"/>
    <s v="Устройство противопожарных отсечек (утеплитель + оцинкованный лист) в\о К-Л, Р- Т, Ш-Ш\5 вдоль оси 1 Блок 1 этаж  L 2 и в\о Т-И\7 этаж L9 Блок 1"/>
    <n v="2"/>
    <s v="Значительное"/>
    <x v="0"/>
    <x v="10"/>
    <s v="fedorov@spgr.ru"/>
    <x v="1"/>
    <d v="2019-12-28T00:00:00"/>
    <d v="2019-12-28T00:00:00"/>
    <m/>
    <m/>
    <m/>
    <m/>
    <m/>
    <m/>
    <m/>
    <m/>
    <x v="657"/>
    <d v="2019-12-28T04:40:50"/>
    <d v="2019-12-28T04:40:50"/>
    <m/>
    <d v="2019-12-28T04:42:25"/>
  </r>
  <r>
    <n v="112"/>
    <s v="Затяжка ВПБ Блок 3.1 Кровля Узлы 5,6,7,8,17,18,27-30,31-34,180-186 Блок 2.2 Кровля Узлы 160,172,169,170,167,168,74,179,178,1"/>
    <n v="1"/>
    <s v="КРИТИЧЕСКОЕ"/>
    <x v="0"/>
    <x v="10"/>
    <s v="fedorov@spgr.ru"/>
    <x v="1"/>
    <d v="2019-11-02T00:00:00"/>
    <d v="2019-11-02T00:00:00"/>
    <m/>
    <m/>
    <m/>
    <m/>
    <m/>
    <m/>
    <m/>
    <m/>
    <x v="658"/>
    <d v="2019-11-02T06:41:30"/>
    <d v="2019-12-12T21:43:17"/>
    <m/>
    <d v="2019-12-12T21:43:18"/>
  </r>
  <r>
    <n v="113"/>
    <s v="Затяжка ВПБ Блок 1 Кровля L18 Узлы №478,481,488,176,178"/>
    <n v="1"/>
    <s v="КРИТИЧЕСКОЕ"/>
    <x v="0"/>
    <x v="10"/>
    <s v="fedorov@spgr.ru"/>
    <x v="1"/>
    <d v="2019-11-02T00:00:00"/>
    <d v="2019-11-02T00:00:00"/>
    <m/>
    <m/>
    <m/>
    <m/>
    <m/>
    <n v="0"/>
    <m/>
    <m/>
    <x v="659"/>
    <d v="2019-11-24T18:56:17"/>
    <d v="2019-11-24T18:56:17"/>
    <m/>
    <d v="2019-11-24T18:56:17"/>
  </r>
  <r>
    <n v="538"/>
    <s v="Затяжка ВПБ Блок 1 Кровля узлы 39,417"/>
    <n v="2"/>
    <s v="Значительное"/>
    <x v="0"/>
    <x v="10"/>
    <s v="fedorov@spgr.ru"/>
    <x v="1"/>
    <d v="2019-12-05T00:00:00"/>
    <d v="2019-12-05T00:00:00"/>
    <m/>
    <m/>
    <m/>
    <m/>
    <m/>
    <m/>
    <m/>
    <m/>
    <x v="660"/>
    <d v="2019-11-02T06:41:30"/>
    <d v="2019-12-12T21:43:17"/>
    <m/>
    <d v="2019-12-12T21:43:19"/>
  </r>
  <r>
    <n v="539"/>
    <s v="Монтаж опалубки и армирование парапета в\о А-Б\15/1-20 отм.  -0.500м."/>
    <n v="2"/>
    <s v="Значительное"/>
    <x v="0"/>
    <x v="10"/>
    <s v="fedorov@spgr.ru"/>
    <x v="1"/>
    <d v="2019-12-05T00:00:00"/>
    <d v="2019-12-05T00:00:00"/>
    <m/>
    <m/>
    <m/>
    <m/>
    <m/>
    <m/>
    <m/>
    <m/>
    <x v="661"/>
    <d v="2019-11-02T06:41:30"/>
    <d v="2019-12-12T21:43:17"/>
    <m/>
    <d v="2019-12-12T21:43:19"/>
  </r>
  <r>
    <n v="823"/>
    <s v="Монтаж панелей фасадной системы 33\1-34\1 вдоль оси 7\Б Блок 3 отм. +12.600м. в\о 20\1-20 вдоль оси 10Б отм. +8,370м."/>
    <n v="2"/>
    <s v="Значительное"/>
    <x v="0"/>
    <x v="10"/>
    <s v="fedorov@spgr.ru"/>
    <x v="1"/>
    <d v="2019-12-29T00:00:00"/>
    <d v="2019-12-29T00:00:00"/>
    <m/>
    <m/>
    <m/>
    <m/>
    <m/>
    <m/>
    <m/>
    <m/>
    <x v="662"/>
    <d v="2019-12-29T02:43:26"/>
    <d v="2019-12-29T02:43:26"/>
    <m/>
    <d v="2019-12-29T02:43:33"/>
  </r>
  <r>
    <n v="150"/>
    <s v="Окраска болтовых соединений Блок 3.1 Узлы 177,280,9,10,11,14,18,27-34,372,375"/>
    <n v="2"/>
    <s v="Значительное"/>
    <x v="0"/>
    <x v="10"/>
    <s v="fedorov@spgr.ru"/>
    <x v="1"/>
    <d v="2019-11-06T00:00:00"/>
    <d v="2019-11-06T00:00:00"/>
    <m/>
    <m/>
    <m/>
    <m/>
    <n v="0"/>
    <m/>
    <m/>
    <m/>
    <x v="663"/>
    <d v="2019-11-06T00:53:42"/>
    <d v="2019-11-06T00:53:42"/>
    <m/>
    <d v="2019-11-06T00:55:00"/>
  </r>
  <r>
    <n v="561"/>
    <s v="Затяжка болтовых соединений Блок 1 Кровля Узлы № 538,540,230,231,196,197"/>
    <n v="2"/>
    <s v="Значительное"/>
    <x v="0"/>
    <x v="10"/>
    <s v="fedorov@spgr.ru"/>
    <x v="1"/>
    <d v="2019-12-08T00:00:00"/>
    <d v="2019-12-08T00:00:00"/>
    <m/>
    <m/>
    <m/>
    <m/>
    <n v="0"/>
    <n v="0"/>
    <m/>
    <m/>
    <x v="664"/>
    <d v="2019-12-08T03:18:04"/>
    <d v="2019-12-08T03:18:04"/>
    <m/>
    <d v="2019-12-08T03:19:01"/>
  </r>
  <r>
    <n v="174"/>
    <s v="Затяжка ВПБ Кровля Блок 2.2 Узлы №37,49,53,62,41,432,591,604 Блок 1 Кровля Узлы 318,324,468,483,493,494,497,512"/>
    <n v="2"/>
    <s v="Значительное"/>
    <x v="0"/>
    <x v="10"/>
    <s v="fedorov@spgr.ru"/>
    <x v="1"/>
    <d v="2019-11-07T00:00:00"/>
    <d v="2019-11-07T00:00:00"/>
    <m/>
    <m/>
    <m/>
    <m/>
    <m/>
    <m/>
    <m/>
    <m/>
    <x v="665"/>
    <d v="2019-11-07T03:50:51"/>
    <d v="2019-11-07T03:50:51"/>
    <m/>
    <d v="2019-11-07T03:50:54"/>
  </r>
  <r>
    <n v="175"/>
    <s v="Армирование плиты перекрытия в\о А-В\1-5 отм. +62,850м."/>
    <n v="2"/>
    <s v="Значительное"/>
    <x v="0"/>
    <x v="10"/>
    <s v="fedorov@spgr.ru"/>
    <x v="1"/>
    <d v="2019-11-07T00:00:00"/>
    <d v="2019-11-07T00:00:00"/>
    <m/>
    <m/>
    <m/>
    <m/>
    <m/>
    <m/>
    <m/>
    <m/>
    <x v="666"/>
    <d v="2019-11-07T03:56:57"/>
    <d v="2019-11-07T03:56:57"/>
    <m/>
    <d v="2019-11-07T03:57:01"/>
  </r>
  <r>
    <n v="565"/>
    <s v="Монтаж прогонов проверка сварных соединений и затяжки болтов Узлы 268,297,296,269,270,295,294,271,273,274,290,289"/>
    <n v="2"/>
    <s v="Значительное"/>
    <x v="0"/>
    <x v="10"/>
    <s v="fedorov@spgr.ru"/>
    <x v="1"/>
    <d v="2019-12-09T00:00:00"/>
    <d v="2019-12-09T00:00:00"/>
    <s v="РК-РД-2-КМ1.1.12-012-00"/>
    <n v="51.55"/>
    <n v="35.28"/>
    <m/>
    <m/>
    <m/>
    <s v="Металлоконструкции блока 1"/>
    <s v="Ссылка на план"/>
    <x v="667"/>
    <d v="2019-12-09T02:27:25"/>
    <d v="2019-12-09T02:27:25"/>
    <m/>
    <d v="2019-12-09T02:27:34"/>
  </r>
  <r>
    <n v="829"/>
    <s v="Монтаж панелей фасадной системы в\о Д-К-19\1 отм. +20,970м."/>
    <n v="2"/>
    <s v="Значительное"/>
    <x v="0"/>
    <x v="10"/>
    <s v="fedorov@spgr.ru"/>
    <x v="1"/>
    <d v="2019-12-31T00:00:00"/>
    <d v="2019-12-31T00:00:00"/>
    <m/>
    <m/>
    <m/>
    <m/>
    <m/>
    <m/>
    <m/>
    <m/>
    <x v="668"/>
    <d v="2019-12-31T13:00:15"/>
    <d v="2019-12-31T13:00:15"/>
    <m/>
    <d v="2019-12-31T13:01:26"/>
  </r>
  <r>
    <n v="203"/>
    <s v="Затяжка ВПБ (световой колодец) отм. +46,050м. Узел 4,5 Блок 1, Блок 2.2 Узлы 48,80,106,116,280,278,195 Кровля"/>
    <n v="2"/>
    <s v="Значительное"/>
    <x v="0"/>
    <x v="10"/>
    <s v="fedorov@spgr.ru"/>
    <x v="1"/>
    <d v="2019-11-09T00:00:00"/>
    <d v="2019-11-09T00:00:00"/>
    <m/>
    <m/>
    <m/>
    <m/>
    <m/>
    <m/>
    <m/>
    <m/>
    <x v="669"/>
    <d v="2019-11-09T17:39:16"/>
    <d v="2019-11-09T17:39:16"/>
    <m/>
    <d v="2019-11-09T17:39:21"/>
  </r>
  <r>
    <n v="202"/>
    <s v="Монтаж кронштейнов Блок 1 отм. +54,450 в\о Б-В\1, в\о1-6\1\4А отм. +50,250м. Блок 2. отм. +4,050м. в\о Л-Р\10, Монтаж панелей в\о 1-1\5\4\А отм +41,970м."/>
    <n v="2"/>
    <s v="Значительное"/>
    <x v="0"/>
    <x v="10"/>
    <s v="fedorov@spgr.ru"/>
    <x v="1"/>
    <d v="2019-11-09T00:00:00"/>
    <d v="2019-11-09T00:00:00"/>
    <m/>
    <m/>
    <m/>
    <m/>
    <m/>
    <m/>
    <m/>
    <m/>
    <x v="670"/>
    <d v="2019-11-09T17:26:52"/>
    <d v="2019-11-09T17:26:52"/>
    <m/>
    <d v="2019-11-09T17:32:15"/>
  </r>
  <r>
    <n v="204"/>
    <s v="Монтаж панелей в\о Е-К\19\1 отм. +4,200м. Монтаж кронщтейнов в\о 17-20/3А отм. +8,250м."/>
    <n v="2"/>
    <s v="Значительное"/>
    <x v="0"/>
    <x v="10"/>
    <s v="fedorov@spgr.ru"/>
    <x v="1"/>
    <d v="2019-11-10T00:00:00"/>
    <d v="2019-11-10T00:00:00"/>
    <m/>
    <m/>
    <m/>
    <m/>
    <m/>
    <m/>
    <m/>
    <m/>
    <x v="671"/>
    <d v="2019-11-10T16:34:42"/>
    <d v="2019-11-10T16:34:42"/>
    <m/>
    <d v="2019-11-10T16:34:45"/>
  </r>
  <r>
    <n v="970"/>
    <s v="Устройство оклеечной гидроизоляции в\о 18-21, 12-14 по северной стороне"/>
    <n v="2"/>
    <s v="Значительное"/>
    <x v="0"/>
    <x v="10"/>
    <s v="fedorov@spgr.ru"/>
    <x v="1"/>
    <d v="2020-01-21T00:00:00"/>
    <d v="2020-01-21T00:00:00"/>
    <m/>
    <m/>
    <m/>
    <m/>
    <m/>
    <m/>
    <m/>
    <m/>
    <x v="672"/>
    <d v="2020-01-21T05:17:48"/>
    <d v="2020-01-21T05:17:48"/>
    <m/>
    <d v="2020-01-21T05:20:53"/>
  </r>
  <r>
    <n v="491"/>
    <s v="Монтаж кронштейнов фасадной системы Блок 1 отм. +58,650 в\о В-Д\6, отм. +8,250 в\о 6-7\3А, отм. -4,450м. 5-7\3А, отм. +20,850м. 15-19\1-3А"/>
    <n v="2"/>
    <s v="Значительное"/>
    <x v="0"/>
    <x v="10"/>
    <s v="fedorov@spgr.ru"/>
    <x v="1"/>
    <d v="2019-11-30T00:00:00"/>
    <d v="2019-11-30T00:00:00"/>
    <m/>
    <m/>
    <m/>
    <m/>
    <m/>
    <m/>
    <m/>
    <m/>
    <x v="673"/>
    <d v="2019-11-02T06:41:30"/>
    <d v="2019-12-12T21:43:17"/>
    <m/>
    <d v="2019-12-12T21:43:19"/>
  </r>
  <r>
    <n v="387"/>
    <s v="Затяжка высокопрочных болтов м\к Блок 2.2 Кровля Узлы №293,289,192,279,605,606"/>
    <n v="2"/>
    <s v="Значительное"/>
    <x v="0"/>
    <x v="10"/>
    <s v="fedorov@spgr.ru"/>
    <x v="1"/>
    <d v="2019-11-21T00:00:00"/>
    <d v="2019-11-21T00:00:00"/>
    <m/>
    <m/>
    <m/>
    <m/>
    <m/>
    <m/>
    <m/>
    <m/>
    <x v="674"/>
    <d v="2019-11-02T06:41:30"/>
    <d v="2019-12-12T21:43:17"/>
    <m/>
    <d v="2019-12-12T21:43:18"/>
  </r>
  <r>
    <n v="614"/>
    <s v="Затяжка высокопрочных болтов Кровля БЛОК 1 Узлы 527,530,532,535,543"/>
    <n v="2"/>
    <s v="Значительное"/>
    <x v="0"/>
    <x v="10"/>
    <s v="fedorov@spgr.ru"/>
    <x v="1"/>
    <d v="2019-12-13T00:00:00"/>
    <d v="2019-12-13T00:00:00"/>
    <m/>
    <m/>
    <m/>
    <m/>
    <m/>
    <m/>
    <m/>
    <m/>
    <x v="675"/>
    <d v="2019-12-13T05:31:18"/>
    <d v="2019-12-13T05:31:18"/>
    <m/>
    <d v="2019-12-13T05:31:29"/>
  </r>
  <r>
    <n v="615"/>
    <s v="Монтаж панелей фасадной системы Блок 1 (тип-11) отм. +12,570 в\о У-ш\7"/>
    <n v="2"/>
    <s v="Значительное"/>
    <x v="0"/>
    <x v="10"/>
    <s v="fedorov@spgr.ru"/>
    <x v="1"/>
    <d v="2019-12-13T00:00:00"/>
    <d v="2019-12-13T00:00:00"/>
    <m/>
    <m/>
    <m/>
    <m/>
    <m/>
    <m/>
    <m/>
    <m/>
    <x v="676"/>
    <d v="2019-12-13T06:24:38"/>
    <d v="2019-12-13T06:24:38"/>
    <m/>
    <d v="2019-12-13T06:24:40"/>
  </r>
  <r>
    <n v="261"/>
    <s v="Затяжка ВПБ Кровля Блок 1 Узлы 529,229. Блок 2.2 Кровля Узлы 173,176,175,284,601,79,5,142 Блок 2.1 Узлы 42,35 Кровля"/>
    <n v="2"/>
    <s v="Значительное"/>
    <x v="0"/>
    <x v="10"/>
    <s v="fedorov@spgr.ru"/>
    <x v="1"/>
    <d v="2019-11-13T00:00:00"/>
    <d v="2019-11-13T00:00:00"/>
    <m/>
    <m/>
    <m/>
    <m/>
    <m/>
    <m/>
    <m/>
    <m/>
    <x v="677"/>
    <d v="2019-11-13T18:56:13"/>
    <d v="2019-11-13T18:56:13"/>
    <m/>
    <d v="2019-11-13T18:56:43"/>
  </r>
  <r>
    <n v="635"/>
    <s v="Затяжка  прогонов Блок 1 Кровля Узлы 816-861, 346,353,372,378 , Затяжка высокопрочных болтов Блок 2.1 Узлы 177,176,94,96"/>
    <n v="2"/>
    <s v="Значительное"/>
    <x v="0"/>
    <x v="10"/>
    <s v="fedorov@spgr.ru"/>
    <x v="1"/>
    <d v="2019-12-16T00:00:00"/>
    <d v="2019-12-16T00:00:00"/>
    <m/>
    <m/>
    <m/>
    <m/>
    <m/>
    <m/>
    <m/>
    <m/>
    <x v="678"/>
    <d v="2019-12-16T17:18:52"/>
    <d v="2019-12-16T17:18:52"/>
    <m/>
    <d v="2019-12-16T17:20:18"/>
  </r>
  <r>
    <n v="278"/>
    <s v="Затяжка ВПБ кровля Блок 1 Узлы 167,194,196,202,203,204,205,206,207,208,209,82,579, 36,40"/>
    <n v="2"/>
    <s v="Значительное"/>
    <x v="0"/>
    <x v="10"/>
    <s v="fedorov@spgr.ru"/>
    <x v="1"/>
    <d v="2019-11-14T00:00:00"/>
    <d v="2019-11-14T00:00:00"/>
    <m/>
    <m/>
    <m/>
    <m/>
    <m/>
    <m/>
    <m/>
    <m/>
    <x v="679"/>
    <d v="2019-11-14T18:04:28"/>
    <d v="2019-11-14T18:04:28"/>
    <m/>
    <d v="2019-11-14T18:08:25"/>
  </r>
  <r>
    <n v="279"/>
    <s v="Окраска и герметизация болтовых соединений Кровля Узлы 24,25,30-39,330-337,252,259,260,265,266"/>
    <n v="2"/>
    <s v="Значительное"/>
    <x v="0"/>
    <x v="10"/>
    <s v="fedorov@spgr.ru"/>
    <x v="1"/>
    <d v="2019-11-14T00:00:00"/>
    <d v="2019-11-14T00:00:00"/>
    <m/>
    <m/>
    <m/>
    <m/>
    <m/>
    <m/>
    <m/>
    <m/>
    <x v="680"/>
    <d v="2019-11-14T18:07:21"/>
    <d v="2019-11-14T18:07:21"/>
    <m/>
    <d v="2019-11-14T18:08:07"/>
  </r>
  <r>
    <n v="277"/>
    <s v="Затяжка ВПБ Блок 2.2 Кровля Узлы 602,603,126,127,141,2,3,4,173,176,175"/>
    <n v="2"/>
    <s v="Значительное"/>
    <x v="0"/>
    <x v="10"/>
    <s v="fedorov@spgr.ru"/>
    <x v="1"/>
    <d v="2019-11-14T00:00:00"/>
    <d v="2019-11-14T00:00:00"/>
    <m/>
    <m/>
    <m/>
    <m/>
    <m/>
    <m/>
    <m/>
    <m/>
    <x v="681"/>
    <d v="2019-11-14T18:01:07"/>
    <d v="2019-11-14T18:01:07"/>
    <m/>
    <d v="2019-11-14T18:01:16"/>
  </r>
  <r>
    <n v="1152"/>
    <s v="Монтаж панелей+резина в\о П-Н/ 15/1 +12,600 Блок B1 в\о С-П/ 15/1 +8,400 в\о 4.1-1.1/ В.1, 2.1-4.1/А.1 КПП отм. +0,000"/>
    <n v="2"/>
    <s v="Значительное"/>
    <x v="0"/>
    <x v="10"/>
    <s v="fedorov@spgr.ru"/>
    <x v="1"/>
    <d v="2020-02-01T00:00:00"/>
    <d v="2020-02-01T00:00:00"/>
    <m/>
    <m/>
    <m/>
    <m/>
    <m/>
    <m/>
    <m/>
    <m/>
    <x v="682"/>
    <d v="2020-02-01T17:31:35"/>
    <d v="2020-02-01T17:31:35"/>
    <m/>
    <d v="2020-02-01T17:33:53"/>
  </r>
  <r>
    <n v="843"/>
    <s v="Монтаж панелей фасадной системы в\о Д-К\15\1 Блок 2 отм. +16,800"/>
    <n v="2"/>
    <s v="Значительное"/>
    <x v="0"/>
    <x v="10"/>
    <s v="fedorov@spgr.ru"/>
    <x v="1"/>
    <d v="2020-01-04T00:00:00"/>
    <d v="2020-01-04T00:00:00"/>
    <m/>
    <m/>
    <m/>
    <m/>
    <m/>
    <m/>
    <m/>
    <m/>
    <x v="683"/>
    <d v="2020-01-04T16:22:57"/>
    <d v="2020-01-04T16:22:57"/>
    <m/>
    <d v="2020-01-04T16:23:04"/>
  </r>
  <r>
    <n v="846"/>
    <s v="Монтаж панелей и седловидного уплотнителя в\о   9/1-10/1 вдоль оси 1/Б отм. +12,570"/>
    <n v="2"/>
    <s v="Значительное"/>
    <x v="0"/>
    <x v="10"/>
    <s v="fedorov@spgr.ru"/>
    <x v="1"/>
    <d v="2020-01-05T00:00:00"/>
    <d v="2020-01-05T00:00:00"/>
    <m/>
    <m/>
    <m/>
    <m/>
    <m/>
    <m/>
    <m/>
    <m/>
    <x v="684"/>
    <d v="2020-01-05T14:00:31"/>
    <d v="2020-01-05T14:00:31"/>
    <m/>
    <d v="2020-01-05T14:01:50"/>
  </r>
  <r>
    <n v="844"/>
    <s v="Установка верхнего оцинкованного листа противопожарной отсечки в\о  В-И / 1,  Г-И / 7 отм. +46,000, в\о К-П / 1  Р-Т / 1   Ш/2-Ш/5 / 1 отм. +4,000"/>
    <n v="2"/>
    <s v="Значительное"/>
    <x v="0"/>
    <x v="10"/>
    <s v="fedorov@spgr.ru"/>
    <x v="1"/>
    <d v="2020-01-05T00:00:00"/>
    <d v="2020-01-05T00:00:00"/>
    <m/>
    <m/>
    <m/>
    <m/>
    <m/>
    <m/>
    <m/>
    <m/>
    <x v="685"/>
    <d v="2020-01-05T13:58:11"/>
    <d v="2020-01-05T13:58:11"/>
    <m/>
    <d v="2020-01-05T13:59:24"/>
  </r>
  <r>
    <n v="847"/>
    <s v="Монтаж кронштейнов АнК-42 в\о 8/3-9/1 вдоль оси 1/Б отм +13,090м."/>
    <n v="2"/>
    <s v="Значительное"/>
    <x v="0"/>
    <x v="10"/>
    <s v="fedorov@spgr.ru"/>
    <x v="1"/>
    <d v="2020-01-05T00:00:00"/>
    <d v="2020-01-05T00:00:00"/>
    <m/>
    <m/>
    <m/>
    <m/>
    <m/>
    <m/>
    <m/>
    <m/>
    <x v="686"/>
    <d v="2020-01-05T14:04:36"/>
    <d v="2020-01-05T14:04:36"/>
    <m/>
    <d v="2020-01-05T14:04:40"/>
  </r>
  <r>
    <n v="848"/>
    <s v="Установка мембраны противопожарной отсечки в\о 8/3-9/1/1/Б отм. +12,600 Блок А2, в\о Ш\2-Ш\4\1\Б отм. +12,600 Блок А1  Установка минеральной ваты противопожарной отсечки в\о В-К/1 отм. +54,600м."/>
    <n v="2"/>
    <s v="Значительное"/>
    <x v="0"/>
    <x v="10"/>
    <s v="fedorov@spgr.ru"/>
    <x v="1"/>
    <d v="2020-01-05T00:00:00"/>
    <d v="2020-01-05T00:00:00"/>
    <m/>
    <m/>
    <m/>
    <m/>
    <m/>
    <m/>
    <m/>
    <m/>
    <x v="687"/>
    <d v="2020-01-05T14:06:15"/>
    <d v="2020-01-05T14:06:15"/>
    <m/>
    <d v="2020-01-05T14:08:51"/>
  </r>
  <r>
    <n v="311"/>
    <s v="Монтаж панелей фасадной системы и резинового уплотнителя Блок 1 в\о Г-Е\1 и Б-Д\1  отм +54,570м."/>
    <n v="2"/>
    <s v="Значительное"/>
    <x v="0"/>
    <x v="10"/>
    <s v="fedorov@spgr.ru"/>
    <x v="1"/>
    <d v="2019-11-17T00:00:00"/>
    <d v="2019-11-17T00:00:00"/>
    <m/>
    <m/>
    <m/>
    <m/>
    <m/>
    <m/>
    <m/>
    <m/>
    <x v="688"/>
    <d v="2019-11-17T16:39:00"/>
    <d v="2019-11-17T16:39:00"/>
    <m/>
    <d v="2019-11-17T16:39:08"/>
  </r>
  <r>
    <n v="313"/>
    <s v="Окраска и герметизация соединений Блок 1 Кровля Узлы № 50-55,71-76,92-97,112-117"/>
    <n v="2"/>
    <s v="Значительное"/>
    <x v="0"/>
    <x v="10"/>
    <s v="fedorov@spgr.ru"/>
    <x v="1"/>
    <d v="2019-11-17T00:00:00"/>
    <d v="2019-11-17T00:00:00"/>
    <m/>
    <m/>
    <m/>
    <m/>
    <m/>
    <m/>
    <m/>
    <m/>
    <x v="689"/>
    <d v="2019-11-02T06:41:30"/>
    <d v="2019-12-12T21:43:17"/>
    <m/>
    <d v="2019-12-12T21:43:18"/>
  </r>
  <r>
    <n v="312"/>
    <s v="МОнтаж кронштейнов  в\о 22-29 отм. +15,178 Блок 3, в\о Б-В \ 6\1 Блок 1 отм. +50,250м."/>
    <n v="2"/>
    <s v="Значительное"/>
    <x v="0"/>
    <x v="10"/>
    <s v="fedorov@spgr.ru"/>
    <x v="1"/>
    <d v="2019-11-17T00:00:00"/>
    <d v="2019-11-17T00:00:00"/>
    <m/>
    <m/>
    <m/>
    <m/>
    <m/>
    <m/>
    <m/>
    <m/>
    <x v="690"/>
    <d v="2019-11-02T06:41:30"/>
    <d v="2019-12-12T21:43:17"/>
    <m/>
    <d v="2019-12-12T21:43:18"/>
  </r>
  <r>
    <n v="314"/>
    <s v="Затяжка ВПБ в\о Д-И\15 отм. +16,450м. Узлы № 2,4,5,7"/>
    <n v="2"/>
    <s v="Значительное"/>
    <x v="0"/>
    <x v="10"/>
    <s v="fedorov@spgr.ru"/>
    <x v="1"/>
    <d v="2019-11-17T00:00:00"/>
    <d v="2019-11-17T00:00:00"/>
    <m/>
    <m/>
    <m/>
    <m/>
    <m/>
    <m/>
    <m/>
    <m/>
    <x v="691"/>
    <d v="2019-11-02T06:41:30"/>
    <d v="2019-12-12T21:43:17"/>
    <m/>
    <d v="2019-12-12T21:43:18"/>
  </r>
  <r>
    <n v="333"/>
    <s v="Монтаж прогонов в\о Д-Л\5-6\1 отм. +47,123"/>
    <n v="2"/>
    <s v="Значительное"/>
    <x v="0"/>
    <x v="10"/>
    <s v="fedorov@spgr.ru"/>
    <x v="1"/>
    <d v="2019-11-18T00:00:00"/>
    <d v="2019-11-18T00:00:00"/>
    <m/>
    <m/>
    <m/>
    <m/>
    <m/>
    <m/>
    <m/>
    <m/>
    <x v="692"/>
    <d v="2019-11-02T06:41:30"/>
    <d v="2019-12-12T21:43:17"/>
    <m/>
    <d v="2019-12-12T21:43:18"/>
  </r>
  <r>
    <n v="335"/>
    <s v="Затяжка опорных столиков кровельных ферм №4-8 в\о 7б-10б\26-29"/>
    <n v="2"/>
    <s v="Значительное"/>
    <x v="0"/>
    <x v="10"/>
    <s v="fedorov@spgr.ru"/>
    <x v="1"/>
    <d v="2019-11-18T00:00:00"/>
    <d v="2019-11-18T00:00:00"/>
    <m/>
    <m/>
    <m/>
    <m/>
    <m/>
    <m/>
    <m/>
    <m/>
    <x v="693"/>
    <d v="2019-11-02T06:41:30"/>
    <d v="2019-12-12T21:43:17"/>
    <m/>
    <d v="2019-12-12T21:43:18"/>
  </r>
  <r>
    <n v="334"/>
    <s v="Монтаж и крепление настилов кровли ТИП - 16 Блок 3 в\о 1б-2б-28\33\1"/>
    <n v="2"/>
    <s v="Значительное"/>
    <x v="0"/>
    <x v="10"/>
    <s v="fedorov@spgr.ru"/>
    <x v="1"/>
    <d v="2019-11-18T00:00:00"/>
    <d v="2019-11-18T00:00:00"/>
    <m/>
    <m/>
    <m/>
    <m/>
    <m/>
    <m/>
    <m/>
    <m/>
    <x v="694"/>
    <d v="2019-11-02T06:41:30"/>
    <d v="2019-12-12T21:43:17"/>
    <m/>
    <d v="2019-12-12T21:43:18"/>
  </r>
  <r>
    <n v="1206"/>
    <s v="Монтаж профнастила перекрытия в\о В-И\1-1\6 отм. L15,L16 Блок1"/>
    <n v="2"/>
    <s v="Значительное"/>
    <x v="0"/>
    <x v="10"/>
    <s v="fedorov@spgr.ru"/>
    <x v="1"/>
    <d v="2020-02-06T00:00:00"/>
    <d v="2020-02-06T00:00:00"/>
    <m/>
    <m/>
    <m/>
    <m/>
    <m/>
    <m/>
    <m/>
    <m/>
    <x v="695"/>
    <d v="2020-02-06T06:03:01"/>
    <d v="2020-02-06T06:03:01"/>
    <m/>
    <d v="2020-02-06T06:06:13"/>
  </r>
  <r>
    <n v="1205"/>
    <s v="Монтаж опалубки ПС-10 в\о В-Д\1 отм. -6.200м."/>
    <n v="2"/>
    <s v="Значительное"/>
    <x v="0"/>
    <x v="10"/>
    <s v="fedorov@spgr.ru"/>
    <x v="1"/>
    <d v="2020-02-06T00:00:00"/>
    <d v="2020-02-06T00:00:00"/>
    <m/>
    <m/>
    <m/>
    <m/>
    <m/>
    <m/>
    <m/>
    <m/>
    <x v="696"/>
    <d v="2020-02-06T06:02:08"/>
    <d v="2020-02-06T06:02:08"/>
    <m/>
    <d v="2020-02-06T06:02:54"/>
  </r>
  <r>
    <n v="898"/>
    <s v="Устройство песчаного основания под трубопроводы между колодцами 11,12,13"/>
    <n v="2"/>
    <s v="Значительное"/>
    <x v="0"/>
    <x v="10"/>
    <s v="fedorov@spgr.ru"/>
    <x v="1"/>
    <d v="2020-01-12T00:00:00"/>
    <d v="2020-01-12T00:00:00"/>
    <m/>
    <m/>
    <m/>
    <m/>
    <m/>
    <m/>
    <m/>
    <m/>
    <x v="697"/>
    <d v="2020-01-12T03:00:04"/>
    <d v="2020-01-12T03:00:04"/>
    <m/>
    <d v="2020-01-12T03:00:57"/>
  </r>
  <r>
    <n v="1224"/>
    <s v="Монтаж панелей в\о Д-И\13 отм. +12,570 Блок С"/>
    <n v="2"/>
    <s v="Значительное"/>
    <x v="0"/>
    <x v="10"/>
    <s v="fedorov@spgr.ru"/>
    <x v="1"/>
    <d v="2020-02-07T00:00:00"/>
    <d v="2020-02-07T00:00:00"/>
    <m/>
    <m/>
    <m/>
    <m/>
    <m/>
    <m/>
    <m/>
    <m/>
    <x v="698"/>
    <d v="2020-02-07T06:24:56"/>
    <d v="2020-02-07T06:24:56"/>
    <m/>
    <d v="2020-02-07T06:25:59"/>
  </r>
  <r>
    <n v="912"/>
    <s v="Фальш полы МЕРО пом. 13.L4.1.006, плитка пол. ЛК 2.10, сетка + керамзит Блок В1 в\о 10б-13б"/>
    <n v="2"/>
    <s v="Значительное"/>
    <x v="0"/>
    <x v="10"/>
    <s v="fedorov@spgr.ru"/>
    <x v="1"/>
    <d v="2020-01-14T00:00:00"/>
    <d v="2020-01-14T00:00:00"/>
    <m/>
    <m/>
    <m/>
    <m/>
    <m/>
    <m/>
    <m/>
    <m/>
    <x v="699"/>
    <d v="2020-01-14T18:51:20"/>
    <d v="2020-01-14T18:51:20"/>
    <m/>
    <d v="2020-01-14T19:03:14"/>
  </r>
  <r>
    <n v="923"/>
    <s v="Монтаж каркаса перегородок под гипсокартон пом. 07.L2.3.036,037,038,039,09.L2.3.001."/>
    <n v="2"/>
    <s v="Значительное"/>
    <x v="0"/>
    <x v="10"/>
    <s v="fedorov@spgr.ru"/>
    <x v="1"/>
    <d v="2020-01-15T00:00:00"/>
    <d v="2020-01-15T00:00:00"/>
    <m/>
    <m/>
    <m/>
    <m/>
    <m/>
    <m/>
    <m/>
    <m/>
    <x v="700"/>
    <d v="2020-01-15T19:00:19"/>
    <d v="2020-01-15T19:00:19"/>
    <m/>
    <d v="2020-01-15T19:04:56"/>
  </r>
  <r>
    <n v="924"/>
    <s v="Монтаж фальшполов МЭРО пом. 13.L4.1.007. Монтаж каркаса на потолок под гипсокартон пом. 07.L1.1.143,100"/>
    <n v="2"/>
    <s v="Значительное"/>
    <x v="0"/>
    <x v="10"/>
    <s v="fedorov@spgr.ru"/>
    <x v="1"/>
    <d v="2020-01-15T00:00:00"/>
    <d v="2020-01-15T00:00:00"/>
    <m/>
    <m/>
    <m/>
    <m/>
    <m/>
    <m/>
    <m/>
    <m/>
    <x v="701"/>
    <d v="2020-01-15T19:06:13"/>
    <d v="2020-01-15T19:06:13"/>
    <m/>
    <d v="2020-01-15T19:08:08"/>
  </r>
  <r>
    <n v="996"/>
    <s v="Оклеечная гидроизоляция со стороны оси 1\Б с отм -4.550 до -3.550м."/>
    <n v="2"/>
    <s v="Значительное"/>
    <x v="0"/>
    <x v="10"/>
    <s v="fedorov@spgr.ru"/>
    <x v="1"/>
    <d v="2020-01-22T00:00:00"/>
    <d v="2020-01-22T00:00:00"/>
    <m/>
    <m/>
    <m/>
    <m/>
    <m/>
    <m/>
    <m/>
    <m/>
    <x v="702"/>
    <d v="2020-01-22T06:09:44"/>
    <d v="2020-01-22T06:09:44"/>
    <m/>
    <d v="2020-01-22T06:10:36"/>
  </r>
  <r>
    <n v="995"/>
    <s v="Монтаж опалубки подпорной стены   ПС-10 вдоль оси 1\ Е-К отм. -6.650м."/>
    <n v="2"/>
    <s v="Значительное"/>
    <x v="0"/>
    <x v="10"/>
    <s v="fedorov@spgr.ru"/>
    <x v="1"/>
    <d v="2020-01-22T00:00:00"/>
    <d v="2020-01-22T00:00:00"/>
    <m/>
    <m/>
    <m/>
    <m/>
    <m/>
    <m/>
    <m/>
    <m/>
    <x v="703"/>
    <d v="2020-01-22T05:55:31"/>
    <d v="2020-01-22T05:55:31"/>
    <m/>
    <d v="2020-01-22T06:09:17"/>
  </r>
  <r>
    <n v="682"/>
    <s v="Монтаж металлического настила кровли Блок 3 в\о 21/2-27/11/Б-12/Б"/>
    <n v="2"/>
    <s v="Значительное"/>
    <x v="0"/>
    <x v="10"/>
    <s v="fedorov@spgr.ru"/>
    <x v="1"/>
    <d v="2019-12-19T00:00:00"/>
    <d v="2019-12-19T00:00:00"/>
    <s v="РК-РД-2-АР01-17-01"/>
    <n v="46.17"/>
    <n v="41.79"/>
    <m/>
    <m/>
    <m/>
    <s v="АР общие планы"/>
    <s v="Ссылка на план"/>
    <x v="704"/>
    <d v="2019-12-19T17:58:53"/>
    <d v="2019-12-19T17:58:53"/>
    <m/>
    <d v="2020-01-22T13:50:50"/>
  </r>
  <r>
    <n v="411"/>
    <s v="Монтаж панелей и седлового уплотнителя 3.1"/>
    <n v="2"/>
    <s v="Значительное"/>
    <x v="0"/>
    <x v="10"/>
    <s v="sorokin.v@spgr.ru"/>
    <x v="1"/>
    <d v="2019-11-23T00:00:00"/>
    <d v="2019-11-24T00:00:00"/>
    <s v="РК-РД-2-АР09.2-05.01-06_комм"/>
    <n v="0"/>
    <n v="0"/>
    <m/>
    <m/>
    <m/>
    <s v="АР09.2-Фасады-Панели"/>
    <s v="Ссылка на план"/>
    <x v="705"/>
    <d v="2019-11-24T17:53:42"/>
    <d v="2019-12-10T15:33:59"/>
    <m/>
    <d v="2019-12-10T15:33:59"/>
  </r>
  <r>
    <n v="705"/>
    <s v="Устройство опалубки  плиты перекрытия в/о Ш/2-Э/1/Б на отм. -4,750."/>
    <n v="2"/>
    <s v="Значительное"/>
    <x v="0"/>
    <x v="10"/>
    <s v="sorokin.v@spgr.ru"/>
    <x v="1"/>
    <d v="2019-12-21T00:00:00"/>
    <d v="2019-12-21T00:00:00"/>
    <m/>
    <m/>
    <m/>
    <m/>
    <m/>
    <m/>
    <m/>
    <m/>
    <x v="706"/>
    <d v="2019-12-21T19:40:06"/>
    <d v="2019-12-21T19:40:06"/>
    <m/>
    <d v="2019-12-21T19:40:07"/>
  </r>
  <r>
    <n v="302"/>
    <s v="Огнезащита металлоконструкций кровли КПП1 в/о А.1-В.1/1.1-4.1"/>
    <n v="2"/>
    <s v="Значительное"/>
    <x v="0"/>
    <x v="10"/>
    <s v="sorokin.v@spgr.ru"/>
    <x v="1"/>
    <d v="2019-11-15T00:00:00"/>
    <d v="2019-11-15T00:00:00"/>
    <s v="РК-РД-2-ОЗ4.1.02-002-00"/>
    <n v="0"/>
    <n v="0"/>
    <m/>
    <m/>
    <m/>
    <s v="Огнезащита  металлоконструкций"/>
    <s v="Ссылка на план"/>
    <x v="707"/>
    <d v="2019-11-16T17:56:04"/>
    <d v="2019-12-10T15:33:52"/>
    <m/>
    <d v="2019-12-10T15:33:53"/>
  </r>
  <r>
    <n v="978"/>
    <s v="Пароизоляция узлов соединения лотков ETFE узел107-128."/>
    <n v="2"/>
    <s v="Значительное"/>
    <x v="0"/>
    <x v="10"/>
    <s v="sorokin.v@spgr.ru"/>
    <x v="1"/>
    <d v="2020-01-21T00:00:00"/>
    <d v="2020-01-21T00:00:00"/>
    <m/>
    <m/>
    <m/>
    <m/>
    <m/>
    <m/>
    <m/>
    <m/>
    <x v="488"/>
    <d v="2020-01-21T17:45:22"/>
    <d v="2020-01-21T17:45:22"/>
    <m/>
    <d v="2020-01-21T17:45:30"/>
  </r>
  <r>
    <n v="1051"/>
    <s v="Оклеечная гидроизоляция лотка топливопровода"/>
    <n v="2"/>
    <s v="Значительное"/>
    <x v="0"/>
    <x v="10"/>
    <s v="rc_kzh@rencons.com"/>
    <x v="1"/>
    <d v="2020-01-24T00:00:00"/>
    <d v="2020-01-24T00:00:00"/>
    <s v="РК-РД-1-АР01-03-11"/>
    <n v="6.42"/>
    <n v="26.09"/>
    <m/>
    <m/>
    <m/>
    <s v="АР планы -4.200"/>
    <s v="Ссылка на план"/>
    <x v="708"/>
    <d v="2020-01-24T16:43:31"/>
    <d v="2020-01-24T16:43:31"/>
    <m/>
    <d v="2020-01-24T16:43:32"/>
  </r>
  <r>
    <n v="643"/>
    <s v="Гидроизоляция свай"/>
    <n v="2"/>
    <s v="Значительное"/>
    <x v="0"/>
    <x v="10"/>
    <s v="rc_kzh@rencons.com"/>
    <x v="1"/>
    <d v="2019-12-17T00:00:00"/>
    <d v="2019-12-17T00:00:00"/>
    <s v="РК-РД-1-АР01-03-11"/>
    <n v="7.69"/>
    <n v="15.09"/>
    <m/>
    <m/>
    <m/>
    <s v="АР планы -4.200"/>
    <s v="Ссылка на план"/>
    <x v="709"/>
    <d v="2019-12-17T11:23:52"/>
    <d v="2019-12-17T11:23:52"/>
    <m/>
    <d v="2019-12-17T11:23:58"/>
  </r>
  <r>
    <n v="702"/>
    <s v="Подготовка основания песком под фундаментную плиту КПП-2 в/о Е.2-В.2/1.2-3.2 отм.-2,650."/>
    <n v="2"/>
    <s v="Значительное"/>
    <x v="0"/>
    <x v="10"/>
    <s v="rc_kzh@rencons.com"/>
    <x v="1"/>
    <d v="2019-12-21T00:00:00"/>
    <d v="2019-12-21T00:00:00"/>
    <m/>
    <m/>
    <m/>
    <m/>
    <m/>
    <m/>
    <m/>
    <m/>
    <x v="710"/>
    <d v="2019-12-21T19:41:07"/>
    <d v="2019-12-21T19:41:07"/>
    <m/>
    <d v="2019-12-21T19:41:11"/>
  </r>
  <r>
    <n v="703"/>
    <s v="Подготовка щебеночного основания  под фундаментную плиту КПП-2 в/о Е.2-В.2/ 1.2-3.2 на отм.-2,650."/>
    <n v="2"/>
    <s v="Значительное"/>
    <x v="0"/>
    <x v="10"/>
    <s v="rc_kzh@rencons.com"/>
    <x v="1"/>
    <d v="2019-12-21T00:00:00"/>
    <d v="2019-12-21T00:00:00"/>
    <m/>
    <m/>
    <m/>
    <m/>
    <m/>
    <m/>
    <m/>
    <m/>
    <x v="711"/>
    <d v="2019-12-21T19:41:25"/>
    <d v="2019-12-21T19:41:25"/>
    <m/>
    <d v="2019-12-21T19:41:26"/>
  </r>
  <r>
    <n v="704"/>
    <s v="Армирование плиты перекрытия в/о Ш/2-Э/1/Б на отм. -4,750."/>
    <n v="2"/>
    <s v="Значительное"/>
    <x v="0"/>
    <x v="10"/>
    <s v="rc_kzh@rencons.com"/>
    <x v="1"/>
    <d v="2019-12-21T00:00:00"/>
    <d v="2019-12-21T00:00:00"/>
    <m/>
    <m/>
    <m/>
    <m/>
    <m/>
    <m/>
    <m/>
    <m/>
    <x v="712"/>
    <d v="2019-12-21T19:37:45"/>
    <d v="2019-12-21T19:37:45"/>
    <m/>
    <d v="2019-12-21T19:38:04"/>
  </r>
  <r>
    <n v="468"/>
    <s v="Гидроизоляция битумом наружной стены здания "/>
    <n v="2"/>
    <s v="Значительное"/>
    <x v="0"/>
    <x v="10"/>
    <s v="rc_kzh@rencons.com"/>
    <x v="1"/>
    <d v="2019-11-28T00:00:00"/>
    <d v="2019-11-28T00:00:00"/>
    <s v="РК-РД-1-АР01-03-11"/>
    <n v="34.25"/>
    <n v="15.96"/>
    <m/>
    <m/>
    <m/>
    <s v="АР планы -4.200"/>
    <s v="Ссылка на план"/>
    <x v="713"/>
    <d v="2019-11-29T15:15:19"/>
    <d v="2019-12-10T10:11:41"/>
    <m/>
    <d v="2019-12-10T10:11:43"/>
  </r>
  <r>
    <n v="469"/>
    <s v="Гидроизоляция битумом наружной стены здания  "/>
    <n v="2"/>
    <s v="Значительное"/>
    <x v="0"/>
    <x v="10"/>
    <s v="rc_kzh@rencons.com"/>
    <x v="1"/>
    <d v="2019-11-28T00:00:00"/>
    <d v="2019-11-28T00:00:00"/>
    <s v="РК-РД-1-АР01-03-11"/>
    <n v="48.95"/>
    <n v="20.99"/>
    <m/>
    <m/>
    <m/>
    <s v="АР планы -4.200"/>
    <s v="Ссылка на план"/>
    <x v="714"/>
    <d v="2019-11-29T15:15:10"/>
    <d v="2019-12-10T10:11:41"/>
    <m/>
    <d v="2019-12-10T10:11:43"/>
  </r>
  <r>
    <n v="545"/>
    <s v="Гидроизоляция битумом наружной стены здания "/>
    <n v="2"/>
    <s v="Значительное"/>
    <x v="0"/>
    <x v="10"/>
    <s v="rc_kzh@rencons.com"/>
    <x v="1"/>
    <d v="2019-12-06T00:00:00"/>
    <d v="2019-12-06T00:00:00"/>
    <s v="РК-РД-1-АР01-03-11"/>
    <n v="47.65"/>
    <n v="34.26"/>
    <m/>
    <m/>
    <m/>
    <s v="АР планы -4.200"/>
    <s v="Ссылка на план"/>
    <x v="715"/>
    <d v="2019-12-06T16:16:20"/>
    <d v="2019-12-10T10:11:41"/>
    <m/>
    <d v="2019-12-10T10:11:44"/>
  </r>
  <r>
    <n v="573"/>
    <s v="Монтаж противопожарных дверей L1, L2"/>
    <n v="2"/>
    <s v="Значительное"/>
    <x v="0"/>
    <x v="10"/>
    <s v="rc_kzh@rencons.com"/>
    <x v="1"/>
    <d v="2019-12-09T00:00:00"/>
    <d v="2019-12-09T00:00:00"/>
    <m/>
    <m/>
    <m/>
    <m/>
    <m/>
    <m/>
    <m/>
    <m/>
    <x v="716"/>
    <d v="2019-12-09T18:03:44"/>
    <d v="2019-12-09T18:03:44"/>
    <m/>
    <d v="2019-12-09T18:03:44"/>
  </r>
  <r>
    <n v="569"/>
    <s v="Армирование"/>
    <n v="2"/>
    <s v="Значительное"/>
    <x v="0"/>
    <x v="10"/>
    <s v="rc_kzh@rencons.com"/>
    <x v="1"/>
    <d v="2019-12-09T00:00:00"/>
    <d v="2019-12-09T00:00:00"/>
    <m/>
    <m/>
    <m/>
    <m/>
    <m/>
    <m/>
    <m/>
    <m/>
    <x v="717"/>
    <d v="2019-12-09T17:51:31"/>
    <d v="2019-12-10T10:11:41"/>
    <m/>
    <d v="2019-12-10T10:11:44"/>
  </r>
  <r>
    <n v="393"/>
    <s v="Щебеночная Подготовка Под Основание КРМ-8"/>
    <n v="1"/>
    <s v="КРИТИЧЕСКОЕ"/>
    <x v="0"/>
    <x v="10"/>
    <s v="rc_kzh@rencons.com"/>
    <x v="1"/>
    <m/>
    <m/>
    <m/>
    <m/>
    <m/>
    <m/>
    <m/>
    <m/>
    <m/>
    <m/>
    <x v="718"/>
    <d v="2019-11-23T06:00:23"/>
    <d v="2019-12-10T10:11:41"/>
    <m/>
    <d v="2019-12-10T10:11:43"/>
  </r>
  <r>
    <n v="383"/>
    <s v="Гидроизоляция битумом наружной стены здания"/>
    <n v="2"/>
    <s v="Значительное"/>
    <x v="0"/>
    <x v="10"/>
    <s v="rc_kzh@rencons.com"/>
    <x v="1"/>
    <d v="2019-11-21T00:00:00"/>
    <d v="2019-11-21T00:00:00"/>
    <s v="РК-РД-1-АР01-03-11"/>
    <n v="46.41"/>
    <n v="19.899999999999999"/>
    <m/>
    <m/>
    <m/>
    <s v="АР планы -4.200"/>
    <s v="Ссылка на план"/>
    <x v="719"/>
    <d v="2019-11-21T17:35:27"/>
    <d v="2019-12-10T10:11:41"/>
    <m/>
    <d v="2019-12-10T10:11:42"/>
  </r>
  <r>
    <n v="582"/>
    <s v="Плита фундамента туннеля бомбоубежища в/о Ш/2-3/1/Б на отм -9200"/>
    <n v="2"/>
    <s v="Значительное"/>
    <x v="0"/>
    <x v="10"/>
    <s v="rc_kzh@rencons.com"/>
    <x v="1"/>
    <d v="2019-12-10T00:00:00"/>
    <d v="2019-12-10T00:00:00"/>
    <s v="РК-РД-1-АР01-02-10"/>
    <n v="7.08"/>
    <n v="16.84"/>
    <m/>
    <m/>
    <m/>
    <s v="АР планы -8.200"/>
    <s v="Ссылка на план"/>
    <x v="720"/>
    <d v="2019-12-12T08:43:42"/>
    <d v="2019-12-12T09:06:37"/>
    <m/>
    <d v="2019-12-12T09:06:38"/>
  </r>
  <r>
    <n v="836"/>
    <s v="Армирование стен Ст-2А,Ст-2В,Ст-2С,Ст-2В на отм.-4,350."/>
    <n v="2"/>
    <s v="Значительное"/>
    <x v="0"/>
    <x v="10"/>
    <s v="rc_kzh@rencons.com"/>
    <x v="1"/>
    <d v="2020-01-03T00:00:00"/>
    <d v="2020-01-03T00:00:00"/>
    <m/>
    <m/>
    <m/>
    <m/>
    <m/>
    <m/>
    <m/>
    <m/>
    <x v="500"/>
    <d v="2020-01-03T18:47:58"/>
    <d v="2020-01-03T18:47:58"/>
    <m/>
    <d v="2020-01-03T18:48:14"/>
  </r>
  <r>
    <n v="835"/>
    <s v="Армирование стены Стм-1.1 КПП2 в/о B.2-Д.2/2.2-3.2 отм.-1,400."/>
    <n v="2"/>
    <s v="Значительное"/>
    <x v="0"/>
    <x v="10"/>
    <s v="rc_kzh@rencons.com"/>
    <x v="1"/>
    <d v="2020-01-03T00:00:00"/>
    <d v="2020-01-03T00:00:00"/>
    <m/>
    <m/>
    <m/>
    <m/>
    <m/>
    <m/>
    <m/>
    <m/>
    <x v="500"/>
    <d v="2020-01-03T18:41:28"/>
    <d v="2020-01-03T18:41:28"/>
    <m/>
    <d v="2020-01-03T18:41:59"/>
  </r>
  <r>
    <n v="357"/>
    <s v="оклеечная гидроизоляция"/>
    <n v="2"/>
    <s v="Значительное"/>
    <x v="0"/>
    <x v="10"/>
    <s v="rc_kzh@rencons.com"/>
    <x v="1"/>
    <d v="2019-11-19T00:00:00"/>
    <d v="2019-11-19T00:00:00"/>
    <s v="РК-РД-1-АР01-03-11"/>
    <n v="6.7"/>
    <n v="31.78"/>
    <m/>
    <m/>
    <m/>
    <s v="АР планы -4.200"/>
    <s v="Ссылка на план"/>
    <x v="721"/>
    <d v="2019-11-19T17:15:14"/>
    <d v="2019-12-10T10:11:41"/>
    <m/>
    <d v="2019-12-10T10:11:42"/>
  </r>
  <r>
    <n v="356"/>
    <s v="оклеечная гидроизоляция"/>
    <n v="2"/>
    <s v="Значительное"/>
    <x v="0"/>
    <x v="10"/>
    <s v="rc_kzh@rencons.com"/>
    <x v="1"/>
    <d v="2019-11-19T00:00:00"/>
    <d v="2019-11-19T00:00:00"/>
    <s v="РК-РД-1-АР01-03-11"/>
    <n v="6.73"/>
    <n v="23.62"/>
    <m/>
    <m/>
    <m/>
    <s v="АР планы -4.200"/>
    <s v="Ссылка на план"/>
    <x v="722"/>
    <d v="2019-11-19T17:15:12"/>
    <d v="2019-12-10T10:11:41"/>
    <m/>
    <d v="2019-12-10T10:11:42"/>
  </r>
  <r>
    <n v="975"/>
    <s v="Оклеечная гидроизоляция вводов ВОЛС"/>
    <n v="2"/>
    <s v="Значительное"/>
    <x v="0"/>
    <x v="10"/>
    <s v="rc_kzh@rencons.com"/>
    <x v="1"/>
    <d v="2020-01-21T00:00:00"/>
    <d v="2020-01-21T00:00:00"/>
    <s v="РК-РД-1-АР01-03-11"/>
    <n v="46.07"/>
    <n v="48.25"/>
    <m/>
    <m/>
    <m/>
    <s v="АР планы -4.200"/>
    <s v="Ссылка на план"/>
    <x v="723"/>
    <d v="2020-01-21T10:29:53"/>
    <d v="2020-01-21T10:29:53"/>
    <m/>
    <d v="2020-01-21T10:29:54"/>
  </r>
  <r>
    <n v="1216"/>
    <s v="Огнезащитное покрытие М/К &quot; Монокль&quot; В/О"/>
    <n v="2"/>
    <s v="Значительное"/>
    <x v="2"/>
    <x v="10"/>
    <s v="rc_km@rencons.com"/>
    <x v="1"/>
    <d v="2020-02-06T00:00:00"/>
    <d v="2020-02-07T00:00:00"/>
    <m/>
    <m/>
    <m/>
    <m/>
    <m/>
    <m/>
    <m/>
    <m/>
    <x v="724"/>
    <d v="2020-02-10T09:34:15"/>
    <m/>
    <m/>
    <d v="2020-02-10T09:34:16"/>
  </r>
  <r>
    <n v="689"/>
    <s v="Устройство утепления ферм ETFE, 1 этап, в осях 24-26/С-У, узлы 9-12. "/>
    <n v="2"/>
    <s v="Значительное"/>
    <x v="0"/>
    <x v="10"/>
    <s v="rc_km@rencons.com"/>
    <x v="1"/>
    <d v="2019-12-20T00:00:00"/>
    <d v="2019-12-20T00:00:00"/>
    <s v="_1RTDJ~B"/>
    <n v="41.26"/>
    <n v="39.799999999999997"/>
    <m/>
    <m/>
    <m/>
    <s v="АР общие планы"/>
    <s v="Ссылка на план"/>
    <x v="725"/>
    <d v="2019-12-22T18:13:44"/>
    <d v="2019-12-22T18:13:44"/>
    <m/>
    <d v="2019-12-22T18:13:46"/>
  </r>
  <r>
    <n v="695"/>
    <s v="Затяжка соединений на высокопрочных болтах Блок 2.1 отм.+15,241 Узлы №190,189,188,187,186,179,107"/>
    <n v="2"/>
    <s v="Значительное"/>
    <x v="0"/>
    <x v="10"/>
    <s v="rc_km@rencons.com"/>
    <x v="1"/>
    <d v="2019-12-20T00:00:00"/>
    <d v="2019-12-20T00:00:00"/>
    <m/>
    <m/>
    <m/>
    <m/>
    <m/>
    <m/>
    <m/>
    <m/>
    <x v="726"/>
    <d v="2019-12-20T18:24:53"/>
    <d v="2019-12-20T18:24:53"/>
    <m/>
    <d v="2019-12-20T18:25:16"/>
  </r>
  <r>
    <n v="694"/>
    <s v="Окраска и герметизация монтажных  соединений в\о Л-Е\2Б-6Б Блок 1 кровля"/>
    <n v="2"/>
    <s v="Значительное"/>
    <x v="0"/>
    <x v="10"/>
    <s v="rc_km@rencons.com"/>
    <x v="1"/>
    <d v="2019-12-20T00:00:00"/>
    <d v="2019-12-20T00:00:00"/>
    <m/>
    <m/>
    <m/>
    <m/>
    <m/>
    <m/>
    <m/>
    <m/>
    <x v="727"/>
    <d v="2019-12-20T18:22:21"/>
    <d v="2019-12-20T18:22:21"/>
    <m/>
    <d v="2019-12-20T18:27:24"/>
  </r>
  <r>
    <n v="454"/>
    <s v="Освидетельствование монтажа металлических прогонов кровли Блока 1"/>
    <n v="2"/>
    <s v="Значительное"/>
    <x v="0"/>
    <x v="10"/>
    <s v="rc_km@rencons.com"/>
    <x v="1"/>
    <d v="2019-11-27T00:00:00"/>
    <d v="2019-11-28T00:00:00"/>
    <s v="РК-РД-2-КМ1.1.12-012-00"/>
    <n v="0"/>
    <n v="0"/>
    <m/>
    <m/>
    <m/>
    <s v="Металлоконструкции блока 1"/>
    <s v="Ссылка на план"/>
    <x v="728"/>
    <d v="2019-11-28T17:51:38"/>
    <d v="2019-12-13T14:59:29"/>
    <m/>
    <d v="2019-12-13T14:59:32"/>
  </r>
  <r>
    <n v="455"/>
    <s v="Проверка натяжения ВПБ металлических балок крепления фасадных конструкций в/о 1/Б/14 на отм. +13.900"/>
    <n v="2"/>
    <s v="Значительное"/>
    <x v="0"/>
    <x v="10"/>
    <s v="rc_km@rencons.com"/>
    <x v="1"/>
    <d v="2019-11-27T00:00:00"/>
    <d v="2019-11-28T00:00:00"/>
    <s v="РК-РД-2-КМ5.1.07-004-01"/>
    <n v="0"/>
    <n v="0"/>
    <m/>
    <m/>
    <m/>
    <s v="Балки крепления фасадных элементов"/>
    <s v="Ссылка на план"/>
    <x v="729"/>
    <d v="2019-11-28T17:38:03"/>
    <d v="2019-12-13T14:59:29"/>
    <m/>
    <d v="2019-12-13T14:59:32"/>
  </r>
  <r>
    <n v="456"/>
    <s v="Монтаж настила кровли блока А3 в/о 6/Б-7/Б/22-26."/>
    <n v="2"/>
    <s v="Значительное"/>
    <x v="0"/>
    <x v="10"/>
    <s v="rc_km@rencons.com"/>
    <x v="1"/>
    <d v="2019-11-27T00:00:00"/>
    <d v="2019-11-27T00:00:00"/>
    <s v="РК-РД-2-АР09.6-200-03-Тип 16-Схема раскладки настилов 1"/>
    <n v="49.98"/>
    <n v="50"/>
    <m/>
    <m/>
    <n v="0"/>
    <s v="Решетчатый настил"/>
    <s v="Ссылка на план"/>
    <x v="730"/>
    <d v="2019-11-27T20:18:44"/>
    <d v="2019-12-13T14:59:29"/>
    <m/>
    <d v="2019-12-13T14:59:32"/>
  </r>
  <r>
    <n v="466"/>
    <s v="Освидетельствование работ монтажа прогонов кровли блока 2.2 в/о Д-Е/15-15/1 ."/>
    <n v="2"/>
    <s v="Значительное"/>
    <x v="0"/>
    <x v="10"/>
    <s v="rc_km@rencons.com"/>
    <x v="1"/>
    <d v="2019-11-28T00:00:00"/>
    <d v="2019-11-28T00:00:00"/>
    <s v="РК-РД-2-КМ2.1.10-015-01"/>
    <n v="0"/>
    <n v="0"/>
    <m/>
    <m/>
    <m/>
    <s v="Металлоконструкции кровли блок 2.2"/>
    <s v="Ссылка на план"/>
    <x v="731"/>
    <d v="2019-11-28T18:28:31"/>
    <d v="2019-12-13T14:59:29"/>
    <m/>
    <d v="2019-12-13T14:59:32"/>
  </r>
  <r>
    <n v="768"/>
    <s v="Покрытие кровли ETFE"/>
    <n v="3"/>
    <s v="Малозначительное"/>
    <x v="0"/>
    <x v="10"/>
    <s v="rc_km@rencons.com"/>
    <x v="1"/>
    <d v="2019-12-24T00:00:00"/>
    <d v="2019-12-31T00:00:00"/>
    <s v="РК-РД-2-АР09.9-02-04"/>
    <n v="40.75"/>
    <n v="16.07"/>
    <m/>
    <m/>
    <m/>
    <s v="Подконструкция кровли ETFE"/>
    <s v="Ссылка на план"/>
    <x v="732"/>
    <d v="2020-01-20T17:35:35"/>
    <d v="2020-01-20T17:35:35"/>
    <m/>
    <d v="2020-01-20T17:35:36"/>
  </r>
  <r>
    <n v="453"/>
    <s v="Монтаж м/к балок крепления фасадных конструкций в/о Е-И/13/1 на отм.+6,900."/>
    <n v="2"/>
    <s v="Значительное"/>
    <x v="0"/>
    <x v="10"/>
    <s v="rc_km@rencons.com"/>
    <x v="1"/>
    <d v="2019-11-27T00:00:00"/>
    <d v="2019-11-27T00:00:00"/>
    <s v="РК-РД-2-КМ5.1.07-005-00"/>
    <n v="0"/>
    <n v="0"/>
    <m/>
    <m/>
    <m/>
    <s v="Балки крепления фасадных элементов"/>
    <s v="Ссылка на план"/>
    <x v="728"/>
    <d v="2019-11-27T18:32:49"/>
    <d v="2019-12-13T14:59:29"/>
    <m/>
    <d v="2019-12-13T14:59:32"/>
  </r>
  <r>
    <n v="366"/>
    <s v="Приемка натяжения высокопрочных болтов м/к балок крепления фасадных элементов +4,100 узел 27,28,29,30,31,34"/>
    <n v="2"/>
    <s v="Значительное"/>
    <x v="0"/>
    <x v="10"/>
    <s v="rc_km@rencons.com"/>
    <x v="1"/>
    <d v="2019-11-19T00:00:00"/>
    <d v="2019-11-20T00:00:00"/>
    <s v="РК-РД-2-КМ5.1.07-005-00"/>
    <n v="0"/>
    <n v="0"/>
    <m/>
    <m/>
    <m/>
    <s v="Балки крепления фасадных элементов"/>
    <s v="Ссылка на план"/>
    <x v="733"/>
    <d v="2019-11-20T17:05:34"/>
    <d v="2019-12-13T14:59:29"/>
    <m/>
    <d v="2019-12-13T14:59:30"/>
  </r>
  <r>
    <n v="233"/>
    <s v="Освидетельствование натяжения высокопрочных болтов металлоконструкции кровли в/о Л/1-Н/17-18"/>
    <n v="2"/>
    <s v="Значительное"/>
    <x v="0"/>
    <x v="10"/>
    <s v="rc_km@rencons.com"/>
    <x v="1"/>
    <d v="2019-11-12T00:00:00"/>
    <d v="2019-11-12T00:00:00"/>
    <s v="РК-РД-2-КМ2.1.10-012-00"/>
    <n v="50"/>
    <n v="49.98"/>
    <s v="L5_Блок 2_B1"/>
    <m/>
    <m/>
    <s v="Металлоконструкции кровли блок 2.2"/>
    <s v="Ссылка на план"/>
    <x v="734"/>
    <d v="2019-11-12T20:26:08"/>
    <d v="2019-11-12T20:26:08"/>
    <m/>
    <d v="2019-11-12T20:26:16"/>
  </r>
  <r>
    <n v="367"/>
    <s v="Монтаж настила кровли блока А3 в/о 2/Б-6/Б/33/1-34/1 ."/>
    <n v="2"/>
    <s v="Значительное"/>
    <x v="0"/>
    <x v="10"/>
    <s v="rc_km@rencons.com"/>
    <x v="1"/>
    <d v="2019-11-20T00:00:00"/>
    <d v="2019-11-20T00:00:00"/>
    <s v="РК-РД-2-АР09.6-200-03-Тип 16-Схема раскладки настилов 1"/>
    <n v="0"/>
    <n v="0"/>
    <m/>
    <m/>
    <m/>
    <s v="Решетчатый настил"/>
    <s v="Ссылка на план"/>
    <x v="735"/>
    <d v="2019-11-20T18:17:51"/>
    <d v="2019-12-13T14:59:29"/>
    <m/>
    <d v="2019-12-13T14:59:32"/>
  </r>
  <r>
    <n v="368"/>
    <s v="Монтаж прогонов кровли блока 1."/>
    <n v="2"/>
    <s v="Значительное"/>
    <x v="0"/>
    <x v="10"/>
    <s v="rc_km@rencons.com"/>
    <x v="1"/>
    <d v="2019-11-20T00:00:00"/>
    <d v="2019-11-20T00:00:00"/>
    <s v="РК-РД-2-КМ1.1.12-012-00"/>
    <n v="0"/>
    <n v="0"/>
    <m/>
    <m/>
    <m/>
    <s v="Металлоконструкции блока 1"/>
    <s v="Ссылка на план"/>
    <x v="735"/>
    <d v="2019-11-20T18:55:05"/>
    <d v="2019-12-13T14:59:29"/>
    <m/>
    <d v="2019-12-13T14:59:36"/>
  </r>
  <r>
    <n v="370"/>
    <s v="Монтаж м/к балок кровли блок 2.2 узел 183,184,28,297,294,450,597."/>
    <n v="2"/>
    <s v="Значительное"/>
    <x v="0"/>
    <x v="10"/>
    <s v="rc_km@rencons.com"/>
    <x v="1"/>
    <d v="2019-11-20T00:00:00"/>
    <d v="2019-11-20T00:00:00"/>
    <s v="РК-РД-2-КМ2.1.10-012-00"/>
    <n v="0"/>
    <n v="0"/>
    <m/>
    <m/>
    <m/>
    <s v="Металлоконструкции кровли блок 2.2"/>
    <s v="Ссылка на план"/>
    <x v="735"/>
    <d v="2019-11-20T19:19:41"/>
    <d v="2019-12-13T14:59:29"/>
    <m/>
    <d v="2019-12-13T14:59:32"/>
  </r>
  <r>
    <n v="369"/>
    <s v="Монтаж м/к балок на отм. +41,650 узел 128,131,132,137."/>
    <n v="2"/>
    <s v="Значительное"/>
    <x v="0"/>
    <x v="10"/>
    <s v="rc_km@rencons.com"/>
    <x v="1"/>
    <d v="2019-11-20T00:00:00"/>
    <d v="2019-11-20T00:00:00"/>
    <s v="РК-РД-2-КМ2.1.10-010-01"/>
    <n v="0"/>
    <n v="0"/>
    <m/>
    <m/>
    <m/>
    <s v="Металлоконструкции кровли блок 2.2"/>
    <s v="Ссылка на план"/>
    <x v="735"/>
    <d v="2019-11-20T19:06:40"/>
    <d v="2019-12-13T14:59:29"/>
    <m/>
    <d v="2019-12-13T14:59:32"/>
  </r>
  <r>
    <n v="301"/>
    <s v="Приемка работ по натяжению высокопрочных болтов металлоконструкций кровли блока 2.2 в/о Г-Е/15-18 узел 124,125,286,281"/>
    <n v="2"/>
    <s v="Значительное"/>
    <x v="0"/>
    <x v="10"/>
    <s v="rc_km@rencons.com"/>
    <x v="1"/>
    <d v="2019-11-15T00:00:00"/>
    <d v="2019-11-15T00:00:00"/>
    <s v="РК-РД-2-КМ2.1.10-012-00"/>
    <n v="69.760000000000005"/>
    <n v="42.11"/>
    <m/>
    <m/>
    <m/>
    <s v="Металлоконструкции кровли блок 2.2"/>
    <s v="Ссылка на план"/>
    <x v="736"/>
    <d v="2019-11-16T18:03:04"/>
    <d v="2019-11-16T18:03:04"/>
    <m/>
    <d v="2019-11-16T18:03:04"/>
  </r>
  <r>
    <n v="305"/>
    <s v="Приемка работ по натяжению высокопрочных болтов  металлоконструкции кровли Блока 1 в/о У-Ш/1/Б-2/Б."/>
    <n v="2"/>
    <s v="Значительное"/>
    <x v="0"/>
    <x v="10"/>
    <s v="rc_km@rencons.com"/>
    <x v="1"/>
    <d v="2019-11-16T00:00:00"/>
    <d v="2019-11-16T00:00:00"/>
    <m/>
    <m/>
    <m/>
    <m/>
    <m/>
    <m/>
    <m/>
    <m/>
    <x v="737"/>
    <d v="2019-11-16T18:10:39"/>
    <d v="2019-12-12T17:44:20"/>
    <m/>
    <d v="2019-12-12T17:44:21"/>
  </r>
  <r>
    <n v="353"/>
    <s v="Пароизоляция. Монтаж клип-опор"/>
    <n v="2"/>
    <s v="Значительное"/>
    <x v="0"/>
    <x v="10"/>
    <s v="rc_km@rencons.com"/>
    <x v="1"/>
    <d v="2019-11-19T00:00:00"/>
    <d v="2019-11-20T00:00:00"/>
    <s v="РК-РД-2-АР09.7-09-04"/>
    <n v="0"/>
    <n v="0"/>
    <m/>
    <m/>
    <m/>
    <s v="Фальцевая кровля"/>
    <s v="Ссылка на план"/>
    <x v="738"/>
    <d v="2019-11-20T17:04:27"/>
    <d v="2019-12-13T14:59:29"/>
    <m/>
    <d v="2019-12-13T14:59:30"/>
  </r>
  <r>
    <n v="359"/>
    <s v="Освидетельствование работ по натяжению высокопрочных болтов металлоконструкции кровли блока 2.2 узел 281/1,285"/>
    <n v="2"/>
    <s v="Значительное"/>
    <x v="0"/>
    <x v="10"/>
    <s v="rc_km@rencons.com"/>
    <x v="1"/>
    <d v="2019-11-19T00:00:00"/>
    <d v="2019-11-19T00:00:00"/>
    <s v="РК-РД-2-КМ2.1.10-012-00"/>
    <n v="0"/>
    <n v="0"/>
    <m/>
    <m/>
    <m/>
    <s v="Металлоконструкции кровли блок 2.2"/>
    <s v="Ссылка на план"/>
    <x v="739"/>
    <d v="2019-11-19T19:10:38"/>
    <d v="2019-12-13T14:59:29"/>
    <m/>
    <d v="2019-12-13T14:59:30"/>
  </r>
  <r>
    <n v="362"/>
    <s v="Освидетельствование работ по натяжению высокопрочных болтов металлоконструкции кровли блока 2.2 узел 117,129."/>
    <n v="2"/>
    <s v="Значительное"/>
    <x v="0"/>
    <x v="10"/>
    <s v="rc_km@rencons.com"/>
    <x v="1"/>
    <d v="2019-11-19T00:00:00"/>
    <d v="2019-11-19T00:00:00"/>
    <s v="РК-РД-2-КМ2.1.10-010-01"/>
    <n v="0"/>
    <n v="0"/>
    <m/>
    <m/>
    <m/>
    <s v="Металлоконструкции кровли блок 2.2"/>
    <s v="Ссылка на план"/>
    <x v="740"/>
    <d v="2019-11-19T19:34:22"/>
    <d v="2019-12-13T14:59:29"/>
    <m/>
    <d v="2019-12-13T14:59:30"/>
  </r>
  <r>
    <n v="873"/>
    <s v="Затяжка резьбовых соединений фермы в/о У-Ш/11-13."/>
    <n v="2"/>
    <s v="Значительное"/>
    <x v="0"/>
    <x v="10"/>
    <s v="rc_km@rencons.com"/>
    <x v="1"/>
    <d v="2020-01-09T00:00:00"/>
    <d v="2020-01-09T00:00:00"/>
    <m/>
    <m/>
    <m/>
    <m/>
    <m/>
    <m/>
    <m/>
    <m/>
    <x v="741"/>
    <d v="2020-01-09T18:52:04"/>
    <d v="2020-01-09T18:52:04"/>
    <m/>
    <d v="2020-01-09T18:52:05"/>
  </r>
  <r>
    <n v="1197"/>
    <s v="Гидроизоляция лотков кровли ETFE №21,22,23,24,25 в/о 24-27/7/Б-10/Б."/>
    <n v="2"/>
    <s v="Значительное"/>
    <x v="0"/>
    <x v="10"/>
    <s v="rc_km@rencons.com"/>
    <x v="1"/>
    <d v="2020-02-06T00:00:00"/>
    <d v="2020-02-07T00:00:00"/>
    <m/>
    <m/>
    <m/>
    <m/>
    <m/>
    <m/>
    <m/>
    <m/>
    <x v="9"/>
    <d v="2020-02-07T16:27:25"/>
    <d v="2020-02-07T16:27:25"/>
    <m/>
    <d v="2020-02-07T16:35:08"/>
  </r>
  <r>
    <n v="1217"/>
    <s v="Антикоррозийная защита болтовых соединений узел 716,244,31,30,139,140,141,133,134,144,715,15,151 отм. +62,850."/>
    <n v="2"/>
    <s v="Значительное"/>
    <x v="0"/>
    <x v="10"/>
    <s v="rc_km@rencons.com"/>
    <x v="1"/>
    <d v="2020-02-07T00:00:00"/>
    <d v="2020-02-07T00:00:00"/>
    <m/>
    <m/>
    <m/>
    <m/>
    <m/>
    <m/>
    <m/>
    <m/>
    <x v="742"/>
    <d v="2020-02-07T16:40:41"/>
    <d v="2020-02-07T16:40:41"/>
    <m/>
    <d v="2020-02-07T16:41:00"/>
  </r>
  <r>
    <n v="976"/>
    <s v="Теплоизоляция лотка кровли ETFE узел 15-113"/>
    <n v="2"/>
    <s v="Значительное"/>
    <x v="0"/>
    <x v="10"/>
    <s v="rc_km@rencons.com"/>
    <x v="1"/>
    <d v="2020-01-21T00:00:00"/>
    <d v="2020-01-21T00:00:00"/>
    <m/>
    <m/>
    <m/>
    <m/>
    <m/>
    <m/>
    <m/>
    <m/>
    <x v="488"/>
    <d v="2020-01-21T17:36:56"/>
    <d v="2020-01-21T17:36:56"/>
    <m/>
    <d v="2020-01-21T17:38:38"/>
  </r>
  <r>
    <n v="983"/>
    <s v="Монтаж рельсов системы СОФ 1 в/о 10/Б-13/Б-М/21-34/1"/>
    <n v="1"/>
    <s v="КРИТИЧЕСКОЕ"/>
    <x v="0"/>
    <x v="10"/>
    <s v="rc_km@rencons.com"/>
    <x v="1"/>
    <d v="2020-01-21T00:00:00"/>
    <d v="2020-01-21T00:00:00"/>
    <m/>
    <m/>
    <m/>
    <m/>
    <m/>
    <m/>
    <m/>
    <m/>
    <x v="743"/>
    <d v="2020-01-30T09:45:44"/>
    <d v="2020-01-30T09:45:44"/>
    <m/>
    <d v="2020-01-30T09:45:45"/>
  </r>
  <r>
    <n v="979"/>
    <s v="Монтаж несущих лотков узел 105-116"/>
    <n v="2"/>
    <s v="Значительное"/>
    <x v="0"/>
    <x v="10"/>
    <s v="rc_km@rencons.com"/>
    <x v="1"/>
    <d v="2020-01-21T00:00:00"/>
    <d v="2020-01-21T00:00:00"/>
    <m/>
    <m/>
    <m/>
    <m/>
    <m/>
    <m/>
    <m/>
    <m/>
    <x v="744"/>
    <d v="2020-01-21T17:49:49"/>
    <d v="2020-01-21T17:49:49"/>
    <m/>
    <d v="2020-01-21T17:50:02"/>
  </r>
  <r>
    <n v="1014"/>
    <s v="Монтаж конструкции лотков узел 131,133"/>
    <n v="2"/>
    <s v="Значительное"/>
    <x v="0"/>
    <x v="10"/>
    <s v="rc_km@rencons.com"/>
    <x v="1"/>
    <d v="2020-01-22T00:00:00"/>
    <d v="2020-01-22T00:00:00"/>
    <m/>
    <m/>
    <m/>
    <m/>
    <m/>
    <m/>
    <m/>
    <m/>
    <x v="745"/>
    <d v="2020-01-22T17:56:27"/>
    <d v="2020-01-22T17:56:27"/>
    <m/>
    <d v="2020-01-23T11:11:53"/>
  </r>
  <r>
    <n v="1036"/>
    <s v="#АУПТ.  Система АПТ L3.05. Трубопроводы"/>
    <n v="2"/>
    <s v="Значительное"/>
    <x v="1"/>
    <x v="10"/>
    <s v="vasenkov@spgr.ru"/>
    <x v="1"/>
    <d v="2020-01-30T00:00:00"/>
    <d v="2020-01-31T00:00:00"/>
    <m/>
    <m/>
    <m/>
    <m/>
    <m/>
    <m/>
    <m/>
    <m/>
    <x v="746"/>
    <m/>
    <m/>
    <m/>
    <d v="2020-01-24T09:54:22"/>
  </r>
  <r>
    <n v="1192"/>
    <s v="#гпт. Направление 44. Трубопроводы."/>
    <n v="2"/>
    <s v="Значительное"/>
    <x v="1"/>
    <x v="10"/>
    <s v="vasenkov@spgr.ru"/>
    <x v="1"/>
    <d v="2020-02-05T00:00:00"/>
    <d v="2020-02-07T00:00:00"/>
    <s v="РК-РД-2-ПТ4.2.01-19-01"/>
    <n v="23.74"/>
    <n v="34.76"/>
    <m/>
    <m/>
    <m/>
    <s v="Ltop ГПТ"/>
    <s v="Ссылка на план"/>
    <x v="747"/>
    <m/>
    <m/>
    <m/>
    <d v="2020-02-05T19:37:55"/>
  </r>
  <r>
    <n v="906"/>
    <s v="Газоходы ДГУ и ДДИБП"/>
    <n v="2"/>
    <s v="Значительное"/>
    <x v="1"/>
    <x v="10"/>
    <s v="vasenkov@spgr.ru"/>
    <x v="1"/>
    <m/>
    <m/>
    <m/>
    <m/>
    <m/>
    <m/>
    <m/>
    <m/>
    <m/>
    <m/>
    <x v="748"/>
    <m/>
    <m/>
    <m/>
    <d v="2020-01-14T11:43:24"/>
  </r>
  <r>
    <n v="1029"/>
    <s v="ПНР. П5-3.3."/>
    <n v="2"/>
    <s v="Значительное"/>
    <x v="0"/>
    <x v="10"/>
    <s v="vasenkov@spgr.ru"/>
    <x v="1"/>
    <d v="2020-01-23T00:00:00"/>
    <d v="2020-01-23T00:00:00"/>
    <m/>
    <m/>
    <m/>
    <m/>
    <m/>
    <m/>
    <m/>
    <m/>
    <x v="749"/>
    <d v="2020-01-24T09:31:50"/>
    <d v="2020-01-24T09:31:50"/>
    <m/>
    <d v="2020-01-24T09:43:55"/>
  </r>
  <r>
    <n v="1032"/>
    <s v="ПНР. П5-1.6"/>
    <n v="2"/>
    <s v="Значительное"/>
    <x v="0"/>
    <x v="10"/>
    <s v="vasenkov@spgr.ru"/>
    <x v="1"/>
    <d v="2020-01-23T00:00:00"/>
    <d v="2020-01-23T00:00:00"/>
    <m/>
    <m/>
    <m/>
    <m/>
    <m/>
    <m/>
    <m/>
    <m/>
    <x v="750"/>
    <d v="2020-01-24T09:36:00"/>
    <d v="2020-01-24T09:36:00"/>
    <m/>
    <d v="2020-01-24T09:43:55"/>
  </r>
  <r>
    <n v="1034"/>
    <s v="ПНР. П4-2.5"/>
    <n v="2"/>
    <s v="Значительное"/>
    <x v="0"/>
    <x v="10"/>
    <s v="vasenkov@spgr.ru"/>
    <x v="1"/>
    <d v="2020-01-23T00:00:00"/>
    <d v="2020-01-23T00:00:00"/>
    <m/>
    <m/>
    <m/>
    <m/>
    <m/>
    <m/>
    <m/>
    <m/>
    <x v="751"/>
    <d v="2020-01-24T09:41:56"/>
    <d v="2020-01-24T09:41:56"/>
    <m/>
    <d v="2020-01-24T09:43:55"/>
  </r>
  <r>
    <n v="1035"/>
    <s v="#АУПТ.  Система АПТ L2.03. Трубопроводы"/>
    <n v="2"/>
    <s v="Значительное"/>
    <x v="0"/>
    <x v="10"/>
    <s v="vasenkov@spgr.ru"/>
    <x v="1"/>
    <d v="2020-01-23T00:00:00"/>
    <d v="2020-01-23T00:00:00"/>
    <m/>
    <m/>
    <m/>
    <m/>
    <m/>
    <m/>
    <m/>
    <m/>
    <x v="752"/>
    <d v="2020-01-24T09:49:07"/>
    <d v="2020-01-24T09:49:07"/>
    <m/>
    <d v="2020-01-24T09:50:45"/>
  </r>
  <r>
    <n v="1037"/>
    <s v="#ГПТ. Направление 30, Испытание трубопроводы, помещение 13.B1.1.048"/>
    <n v="2"/>
    <s v="Значительное"/>
    <x v="0"/>
    <x v="10"/>
    <s v="vasenkov@spgr.ru"/>
    <x v="1"/>
    <d v="2020-01-24T00:00:00"/>
    <d v="2020-01-24T00:00:00"/>
    <m/>
    <m/>
    <m/>
    <m/>
    <m/>
    <m/>
    <m/>
    <m/>
    <x v="753"/>
    <d v="2020-01-24T11:40:19"/>
    <d v="2020-01-24T11:40:19"/>
    <m/>
    <d v="2020-01-24T11:40:29"/>
  </r>
  <r>
    <n v="1041"/>
    <s v="#АУПТ. ВПВ В1.01. Промывка."/>
    <n v="2"/>
    <s v="Значительное"/>
    <x v="0"/>
    <x v="10"/>
    <s v="vasenkov@spgr.ru"/>
    <x v="1"/>
    <d v="2020-01-24T00:00:00"/>
    <d v="2020-01-24T00:00:00"/>
    <m/>
    <m/>
    <m/>
    <m/>
    <m/>
    <m/>
    <m/>
    <m/>
    <x v="754"/>
    <d v="2020-01-24T13:59:13"/>
    <d v="2020-01-24T13:59:13"/>
    <m/>
    <d v="2020-01-24T13:59:37"/>
  </r>
  <r>
    <n v="1044"/>
    <s v="#ГПТ. Направление 41. Трубопроводы"/>
    <n v="2"/>
    <s v="Значительное"/>
    <x v="0"/>
    <x v="10"/>
    <s v="vasenkov@spgr.ru"/>
    <x v="1"/>
    <d v="2020-01-24T00:00:00"/>
    <d v="2020-01-24T00:00:00"/>
    <s v="РК-РД-2-ПТ4.2.01-16-01"/>
    <n v="38.68"/>
    <n v="32.26"/>
    <m/>
    <m/>
    <m/>
    <s v="Ltop ГПТ"/>
    <s v="Ссылка на план"/>
    <x v="755"/>
    <d v="2020-01-24T15:52:09"/>
    <d v="2020-01-24T15:52:09"/>
    <m/>
    <d v="2020-01-24T15:52:21"/>
  </r>
  <r>
    <n v="676"/>
    <s v="ПНР.  П5-1.1./В5-1.1"/>
    <n v="2"/>
    <s v="Значительное"/>
    <x v="0"/>
    <x v="10"/>
    <s v="vasenkov@spgr.ru"/>
    <x v="1"/>
    <d v="2019-12-19T00:00:00"/>
    <d v="2019-12-19T00:00:00"/>
    <m/>
    <m/>
    <m/>
    <m/>
    <m/>
    <n v="0"/>
    <m/>
    <m/>
    <x v="756"/>
    <d v="2019-12-19T13:56:08"/>
    <d v="2019-12-19T13:56:08"/>
    <m/>
    <d v="2020-01-28T12:38:44"/>
  </r>
  <r>
    <n v="1074"/>
    <s v="ПНР. П5-3.4"/>
    <n v="2"/>
    <s v="Значительное"/>
    <x v="0"/>
    <x v="10"/>
    <s v="vasenkov@spgr.ru"/>
    <x v="1"/>
    <d v="2020-01-28T00:00:00"/>
    <d v="2020-01-28T00:00:00"/>
    <m/>
    <m/>
    <m/>
    <m/>
    <m/>
    <m/>
    <m/>
    <m/>
    <x v="757"/>
    <d v="2020-01-28T12:11:34"/>
    <d v="2020-01-28T12:11:34"/>
    <m/>
    <d v="2020-01-28T12:11:41"/>
  </r>
  <r>
    <n v="1076"/>
    <s v="ПНР. К2-3.3"/>
    <n v="2"/>
    <s v="Значительное"/>
    <x v="0"/>
    <x v="10"/>
    <s v="vasenkov@spgr.ru"/>
    <x v="1"/>
    <d v="2019-12-27T00:00:00"/>
    <d v="2019-12-27T00:00:00"/>
    <m/>
    <m/>
    <m/>
    <m/>
    <m/>
    <m/>
    <m/>
    <m/>
    <x v="758"/>
    <d v="2020-01-28T12:35:58"/>
    <d v="2020-01-28T12:35:58"/>
    <m/>
    <d v="2020-01-28T12:36:12"/>
  </r>
  <r>
    <n v="1075"/>
    <s v="ПНР. П5-1.4"/>
    <n v="2"/>
    <s v="Значительное"/>
    <x v="0"/>
    <x v="10"/>
    <s v="vasenkov@spgr.ru"/>
    <x v="1"/>
    <d v="2020-01-28T00:00:00"/>
    <d v="2020-01-28T00:00:00"/>
    <m/>
    <m/>
    <m/>
    <m/>
    <m/>
    <m/>
    <m/>
    <m/>
    <x v="759"/>
    <d v="2020-01-28T12:16:13"/>
    <d v="2020-01-28T12:16:13"/>
    <m/>
    <d v="2020-01-28T12:16:13"/>
  </r>
  <r>
    <n v="1077"/>
    <s v="ПНР. П3-1"/>
    <n v="2"/>
    <s v="Значительное"/>
    <x v="0"/>
    <x v="10"/>
    <s v="vasenkov@spgr.ru"/>
    <x v="1"/>
    <d v="2019-12-27T00:00:00"/>
    <d v="2019-12-27T00:00:00"/>
    <m/>
    <m/>
    <m/>
    <m/>
    <m/>
    <m/>
    <m/>
    <m/>
    <x v="760"/>
    <d v="2020-01-28T12:37:45"/>
    <d v="2020-01-28T12:37:45"/>
    <m/>
    <d v="2020-01-28T12:37:57"/>
  </r>
  <r>
    <n v="1033"/>
    <s v="ПНР. П4-2.2"/>
    <n v="2"/>
    <s v="Значительное"/>
    <x v="0"/>
    <x v="10"/>
    <s v="vasenkov@spgr.ru"/>
    <x v="1"/>
    <d v="2020-01-23T00:00:00"/>
    <d v="2020-01-23T00:00:00"/>
    <m/>
    <m/>
    <m/>
    <m/>
    <n v="0"/>
    <n v="0"/>
    <m/>
    <m/>
    <x v="761"/>
    <d v="2020-01-24T09:37:29"/>
    <d v="2020-01-24T09:37:29"/>
    <m/>
    <d v="2020-01-28T12:41:37"/>
  </r>
  <r>
    <n v="1030"/>
    <s v="ПНР. П5-1.3"/>
    <n v="2"/>
    <s v="Значительное"/>
    <x v="0"/>
    <x v="10"/>
    <s v="vasenkov@spgr.ru"/>
    <x v="1"/>
    <d v="2020-01-23T00:00:00"/>
    <d v="2020-01-23T00:00:00"/>
    <m/>
    <m/>
    <m/>
    <m/>
    <m/>
    <n v="0"/>
    <m/>
    <m/>
    <x v="762"/>
    <d v="2020-01-24T09:33:53"/>
    <d v="2020-01-24T09:33:53"/>
    <m/>
    <d v="2020-01-28T12:39:56"/>
  </r>
  <r>
    <n v="1107"/>
    <s v="Вентиляция. Венткамера 13.L5.3.001"/>
    <n v="2"/>
    <s v="Значительное"/>
    <x v="0"/>
    <x v="10"/>
    <s v="vasenkov@spgr.ru"/>
    <x v="1"/>
    <d v="2020-01-29T00:00:00"/>
    <d v="2020-02-03T00:00:00"/>
    <m/>
    <m/>
    <m/>
    <m/>
    <m/>
    <m/>
    <m/>
    <m/>
    <x v="763"/>
    <d v="2020-02-03T16:34:20"/>
    <d v="2020-02-03T16:34:20"/>
    <m/>
    <d v="2020-02-05T20:47:07"/>
  </r>
  <r>
    <n v="1004"/>
    <s v="ПНР. П2-5/В2-5"/>
    <n v="2"/>
    <s v="Значительное"/>
    <x v="0"/>
    <x v="10"/>
    <s v="vasenkov@spgr.ru"/>
    <x v="1"/>
    <d v="2019-12-27T00:00:00"/>
    <d v="2019-12-27T00:00:00"/>
    <m/>
    <m/>
    <m/>
    <m/>
    <m/>
    <m/>
    <m/>
    <m/>
    <x v="764"/>
    <d v="2020-01-22T15:53:41"/>
    <d v="2020-01-22T15:53:41"/>
    <m/>
    <d v="2020-01-28T12:32:23"/>
  </r>
  <r>
    <n v="871"/>
    <s v="ГПТ направление 30, трубопроводы, помещение 13.B1.1.048"/>
    <n v="2"/>
    <s v="Значительное"/>
    <x v="0"/>
    <x v="10"/>
    <s v="vasenkov@spgr.ru"/>
    <x v="1"/>
    <d v="2020-01-17T00:00:00"/>
    <d v="2020-01-17T00:00:00"/>
    <s v="РК-РД-1-ПТ4.2.01-34-04"/>
    <n v="66.819999999999993"/>
    <n v="59.7"/>
    <m/>
    <m/>
    <m/>
    <s v="В1-В2 ГПТ"/>
    <s v="Ссылка на план"/>
    <x v="765"/>
    <d v="2020-01-17T17:27:17"/>
    <d v="2020-01-17T17:27:17"/>
    <m/>
    <d v="2020-01-22T15:43:58"/>
  </r>
  <r>
    <n v="1187"/>
    <s v="#ГПТ. Направление 42. Испытание трубопроводов."/>
    <n v="2"/>
    <s v="Значительное"/>
    <x v="0"/>
    <x v="10"/>
    <s v="vasenkov@spgr.ru"/>
    <x v="1"/>
    <d v="2020-02-05T00:00:00"/>
    <d v="2020-02-05T00:00:00"/>
    <s v="РК-РД-2-ПТ4.2.01-17-01"/>
    <n v="0"/>
    <n v="0"/>
    <m/>
    <m/>
    <m/>
    <s v="Ltop ГПТ"/>
    <s v="Ссылка на план"/>
    <x v="766"/>
    <d v="2020-02-05T11:35:10"/>
    <d v="2020-02-05T11:35:10"/>
    <m/>
    <d v="2020-02-05T20:26:14"/>
  </r>
  <r>
    <n v="1185"/>
    <s v="#АУПТ. Система АПТ. L2.01. Трубопроводы."/>
    <n v="2"/>
    <s v="Значительное"/>
    <x v="0"/>
    <x v="10"/>
    <s v="vasenkov@spgr.ru"/>
    <x v="1"/>
    <d v="2020-02-04T00:00:00"/>
    <d v="2020-02-04T00:00:00"/>
    <m/>
    <m/>
    <m/>
    <m/>
    <m/>
    <m/>
    <m/>
    <m/>
    <x v="767"/>
    <d v="2020-02-05T09:51:42"/>
    <d v="2020-02-05T09:51:42"/>
    <m/>
    <d v="2020-02-05T09:52:18"/>
  </r>
  <r>
    <n v="1186"/>
    <s v="#гпт. Направление 41. Испытание трубопроводов."/>
    <n v="2"/>
    <s v="Значительное"/>
    <x v="0"/>
    <x v="10"/>
    <s v="vasenkov@spgr.ru"/>
    <x v="1"/>
    <d v="2020-02-05T00:00:00"/>
    <d v="2020-02-05T00:00:00"/>
    <s v="РК-РД-2-ПТ4.2.01-16-01"/>
    <n v="23.7"/>
    <n v="35.65"/>
    <m/>
    <m/>
    <m/>
    <s v="Ltop ГПТ"/>
    <s v="Ссылка на план"/>
    <x v="768"/>
    <d v="2020-02-05T10:58:22"/>
    <d v="2020-02-05T10:58:22"/>
    <m/>
    <d v="2020-02-05T20:27:31"/>
  </r>
  <r>
    <n v="1193"/>
    <s v="#гпт. Направление 39. Трубопроводы"/>
    <n v="2"/>
    <s v="Значительное"/>
    <x v="0"/>
    <x v="10"/>
    <s v="vasenkov@spgr.ru"/>
    <x v="1"/>
    <d v="2020-02-05T00:00:00"/>
    <d v="2020-02-05T00:00:00"/>
    <s v="РК-РД-2-ПТ4.2.01-14-01"/>
    <n v="62.88"/>
    <n v="25.54"/>
    <m/>
    <m/>
    <m/>
    <s v="Ltop ГПТ"/>
    <s v="Ссылка на план"/>
    <x v="769"/>
    <d v="2020-02-05T19:38:42"/>
    <d v="2020-02-05T19:38:42"/>
    <m/>
    <d v="2020-02-05T19:38:49"/>
  </r>
  <r>
    <n v="1191"/>
    <s v="#гпт. Направление 33. Испытания трубопроводов"/>
    <n v="2"/>
    <s v="Значительное"/>
    <x v="0"/>
    <x v="10"/>
    <s v="vasenkov@spgr.ru"/>
    <x v="1"/>
    <d v="2020-02-05T00:00:00"/>
    <d v="2020-02-05T00:00:00"/>
    <s v="РК-РД-2-ПТ4.2.01-08-01"/>
    <n v="50.21"/>
    <n v="31.37"/>
    <m/>
    <m/>
    <m/>
    <s v="Ltop ГПТ"/>
    <s v="Ссылка на план"/>
    <x v="770"/>
    <d v="2020-02-05T15:06:12"/>
    <d v="2020-02-05T15:06:12"/>
    <m/>
    <d v="2020-02-05T15:17:48"/>
  </r>
  <r>
    <n v="1194"/>
    <s v="#гпт. Направление 39. Испытание Трубопроводов"/>
    <n v="2"/>
    <s v="Значительное"/>
    <x v="0"/>
    <x v="10"/>
    <s v="vasenkov@spgr.ru"/>
    <x v="1"/>
    <d v="2020-02-05T00:00:00"/>
    <d v="2020-02-05T00:00:00"/>
    <s v="РК-РД-2-ПТ4.2.01-14-01"/>
    <n v="49.79"/>
    <n v="26.07"/>
    <m/>
    <m/>
    <m/>
    <s v="Ltop ГПТ"/>
    <s v="Ссылка на план"/>
    <x v="771"/>
    <d v="2020-02-05T15:50:29"/>
    <d v="2020-02-05T15:50:29"/>
    <m/>
    <d v="2020-02-05T15:51:15"/>
  </r>
  <r>
    <n v="1195"/>
    <s v="#гпт. Направление 40. Трубопроводы."/>
    <n v="2"/>
    <s v="Значительное"/>
    <x v="0"/>
    <x v="10"/>
    <s v="vasenkov@spgr.ru"/>
    <x v="1"/>
    <d v="2020-02-05T00:00:00"/>
    <d v="2020-02-05T00:00:00"/>
    <s v="РК-РД-2-ПТ4.2.01-15-01"/>
    <n v="41.79"/>
    <n v="38.15"/>
    <m/>
    <m/>
    <m/>
    <s v="Ltop ГПТ"/>
    <s v="Ссылка на план"/>
    <x v="772"/>
    <d v="2020-02-05T19:39:40"/>
    <d v="2020-02-05T19:39:40"/>
    <m/>
    <d v="2020-02-05T19:39:51"/>
  </r>
  <r>
    <n v="1200"/>
    <s v="#гпт. Направление 43. Трубопроводы"/>
    <n v="2"/>
    <s v="Значительное"/>
    <x v="0"/>
    <x v="10"/>
    <s v="vasenkov@spgr.ru"/>
    <x v="1"/>
    <d v="2020-02-05T00:00:00"/>
    <d v="2020-02-05T00:00:00"/>
    <s v="РК-РД-2-ПТ4.2.01-18-01"/>
    <n v="39.6"/>
    <n v="33.51"/>
    <m/>
    <m/>
    <m/>
    <s v="Ltop ГПТ"/>
    <s v="Ссылка на план"/>
    <x v="773"/>
    <d v="2020-02-05T19:34:54"/>
    <d v="2020-02-05T19:34:54"/>
    <m/>
    <d v="2020-02-05T19:34:55"/>
  </r>
  <r>
    <n v="1199"/>
    <s v="#гпт. Направление 40. Испытание трубопроводов."/>
    <n v="2"/>
    <s v="Значительное"/>
    <x v="0"/>
    <x v="10"/>
    <s v="vasenkov@spgr.ru"/>
    <x v="1"/>
    <d v="2020-02-05T00:00:00"/>
    <d v="2020-02-05T00:00:00"/>
    <s v="РК-РД-2-ПТ4.2.01-15-01"/>
    <n v="43.48"/>
    <n v="24.94"/>
    <m/>
    <m/>
    <m/>
    <s v="Ltop ГПТ"/>
    <s v="Ссылка на план"/>
    <x v="774"/>
    <d v="2020-02-05T16:25:31"/>
    <d v="2020-02-05T16:25:31"/>
    <m/>
    <d v="2020-02-05T16:29:01"/>
  </r>
  <r>
    <n v="1202"/>
    <s v="#гпт. Направление 35. Трубопроводы."/>
    <n v="2"/>
    <s v="Значительное"/>
    <x v="0"/>
    <x v="10"/>
    <s v="vasenkov@spgr.ru"/>
    <x v="1"/>
    <d v="2020-02-05T00:00:00"/>
    <d v="2020-02-05T00:00:00"/>
    <s v="РК-РД-2-ПТ4.2.01-10-01"/>
    <n v="21.55"/>
    <n v="36.19"/>
    <m/>
    <m/>
    <m/>
    <s v="Ltop ГПТ"/>
    <s v="Ссылка на план"/>
    <x v="775"/>
    <d v="2020-02-05T19:40:59"/>
    <d v="2020-02-05T19:40:59"/>
    <m/>
    <d v="2020-02-05T19:41:08"/>
  </r>
  <r>
    <n v="1201"/>
    <s v="#гпт. Направление 43. Испытание трубопроводов."/>
    <n v="2"/>
    <s v="Значительное"/>
    <x v="0"/>
    <x v="10"/>
    <s v="vasenkov@spgr.ru"/>
    <x v="1"/>
    <d v="2020-02-05T00:00:00"/>
    <d v="2020-02-05T00:00:00"/>
    <s v="РК-РД-2-ПТ4.2.01-18-01"/>
    <n v="45.54"/>
    <n v="24.58"/>
    <m/>
    <m/>
    <m/>
    <s v="Ltop ГПТ"/>
    <s v="Ссылка на план"/>
    <x v="776"/>
    <d v="2020-02-05T16:52:31"/>
    <d v="2020-02-05T16:52:31"/>
    <m/>
    <d v="2020-02-05T16:52:57"/>
  </r>
  <r>
    <n v="1203"/>
    <s v="#гпт. Направление 35. Испытание трубопроводов."/>
    <n v="2"/>
    <s v="Значительное"/>
    <x v="0"/>
    <x v="10"/>
    <s v="vasenkov@spgr.ru"/>
    <x v="1"/>
    <d v="2020-02-05T00:00:00"/>
    <d v="2020-02-05T00:00:00"/>
    <s v="РК-РД-2-ПТ4.2.01-10-01"/>
    <n v="39.86"/>
    <n v="36.549999999999997"/>
    <m/>
    <m/>
    <m/>
    <s v="Ltop ГПТ"/>
    <s v="Ссылка на план"/>
    <x v="777"/>
    <d v="2020-02-05T17:25:18"/>
    <d v="2020-02-05T17:25:18"/>
    <m/>
    <d v="2020-02-05T17:25:42"/>
  </r>
  <r>
    <n v="1214"/>
    <s v="#АУПТ. ВПВ L2.01. Промывка."/>
    <n v="2"/>
    <s v="Значительное"/>
    <x v="0"/>
    <x v="10"/>
    <s v="vasenkov@spgr.ru"/>
    <x v="1"/>
    <d v="2020-02-06T00:00:00"/>
    <d v="2020-02-06T00:00:00"/>
    <m/>
    <m/>
    <m/>
    <m/>
    <m/>
    <m/>
    <m/>
    <m/>
    <x v="778"/>
    <d v="2020-02-06T16:15:18"/>
    <d v="2020-02-06T16:15:18"/>
    <m/>
    <d v="2020-02-06T16:15:19"/>
  </r>
  <r>
    <n v="1189"/>
    <s v="#гпт. Направление 38. Испытание трубопроводов."/>
    <n v="2"/>
    <s v="Значительное"/>
    <x v="0"/>
    <x v="10"/>
    <s v="vasenkov@spgr.ru"/>
    <x v="1"/>
    <m/>
    <m/>
    <m/>
    <m/>
    <m/>
    <m/>
    <m/>
    <m/>
    <m/>
    <m/>
    <x v="779"/>
    <d v="2020-02-06T12:03:54"/>
    <d v="2020-02-06T12:03:54"/>
    <m/>
    <d v="2020-02-06T12:03:54"/>
  </r>
  <r>
    <n v="1040"/>
    <s v="#ГПТ. Направление 38. Трубопроводы."/>
    <n v="2"/>
    <s v="Значительное"/>
    <x v="0"/>
    <x v="10"/>
    <s v="vasenkov@spgr.ru"/>
    <x v="1"/>
    <d v="2020-01-24T00:00:00"/>
    <d v="2020-01-30T00:00:00"/>
    <s v="РК-РД-2-ПТ4.2.01-13-01"/>
    <n v="40.909999999999997"/>
    <n v="24.7"/>
    <m/>
    <m/>
    <m/>
    <s v="Ltop ГПТ"/>
    <s v="Ссылка на план"/>
    <x v="780"/>
    <d v="2020-02-06T12:03:26"/>
    <d v="2020-02-06T12:03:26"/>
    <m/>
    <d v="2020-02-06T12:03:26"/>
  </r>
  <r>
    <n v="1038"/>
    <s v="#ГПТ. Направление 42. Трубопроводы."/>
    <n v="2"/>
    <s v="Значительное"/>
    <x v="0"/>
    <x v="10"/>
    <s v="vasenkov@spgr.ru"/>
    <x v="1"/>
    <d v="2020-01-21T00:00:00"/>
    <d v="2020-01-30T00:00:00"/>
    <s v="РК-РД-2-ПТ4.2.01-17-01"/>
    <n v="0"/>
    <n v="0"/>
    <s v="13.L4.1.011"/>
    <m/>
    <m/>
    <s v="Ltop ГПТ"/>
    <s v="Ссылка на план"/>
    <x v="781"/>
    <d v="2020-02-05T11:16:24"/>
    <d v="2020-02-05T11:16:24"/>
    <m/>
    <d v="2020-02-05T20:25:51"/>
  </r>
  <r>
    <n v="1207"/>
    <s v="#АУПТ.  АПТ L2.01. Промывка трубопроводов."/>
    <n v="2"/>
    <s v="Значительное"/>
    <x v="0"/>
    <x v="10"/>
    <s v="vasenkov@spgr.ru"/>
    <x v="1"/>
    <d v="2020-02-06T00:00:00"/>
    <d v="2020-02-06T00:00:00"/>
    <m/>
    <m/>
    <m/>
    <m/>
    <m/>
    <m/>
    <m/>
    <m/>
    <x v="782"/>
    <d v="2020-02-06T16:16:13"/>
    <d v="2020-02-06T16:16:13"/>
    <m/>
    <d v="2020-02-06T16:16:13"/>
  </r>
  <r>
    <n v="927"/>
    <s v="Участок Трубопроводов СТВ 3-1 И СХВ3-1"/>
    <n v="2"/>
    <s v="Значительное"/>
    <x v="0"/>
    <x v="10"/>
    <s v="vasenkov@spgr.ru"/>
    <x v="1"/>
    <d v="2020-01-28T00:00:00"/>
    <d v="2020-01-28T00:00:00"/>
    <s v="РК-РД-2-ОВ4.2.03-20.04-05"/>
    <n v="36.67"/>
    <n v="90.71"/>
    <m/>
    <m/>
    <m/>
    <s v="L top Отопление и холод"/>
    <s v="Ссылка на план"/>
    <x v="783"/>
    <d v="2020-01-28T14:22:55"/>
    <d v="2020-01-28T14:22:55"/>
    <m/>
    <d v="2020-01-28T14:23:02"/>
  </r>
  <r>
    <n v="962"/>
    <s v="ПНР П5-1.2"/>
    <n v="2"/>
    <s v="Значительное"/>
    <x v="0"/>
    <x v="10"/>
    <s v="vasenkov@spgr.ru"/>
    <x v="1"/>
    <d v="2020-01-20T00:00:00"/>
    <d v="2020-01-20T00:00:00"/>
    <m/>
    <m/>
    <m/>
    <m/>
    <m/>
    <m/>
    <m/>
    <m/>
    <x v="784"/>
    <d v="2020-01-20T14:59:53"/>
    <d v="2020-01-20T14:59:53"/>
    <m/>
    <d v="2020-01-24T09:43:55"/>
  </r>
  <r>
    <n v="1001"/>
    <s v="# АУПТ. АПТ L1.05. Трубопроводы"/>
    <n v="2"/>
    <s v="Значительное"/>
    <x v="0"/>
    <x v="10"/>
    <s v="vasenkov@spgr.ru"/>
    <x v="1"/>
    <d v="2020-01-22T00:00:00"/>
    <d v="2020-01-22T00:00:00"/>
    <s v="РК-РД-2-ПТ4.1.03-03.00-03"/>
    <n v="46.02"/>
    <n v="47.14"/>
    <m/>
    <m/>
    <m/>
    <s v="L top АУПТ"/>
    <s v="Ссылка на план"/>
    <x v="785"/>
    <d v="2020-01-22T15:40:07"/>
    <d v="2020-01-22T15:40:07"/>
    <m/>
    <d v="2020-01-24T09:51:24"/>
  </r>
  <r>
    <n v="1000"/>
    <s v="# АУПТ. Система АПТ L1.03"/>
    <n v="2"/>
    <s v="Значительное"/>
    <x v="0"/>
    <x v="10"/>
    <s v="vasenkov@spgr.ru"/>
    <x v="1"/>
    <d v="2020-01-22T00:00:00"/>
    <d v="2020-01-22T00:00:00"/>
    <s v="РК-РД-2-ПТ4.1.03-03.00-03"/>
    <n v="33.64"/>
    <n v="46.85"/>
    <m/>
    <m/>
    <m/>
    <s v="L top АУПТ"/>
    <s v="Ссылка на план"/>
    <x v="786"/>
    <d v="2020-01-22T15:29:55"/>
    <d v="2020-01-22T15:29:55"/>
    <m/>
    <d v="2020-01-22T15:40:28"/>
  </r>
  <r>
    <n v="1005"/>
    <s v="ПНР. К2-3.4"/>
    <n v="2"/>
    <s v="Значительное"/>
    <x v="0"/>
    <x v="10"/>
    <s v="vasenkov@spgr.ru"/>
    <x v="1"/>
    <d v="2019-12-27T00:00:00"/>
    <d v="2019-12-27T00:00:00"/>
    <m/>
    <m/>
    <m/>
    <m/>
    <m/>
    <m/>
    <m/>
    <m/>
    <x v="787"/>
    <d v="2020-01-22T15:55:20"/>
    <d v="2020-01-22T15:55:20"/>
    <m/>
    <d v="2020-01-28T12:33:26"/>
  </r>
  <r>
    <n v="1112"/>
    <s v="Плитка лк ядро 4"/>
    <n v="2"/>
    <s v="Значительное"/>
    <x v="1"/>
    <x v="10"/>
    <s v="rc_otdelka@rencons.com"/>
    <x v="1"/>
    <d v="2020-01-24T00:00:00"/>
    <d v="2020-02-05T00:00:00"/>
    <m/>
    <m/>
    <m/>
    <m/>
    <m/>
    <m/>
    <m/>
    <m/>
    <x v="7"/>
    <m/>
    <m/>
    <m/>
    <d v="2020-02-05T11:22:37"/>
  </r>
  <r>
    <n v="1168"/>
    <s v="Плитка 07.L2.2.036, 07.L2.2.037, 07.L2.2.038, 07.L3.1.063, 07.L3.1.062 "/>
    <n v="2"/>
    <s v="Значительное"/>
    <x v="1"/>
    <x v="10"/>
    <s v="rc_otdelka@rencons.com"/>
    <x v="1"/>
    <d v="2020-01-31T00:00:00"/>
    <d v="2020-01-31T00:00:00"/>
    <m/>
    <m/>
    <m/>
    <m/>
    <m/>
    <m/>
    <m/>
    <m/>
    <x v="788"/>
    <m/>
    <m/>
    <m/>
    <d v="2020-02-04T13:09:02"/>
  </r>
  <r>
    <n v="1169"/>
    <s v="Устройство фальшполов МЭРО "/>
    <n v="2"/>
    <s v="Значительное"/>
    <x v="2"/>
    <x v="10"/>
    <s v="rc_otdelka@rencons.com"/>
    <x v="1"/>
    <d v="2020-02-04T00:00:00"/>
    <d v="2020-02-04T00:00:00"/>
    <s v="_1RTDJ~B"/>
    <n v="15.87"/>
    <n v="51.75"/>
    <m/>
    <m/>
    <m/>
    <s v="АР общие планы"/>
    <s v="Ссылка на план"/>
    <x v="789"/>
    <d v="2020-02-04T14:10:37"/>
    <m/>
    <m/>
    <d v="2020-02-04T14:37:58"/>
  </r>
  <r>
    <n v="1174"/>
    <s v="Устройство плитки пола, стен"/>
    <n v="2"/>
    <s v="Значительное"/>
    <x v="2"/>
    <x v="10"/>
    <s v="rc_otdelka@rencons.com"/>
    <x v="1"/>
    <d v="2020-02-04T00:00:00"/>
    <d v="2020-02-04T00:00:00"/>
    <s v="РК-РД-2-АР01-04-07"/>
    <n v="11.06"/>
    <n v="19.309999999999999"/>
    <m/>
    <m/>
    <m/>
    <s v="АР планы 0.000"/>
    <s v="Ссылка на план"/>
    <x v="790"/>
    <d v="2020-02-04T14:47:40"/>
    <m/>
    <m/>
    <d v="2020-02-04T14:47:55"/>
  </r>
  <r>
    <n v="1050"/>
    <s v="Устройство фальшполов МЭРО   "/>
    <n v="2"/>
    <s v="Значительное"/>
    <x v="0"/>
    <x v="10"/>
    <s v="rc_otdelka@rencons.com"/>
    <x v="1"/>
    <d v="2020-01-24T00:00:00"/>
    <d v="2020-01-24T00:00:00"/>
    <s v="_1RTDJ~B"/>
    <n v="15.63"/>
    <n v="44.31"/>
    <m/>
    <m/>
    <m/>
    <s v="АР общие планы"/>
    <s v="Ссылка на план"/>
    <x v="791"/>
    <d v="2020-01-24T15:14:05"/>
    <d v="2020-01-24T15:14:05"/>
    <m/>
    <d v="2020-01-24T16:41:15"/>
  </r>
  <r>
    <n v="1048"/>
    <s v="Плитка стен, пола"/>
    <n v="2"/>
    <s v="Значительное"/>
    <x v="0"/>
    <x v="10"/>
    <s v="rc_otdelka@rencons.com"/>
    <x v="1"/>
    <d v="2020-01-24T00:00:00"/>
    <d v="2020-01-24T00:00:00"/>
    <s v="РК-РД-2-АР01-04-07"/>
    <n v="27.34"/>
    <n v="51.09"/>
    <m/>
    <m/>
    <m/>
    <s v="АР планы 0.000"/>
    <s v="Ссылка на план"/>
    <x v="792"/>
    <d v="2020-01-24T14:55:50"/>
    <d v="2020-01-24T14:55:50"/>
    <m/>
    <d v="2020-01-24T16:41:08"/>
  </r>
  <r>
    <n v="1049"/>
    <s v="Устройство фальшполов МЭРО "/>
    <n v="2"/>
    <s v="Значительное"/>
    <x v="0"/>
    <x v="10"/>
    <s v="rc_otdelka@rencons.com"/>
    <x v="1"/>
    <d v="2020-01-24T00:00:00"/>
    <d v="2020-01-24T00:00:00"/>
    <s v="_1RTDJ~B"/>
    <n v="17.239999999999998"/>
    <n v="57.87"/>
    <m/>
    <m/>
    <m/>
    <s v="АР общие планы"/>
    <s v="Ссылка на план"/>
    <x v="793"/>
    <d v="2020-01-24T15:06:59"/>
    <d v="2020-01-24T15:06:59"/>
    <m/>
    <d v="2020-01-24T16:41:12"/>
  </r>
  <r>
    <n v="641"/>
    <s v="Наливной эпоксидный пол    "/>
    <n v="2"/>
    <s v="Значительное"/>
    <x v="0"/>
    <x v="10"/>
    <s v="rc_otdelka@rencons.com"/>
    <x v="1"/>
    <d v="2019-12-16T00:00:00"/>
    <d v="2019-12-16T00:00:00"/>
    <s v="РК-РД-1-АР01-03-11"/>
    <n v="44.01"/>
    <n v="34.549999999999997"/>
    <m/>
    <m/>
    <m/>
    <s v="АР планы -4.200"/>
    <s v="Ссылка на план"/>
    <x v="794"/>
    <d v="2019-12-17T11:23:42"/>
    <d v="2019-12-17T11:23:42"/>
    <m/>
    <d v="2019-12-17T11:23:45"/>
  </r>
  <r>
    <n v="435"/>
    <s v="Гипсокартон не перегородки"/>
    <n v="2"/>
    <s v="Значительное"/>
    <x v="0"/>
    <x v="10"/>
    <s v="rc_otdelka@rencons.com"/>
    <x v="1"/>
    <d v="2019-11-26T00:00:00"/>
    <d v="2019-11-26T00:00:00"/>
    <s v="РК-РД-2-АР01-04-07"/>
    <n v="18.48"/>
    <n v="49.85"/>
    <m/>
    <m/>
    <m/>
    <s v="АР планы 0.000"/>
    <s v="Ссылка на план"/>
    <x v="795"/>
    <d v="2019-11-26T17:28:44"/>
    <d v="2019-12-10T10:11:41"/>
    <m/>
    <d v="2019-12-10T10:11:42"/>
  </r>
  <r>
    <n v="679"/>
    <s v="Противопожарные двери L1 and L2. (согласно приложенному   реестру.)"/>
    <n v="2"/>
    <s v="Значительное"/>
    <x v="0"/>
    <x v="10"/>
    <s v="rc_otdelka@rencons.com"/>
    <x v="1"/>
    <d v="2019-12-19T00:00:00"/>
    <d v="2019-12-19T00:00:00"/>
    <m/>
    <m/>
    <m/>
    <m/>
    <m/>
    <m/>
    <m/>
    <m/>
    <x v="796"/>
    <d v="2019-12-21T12:02:51"/>
    <d v="2019-12-21T12:02:51"/>
    <m/>
    <d v="2019-12-21T12:04:39"/>
  </r>
  <r>
    <n v="678"/>
    <s v="Монтаж фальшполов на B1 and B2."/>
    <n v="2"/>
    <s v="Значительное"/>
    <x v="0"/>
    <x v="10"/>
    <s v="rc_otdelka@rencons.com"/>
    <x v="1"/>
    <d v="2019-12-19T00:00:00"/>
    <d v="2019-12-19T00:00:00"/>
    <m/>
    <m/>
    <m/>
    <m/>
    <m/>
    <m/>
    <m/>
    <m/>
    <x v="797"/>
    <d v="2019-12-21T19:28:20"/>
    <d v="2019-12-21T19:28:20"/>
    <m/>
    <d v="2019-12-21T19:29:45"/>
  </r>
  <r>
    <n v="451"/>
    <s v="Плитка стен"/>
    <n v="2"/>
    <s v="Значительное"/>
    <x v="0"/>
    <x v="10"/>
    <s v="rc_otdelka@rencons.com"/>
    <x v="1"/>
    <d v="2019-11-26T00:00:00"/>
    <d v="2019-11-26T00:00:00"/>
    <s v="РК-РД-1-АР01-02-10"/>
    <n v="10.92"/>
    <n v="51.82"/>
    <m/>
    <m/>
    <m/>
    <s v="АР планы -8.200"/>
    <s v="Ссылка на план"/>
    <x v="798"/>
    <d v="2019-11-28T09:49:08"/>
    <d v="2019-12-10T10:11:41"/>
    <m/>
    <d v="2019-12-10T10:11:44"/>
  </r>
  <r>
    <n v="452"/>
    <s v="Гипсокартон не перегородки "/>
    <n v="2"/>
    <s v="Значительное"/>
    <x v="0"/>
    <x v="10"/>
    <s v="rc_otdelka@rencons.com"/>
    <x v="1"/>
    <d v="2019-11-26T00:00:00"/>
    <d v="2019-11-26T00:00:00"/>
    <s v="РК-РД-2-АР01-04-07"/>
    <n v="38.130000000000003"/>
    <n v="24.85"/>
    <m/>
    <m/>
    <m/>
    <s v="АР планы 0.000"/>
    <s v="Ссылка на план"/>
    <x v="799"/>
    <d v="2019-11-28T09:48:52"/>
    <d v="2019-12-10T10:11:41"/>
    <m/>
    <d v="2019-12-10T10:11:43"/>
  </r>
  <r>
    <n v="462"/>
    <s v="Наливной эпоксидный пол  "/>
    <n v="2"/>
    <s v="Значительное"/>
    <x v="0"/>
    <x v="10"/>
    <s v="rc_otdelka@rencons.com"/>
    <x v="1"/>
    <d v="2019-11-27T00:00:00"/>
    <d v="2019-11-27T00:00:00"/>
    <s v="РК-РД-1-АР01-03-11"/>
    <n v="42.49"/>
    <n v="39.43"/>
    <m/>
    <m/>
    <m/>
    <s v="АР планы -4.200"/>
    <s v="Ссылка на план"/>
    <x v="800"/>
    <d v="2019-11-28T09:48:28"/>
    <d v="2019-12-10T10:11:41"/>
    <m/>
    <d v="2019-12-10T10:11:44"/>
  </r>
  <r>
    <n v="1068"/>
    <s v="Наливной эпоксидный пол  "/>
    <n v="2"/>
    <s v="Значительное"/>
    <x v="0"/>
    <x v="10"/>
    <s v="rc_otdelka@rencons.com"/>
    <x v="1"/>
    <d v="2020-01-27T00:00:00"/>
    <d v="2020-01-27T00:00:00"/>
    <s v="РК-РД-1-АР01-03-11"/>
    <n v="16.45"/>
    <n v="48.18"/>
    <m/>
    <m/>
    <m/>
    <s v="АР планы -4.200"/>
    <s v="Ссылка на план"/>
    <x v="801"/>
    <d v="2020-01-27T10:10:44"/>
    <d v="2020-01-27T10:10:44"/>
    <m/>
    <d v="2020-01-28T09:55:37"/>
  </r>
  <r>
    <n v="515"/>
    <s v="Наливной эпоксидный пол  "/>
    <n v="2"/>
    <s v="Значительное"/>
    <x v="0"/>
    <x v="10"/>
    <s v="rc_otdelka@rencons.com"/>
    <x v="1"/>
    <d v="2019-12-03T00:00:00"/>
    <d v="2019-12-03T00:00:00"/>
    <s v="РК-РД-1-АР01-03-11"/>
    <n v="31.02"/>
    <n v="57.65"/>
    <m/>
    <m/>
    <m/>
    <s v="АР планы -4.200"/>
    <s v="Ссылка на план"/>
    <x v="802"/>
    <d v="2019-12-04T13:02:14"/>
    <d v="2019-12-10T10:11:41"/>
    <m/>
    <d v="2019-12-10T10:11:44"/>
  </r>
  <r>
    <n v="1081"/>
    <s v="Наливной самовыравнивающий пол Sika level"/>
    <n v="2"/>
    <s v="Значительное"/>
    <x v="0"/>
    <x v="10"/>
    <s v="rc_otdelka@rencons.com"/>
    <x v="1"/>
    <d v="2020-01-29T00:00:00"/>
    <d v="2020-01-29T00:00:00"/>
    <s v="РК-РД-2-АР01-04-07"/>
    <n v="12.23"/>
    <n v="37.76"/>
    <m/>
    <m/>
    <m/>
    <s v="АР планы 0.000"/>
    <s v="Ссылка на план"/>
    <x v="803"/>
    <d v="2020-01-29T10:27:18"/>
    <d v="2020-01-29T10:27:18"/>
    <m/>
    <d v="2020-01-29T10:27:19"/>
  </r>
  <r>
    <n v="510"/>
    <s v="Гидроизоляция кровли"/>
    <n v="2"/>
    <s v="Значительное"/>
    <x v="0"/>
    <x v="10"/>
    <s v="rc_otdelka@rencons.com"/>
    <x v="1"/>
    <d v="2019-12-03T00:00:00"/>
    <d v="2019-12-03T00:00:00"/>
    <s v="_FJT7Q~3"/>
    <n v="32.049999999999997"/>
    <n v="29.88"/>
    <m/>
    <m/>
    <m/>
    <s v="АР общие планы"/>
    <s v="Ссылка на план"/>
    <x v="804"/>
    <d v="2019-12-04T13:02:21"/>
    <d v="2019-12-10T10:11:41"/>
    <m/>
    <d v="2019-12-10T10:11:43"/>
  </r>
  <r>
    <n v="1113"/>
    <s v="Меро"/>
    <n v="2"/>
    <s v="Значительное"/>
    <x v="0"/>
    <x v="10"/>
    <s v="rc_otdelka@rencons.com"/>
    <x v="1"/>
    <d v="2020-01-24T00:00:00"/>
    <d v="2020-01-24T00:00:00"/>
    <m/>
    <m/>
    <m/>
    <m/>
    <m/>
    <m/>
    <m/>
    <m/>
    <x v="7"/>
    <d v="2020-02-05T11:23:19"/>
    <d v="2020-02-05T11:23:19"/>
    <m/>
    <d v="2020-02-05T11:24:13"/>
  </r>
  <r>
    <n v="384"/>
    <s v="Наливной эпоксидный пол  "/>
    <n v="2"/>
    <s v="Значительное"/>
    <x v="0"/>
    <x v="10"/>
    <s v="rc_otdelka@rencons.com"/>
    <x v="1"/>
    <d v="2019-11-21T00:00:00"/>
    <d v="2019-11-21T00:00:00"/>
    <s v="РК-РД-1-АР01-03-11"/>
    <n v="30.78"/>
    <n v="54.45"/>
    <m/>
    <m/>
    <m/>
    <s v="АР планы -4.200"/>
    <s v="Ссылка на план"/>
    <x v="805"/>
    <d v="2019-11-21T17:35:35"/>
    <d v="2019-12-10T10:11:41"/>
    <m/>
    <d v="2019-12-10T10:11:43"/>
  </r>
  <r>
    <n v="372"/>
    <s v="Наливной эпоксидный пол "/>
    <n v="2"/>
    <s v="Значительное"/>
    <x v="0"/>
    <x v="10"/>
    <s v="rc_otdelka@rencons.com"/>
    <x v="1"/>
    <d v="2019-11-20T00:00:00"/>
    <d v="2019-11-20T00:00:00"/>
    <s v="РК-РД-1-АР01-03-11"/>
    <n v="41.74"/>
    <n v="67.13"/>
    <m/>
    <m/>
    <m/>
    <s v="АР планы -4.200"/>
    <s v="Ссылка на план"/>
    <x v="806"/>
    <d v="2019-11-21T17:35:16"/>
    <d v="2019-12-10T10:11:41"/>
    <m/>
    <d v="2019-12-10T10:11:42"/>
  </r>
  <r>
    <n v="513"/>
    <s v="Устройство покрытия кровли"/>
    <n v="2"/>
    <s v="Значительное"/>
    <x v="0"/>
    <x v="10"/>
    <s v="rc_otdelka@rencons.com"/>
    <x v="1"/>
    <d v="2019-12-03T00:00:00"/>
    <d v="2019-12-03T00:00:00"/>
    <s v="_FJT7Q~3"/>
    <n v="28.82"/>
    <n v="47.01"/>
    <m/>
    <m/>
    <m/>
    <s v="АР общие планы"/>
    <s v="Ссылка на план"/>
    <x v="807"/>
    <d v="2019-12-04T13:02:19"/>
    <d v="2019-12-10T10:11:41"/>
    <m/>
    <d v="2019-12-10T10:11:44"/>
  </r>
  <r>
    <n v="601"/>
    <s v="Наливной эпоксидный пол  "/>
    <n v="2"/>
    <s v="Значительное"/>
    <x v="0"/>
    <x v="10"/>
    <s v="rc_otdelka@rencons.com"/>
    <x v="1"/>
    <d v="2019-12-11T00:00:00"/>
    <d v="2019-12-11T00:00:00"/>
    <s v="РК-РД-1-АР01-03-11"/>
    <n v="40.909999999999997"/>
    <n v="47.01"/>
    <m/>
    <m/>
    <m/>
    <s v="АР планы -4.200"/>
    <s v="Ссылка на план"/>
    <x v="808"/>
    <d v="2019-12-12T18:00:21"/>
    <d v="2019-12-12T18:00:21"/>
    <m/>
    <d v="2019-12-12T18:00:22"/>
  </r>
  <r>
    <n v="1123"/>
    <m/>
    <n v="2"/>
    <s v="Значительное"/>
    <x v="0"/>
    <x v="10"/>
    <s v="rc_otdelka@rencons.com"/>
    <x v="1"/>
    <d v="2020-01-31T00:00:00"/>
    <d v="2020-01-31T00:00:00"/>
    <s v="РК-РД-2-АР01-04-07"/>
    <n v="43.08"/>
    <n v="39.5"/>
    <m/>
    <m/>
    <m/>
    <s v="АР планы 0.000"/>
    <s v="Ссылка на план"/>
    <x v="809"/>
    <d v="2020-01-31T13:33:34"/>
    <d v="2020-01-31T13:33:34"/>
    <m/>
    <d v="2020-01-31T13:33:35"/>
  </r>
  <r>
    <n v="837"/>
    <s v="Монтаж противопожарных дверей  L1-072, L1-098, L1-102, L1-153, L1-183,L1-189,L1-212,L1-216,L1-238, L1-248, L1-284, L1-286, L1-296."/>
    <n v="2"/>
    <s v="Значительное"/>
    <x v="0"/>
    <x v="10"/>
    <s v="rc_otdelka@rencons.com"/>
    <x v="1"/>
    <d v="2020-01-03T00:00:00"/>
    <d v="2020-01-03T00:00:00"/>
    <m/>
    <m/>
    <m/>
    <m/>
    <m/>
    <m/>
    <m/>
    <m/>
    <x v="500"/>
    <d v="2020-01-03T18:53:50"/>
    <d v="2020-01-03T18:53:50"/>
    <m/>
    <d v="2020-01-03T18:54:28"/>
  </r>
  <r>
    <n v="832"/>
    <s v="Устройство гидроизоляционного ковра ЭПП в/о 20-21  L4   блок В1; L8 bL9 блок А1."/>
    <n v="2"/>
    <s v="Значительное"/>
    <x v="0"/>
    <x v="10"/>
    <s v="rc_otdelka@rencons.com"/>
    <x v="1"/>
    <d v="2020-01-03T00:00:00"/>
    <d v="2020-01-03T00:00:00"/>
    <m/>
    <m/>
    <m/>
    <m/>
    <m/>
    <m/>
    <m/>
    <m/>
    <x v="810"/>
    <d v="2020-01-03T18:20:41"/>
    <d v="2020-01-03T18:20:41"/>
    <m/>
    <d v="2020-01-03T18:22:05"/>
  </r>
  <r>
    <n v="632"/>
    <s v="Наливной эпоксидный пол  Эпоксидный"/>
    <n v="2"/>
    <s v="Значительное"/>
    <x v="0"/>
    <x v="10"/>
    <s v="rc_otdelka@rencons.com"/>
    <x v="1"/>
    <d v="2019-12-16T00:00:00"/>
    <d v="2019-12-16T00:00:00"/>
    <s v="РК-РД-1-АР01-03-11"/>
    <n v="37"/>
    <n v="19.68"/>
    <m/>
    <m/>
    <m/>
    <s v="АР планы -4.200"/>
    <s v="Ссылка на план"/>
    <x v="811"/>
    <d v="2019-12-17T11:23:29"/>
    <d v="2019-12-17T11:23:29"/>
    <m/>
    <d v="2019-12-17T11:23:35"/>
  </r>
  <r>
    <n v="633"/>
    <s v="Наливной эпоксидный пол   "/>
    <n v="2"/>
    <s v="Значительное"/>
    <x v="0"/>
    <x v="10"/>
    <s v="rc_otdelka@rencons.com"/>
    <x v="1"/>
    <d v="2019-12-16T00:00:00"/>
    <d v="2019-12-16T00:00:00"/>
    <s v="РК-РД-1-АР01-03-11"/>
    <n v="36.72"/>
    <n v="17.27"/>
    <m/>
    <m/>
    <m/>
    <s v="АР планы -4.200"/>
    <s v="Ссылка на план"/>
    <x v="812"/>
    <d v="2019-12-17T11:23:37"/>
    <d v="2019-12-17T11:23:37"/>
    <m/>
    <d v="2019-12-17T11:23:40"/>
  </r>
  <r>
    <n v="351"/>
    <m/>
    <n v="2"/>
    <s v="Значительное"/>
    <x v="0"/>
    <x v="10"/>
    <s v="rc_otdelka@rencons.com"/>
    <x v="1"/>
    <d v="2019-11-19T00:00:00"/>
    <d v="2019-11-19T00:00:00"/>
    <s v="_EAGRX~Q"/>
    <n v="30.4"/>
    <n v="34.909999999999997"/>
    <m/>
    <m/>
    <m/>
    <s v="АР общие планы"/>
    <s v="Ссылка на план"/>
    <x v="813"/>
    <d v="2019-11-19T17:12:20"/>
    <d v="2019-12-10T10:11:41"/>
    <m/>
    <d v="2019-12-10T10:11:42"/>
  </r>
  <r>
    <n v="350"/>
    <m/>
    <n v="2"/>
    <s v="Значительное"/>
    <x v="0"/>
    <x v="10"/>
    <s v="rc_otdelka@rencons.com"/>
    <x v="1"/>
    <d v="2019-11-19T00:00:00"/>
    <d v="2019-11-19T00:00:00"/>
    <s v="_EAGRX~Q"/>
    <n v="28"/>
    <n v="33.24"/>
    <m/>
    <m/>
    <m/>
    <s v="АР общие планы"/>
    <s v="Ссылка на план"/>
    <x v="814"/>
    <d v="2019-11-19T17:12:13"/>
    <d v="2019-12-10T10:11:41"/>
    <m/>
    <d v="2019-12-10T10:11:42"/>
  </r>
  <r>
    <n v="355"/>
    <s v="Наливной эпоксидный пол"/>
    <n v="2"/>
    <s v="Значительное"/>
    <x v="0"/>
    <x v="10"/>
    <s v="rc_otdelka@rencons.com"/>
    <x v="1"/>
    <d v="2019-11-19T00:00:00"/>
    <d v="2019-11-19T00:00:00"/>
    <s v="РК-РД-1-АР01-03-11"/>
    <n v="42.05"/>
    <n v="51.38"/>
    <m/>
    <m/>
    <m/>
    <s v="АР планы -4.200"/>
    <s v="Ссылка на план"/>
    <x v="815"/>
    <d v="2019-11-19T17:15:16"/>
    <d v="2019-12-09T17:48:44"/>
    <m/>
    <d v="2019-12-09T17:48:45"/>
  </r>
  <r>
    <n v="354"/>
    <s v="ограждения лестниц"/>
    <n v="2"/>
    <s v="Значительное"/>
    <x v="0"/>
    <x v="10"/>
    <s v="rc_otdelka@rencons.com"/>
    <x v="1"/>
    <d v="2019-11-19T00:00:00"/>
    <d v="2019-11-19T00:00:00"/>
    <s v="РК-РД-1-АР01-02-10"/>
    <n v="38.51"/>
    <n v="25.22"/>
    <m/>
    <m/>
    <m/>
    <s v="АР планы -8.200"/>
    <s v="Ссылка на план"/>
    <x v="816"/>
    <d v="2019-11-19T17:15:21"/>
    <d v="2019-12-10T10:11:41"/>
    <m/>
    <d v="2019-12-10T10:11:42"/>
  </r>
  <r>
    <n v="1114"/>
    <s v="Двери L5-037"/>
    <n v="2"/>
    <s v="Значительное"/>
    <x v="0"/>
    <x v="10"/>
    <s v="rc_otdelka@rencons.com"/>
    <x v="1"/>
    <d v="2020-01-24T00:00:00"/>
    <d v="2020-01-24T00:00:00"/>
    <m/>
    <m/>
    <m/>
    <m/>
    <m/>
    <m/>
    <m/>
    <m/>
    <x v="7"/>
    <d v="2020-02-05T11:24:33"/>
    <d v="2020-02-05T11:24:33"/>
    <m/>
    <d v="2020-02-05T11:24:50"/>
  </r>
  <r>
    <n v="1215"/>
    <s v="Пескоулавливатели в помещениях моек, гидроизоляция"/>
    <n v="2"/>
    <s v="Значительное"/>
    <x v="0"/>
    <x v="10"/>
    <s v="rc_otdelka@rencons.com"/>
    <x v="1"/>
    <d v="2020-02-06T00:00:00"/>
    <d v="2020-02-06T00:00:00"/>
    <s v="РК-РД-1-АР01-03-11"/>
    <n v="16.73"/>
    <n v="65.31"/>
    <m/>
    <m/>
    <m/>
    <s v="АР планы -4.200"/>
    <s v="Ссылка на план"/>
    <x v="817"/>
    <d v="2020-02-06T13:43:02"/>
    <d v="2020-02-06T13:46:20"/>
    <m/>
    <d v="2020-02-07T10:53:11"/>
  </r>
  <r>
    <n v="908"/>
    <s v="Монтаж секционного пола 14.В2.2.010, 13.L2.3.001, 13.L3.2.29, 13.L3.2.05, 13.L3.1.013, 13.L3.1.012, 13.L3.1.014."/>
    <n v="2"/>
    <s v="Значительное"/>
    <x v="0"/>
    <x v="10"/>
    <s v="rc_otdelka@rencons.com"/>
    <x v="1"/>
    <d v="2020-01-13T00:00:00"/>
    <d v="2020-01-14T00:00:00"/>
    <m/>
    <m/>
    <m/>
    <m/>
    <m/>
    <m/>
    <m/>
    <m/>
    <x v="479"/>
    <d v="2020-01-14T17:50:20"/>
    <d v="2020-01-14T17:50:20"/>
    <m/>
    <d v="2020-01-14T17:50:20"/>
  </r>
  <r>
    <n v="939"/>
    <s v="Укладка плитки (пол и стены) пом. 07.L1.3.019, 09.L1.3.001, 09.L2.2.003, Каркас потолка Армстронг пом. 09.В1.3.005"/>
    <n v="2"/>
    <s v="Значительное"/>
    <x v="0"/>
    <x v="10"/>
    <s v="rc_otdelka@rencons.com"/>
    <x v="1"/>
    <d v="2020-01-17T00:00:00"/>
    <d v="2020-01-17T00:00:00"/>
    <m/>
    <m/>
    <m/>
    <m/>
    <m/>
    <m/>
    <m/>
    <m/>
    <x v="818"/>
    <d v="2020-01-17T18:09:56"/>
    <d v="2020-01-17T18:09:56"/>
    <m/>
    <d v="2020-01-17T18:13:31"/>
  </r>
  <r>
    <n v="989"/>
    <s v="Покрытие пола ЦСП"/>
    <n v="2"/>
    <s v="Значительное"/>
    <x v="0"/>
    <x v="10"/>
    <s v="rc_otdelka@rencons.com"/>
    <x v="1"/>
    <d v="2020-01-21T00:00:00"/>
    <d v="2020-01-21T00:00:00"/>
    <s v="РК-РД-2-АР01-05-05"/>
    <n v="21.13"/>
    <n v="42.49"/>
    <m/>
    <m/>
    <m/>
    <s v="АР общие планы"/>
    <s v="Ссылка на план"/>
    <x v="819"/>
    <d v="2020-01-21T16:07:18"/>
    <d v="2020-01-21T16:07:18"/>
    <m/>
    <d v="2020-01-21T16:07:22"/>
  </r>
  <r>
    <n v="990"/>
    <s v="Покрытие пола ЦСП "/>
    <n v="2"/>
    <s v="Значительное"/>
    <x v="0"/>
    <x v="10"/>
    <s v="rc_otdelka@rencons.com"/>
    <x v="1"/>
    <d v="2020-01-21T00:00:00"/>
    <d v="2020-01-21T00:00:00"/>
    <s v="РК-РД-2-АР01-05-05"/>
    <n v="21.99"/>
    <n v="44.24"/>
    <m/>
    <m/>
    <m/>
    <s v="АР общие планы"/>
    <s v="Ссылка на план"/>
    <x v="820"/>
    <d v="2020-01-21T16:08:14"/>
    <d v="2020-01-21T16:08:14"/>
    <m/>
    <d v="2020-01-21T16:09:15"/>
  </r>
  <r>
    <n v="999"/>
    <s v="Монтаж противопожарных дверей L1-200, L1-188, L1-075,L-288, L1-052, L2-025,L2-031, L3-022, L3-028, L3-045,L3-044, L3-040"/>
    <n v="2"/>
    <s v="Значительное"/>
    <x v="0"/>
    <x v="10"/>
    <s v="rc_otdelka@rencons.com"/>
    <x v="1"/>
    <d v="2020-01-22T00:00:00"/>
    <d v="2020-01-22T00:00:00"/>
    <m/>
    <m/>
    <m/>
    <m/>
    <m/>
    <m/>
    <m/>
    <m/>
    <x v="821"/>
    <d v="2020-01-22T14:27:10"/>
    <d v="2020-01-22T14:27:10"/>
    <m/>
    <d v="2020-01-22T14:52:53"/>
  </r>
  <r>
    <n v="1027"/>
    <s v="Лестница Крм-2"/>
    <n v="2"/>
    <s v="Значительное"/>
    <x v="0"/>
    <x v="10"/>
    <s v="groholskii@spgr.ru"/>
    <x v="1"/>
    <d v="2020-01-23T00:00:00"/>
    <d v="2020-01-24T00:00:00"/>
    <m/>
    <m/>
    <m/>
    <m/>
    <m/>
    <m/>
    <m/>
    <m/>
    <x v="822"/>
    <d v="2020-01-24T05:32:07"/>
    <d v="2020-01-24T05:32:07"/>
    <m/>
    <d v="2020-01-24T05:32:20"/>
  </r>
  <r>
    <n v="363"/>
    <s v="Затяжка ВПБ"/>
    <n v="2"/>
    <s v="Значительное"/>
    <x v="0"/>
    <x v="10"/>
    <s v="groholskii@spgr.ru"/>
    <x v="1"/>
    <d v="2019-11-20T00:00:00"/>
    <d v="2019-11-20T00:00:00"/>
    <m/>
    <m/>
    <m/>
    <m/>
    <m/>
    <m/>
    <m/>
    <m/>
    <x v="823"/>
    <d v="2019-11-20T05:12:22"/>
    <d v="2019-11-20T05:12:22"/>
    <m/>
    <d v="2019-11-20T05:12:22"/>
  </r>
  <r>
    <n v="364"/>
    <s v="Герметизация и окраска монтажных стыков"/>
    <n v="2"/>
    <s v="Значительное"/>
    <x v="0"/>
    <x v="10"/>
    <s v="groholskii@spgr.ru"/>
    <x v="1"/>
    <d v="2019-11-20T00:00:00"/>
    <d v="2019-11-20T00:00:00"/>
    <m/>
    <m/>
    <m/>
    <m/>
    <m/>
    <m/>
    <m/>
    <m/>
    <x v="824"/>
    <d v="2019-11-20T05:16:56"/>
    <d v="2019-11-20T05:17:11"/>
    <m/>
    <d v="2019-11-20T05:17:11"/>
  </r>
  <r>
    <n v="365"/>
    <s v="Монтаж фасадных панелей"/>
    <n v="2"/>
    <s v="Значительное"/>
    <x v="0"/>
    <x v="10"/>
    <s v="groholskii@spgr.ru"/>
    <x v="1"/>
    <d v="2019-11-20T00:00:00"/>
    <d v="2019-11-20T00:00:00"/>
    <m/>
    <m/>
    <m/>
    <m/>
    <m/>
    <m/>
    <m/>
    <m/>
    <x v="825"/>
    <d v="2019-11-20T06:31:24"/>
    <d v="2019-11-20T06:31:24"/>
    <m/>
    <d v="2019-11-20T06:31:24"/>
  </r>
  <r>
    <n v="378"/>
    <s v="Мостовой переход (армирование и опалубка)"/>
    <n v="2"/>
    <s v="Значительное"/>
    <x v="0"/>
    <x v="10"/>
    <s v="groholskii@spgr.ru"/>
    <x v="1"/>
    <m/>
    <m/>
    <m/>
    <m/>
    <m/>
    <m/>
    <m/>
    <m/>
    <m/>
    <m/>
    <x v="826"/>
    <d v="2019-11-21T07:03:56"/>
    <d v="2019-11-21T07:04:01"/>
    <m/>
    <d v="2019-11-21T07:04:01"/>
  </r>
  <r>
    <n v="377"/>
    <s v="Затяжка ВПБ"/>
    <n v="2"/>
    <s v="Значительное"/>
    <x v="0"/>
    <x v="10"/>
    <s v="groholskii@spgr.ru"/>
    <x v="1"/>
    <d v="2019-11-21T00:00:00"/>
    <d v="2019-11-21T00:00:00"/>
    <m/>
    <m/>
    <m/>
    <m/>
    <m/>
    <m/>
    <m/>
    <m/>
    <x v="827"/>
    <d v="2019-11-21T06:34:45"/>
    <d v="2019-11-21T06:34:49"/>
    <m/>
    <d v="2019-11-21T06:34:50"/>
  </r>
  <r>
    <n v="379"/>
    <s v="Армирование и опалубка парапета КПП2"/>
    <n v="2"/>
    <s v="Значительное"/>
    <x v="0"/>
    <x v="10"/>
    <s v="groholskii@spgr.ru"/>
    <x v="1"/>
    <d v="2019-11-21T00:00:00"/>
    <d v="2019-11-21T00:00:00"/>
    <m/>
    <m/>
    <m/>
    <m/>
    <m/>
    <m/>
    <m/>
    <m/>
    <x v="828"/>
    <d v="2019-11-21T06:55:04"/>
    <d v="2019-11-21T06:55:10"/>
    <m/>
    <d v="2019-11-21T06:55:10"/>
  </r>
  <r>
    <n v="380"/>
    <s v="Монтаж фасадных панелей"/>
    <n v="2"/>
    <s v="Значительное"/>
    <x v="0"/>
    <x v="10"/>
    <s v="groholskii@spgr.ru"/>
    <x v="1"/>
    <m/>
    <m/>
    <m/>
    <m/>
    <m/>
    <m/>
    <m/>
    <m/>
    <m/>
    <m/>
    <x v="829"/>
    <d v="2019-11-21T07:18:26"/>
    <d v="2019-11-21T07:18:33"/>
    <m/>
    <d v="2019-11-21T07:18:33"/>
  </r>
  <r>
    <n v="662"/>
    <s v="Устройство противопожарной отсечки фасадов"/>
    <n v="2"/>
    <s v="Значительное"/>
    <x v="0"/>
    <x v="10"/>
    <s v="groholskii@spgr.ru"/>
    <x v="1"/>
    <d v="2019-12-17T00:00:00"/>
    <d v="2019-12-18T00:00:00"/>
    <m/>
    <m/>
    <m/>
    <m/>
    <m/>
    <m/>
    <m/>
    <m/>
    <x v="830"/>
    <d v="2019-12-18T06:50:48"/>
    <d v="2019-12-18T06:50:48"/>
    <m/>
    <d v="2019-12-18T06:50:49"/>
  </r>
  <r>
    <n v="660"/>
    <s v="Устройство гидроизоляции КПП 2"/>
    <n v="2"/>
    <s v="Значительное"/>
    <x v="0"/>
    <x v="10"/>
    <s v="groholskii@spgr.ru"/>
    <x v="1"/>
    <d v="2019-12-18T00:00:00"/>
    <d v="2019-12-18T00:00:00"/>
    <m/>
    <m/>
    <m/>
    <m/>
    <m/>
    <m/>
    <m/>
    <m/>
    <x v="831"/>
    <d v="2019-12-18T04:35:40"/>
    <d v="2019-12-18T06:30:11"/>
    <m/>
    <d v="2019-12-18T06:30:11"/>
  </r>
  <r>
    <n v="661"/>
    <s v="Армирование стен КПП 2"/>
    <n v="2"/>
    <s v="Значительное"/>
    <x v="0"/>
    <x v="10"/>
    <s v="groholskii@spgr.ru"/>
    <x v="1"/>
    <d v="2019-12-18T00:00:00"/>
    <d v="2019-12-18T00:00:00"/>
    <m/>
    <m/>
    <m/>
    <m/>
    <m/>
    <m/>
    <m/>
    <m/>
    <x v="832"/>
    <d v="2019-12-18T06:33:28"/>
    <d v="2019-12-18T06:33:28"/>
    <m/>
    <d v="2019-12-18T06:33:29"/>
  </r>
  <r>
    <n v="116"/>
    <s v="Установка дверей"/>
    <n v="2"/>
    <s v="Значительное"/>
    <x v="0"/>
    <x v="10"/>
    <s v="groholskii@spgr.ru"/>
    <x v="1"/>
    <d v="2019-11-04T00:00:00"/>
    <d v="2019-11-04T00:00:00"/>
    <m/>
    <m/>
    <m/>
    <m/>
    <m/>
    <m/>
    <m/>
    <m/>
    <x v="833"/>
    <d v="2019-11-04T11:38:56"/>
    <d v="2019-11-07T08:42:02"/>
    <m/>
    <d v="2019-11-07T08:42:02"/>
  </r>
  <r>
    <n v="414"/>
    <s v="Затяжка ВПБ"/>
    <n v="2"/>
    <s v="Значительное"/>
    <x v="0"/>
    <x v="10"/>
    <s v="groholskii@spgr.ru"/>
    <x v="1"/>
    <d v="2019-11-24T00:00:00"/>
    <d v="2019-11-24T00:00:00"/>
    <m/>
    <m/>
    <m/>
    <m/>
    <m/>
    <m/>
    <m/>
    <m/>
    <x v="834"/>
    <d v="2019-11-24T05:11:08"/>
    <d v="2019-11-24T05:11:15"/>
    <m/>
    <d v="2019-11-24T05:11:15"/>
  </r>
  <r>
    <n v="415"/>
    <s v="Герметизация и окраска монтажных стыков"/>
    <n v="2"/>
    <s v="Значительное"/>
    <x v="0"/>
    <x v="10"/>
    <s v="groholskii@spgr.ru"/>
    <x v="1"/>
    <d v="2019-11-23T00:00:00"/>
    <d v="2019-11-24T00:00:00"/>
    <m/>
    <m/>
    <m/>
    <m/>
    <m/>
    <m/>
    <m/>
    <m/>
    <x v="835"/>
    <d v="2019-11-24T05:14:46"/>
    <d v="2019-11-24T05:14:52"/>
    <m/>
    <d v="2019-11-24T05:14:52"/>
  </r>
  <r>
    <n v="416"/>
    <s v="Монтаж фасадных панелей"/>
    <n v="2"/>
    <s v="Значительное"/>
    <x v="0"/>
    <x v="10"/>
    <s v="groholskii@spgr.ru"/>
    <x v="1"/>
    <d v="2019-11-24T00:00:00"/>
    <d v="2019-11-24T00:00:00"/>
    <m/>
    <m/>
    <m/>
    <m/>
    <m/>
    <m/>
    <m/>
    <m/>
    <x v="836"/>
    <d v="2019-11-24T05:23:32"/>
    <d v="2019-11-24T05:23:38"/>
    <m/>
    <d v="2019-11-24T05:23:38"/>
  </r>
  <r>
    <n v="122"/>
    <s v="Решетчатая кровля"/>
    <n v="2"/>
    <s v="Значительное"/>
    <x v="0"/>
    <x v="10"/>
    <s v="groholskii@spgr.ru"/>
    <x v="1"/>
    <d v="2019-11-04T00:00:00"/>
    <d v="2019-11-04T00:00:00"/>
    <m/>
    <m/>
    <m/>
    <m/>
    <m/>
    <m/>
    <m/>
    <m/>
    <x v="837"/>
    <d v="2019-11-04T19:26:08"/>
    <d v="2019-11-07T08:42:39"/>
    <m/>
    <d v="2019-11-07T08:42:40"/>
  </r>
  <r>
    <n v="420"/>
    <s v="Затяжка ВПБ"/>
    <n v="2"/>
    <s v="Значительное"/>
    <x v="0"/>
    <x v="10"/>
    <s v="groholskii@spgr.ru"/>
    <x v="1"/>
    <d v="2019-11-25T00:00:00"/>
    <d v="2019-11-25T00:00:00"/>
    <m/>
    <m/>
    <m/>
    <m/>
    <m/>
    <m/>
    <m/>
    <m/>
    <x v="838"/>
    <d v="2019-11-25T04:40:12"/>
    <d v="2019-11-25T04:42:42"/>
    <m/>
    <d v="2019-11-25T04:42:42"/>
  </r>
  <r>
    <n v="706"/>
    <s v="НВК этап №6"/>
    <n v="2"/>
    <s v="Значительное"/>
    <x v="0"/>
    <x v="10"/>
    <s v="groholskii@spgr.ru"/>
    <x v="1"/>
    <d v="2019-12-21T00:00:00"/>
    <d v="2019-12-22T00:00:00"/>
    <m/>
    <m/>
    <m/>
    <m/>
    <m/>
    <m/>
    <m/>
    <m/>
    <x v="839"/>
    <d v="2019-12-22T07:20:55"/>
    <d v="2019-12-22T07:20:55"/>
    <m/>
    <d v="2019-12-22T07:25:33"/>
  </r>
  <r>
    <n v="136"/>
    <s v="Затяжка ВПБ"/>
    <n v="2"/>
    <s v="Значительное"/>
    <x v="0"/>
    <x v="10"/>
    <s v="groholskii@spgr.ru"/>
    <x v="1"/>
    <d v="2019-11-05T00:00:00"/>
    <d v="2019-11-05T00:00:00"/>
    <m/>
    <m/>
    <m/>
    <m/>
    <m/>
    <m/>
    <m/>
    <m/>
    <x v="840"/>
    <d v="2019-11-05T14:04:47"/>
    <d v="2019-11-07T08:42:51"/>
    <m/>
    <d v="2019-11-07T08:42:51"/>
  </r>
  <r>
    <n v="139"/>
    <s v="Решетчатая кровля"/>
    <n v="2"/>
    <s v="Значительное"/>
    <x v="0"/>
    <x v="10"/>
    <s v="groholskii@spgr.ru"/>
    <x v="1"/>
    <d v="2019-11-05T00:00:00"/>
    <d v="2019-11-05T00:00:00"/>
    <m/>
    <m/>
    <m/>
    <m/>
    <m/>
    <m/>
    <m/>
    <m/>
    <x v="841"/>
    <d v="2019-11-05T15:05:09"/>
    <d v="2019-11-07T08:42:58"/>
    <m/>
    <d v="2019-11-07T08:42:58"/>
  </r>
  <r>
    <n v="140"/>
    <s v="Решетчатый настил тип 16"/>
    <n v="2"/>
    <s v="Значительное"/>
    <x v="0"/>
    <x v="10"/>
    <s v="groholskii@spgr.ru"/>
    <x v="1"/>
    <d v="2019-11-05T00:00:00"/>
    <d v="2019-11-05T00:00:00"/>
    <m/>
    <m/>
    <m/>
    <m/>
    <m/>
    <m/>
    <m/>
    <m/>
    <x v="842"/>
    <d v="2019-11-05T15:16:29"/>
    <d v="2019-11-07T08:43:15"/>
    <m/>
    <d v="2019-11-07T08:43:15"/>
  </r>
  <r>
    <n v="457"/>
    <s v="Затяжка ВПБ"/>
    <n v="2"/>
    <s v="Значительное"/>
    <x v="0"/>
    <x v="10"/>
    <s v="groholskii@spgr.ru"/>
    <x v="1"/>
    <d v="2019-11-28T00:00:00"/>
    <d v="2019-11-28T00:00:00"/>
    <m/>
    <m/>
    <m/>
    <m/>
    <m/>
    <m/>
    <m/>
    <m/>
    <x v="843"/>
    <d v="2019-11-28T00:21:21"/>
    <d v="2019-11-28T00:21:28"/>
    <m/>
    <d v="2019-11-28T00:21:28"/>
  </r>
  <r>
    <n v="1067"/>
    <s v="Опалубка ПС-10"/>
    <n v="2"/>
    <s v="Значительное"/>
    <x v="0"/>
    <x v="10"/>
    <s v="groholskii@spgr.ru"/>
    <x v="1"/>
    <d v="2020-01-27T00:00:00"/>
    <d v="2020-01-28T00:00:00"/>
    <m/>
    <m/>
    <m/>
    <m/>
    <m/>
    <m/>
    <m/>
    <m/>
    <x v="844"/>
    <d v="2020-01-28T07:05:18"/>
    <d v="2020-01-28T07:05:18"/>
    <m/>
    <d v="2020-01-28T07:07:03"/>
  </r>
  <r>
    <n v="458"/>
    <s v="Водопровод НВК 9 (юг)"/>
    <n v="2"/>
    <s v="Значительное"/>
    <x v="0"/>
    <x v="10"/>
    <s v="groholskii@spgr.ru"/>
    <x v="1"/>
    <d v="2019-11-28T00:00:00"/>
    <d v="2019-11-28T00:00:00"/>
    <m/>
    <m/>
    <m/>
    <m/>
    <m/>
    <m/>
    <m/>
    <m/>
    <x v="845"/>
    <d v="2019-11-28T06:30:16"/>
    <d v="2019-11-28T06:30:19"/>
    <m/>
    <d v="2019-11-28T06:30:20"/>
  </r>
  <r>
    <n v="459"/>
    <s v="Парапет ПРМ-2а"/>
    <n v="2"/>
    <s v="Значительное"/>
    <x v="0"/>
    <x v="10"/>
    <s v="groholskii@spgr.ru"/>
    <x v="1"/>
    <d v="2019-11-28T00:00:00"/>
    <d v="2019-11-28T00:00:00"/>
    <m/>
    <m/>
    <m/>
    <m/>
    <m/>
    <m/>
    <m/>
    <m/>
    <x v="846"/>
    <d v="2019-11-28T06:09:09"/>
    <d v="2019-11-28T06:09:15"/>
    <m/>
    <d v="2019-11-28T06:09:15"/>
  </r>
  <r>
    <n v="472"/>
    <s v="Монтаж фасадных панелей"/>
    <n v="2"/>
    <s v="Значительное"/>
    <x v="0"/>
    <x v="10"/>
    <s v="groholskii@spgr.ru"/>
    <x v="1"/>
    <d v="2019-11-29T00:00:00"/>
    <d v="2019-11-29T00:00:00"/>
    <m/>
    <m/>
    <m/>
    <m/>
    <m/>
    <m/>
    <m/>
    <m/>
    <x v="847"/>
    <d v="2019-11-29T06:58:07"/>
    <d v="2019-11-29T07:03:00"/>
    <m/>
    <d v="2019-11-29T07:03:00"/>
  </r>
  <r>
    <n v="470"/>
    <s v="Затяжка ВПБ"/>
    <n v="2"/>
    <s v="Значительное"/>
    <x v="0"/>
    <x v="10"/>
    <s v="groholskii@spgr.ru"/>
    <x v="1"/>
    <d v="2019-11-29T00:00:00"/>
    <d v="2019-11-29T00:00:00"/>
    <m/>
    <m/>
    <m/>
    <m/>
    <m/>
    <m/>
    <m/>
    <m/>
    <x v="848"/>
    <d v="2019-11-29T05:24:43"/>
    <d v="2019-11-29T05:25:02"/>
    <m/>
    <d v="2019-11-29T05:25:02"/>
  </r>
  <r>
    <n v="798"/>
    <s v="НВК Этап №6"/>
    <n v="2"/>
    <s v="Значительное"/>
    <x v="0"/>
    <x v="10"/>
    <s v="groholskii@spgr.ru"/>
    <x v="1"/>
    <d v="2019-12-25T00:00:00"/>
    <d v="2019-12-26T00:00:00"/>
    <m/>
    <m/>
    <m/>
    <m/>
    <m/>
    <m/>
    <m/>
    <m/>
    <x v="849"/>
    <d v="2019-12-26T06:58:58"/>
    <d v="2019-12-26T06:58:58"/>
    <m/>
    <d v="2019-12-26T06:59:14"/>
  </r>
  <r>
    <n v="799"/>
    <s v="Гидроизоляция СВГ"/>
    <n v="2"/>
    <s v="Значительное"/>
    <x v="0"/>
    <x v="10"/>
    <s v="groholskii@spgr.ru"/>
    <x v="1"/>
    <d v="2019-12-25T00:00:00"/>
    <d v="2019-12-26T00:00:00"/>
    <m/>
    <m/>
    <m/>
    <m/>
    <m/>
    <m/>
    <m/>
    <m/>
    <x v="850"/>
    <d v="2019-12-26T07:07:15"/>
    <d v="2019-12-26T07:07:15"/>
    <m/>
    <d v="2019-12-26T07:07:33"/>
  </r>
  <r>
    <n v="800"/>
    <s v="Фасады. Отсечки противопожарные"/>
    <n v="2"/>
    <s v="Значительное"/>
    <x v="0"/>
    <x v="10"/>
    <s v="groholskii@spgr.ru"/>
    <x v="1"/>
    <d v="2019-12-25T00:00:00"/>
    <d v="2019-12-26T00:00:00"/>
    <m/>
    <m/>
    <m/>
    <m/>
    <m/>
    <m/>
    <m/>
    <m/>
    <x v="851"/>
    <d v="2019-12-26T07:09:05"/>
    <d v="2019-12-26T07:09:05"/>
    <m/>
    <d v="2019-12-26T07:09:19"/>
  </r>
  <r>
    <n v="507"/>
    <s v="Затяжка ВПБ"/>
    <n v="2"/>
    <s v="Значительное"/>
    <x v="0"/>
    <x v="10"/>
    <s v="groholskii@spgr.ru"/>
    <x v="1"/>
    <d v="2019-12-03T00:00:00"/>
    <d v="2019-12-03T00:00:00"/>
    <m/>
    <m/>
    <m/>
    <m/>
    <m/>
    <m/>
    <m/>
    <m/>
    <x v="852"/>
    <d v="2019-12-03T06:41:44"/>
    <d v="2019-12-03T06:43:47"/>
    <m/>
    <d v="2019-12-03T06:43:47"/>
  </r>
  <r>
    <n v="805"/>
    <s v="НВК Этап №6"/>
    <n v="2"/>
    <s v="Значительное"/>
    <x v="0"/>
    <x v="10"/>
    <s v="groholskii@spgr.ru"/>
    <x v="1"/>
    <d v="2019-12-26T00:00:00"/>
    <d v="2019-12-27T00:00:00"/>
    <m/>
    <m/>
    <m/>
    <m/>
    <m/>
    <m/>
    <m/>
    <m/>
    <x v="853"/>
    <d v="2019-12-27T07:34:30"/>
    <d v="2019-12-27T07:34:30"/>
    <m/>
    <d v="2019-12-27T07:39:02"/>
  </r>
  <r>
    <n v="100"/>
    <s v="Герметизация и окраска монтажных стыков:  Блок 2.2, узлы кровли №1, 2, 9, 10, 21, 22"/>
    <n v="2"/>
    <s v="Значительное"/>
    <x v="0"/>
    <x v="10"/>
    <s v="groholskii@spgr.ru"/>
    <x v="1"/>
    <d v="2019-11-01T00:00:00"/>
    <d v="2019-11-01T00:00:00"/>
    <m/>
    <m/>
    <m/>
    <m/>
    <m/>
    <m/>
    <m/>
    <m/>
    <x v="854"/>
    <d v="2019-11-01T18:43:02"/>
    <d v="2019-11-07T08:41:27"/>
    <m/>
    <d v="2019-11-07T08:41:27"/>
  </r>
  <r>
    <n v="99"/>
    <s v="Затяжка ВПБ:  Блок 1(усм), отм.+71.050, узлы №185, 186. Блок 1(бэс), узлы кровли №49, 77, 78, 106, 108. Блок 2.2(лм), узлы кровли №2, 8, 12, 43."/>
    <n v="2"/>
    <s v="Значительное"/>
    <x v="0"/>
    <x v="10"/>
    <s v="groholskii@spgr.ru"/>
    <x v="1"/>
    <d v="2019-11-01T00:00:00"/>
    <d v="2019-11-01T00:00:00"/>
    <m/>
    <m/>
    <m/>
    <m/>
    <m/>
    <n v="0"/>
    <m/>
    <m/>
    <x v="855"/>
    <d v="2019-11-01T18:29:13"/>
    <d v="2019-11-07T08:41:14"/>
    <m/>
    <d v="2019-11-08T15:13:51"/>
  </r>
  <r>
    <n v="110"/>
    <s v="Затяжка ВПБ"/>
    <n v="2"/>
    <s v="Значительное"/>
    <x v="0"/>
    <x v="10"/>
    <s v="groholskii@spgr.ru"/>
    <x v="1"/>
    <d v="2019-11-02T00:00:00"/>
    <d v="2019-11-02T00:00:00"/>
    <m/>
    <m/>
    <m/>
    <m/>
    <m/>
    <m/>
    <m/>
    <m/>
    <x v="856"/>
    <d v="2019-11-02T16:55:29"/>
    <d v="2019-11-07T08:41:40"/>
    <m/>
    <d v="2019-11-07T08:41:41"/>
  </r>
  <r>
    <n v="540"/>
    <s v="Огнезащитное покрытие &quot;Монокот&quot;"/>
    <n v="3"/>
    <s v="Малозначительное"/>
    <x v="0"/>
    <x v="10"/>
    <s v="groholskii@spgr.ru"/>
    <x v="1"/>
    <d v="2019-12-05T00:00:00"/>
    <d v="2019-12-05T00:00:00"/>
    <m/>
    <m/>
    <m/>
    <m/>
    <m/>
    <m/>
    <m/>
    <m/>
    <x v="857"/>
    <d v="2019-12-05T11:48:45"/>
    <d v="2019-12-05T18:24:27"/>
    <m/>
    <d v="2019-12-05T18:24:28"/>
  </r>
  <r>
    <n v="541"/>
    <s v="Монтаж системы СОФ"/>
    <n v="3"/>
    <s v="Малозначительное"/>
    <x v="0"/>
    <x v="10"/>
    <s v="groholskii@spgr.ru"/>
    <x v="1"/>
    <d v="2019-12-05T00:00:00"/>
    <d v="2019-12-05T00:00:00"/>
    <m/>
    <m/>
    <m/>
    <m/>
    <m/>
    <m/>
    <m/>
    <m/>
    <x v="858"/>
    <d v="2019-12-05T18:24:08"/>
    <d v="2019-12-05T18:24:08"/>
    <m/>
    <d v="2019-12-05T18:37:40"/>
  </r>
  <r>
    <n v="118"/>
    <s v="Система снегозадержания"/>
    <n v="2"/>
    <s v="Значительное"/>
    <x v="0"/>
    <x v="10"/>
    <s v="groholskii@spgr.ru"/>
    <x v="1"/>
    <d v="2019-11-04T00:00:00"/>
    <d v="2019-11-04T00:00:00"/>
    <m/>
    <m/>
    <m/>
    <m/>
    <m/>
    <m/>
    <m/>
    <m/>
    <x v="859"/>
    <d v="2019-11-04T17:28:56"/>
    <d v="2019-11-07T08:42:11"/>
    <m/>
    <d v="2019-11-07T08:42:11"/>
  </r>
  <r>
    <n v="119"/>
    <s v="Кронштейны фасадной системы"/>
    <n v="2"/>
    <s v="Значительное"/>
    <x v="0"/>
    <x v="10"/>
    <s v="groholskii@spgr.ru"/>
    <x v="1"/>
    <d v="2019-11-04T00:00:00"/>
    <d v="2019-11-04T00:00:00"/>
    <m/>
    <m/>
    <m/>
    <m/>
    <m/>
    <m/>
    <m/>
    <m/>
    <x v="860"/>
    <d v="2019-11-04T17:46:11"/>
    <d v="2019-11-07T08:42:17"/>
    <m/>
    <d v="2019-11-07T08:42:18"/>
  </r>
  <r>
    <n v="120"/>
    <s v="Затяжка ВПБ"/>
    <n v="2"/>
    <s v="Значительное"/>
    <x v="0"/>
    <x v="10"/>
    <s v="groholskii@spgr.ru"/>
    <x v="1"/>
    <d v="2019-11-04T00:00:00"/>
    <d v="2019-11-04T00:00:00"/>
    <m/>
    <m/>
    <m/>
    <m/>
    <m/>
    <m/>
    <m/>
    <m/>
    <x v="861"/>
    <d v="2019-11-04T18:03:56"/>
    <d v="2019-11-07T08:42:25"/>
    <m/>
    <d v="2019-11-07T08:42:25"/>
  </r>
  <r>
    <n v="121"/>
    <s v="Плита перекрытия"/>
    <n v="2"/>
    <s v="Значительное"/>
    <x v="0"/>
    <x v="10"/>
    <s v="groholskii@spgr.ru"/>
    <x v="1"/>
    <d v="2019-11-04T00:00:00"/>
    <d v="2019-11-04T00:00:00"/>
    <m/>
    <m/>
    <m/>
    <m/>
    <m/>
    <m/>
    <m/>
    <m/>
    <x v="862"/>
    <d v="2019-11-04T19:19:06"/>
    <d v="2019-11-07T08:42:32"/>
    <m/>
    <d v="2019-11-07T08:42:33"/>
  </r>
  <r>
    <n v="543"/>
    <s v="Затяжка ВПБ"/>
    <n v="2"/>
    <s v="Значительное"/>
    <x v="0"/>
    <x v="10"/>
    <s v="groholskii@spgr.ru"/>
    <x v="1"/>
    <d v="2019-12-05T00:00:00"/>
    <d v="2019-12-05T00:00:00"/>
    <m/>
    <m/>
    <m/>
    <m/>
    <m/>
    <m/>
    <m/>
    <m/>
    <x v="863"/>
    <d v="2019-12-05T18:39:59"/>
    <d v="2019-12-05T18:39:59"/>
    <m/>
    <d v="2019-12-05T18:40:12"/>
  </r>
  <r>
    <n v="544"/>
    <s v="Кровля внутреннего двора"/>
    <n v="2"/>
    <s v="Значительное"/>
    <x v="0"/>
    <x v="10"/>
    <s v="groholskii@spgr.ru"/>
    <x v="1"/>
    <d v="2019-12-05T00:00:00"/>
    <d v="2019-12-05T00:00:00"/>
    <m/>
    <m/>
    <m/>
    <m/>
    <m/>
    <m/>
    <m/>
    <m/>
    <x v="864"/>
    <d v="2019-12-05T19:01:19"/>
    <d v="2019-12-05T19:01:19"/>
    <m/>
    <d v="2019-12-05T19:01:30"/>
  </r>
  <r>
    <n v="548"/>
    <s v="Лестница ЛК-3.11, армирование и опалубка"/>
    <n v="3"/>
    <s v="Малозначительное"/>
    <x v="0"/>
    <x v="10"/>
    <s v="groholskii@spgr.ru"/>
    <x v="1"/>
    <d v="2019-12-06T00:00:00"/>
    <d v="2019-12-06T00:00:00"/>
    <m/>
    <m/>
    <m/>
    <m/>
    <m/>
    <m/>
    <m/>
    <m/>
    <x v="865"/>
    <d v="2019-12-06T17:07:45"/>
    <d v="2019-12-06T17:07:50"/>
    <m/>
    <d v="2019-12-06T17:07:50"/>
  </r>
  <r>
    <n v="553"/>
    <s v="Огнезащита МК  &quot;Огракс&quot;"/>
    <n v="3"/>
    <s v="Малозначительное"/>
    <x v="0"/>
    <x v="10"/>
    <s v="groholskii@spgr.ru"/>
    <x v="1"/>
    <d v="2019-12-06T00:00:00"/>
    <d v="2019-12-06T00:00:00"/>
    <m/>
    <m/>
    <m/>
    <m/>
    <m/>
    <m/>
    <m/>
    <m/>
    <x v="866"/>
    <d v="2019-12-06T17:49:25"/>
    <d v="2019-12-06T17:49:36"/>
    <m/>
    <d v="2019-12-06T17:49:36"/>
  </r>
  <r>
    <n v="552"/>
    <s v="Затяжка ВПБ"/>
    <n v="3"/>
    <s v="Малозначительное"/>
    <x v="0"/>
    <x v="10"/>
    <s v="groholskii@spgr.ru"/>
    <x v="1"/>
    <d v="2019-12-06T00:00:00"/>
    <d v="2019-12-06T00:00:00"/>
    <m/>
    <m/>
    <m/>
    <m/>
    <m/>
    <m/>
    <m/>
    <m/>
    <x v="867"/>
    <d v="2019-12-06T17:40:07"/>
    <d v="2019-12-06T17:40:07"/>
    <m/>
    <d v="2019-12-06T17:40:08"/>
  </r>
  <r>
    <n v="826"/>
    <s v="Монтаж фермы между блоками 1 и 2"/>
    <n v="2"/>
    <s v="Значительное"/>
    <x v="0"/>
    <x v="10"/>
    <s v="groholskii@spgr.ru"/>
    <x v="1"/>
    <d v="2019-12-29T00:00:00"/>
    <d v="2019-12-30T00:00:00"/>
    <m/>
    <m/>
    <m/>
    <m/>
    <m/>
    <m/>
    <m/>
    <m/>
    <x v="868"/>
    <d v="2019-12-30T17:00:02"/>
    <d v="2019-12-30T17:00:02"/>
    <m/>
    <d v="2019-12-30T18:59:32"/>
  </r>
  <r>
    <n v="828"/>
    <s v="Монтаж кронштейнов"/>
    <n v="2"/>
    <s v="Значительное"/>
    <x v="0"/>
    <x v="10"/>
    <s v="groholskii@spgr.ru"/>
    <x v="1"/>
    <d v="2019-12-30T00:00:00"/>
    <d v="2019-12-30T00:00:00"/>
    <m/>
    <m/>
    <m/>
    <m/>
    <m/>
    <m/>
    <m/>
    <m/>
    <x v="869"/>
    <d v="2019-12-30T18:56:39"/>
    <d v="2019-12-30T18:56:39"/>
    <m/>
    <d v="2019-12-30T19:02:34"/>
  </r>
  <r>
    <n v="827"/>
    <s v="Монтаж фасадных панелей"/>
    <n v="2"/>
    <s v="Значительное"/>
    <x v="0"/>
    <x v="10"/>
    <s v="groholskii@spgr.ru"/>
    <x v="1"/>
    <m/>
    <m/>
    <m/>
    <m/>
    <m/>
    <m/>
    <m/>
    <m/>
    <m/>
    <m/>
    <x v="870"/>
    <d v="2019-12-30T18:17:57"/>
    <d v="2019-12-30T18:17:57"/>
    <m/>
    <d v="2019-12-30T18:29:32"/>
  </r>
  <r>
    <n v="115"/>
    <s v="Подвесные потолки"/>
    <n v="2"/>
    <s v="Значительное"/>
    <x v="0"/>
    <x v="10"/>
    <s v="groholskii@spgr.ru"/>
    <x v="1"/>
    <d v="2019-11-04T00:00:00"/>
    <d v="2019-11-04T00:00:00"/>
    <m/>
    <m/>
    <m/>
    <m/>
    <m/>
    <m/>
    <m/>
    <m/>
    <x v="871"/>
    <d v="2019-11-04T11:26:17"/>
    <d v="2019-11-07T08:41:48"/>
    <m/>
    <d v="2019-11-07T08:41:49"/>
  </r>
  <r>
    <n v="574"/>
    <s v="Затяжка ВПБ"/>
    <n v="2"/>
    <s v="Значительное"/>
    <x v="0"/>
    <x v="10"/>
    <s v="groholskii@spgr.ru"/>
    <x v="1"/>
    <d v="2019-12-09T00:00:00"/>
    <d v="2019-12-09T00:00:00"/>
    <m/>
    <m/>
    <m/>
    <m/>
    <m/>
    <m/>
    <m/>
    <m/>
    <x v="872"/>
    <d v="2019-12-09T18:26:17"/>
    <d v="2019-12-09T18:26:21"/>
    <m/>
    <d v="2019-12-09T18:26:22"/>
  </r>
  <r>
    <n v="575"/>
    <s v="Монтаж лотков кровли ETFE"/>
    <n v="2"/>
    <s v="Значительное"/>
    <x v="0"/>
    <x v="10"/>
    <s v="groholskii@spgr.ru"/>
    <x v="1"/>
    <d v="2019-12-09T00:00:00"/>
    <d v="2019-12-09T00:00:00"/>
    <m/>
    <m/>
    <m/>
    <m/>
    <m/>
    <m/>
    <m/>
    <m/>
    <x v="873"/>
    <d v="2019-12-09T18:41:44"/>
    <d v="2019-12-09T18:41:50"/>
    <m/>
    <d v="2019-12-09T18:42:03"/>
  </r>
  <r>
    <n v="180"/>
    <s v="Затяжка ВПБ"/>
    <n v="2"/>
    <s v="Значительное"/>
    <x v="0"/>
    <x v="10"/>
    <s v="groholskii@spgr.ru"/>
    <x v="1"/>
    <d v="2019-11-07T00:00:00"/>
    <d v="2019-11-07T00:00:00"/>
    <m/>
    <m/>
    <m/>
    <m/>
    <m/>
    <m/>
    <m/>
    <m/>
    <x v="874"/>
    <d v="2019-11-07T16:52:59"/>
    <d v="2019-11-07T17:36:59"/>
    <m/>
    <d v="2019-11-07T17:37:00"/>
  </r>
  <r>
    <n v="181"/>
    <s v="Армирование подпорной стены ПС-10"/>
    <n v="2"/>
    <s v="Значительное"/>
    <x v="0"/>
    <x v="10"/>
    <s v="groholskii@spgr.ru"/>
    <x v="1"/>
    <d v="2019-11-07T00:00:00"/>
    <d v="2019-11-07T00:00:00"/>
    <m/>
    <m/>
    <m/>
    <m/>
    <m/>
    <m/>
    <m/>
    <m/>
    <x v="875"/>
    <d v="2019-11-07T17:37:39"/>
    <d v="2019-11-07T17:43:58"/>
    <m/>
    <d v="2019-11-07T17:43:58"/>
  </r>
  <r>
    <n v="195"/>
    <s v="Затяжка ВПБ"/>
    <n v="2"/>
    <s v="Значительное"/>
    <x v="0"/>
    <x v="10"/>
    <s v="groholskii@spgr.ru"/>
    <x v="1"/>
    <d v="2019-11-08T00:00:00"/>
    <d v="2019-11-08T00:00:00"/>
    <m/>
    <m/>
    <m/>
    <m/>
    <m/>
    <m/>
    <m/>
    <m/>
    <x v="876"/>
    <d v="2019-11-08T19:33:26"/>
    <d v="2019-11-08T19:33:26"/>
    <m/>
    <d v="2019-11-08T19:33:37"/>
  </r>
  <r>
    <n v="1119"/>
    <s v="Затяжка ВПБ КПП2"/>
    <n v="2"/>
    <s v="Значительное"/>
    <x v="0"/>
    <x v="10"/>
    <s v="groholskii@spgr.ru"/>
    <x v="1"/>
    <d v="2020-01-30T00:00:00"/>
    <d v="2020-01-30T00:00:00"/>
    <m/>
    <m/>
    <m/>
    <m/>
    <m/>
    <m/>
    <m/>
    <m/>
    <x v="877"/>
    <d v="2020-01-30T18:07:33"/>
    <d v="2020-01-30T18:07:33"/>
    <m/>
    <d v="2020-01-30T18:33:20"/>
  </r>
  <r>
    <n v="1120"/>
    <s v="Огнезащита &quot;МОНОКОТ&quot;"/>
    <n v="2"/>
    <s v="Значительное"/>
    <x v="0"/>
    <x v="10"/>
    <s v="groholskii@spgr.ru"/>
    <x v="1"/>
    <d v="2020-01-30T00:00:00"/>
    <d v="2020-01-30T00:00:00"/>
    <m/>
    <m/>
    <m/>
    <m/>
    <n v="0"/>
    <m/>
    <m/>
    <m/>
    <x v="878"/>
    <d v="2020-01-30T18:35:14"/>
    <d v="2020-01-30T18:35:14"/>
    <m/>
    <d v="2020-01-30T18:35:29"/>
  </r>
  <r>
    <n v="589"/>
    <s v="Затяжка ВПБ"/>
    <n v="2"/>
    <s v="Значительное"/>
    <x v="0"/>
    <x v="10"/>
    <s v="groholskii@spgr.ru"/>
    <x v="1"/>
    <d v="2019-12-10T00:00:00"/>
    <d v="2019-12-10T00:00:00"/>
    <m/>
    <m/>
    <m/>
    <m/>
    <m/>
    <m/>
    <m/>
    <m/>
    <x v="879"/>
    <d v="2019-12-10T19:17:02"/>
    <d v="2019-12-10T19:17:02"/>
    <m/>
    <d v="2019-12-10T19:17:03"/>
  </r>
  <r>
    <n v="622"/>
    <s v="Затяжка ВПБ"/>
    <n v="2"/>
    <s v="Значительное"/>
    <x v="0"/>
    <x v="10"/>
    <s v="groholskii@spgr.ru"/>
    <x v="1"/>
    <d v="2019-12-13T00:00:00"/>
    <d v="2019-12-13T00:00:00"/>
    <m/>
    <m/>
    <m/>
    <m/>
    <m/>
    <m/>
    <m/>
    <m/>
    <x v="880"/>
    <d v="2019-12-13T19:20:13"/>
    <d v="2019-12-13T19:20:13"/>
    <m/>
    <d v="2019-12-13T19:20:13"/>
  </r>
  <r>
    <n v="623"/>
    <s v="Герметизация и окраска монтажных стыков"/>
    <n v="2"/>
    <s v="Значительное"/>
    <x v="0"/>
    <x v="10"/>
    <s v="groholskii@spgr.ru"/>
    <x v="1"/>
    <d v="2019-12-13T00:00:00"/>
    <d v="2019-12-13T00:00:00"/>
    <m/>
    <m/>
    <m/>
    <m/>
    <m/>
    <m/>
    <m/>
    <m/>
    <x v="881"/>
    <d v="2019-12-13T19:30:43"/>
    <d v="2019-12-13T19:30:43"/>
    <m/>
    <d v="2019-12-13T19:30:43"/>
  </r>
  <r>
    <n v="216"/>
    <s v="Монтаж фасадных панелей"/>
    <n v="2"/>
    <s v="Значительное"/>
    <x v="0"/>
    <x v="10"/>
    <s v="groholskii@spgr.ru"/>
    <x v="1"/>
    <d v="2019-11-12T00:00:00"/>
    <d v="2019-11-12T00:00:00"/>
    <m/>
    <m/>
    <m/>
    <m/>
    <m/>
    <m/>
    <m/>
    <m/>
    <x v="882"/>
    <d v="2019-11-12T05:37:14"/>
    <d v="2019-11-12T05:37:14"/>
    <m/>
    <d v="2019-11-12T05:37:49"/>
  </r>
  <r>
    <n v="215"/>
    <s v="Затяжка ВПБ"/>
    <n v="2"/>
    <s v="Значительное"/>
    <x v="0"/>
    <x v="10"/>
    <s v="groholskii@spgr.ru"/>
    <x v="1"/>
    <d v="2019-11-12T00:00:00"/>
    <d v="2019-11-12T00:00:00"/>
    <m/>
    <m/>
    <m/>
    <m/>
    <m/>
    <m/>
    <m/>
    <m/>
    <x v="883"/>
    <d v="2019-11-12T05:29:58"/>
    <d v="2019-11-12T05:29:58"/>
    <m/>
    <d v="2019-11-12T05:30:45"/>
  </r>
  <r>
    <n v="838"/>
    <s v="Монтаж кронштейнов фасадной системы"/>
    <n v="2"/>
    <s v="Значительное"/>
    <x v="0"/>
    <x v="10"/>
    <s v="groholskii@spgr.ru"/>
    <x v="1"/>
    <d v="2020-01-03T00:00:00"/>
    <d v="2020-01-03T00:00:00"/>
    <m/>
    <m/>
    <m/>
    <m/>
    <m/>
    <m/>
    <m/>
    <m/>
    <x v="884"/>
    <d v="2020-01-03T17:26:43"/>
    <d v="2020-01-03T17:26:43"/>
    <m/>
    <d v="2020-01-03T17:27:50"/>
  </r>
  <r>
    <n v="628"/>
    <s v="Герметизация и окраска монтажных стыков"/>
    <n v="2"/>
    <s v="Значительное"/>
    <x v="0"/>
    <x v="10"/>
    <s v="groholskii@spgr.ru"/>
    <x v="1"/>
    <m/>
    <m/>
    <m/>
    <m/>
    <m/>
    <m/>
    <m/>
    <m/>
    <m/>
    <m/>
    <x v="885"/>
    <d v="2019-12-14T17:32:46"/>
    <d v="2019-12-14T17:32:46"/>
    <m/>
    <d v="2019-12-14T17:32:47"/>
  </r>
  <r>
    <n v="626"/>
    <s v="Монтаж фасадных панелей"/>
    <n v="2"/>
    <s v="Значительное"/>
    <x v="0"/>
    <x v="10"/>
    <s v="groholskii@spgr.ru"/>
    <x v="1"/>
    <d v="2019-12-14T00:00:00"/>
    <d v="2019-12-14T00:00:00"/>
    <m/>
    <m/>
    <m/>
    <m/>
    <m/>
    <m/>
    <m/>
    <m/>
    <x v="886"/>
    <d v="2019-12-14T17:20:19"/>
    <d v="2019-12-14T17:20:19"/>
    <m/>
    <d v="2019-12-14T17:20:19"/>
  </r>
  <r>
    <n v="627"/>
    <s v="Монтаж распорки между блоками 2.1 и 2.2"/>
    <n v="2"/>
    <s v="Значительное"/>
    <x v="0"/>
    <x v="10"/>
    <s v="groholskii@spgr.ru"/>
    <x v="1"/>
    <d v="2019-12-14T00:00:00"/>
    <d v="2019-12-14T00:00:00"/>
    <m/>
    <m/>
    <m/>
    <m/>
    <m/>
    <m/>
    <m/>
    <m/>
    <x v="887"/>
    <d v="2019-12-14T17:27:35"/>
    <d v="2019-12-14T17:27:35"/>
    <m/>
    <d v="2019-12-14T17:27:35"/>
  </r>
  <r>
    <n v="839"/>
    <s v="Монтаж фасадных панелей"/>
    <n v="2"/>
    <s v="Значительное"/>
    <x v="0"/>
    <x v="10"/>
    <s v="groholskii@spgr.ru"/>
    <x v="1"/>
    <d v="2020-01-03T00:00:00"/>
    <d v="2020-01-03T00:00:00"/>
    <m/>
    <m/>
    <m/>
    <m/>
    <m/>
    <m/>
    <m/>
    <m/>
    <x v="888"/>
    <d v="2020-01-03T17:50:56"/>
    <d v="2020-01-03T17:50:56"/>
    <m/>
    <d v="2020-01-03T17:51:06"/>
  </r>
  <r>
    <n v="234"/>
    <s v="Установка дверей"/>
    <n v="2"/>
    <s v="Значительное"/>
    <x v="0"/>
    <x v="10"/>
    <s v="groholskii@spgr.ru"/>
    <x v="1"/>
    <d v="2019-11-13T00:00:00"/>
    <d v="2019-11-13T00:00:00"/>
    <m/>
    <m/>
    <m/>
    <m/>
    <m/>
    <m/>
    <m/>
    <m/>
    <x v="889"/>
    <d v="2019-11-13T04:49:56"/>
    <d v="2019-11-13T04:49:56"/>
    <m/>
    <d v="2019-11-13T04:51:09"/>
  </r>
  <r>
    <n v="236"/>
    <s v="Затяжка ВПБ"/>
    <n v="2"/>
    <s v="Значительное"/>
    <x v="0"/>
    <x v="10"/>
    <s v="groholskii@spgr.ru"/>
    <x v="1"/>
    <d v="2019-11-13T00:00:00"/>
    <d v="2019-11-13T00:00:00"/>
    <m/>
    <m/>
    <m/>
    <m/>
    <m/>
    <m/>
    <m/>
    <m/>
    <x v="890"/>
    <d v="2019-11-13T05:22:58"/>
    <d v="2019-11-13T05:22:58"/>
    <m/>
    <d v="2019-11-13T05:23:29"/>
  </r>
  <r>
    <n v="1018"/>
    <s v="Затяжка ВПБ"/>
    <n v="2"/>
    <s v="Значительное"/>
    <x v="0"/>
    <x v="10"/>
    <s v="groholskii@spgr.ru"/>
    <x v="1"/>
    <m/>
    <m/>
    <m/>
    <m/>
    <m/>
    <m/>
    <m/>
    <m/>
    <m/>
    <m/>
    <x v="891"/>
    <d v="2020-01-23T06:33:19"/>
    <d v="2020-01-23T06:33:19"/>
    <m/>
    <d v="2020-01-23T06:33:24"/>
  </r>
  <r>
    <n v="304"/>
    <s v="Монтаж фасадных панелей"/>
    <n v="2"/>
    <s v="Значительное"/>
    <x v="0"/>
    <x v="10"/>
    <s v="groholskii@spgr.ru"/>
    <x v="1"/>
    <d v="2019-11-16T00:00:00"/>
    <d v="2019-11-16T00:00:00"/>
    <m/>
    <m/>
    <m/>
    <m/>
    <m/>
    <m/>
    <m/>
    <m/>
    <x v="892"/>
    <d v="2019-11-16T04:51:26"/>
    <d v="2019-11-16T04:51:26"/>
    <m/>
    <d v="2019-11-16T04:51:37"/>
  </r>
  <r>
    <n v="303"/>
    <s v="Затяжка ВПБ"/>
    <n v="2"/>
    <s v="Значительное"/>
    <x v="0"/>
    <x v="10"/>
    <s v="groholskii@spgr.ru"/>
    <x v="1"/>
    <d v="2019-11-16T00:00:00"/>
    <d v="2019-11-16T00:00:00"/>
    <m/>
    <m/>
    <m/>
    <m/>
    <m/>
    <m/>
    <m/>
    <m/>
    <x v="893"/>
    <d v="2019-11-16T04:38:17"/>
    <d v="2019-11-16T04:38:17"/>
    <m/>
    <d v="2019-11-16T04:38:34"/>
  </r>
  <r>
    <n v="309"/>
    <s v="Армирование и опалубка парапета. КПП2"/>
    <n v="2"/>
    <s v="Значительное"/>
    <x v="0"/>
    <x v="10"/>
    <s v="groholskii@spgr.ru"/>
    <x v="1"/>
    <d v="2019-11-17T00:00:00"/>
    <d v="2019-11-17T00:00:00"/>
    <m/>
    <m/>
    <m/>
    <m/>
    <m/>
    <m/>
    <m/>
    <m/>
    <x v="894"/>
    <d v="2019-11-17T02:58:38"/>
    <d v="2019-11-17T02:58:38"/>
    <m/>
    <d v="2019-11-17T03:04:03"/>
  </r>
  <r>
    <n v="306"/>
    <s v="Затяжка ВПБ"/>
    <n v="2"/>
    <s v="Значительное"/>
    <x v="0"/>
    <x v="10"/>
    <s v="groholskii@spgr.ru"/>
    <x v="1"/>
    <d v="2019-11-17T00:00:00"/>
    <d v="2019-11-17T00:00:00"/>
    <m/>
    <m/>
    <m/>
    <m/>
    <m/>
    <m/>
    <m/>
    <m/>
    <x v="895"/>
    <d v="2019-11-17T02:21:29"/>
    <d v="2019-11-17T02:21:29"/>
    <m/>
    <d v="2019-11-17T02:23:10"/>
  </r>
  <r>
    <n v="307"/>
    <s v="Герметизация и окраска монтажных стыков."/>
    <n v="2"/>
    <s v="Значительное"/>
    <x v="0"/>
    <x v="10"/>
    <s v="groholskii@spgr.ru"/>
    <x v="1"/>
    <d v="2019-11-17T00:00:00"/>
    <d v="2019-11-17T00:00:00"/>
    <m/>
    <m/>
    <m/>
    <m/>
    <m/>
    <m/>
    <m/>
    <m/>
    <x v="896"/>
    <d v="2019-11-17T02:39:17"/>
    <d v="2019-11-17T02:39:17"/>
    <m/>
    <d v="2019-11-17T02:39:25"/>
  </r>
  <r>
    <n v="1164"/>
    <s v="Ферма внутреннего двора (затяжка, покраска)"/>
    <n v="2"/>
    <s v="Значительное"/>
    <x v="0"/>
    <x v="10"/>
    <s v="groholskii@spgr.ru"/>
    <x v="1"/>
    <d v="2020-02-03T00:00:00"/>
    <d v="2020-02-03T00:00:00"/>
    <m/>
    <m/>
    <m/>
    <m/>
    <m/>
    <m/>
    <m/>
    <m/>
    <x v="897"/>
    <d v="2020-02-03T18:11:35"/>
    <d v="2020-02-03T18:11:35"/>
    <m/>
    <d v="2020-02-03T18:15:32"/>
  </r>
  <r>
    <n v="860"/>
    <s v="ПС-15. Армирование, опалубка, бетон."/>
    <n v="2"/>
    <s v="Значительное"/>
    <x v="0"/>
    <x v="10"/>
    <s v="groholskii@spgr.ru"/>
    <x v="1"/>
    <d v="2020-01-08T00:00:00"/>
    <d v="2020-01-08T00:00:00"/>
    <m/>
    <m/>
    <m/>
    <m/>
    <m/>
    <m/>
    <m/>
    <m/>
    <x v="898"/>
    <d v="2020-01-08T14:16:35"/>
    <d v="2020-01-08T14:16:35"/>
    <m/>
    <d v="2020-01-08T14:16:46"/>
  </r>
  <r>
    <n v="861"/>
    <s v="Монтаж М/К шахты лифта"/>
    <n v="2"/>
    <s v="Значительное"/>
    <x v="0"/>
    <x v="10"/>
    <s v="groholskii@spgr.ru"/>
    <x v="1"/>
    <d v="2020-01-08T00:00:00"/>
    <d v="2020-01-08T00:00:00"/>
    <m/>
    <m/>
    <m/>
    <m/>
    <m/>
    <m/>
    <m/>
    <m/>
    <x v="899"/>
    <d v="2020-01-08T17:02:23"/>
    <d v="2020-01-08T17:02:23"/>
    <m/>
    <d v="2020-01-08T17:02:29"/>
  </r>
  <r>
    <n v="1179"/>
    <s v="Блок 3. Плита перекрытия в осях 7/Б-9/Б / 30-31 на отм.- 0.250, на месте крана К8."/>
    <n v="2"/>
    <s v="Значительное"/>
    <x v="0"/>
    <x v="10"/>
    <s v="groholskii@spgr.ru"/>
    <x v="1"/>
    <d v="2020-02-04T00:00:00"/>
    <d v="2020-02-04T00:00:00"/>
    <m/>
    <m/>
    <m/>
    <m/>
    <m/>
    <m/>
    <m/>
    <m/>
    <x v="900"/>
    <d v="2020-02-04T18:16:07"/>
    <d v="2020-02-04T18:16:07"/>
    <m/>
    <d v="2020-02-04T18:22:20"/>
  </r>
  <r>
    <n v="1180"/>
    <s v="СОФ 1"/>
    <n v="2"/>
    <s v="Значительное"/>
    <x v="0"/>
    <x v="10"/>
    <s v="groholskii@spgr.ru"/>
    <x v="1"/>
    <d v="2020-02-04T00:00:00"/>
    <d v="2020-02-04T00:00:00"/>
    <m/>
    <m/>
    <m/>
    <m/>
    <m/>
    <m/>
    <m/>
    <m/>
    <x v="901"/>
    <d v="2020-02-04T18:28:00"/>
    <d v="2020-02-04T18:28:00"/>
    <m/>
    <d v="2020-02-04T18:50:15"/>
  </r>
  <r>
    <n v="893"/>
    <s v="Омоноличивание оголовков свай"/>
    <n v="2"/>
    <s v="Значительное"/>
    <x v="0"/>
    <x v="10"/>
    <s v="groholskii@spgr.ru"/>
    <x v="1"/>
    <d v="2020-01-11T00:00:00"/>
    <d v="2020-01-11T00:00:00"/>
    <m/>
    <m/>
    <m/>
    <m/>
    <m/>
    <m/>
    <m/>
    <m/>
    <x v="902"/>
    <d v="2020-01-11T17:17:36"/>
    <d v="2020-01-11T17:17:36"/>
    <m/>
    <d v="2020-01-11T17:17:36"/>
  </r>
  <r>
    <n v="896"/>
    <s v="Фундаментная плита ПС-10"/>
    <n v="2"/>
    <s v="Значительное"/>
    <x v="0"/>
    <x v="10"/>
    <s v="groholskii@spgr.ru"/>
    <x v="1"/>
    <m/>
    <m/>
    <m/>
    <m/>
    <m/>
    <m/>
    <m/>
    <m/>
    <m/>
    <m/>
    <x v="903"/>
    <d v="2020-01-11T17:48:17"/>
    <d v="2020-01-11T17:48:17"/>
    <m/>
    <d v="2020-01-11T17:48:17"/>
  </r>
  <r>
    <n v="1242"/>
    <s v="Затяжка ВПБ"/>
    <n v="2"/>
    <s v="Значительное"/>
    <x v="0"/>
    <x v="10"/>
    <s v="groholskii@spgr.ru"/>
    <x v="1"/>
    <d v="2020-02-07T00:00:00"/>
    <d v="2020-02-08T00:00:00"/>
    <m/>
    <m/>
    <m/>
    <m/>
    <m/>
    <m/>
    <m/>
    <m/>
    <x v="904"/>
    <d v="2020-02-08T06:25:32"/>
    <d v="2020-02-08T06:25:32"/>
    <m/>
    <d v="2020-02-08T06:25:49"/>
  </r>
  <r>
    <n v="1244"/>
    <s v="Установка стеклопакетов"/>
    <n v="2"/>
    <s v="Значительное"/>
    <x v="0"/>
    <x v="10"/>
    <s v="groholskii@spgr.ru"/>
    <x v="1"/>
    <d v="2020-02-07T00:00:00"/>
    <d v="2020-02-08T00:00:00"/>
    <m/>
    <m/>
    <m/>
    <m/>
    <m/>
    <m/>
    <m/>
    <m/>
    <x v="905"/>
    <d v="2020-02-08T06:51:03"/>
    <d v="2020-02-08T06:51:03"/>
    <m/>
    <d v="2020-02-08T06:51:16"/>
  </r>
  <r>
    <n v="1245"/>
    <s v="Плита перекрытия"/>
    <n v="2"/>
    <s v="Значительное"/>
    <x v="0"/>
    <x v="10"/>
    <s v="groholskii@spgr.ru"/>
    <x v="1"/>
    <d v="2020-02-07T00:00:00"/>
    <d v="2020-02-08T00:00:00"/>
    <m/>
    <m/>
    <m/>
    <m/>
    <m/>
    <m/>
    <m/>
    <m/>
    <x v="906"/>
    <d v="2020-02-08T07:08:39"/>
    <d v="2020-02-08T07:08:39"/>
    <m/>
    <d v="2020-02-08T07:09:39"/>
  </r>
  <r>
    <n v="1246"/>
    <s v="Монолитные стены"/>
    <n v="2"/>
    <s v="Значительное"/>
    <x v="0"/>
    <x v="10"/>
    <s v="groholskii@spgr.ru"/>
    <x v="1"/>
    <d v="2020-02-07T00:00:00"/>
    <d v="2020-02-08T00:00:00"/>
    <m/>
    <m/>
    <m/>
    <m/>
    <m/>
    <m/>
    <m/>
    <m/>
    <x v="907"/>
    <d v="2020-02-08T07:18:06"/>
    <d v="2020-02-08T07:18:06"/>
    <m/>
    <d v="2020-02-08T07:25:44"/>
  </r>
  <r>
    <n v="1254"/>
    <s v="Монтаж фасадных панелей"/>
    <n v="2"/>
    <s v="Значительное"/>
    <x v="0"/>
    <x v="10"/>
    <s v="groholskii@spgr.ru"/>
    <x v="1"/>
    <d v="2020-02-08T00:00:00"/>
    <d v="2020-02-09T00:00:00"/>
    <m/>
    <m/>
    <m/>
    <m/>
    <m/>
    <m/>
    <m/>
    <m/>
    <x v="908"/>
    <d v="2020-02-09T06:50:56"/>
    <d v="2020-02-09T06:50:56"/>
    <m/>
    <d v="2020-02-09T06:52:07"/>
  </r>
  <r>
    <n v="922"/>
    <s v="Монтаж лотков кровли ETFE"/>
    <n v="2"/>
    <s v="Значительное"/>
    <x v="0"/>
    <x v="10"/>
    <s v="groholskii@spgr.ru"/>
    <x v="1"/>
    <d v="2020-01-15T00:00:00"/>
    <d v="2020-01-15T00:00:00"/>
    <m/>
    <m/>
    <m/>
    <m/>
    <m/>
    <m/>
    <m/>
    <m/>
    <x v="909"/>
    <d v="2020-01-15T18:01:57"/>
    <d v="2020-01-15T18:01:57"/>
    <m/>
    <d v="2020-01-15T18:02:08"/>
  </r>
  <r>
    <n v="931"/>
    <s v="Огнезащитное покрытие &quot;Монокот&quot;"/>
    <n v="2"/>
    <s v="Значительное"/>
    <x v="0"/>
    <x v="10"/>
    <s v="groholskii@spgr.ru"/>
    <x v="1"/>
    <d v="2020-01-16T00:00:00"/>
    <d v="2020-01-16T00:00:00"/>
    <m/>
    <m/>
    <m/>
    <m/>
    <m/>
    <m/>
    <m/>
    <m/>
    <x v="910"/>
    <d v="2020-01-16T19:24:04"/>
    <d v="2020-01-16T19:24:04"/>
    <m/>
    <d v="2020-01-16T19:24:05"/>
  </r>
  <r>
    <n v="948"/>
    <s v="Опалубка и бетонирование КПП2"/>
    <n v="2"/>
    <s v="Значительное"/>
    <x v="0"/>
    <x v="10"/>
    <s v="groholskii@spgr.ru"/>
    <x v="1"/>
    <d v="2020-01-18T00:00:00"/>
    <d v="2020-01-19T00:00:00"/>
    <m/>
    <m/>
    <m/>
    <m/>
    <m/>
    <m/>
    <m/>
    <m/>
    <x v="911"/>
    <d v="2020-01-19T06:32:29"/>
    <d v="2020-01-19T06:32:29"/>
    <m/>
    <d v="2020-01-19T06:32:47"/>
  </r>
  <r>
    <n v="1016"/>
    <s v="Армирование, чистота, опалубка"/>
    <n v="2"/>
    <s v="Значительное"/>
    <x v="0"/>
    <x v="10"/>
    <s v="groholskii@spgr.ru"/>
    <x v="1"/>
    <d v="2020-01-22T00:00:00"/>
    <d v="2020-01-23T00:00:00"/>
    <m/>
    <m/>
    <m/>
    <m/>
    <m/>
    <m/>
    <m/>
    <m/>
    <x v="912"/>
    <d v="2020-01-23T06:16:36"/>
    <d v="2020-01-23T06:16:36"/>
    <m/>
    <d v="2020-01-23T06:22:39"/>
  </r>
  <r>
    <n v="412"/>
    <s v="Монтаж панелей и седлового уплотнителя Блок 1 ."/>
    <n v="2"/>
    <s v="Значительное"/>
    <x v="0"/>
    <x v="10"/>
    <s v="rc_facades@rencons.com"/>
    <x v="1"/>
    <d v="2019-11-23T00:00:00"/>
    <d v="2019-11-24T00:00:00"/>
    <m/>
    <m/>
    <m/>
    <m/>
    <m/>
    <m/>
    <m/>
    <m/>
    <x v="913"/>
    <d v="2019-11-24T17:30:50"/>
    <d v="2019-12-13T14:59:29"/>
    <m/>
    <d v="2019-12-13T14:59:32"/>
  </r>
  <r>
    <n v="419"/>
    <s v="Дефектная схема фасадной панели Блок А2-в/о 8-21/1/Б"/>
    <n v="1"/>
    <s v="КРИТИЧЕСКОЕ"/>
    <x v="0"/>
    <x v="10"/>
    <s v="rc_facades@rencons.com"/>
    <x v="1"/>
    <d v="2019-11-23T00:00:00"/>
    <d v="2019-11-30T00:00:00"/>
    <s v="РК-РД-2-АР09.1-05.01-06"/>
    <n v="0"/>
    <n v="0"/>
    <m/>
    <m/>
    <m/>
    <s v="АР09.2-Фасады-Панели"/>
    <s v="Ссылка на план"/>
    <x v="914"/>
    <d v="2019-11-28T17:28:23"/>
    <d v="2019-12-13T14:59:29"/>
    <m/>
    <d v="2019-12-13T14:59:32"/>
  </r>
  <r>
    <n v="830"/>
    <s v="Монтаж фасадной панели в/о Д-И/15/1 с отм.+0,120."/>
    <n v="2"/>
    <s v="Значительное"/>
    <x v="0"/>
    <x v="10"/>
    <s v="rc_facades@rencons.com"/>
    <x v="1"/>
    <d v="2020-01-02T00:00:00"/>
    <d v="2020-01-02T00:00:00"/>
    <m/>
    <m/>
    <m/>
    <m/>
    <m/>
    <m/>
    <m/>
    <m/>
    <x v="915"/>
    <d v="2020-01-02T17:13:03"/>
    <d v="2020-01-02T17:13:03"/>
    <m/>
    <d v="2020-01-02T17:13:04"/>
  </r>
  <r>
    <n v="499"/>
    <s v="Монтаж панелей фасада тип-11 в/о 3-5/28-30 с отм.+1,770 до отм. +18,365."/>
    <n v="2"/>
    <s v="Значительное"/>
    <x v="0"/>
    <x v="10"/>
    <s v="rc_facades@rencons.com"/>
    <x v="1"/>
    <d v="2019-12-01T00:00:00"/>
    <d v="2019-12-02T00:00:00"/>
    <m/>
    <m/>
    <m/>
    <m/>
    <m/>
    <m/>
    <m/>
    <m/>
    <x v="916"/>
    <d v="2019-12-02T10:19:59"/>
    <d v="2019-12-16T17:07:30"/>
    <m/>
    <d v="2019-12-16T17:07:30"/>
  </r>
  <r>
    <n v="1053"/>
    <s v="Устройство Опалубки Плиты под крыльцо КРМ-3"/>
    <n v="2"/>
    <s v="Значительное"/>
    <x v="0"/>
    <x v="10"/>
    <s v="prasolov@spgr.ru"/>
    <x v="1"/>
    <m/>
    <m/>
    <m/>
    <m/>
    <m/>
    <m/>
    <m/>
    <m/>
    <m/>
    <m/>
    <x v="917"/>
    <d v="2020-01-24T19:18:03"/>
    <d v="2020-01-24T19:18:03"/>
    <m/>
    <d v="2020-01-24T19:18:04"/>
  </r>
  <r>
    <n v="1057"/>
    <s v="Монтаж Лотков Кровли Etfe В/О 29-30"/>
    <n v="2"/>
    <s v="Значительное"/>
    <x v="0"/>
    <x v="10"/>
    <s v="prasolov@spgr.ru"/>
    <x v="1"/>
    <m/>
    <m/>
    <m/>
    <m/>
    <m/>
    <m/>
    <m/>
    <m/>
    <m/>
    <m/>
    <x v="918"/>
    <d v="2020-01-25T18:48:43"/>
    <d v="2020-01-25T18:48:43"/>
    <m/>
    <d v="2020-01-25T18:48:44"/>
  </r>
  <r>
    <n v="1058"/>
    <s v="Монтаж Утеплителя На Лотках Кровли Etfe По Оси 29"/>
    <n v="2"/>
    <s v="Значительное"/>
    <x v="0"/>
    <x v="10"/>
    <s v="prasolov@spgr.ru"/>
    <x v="1"/>
    <m/>
    <m/>
    <m/>
    <m/>
    <m/>
    <m/>
    <m/>
    <m/>
    <m/>
    <m/>
    <x v="919"/>
    <d v="2020-01-25T18:48:37"/>
    <d v="2020-01-25T18:48:37"/>
    <m/>
    <d v="2020-01-25T18:48:38"/>
  </r>
  <r>
    <n v="671"/>
    <s v="КМ. Балки крепления фасадных конструкций. Отм. +15.241 м. Узлы 116, 117, 191, 192."/>
    <n v="2"/>
    <s v="Значительное"/>
    <x v="0"/>
    <x v="10"/>
    <s v="prasolov@spgr.ru"/>
    <x v="1"/>
    <m/>
    <m/>
    <m/>
    <m/>
    <m/>
    <m/>
    <m/>
    <m/>
    <m/>
    <m/>
    <x v="920"/>
    <d v="2019-12-18T20:04:46"/>
    <d v="2019-12-18T20:04:46"/>
    <m/>
    <d v="2019-12-18T20:04:46"/>
  </r>
  <r>
    <n v="672"/>
    <s v="Огнезащита конструкций моста в осях &quot;8/Б-9/Б&quot;/ &quot;18-25&quot; на отм. +4.050 м."/>
    <n v="2"/>
    <s v="Значительное"/>
    <x v="0"/>
    <x v="10"/>
    <s v="prasolov@spgr.ru"/>
    <x v="1"/>
    <m/>
    <m/>
    <m/>
    <m/>
    <m/>
    <m/>
    <m/>
    <m/>
    <m/>
    <m/>
    <x v="921"/>
    <d v="2019-12-18T20:04:44"/>
    <d v="2019-12-18T20:04:44"/>
    <m/>
    <d v="2019-12-18T20:04:44"/>
  </r>
  <r>
    <n v="670"/>
    <s v="КМ. Балки крепления фасадных конструкций. Отм. +15.241 м. Узлы 175, 180, 95."/>
    <n v="2"/>
    <s v="Значительное"/>
    <x v="0"/>
    <x v="10"/>
    <s v="prasolov@spgr.ru"/>
    <x v="1"/>
    <m/>
    <m/>
    <m/>
    <m/>
    <m/>
    <m/>
    <m/>
    <m/>
    <m/>
    <m/>
    <x v="922"/>
    <d v="2019-12-18T20:04:49"/>
    <d v="2019-12-18T20:04:49"/>
    <m/>
    <d v="2019-12-18T20:04:49"/>
  </r>
  <r>
    <n v="707"/>
    <s v="Установка 1-го слоя минеральной ваты противопожарной отсечки. L5 в/о &quot;9/1-11/1&quot;/  &quot;7/Б&quot;"/>
    <n v="2"/>
    <s v="Значительное"/>
    <x v="0"/>
    <x v="10"/>
    <s v="prasolov@spgr.ru"/>
    <x v="1"/>
    <m/>
    <m/>
    <m/>
    <m/>
    <m/>
    <m/>
    <m/>
    <m/>
    <m/>
    <m/>
    <x v="923"/>
    <d v="2019-12-22T17:34:19"/>
    <d v="2019-12-22T17:34:19"/>
    <m/>
    <d v="2019-12-22T17:34:19"/>
  </r>
  <r>
    <n v="708"/>
    <s v="Установка 1-го слоя минеральной ваты противопожарной отсечки. L4 в/о &quot;29-31&quot;/  &quot;10/Б&quot;"/>
    <n v="2"/>
    <s v="Значительное"/>
    <x v="0"/>
    <x v="10"/>
    <s v="prasolov@spgr.ru"/>
    <x v="1"/>
    <m/>
    <m/>
    <m/>
    <m/>
    <m/>
    <m/>
    <m/>
    <m/>
    <m/>
    <m/>
    <x v="924"/>
    <d v="2019-12-22T17:34:20"/>
    <d v="2019-12-22T17:34:20"/>
    <m/>
    <d v="2019-12-22T17:34:21"/>
  </r>
  <r>
    <n v="752"/>
    <s v="КМ. Монтаж Фасадных балок.  Блок 2.1.  Узлы № 184, 183, 166, 162, 161, 92, 91"/>
    <n v="2"/>
    <s v="Значительное"/>
    <x v="0"/>
    <x v="10"/>
    <s v="prasolov@spgr.ru"/>
    <x v="1"/>
    <m/>
    <m/>
    <m/>
    <m/>
    <m/>
    <m/>
    <m/>
    <m/>
    <m/>
    <m/>
    <x v="925"/>
    <d v="2019-12-23T19:57:05"/>
    <d v="2019-12-23T19:57:05"/>
    <m/>
    <d v="2019-12-23T19:57:05"/>
  </r>
  <r>
    <n v="796"/>
    <s v="КМ монтаж  фасадных балок Блок 2.1. Узлы 167,197,198,199,200,201"/>
    <n v="2"/>
    <s v="Значительное"/>
    <x v="0"/>
    <x v="10"/>
    <s v="prasolov@spgr.ru"/>
    <x v="1"/>
    <m/>
    <m/>
    <m/>
    <m/>
    <m/>
    <m/>
    <m/>
    <m/>
    <m/>
    <m/>
    <x v="926"/>
    <d v="2019-12-25T20:23:51"/>
    <d v="2019-12-25T20:23:51"/>
    <m/>
    <d v="2019-12-25T20:23:51"/>
  </r>
  <r>
    <n v="797"/>
    <s v="КМ. Монтаж рельс СОФ в осях &quot;26-28&quot;/ &quot;1/Б&quot;. &quot;31-32&quot;/ 6/Б"/>
    <n v="2"/>
    <s v="Значительное"/>
    <x v="0"/>
    <x v="10"/>
    <s v="prasolov@spgr.ru"/>
    <x v="1"/>
    <m/>
    <m/>
    <m/>
    <m/>
    <m/>
    <m/>
    <m/>
    <m/>
    <m/>
    <m/>
    <x v="927"/>
    <d v="2019-12-25T20:35:15"/>
    <d v="2019-12-25T20:35:15"/>
    <m/>
    <d v="2019-12-25T20:35:15"/>
  </r>
  <r>
    <n v="802"/>
    <s v="Армирование Фундаментной плиты КПП 2 в осях Б.2-Ж.2/ 1.2-3.2 на отм. -1.400"/>
    <n v="2"/>
    <s v="Значительное"/>
    <x v="0"/>
    <x v="10"/>
    <s v="prasolov@spgr.ru"/>
    <x v="1"/>
    <m/>
    <m/>
    <m/>
    <m/>
    <m/>
    <m/>
    <m/>
    <m/>
    <m/>
    <m/>
    <x v="928"/>
    <d v="2019-12-26T18:56:08"/>
    <d v="2019-12-26T18:56:08"/>
    <m/>
    <d v="2019-12-26T18:56:09"/>
  </r>
  <r>
    <n v="803"/>
    <s v="Монтаж фасадных панелей  с отм. +16.770 до отм. +20.790 м. в осях Ф-Ш/1"/>
    <n v="2"/>
    <s v="Значительное"/>
    <x v="0"/>
    <x v="10"/>
    <s v="prasolov@spgr.ru"/>
    <x v="1"/>
    <m/>
    <m/>
    <m/>
    <m/>
    <m/>
    <m/>
    <m/>
    <m/>
    <m/>
    <m/>
    <x v="929"/>
    <d v="2019-12-26T19:40:06"/>
    <d v="2019-12-26T19:40:06"/>
    <m/>
    <d v="2019-12-26T19:40:06"/>
  </r>
  <r>
    <n v="804"/>
    <s v="КМ Монтаж металлоконструкций. Фасадные балки Узлы № 158, 157, 156, 155"/>
    <n v="2"/>
    <s v="Значительное"/>
    <x v="0"/>
    <x v="10"/>
    <s v="prasolov@spgr.ru"/>
    <x v="1"/>
    <m/>
    <m/>
    <m/>
    <m/>
    <m/>
    <m/>
    <m/>
    <m/>
    <m/>
    <m/>
    <x v="930"/>
    <d v="2019-12-26T20:20:06"/>
    <d v="2019-12-26T20:20:06"/>
    <m/>
    <d v="2019-12-26T20:20:06"/>
  </r>
  <r>
    <n v="1079"/>
    <s v="Монтаж Металлоконструкций Блок 1. Кровля"/>
    <n v="2"/>
    <s v="Значительное"/>
    <x v="0"/>
    <x v="10"/>
    <s v="prasolov@spgr.ru"/>
    <x v="1"/>
    <m/>
    <m/>
    <m/>
    <m/>
    <m/>
    <m/>
    <m/>
    <m/>
    <m/>
    <m/>
    <x v="931"/>
    <d v="2020-01-29T05:26:49"/>
    <d v="2020-01-29T05:26:49"/>
    <m/>
    <d v="2020-01-29T05:26:50"/>
  </r>
  <r>
    <n v="824"/>
    <s v="Монтаж панелей фасада Тип5 в/о &quot;15-17&quot;/ &quot;3/А&quot; с отм. +6,770 до +20,970"/>
    <n v="2"/>
    <s v="Значительное"/>
    <x v="0"/>
    <x v="10"/>
    <s v="prasolov@spgr.ru"/>
    <x v="1"/>
    <m/>
    <m/>
    <m/>
    <m/>
    <m/>
    <m/>
    <m/>
    <m/>
    <m/>
    <m/>
    <x v="932"/>
    <d v="2019-12-30T01:31:48"/>
    <d v="2019-12-30T01:31:48"/>
    <m/>
    <d v="2019-12-30T01:31:48"/>
  </r>
  <r>
    <n v="1060"/>
    <s v="Армирование Стены Пс-10 Г-Е/1 На Отм. -6.55"/>
    <n v="2"/>
    <s v="Значительное"/>
    <x v="0"/>
    <x v="10"/>
    <s v="prasolov@spgr.ru"/>
    <x v="1"/>
    <m/>
    <m/>
    <m/>
    <m/>
    <m/>
    <m/>
    <m/>
    <m/>
    <m/>
    <m/>
    <x v="933"/>
    <d v="2020-01-25T18:49:53"/>
    <d v="2020-01-25T18:49:53"/>
    <m/>
    <d v="2020-01-30T09:10:50"/>
  </r>
  <r>
    <n v="1110"/>
    <s v="Армирование п/п В Осях 3-5/ 9/1-10/1"/>
    <n v="2"/>
    <s v="Значительное"/>
    <x v="0"/>
    <x v="10"/>
    <s v="prasolov@spgr.ru"/>
    <x v="1"/>
    <m/>
    <m/>
    <m/>
    <m/>
    <m/>
    <m/>
    <m/>
    <m/>
    <m/>
    <m/>
    <x v="934"/>
    <d v="2020-01-30T08:30:38"/>
    <d v="2020-01-30T08:30:38"/>
    <m/>
    <d v="2020-01-30T09:10:08"/>
  </r>
  <r>
    <n v="337"/>
    <s v="Приёмка МК затяжка болтов. Согласно вложению"/>
    <n v="2"/>
    <s v="Значительное"/>
    <x v="0"/>
    <x v="10"/>
    <s v="prasolov@spgr.ru"/>
    <x v="1"/>
    <m/>
    <m/>
    <m/>
    <m/>
    <m/>
    <m/>
    <m/>
    <m/>
    <m/>
    <m/>
    <x v="935"/>
    <d v="2019-12-12T13:52:47"/>
    <d v="2019-12-12T13:52:47"/>
    <m/>
    <d v="2019-12-12T13:52:47"/>
  </r>
  <r>
    <n v="262"/>
    <s v="Армирование. Парапет в/о 30-31/ Г-Е на отм. -0,65м"/>
    <n v="2"/>
    <s v="Значительное"/>
    <x v="0"/>
    <x v="10"/>
    <s v="prasolov@spgr.ru"/>
    <x v="1"/>
    <m/>
    <m/>
    <m/>
    <m/>
    <m/>
    <m/>
    <m/>
    <m/>
    <m/>
    <m/>
    <x v="936"/>
    <d v="2019-11-14T00:51:36"/>
    <d v="2019-12-13T14:59:29"/>
    <m/>
    <d v="2019-12-13T14:59:30"/>
  </r>
  <r>
    <n v="264"/>
    <s v="Блок 2.2 кровля. Узлы № 50, 310, 585, 586, 81"/>
    <n v="2"/>
    <s v="Значительное"/>
    <x v="0"/>
    <x v="10"/>
    <s v="prasolov@spgr.ru"/>
    <x v="1"/>
    <m/>
    <m/>
    <m/>
    <m/>
    <m/>
    <m/>
    <m/>
    <m/>
    <m/>
    <m/>
    <x v="937"/>
    <d v="2019-11-14T00:54:16"/>
    <d v="2019-12-13T14:59:29"/>
    <m/>
    <d v="2019-12-13T14:59:30"/>
  </r>
  <r>
    <n v="624"/>
    <s v="Приемка опорных узлов ферм внутреннего двора (КМ). Узлы № 3.110, 3.109, 3. 108, 6.7, 2. 163, 2. 162, 2.161"/>
    <n v="3"/>
    <s v="Малозначительное"/>
    <x v="0"/>
    <x v="10"/>
    <s v="prasolov@spgr.ru"/>
    <x v="1"/>
    <m/>
    <m/>
    <m/>
    <m/>
    <m/>
    <m/>
    <m/>
    <m/>
    <m/>
    <m/>
    <x v="938"/>
    <d v="2019-12-14T08:21:12"/>
    <d v="2019-12-14T08:21:12"/>
    <m/>
    <d v="2019-12-14T08:21:12"/>
  </r>
  <r>
    <n v="625"/>
    <s v="Монтаж МК. 1 блок кровля. Узлы № 222, 223, 224, 225, 226, 227, 228, 229, 230, 231, 232, 233, 234, 235, 236, 237."/>
    <n v="3"/>
    <s v="Малозначительное"/>
    <x v="0"/>
    <x v="10"/>
    <s v="prasolov@spgr.ru"/>
    <x v="1"/>
    <m/>
    <m/>
    <m/>
    <m/>
    <m/>
    <m/>
    <m/>
    <m/>
    <m/>
    <m/>
    <x v="939"/>
    <d v="2019-12-14T08:23:56"/>
    <d v="2019-12-14T08:23:56"/>
    <m/>
    <d v="2019-12-14T08:23:56"/>
  </r>
  <r>
    <n v="283"/>
    <s v="Монтаж МК. Блок 2.2. Узлы № 68 отм. +33м; №87 отм. +37м; №290 кровля"/>
    <n v="2"/>
    <s v="Значительное"/>
    <x v="0"/>
    <x v="10"/>
    <s v="prasolov@spgr.ru"/>
    <x v="1"/>
    <m/>
    <m/>
    <m/>
    <m/>
    <m/>
    <m/>
    <m/>
    <m/>
    <m/>
    <m/>
    <x v="940"/>
    <d v="2019-11-15T03:07:51"/>
    <d v="2019-12-13T14:59:29"/>
    <m/>
    <d v="2019-12-13T14:59:30"/>
  </r>
  <r>
    <n v="282"/>
    <s v="Монтаж  МК 1 Блок. Кровля. Узлы № 17, 38, 40, 177, 182, 202, 228, 502, 539"/>
    <n v="2"/>
    <s v="Значительное"/>
    <x v="0"/>
    <x v="10"/>
    <s v="prasolov@spgr.ru"/>
    <x v="1"/>
    <m/>
    <m/>
    <m/>
    <m/>
    <m/>
    <m/>
    <m/>
    <m/>
    <m/>
    <m/>
    <x v="941"/>
    <d v="2019-11-15T03:05:01"/>
    <d v="2019-12-13T14:59:29"/>
    <m/>
    <d v="2019-12-13T14:59:30"/>
  </r>
  <r>
    <n v="1156"/>
    <s v="Монтаж панелей фасада в осях Д-К/10 от +4.710 до +8.370"/>
    <n v="2"/>
    <s v="Значительное"/>
    <x v="0"/>
    <x v="10"/>
    <s v="prasolov@spgr.ru"/>
    <x v="1"/>
    <m/>
    <m/>
    <m/>
    <m/>
    <m/>
    <m/>
    <m/>
    <m/>
    <m/>
    <m/>
    <x v="942"/>
    <d v="2020-02-02T07:01:14"/>
    <d v="2020-02-02T07:01:14"/>
    <m/>
    <d v="2020-02-02T07:01:15"/>
  </r>
  <r>
    <n v="1157"/>
    <s v="Армирование участка плиты перекрытия в/о &quot;3-5&quot;/ &quot;9/1-10/1&quot; на отм. +4.050"/>
    <n v="2"/>
    <s v="Значительное"/>
    <x v="0"/>
    <x v="10"/>
    <s v="prasolov@spgr.ru"/>
    <x v="1"/>
    <m/>
    <m/>
    <m/>
    <m/>
    <m/>
    <m/>
    <m/>
    <m/>
    <m/>
    <m/>
    <x v="943"/>
    <d v="2020-02-02T07:02:54"/>
    <d v="2020-02-02T07:02:54"/>
    <m/>
    <d v="2020-02-02T07:02:55"/>
  </r>
  <r>
    <n v="1158"/>
    <s v="Монтаж металлоконструкций каркаса +66.850м"/>
    <n v="2"/>
    <s v="Значительное"/>
    <x v="0"/>
    <x v="10"/>
    <s v="prasolov@spgr.ru"/>
    <x v="1"/>
    <m/>
    <m/>
    <m/>
    <m/>
    <m/>
    <m/>
    <m/>
    <m/>
    <m/>
    <m/>
    <x v="944"/>
    <d v="2020-02-02T07:03:57"/>
    <d v="2020-02-02T07:03:57"/>
    <m/>
    <d v="2020-02-02T07:03:57"/>
  </r>
  <r>
    <n v="315"/>
    <s v="Монтаж МК. Блок 2 согласно вложению"/>
    <n v="3"/>
    <s v="Малозначительное"/>
    <x v="0"/>
    <x v="10"/>
    <s v="prasolov@spgr.ru"/>
    <x v="1"/>
    <m/>
    <m/>
    <m/>
    <m/>
    <m/>
    <m/>
    <m/>
    <m/>
    <m/>
    <m/>
    <x v="945"/>
    <d v="2019-11-18T03:19:02"/>
    <d v="2019-12-13T14:59:29"/>
    <m/>
    <d v="2019-12-13T14:59:30"/>
  </r>
  <r>
    <n v="874"/>
    <s v="Армирование Парапета Прм-2 в Осях А-Б/ 8-13/1 отм. +0.500"/>
    <n v="2"/>
    <s v="Значительное"/>
    <x v="0"/>
    <x v="10"/>
    <s v="prasolov@spgr.ru"/>
    <x v="1"/>
    <m/>
    <m/>
    <m/>
    <m/>
    <m/>
    <m/>
    <m/>
    <m/>
    <m/>
    <m/>
    <x v="946"/>
    <d v="2020-01-10T04:06:26"/>
    <d v="2020-01-10T04:06:26"/>
    <m/>
    <d v="2020-01-10T04:06:25"/>
  </r>
  <r>
    <n v="1218"/>
    <s v="Монтаж вентилируемого фасада. Аквапанель в осях 21-23, Блок А2. Кровля."/>
    <n v="2"/>
    <s v="Значительное"/>
    <x v="0"/>
    <x v="10"/>
    <s v="prasolov@spgr.ru"/>
    <x v="1"/>
    <m/>
    <m/>
    <m/>
    <m/>
    <m/>
    <m/>
    <m/>
    <m/>
    <m/>
    <m/>
    <x v="947"/>
    <d v="2020-02-06T17:53:03"/>
    <d v="2020-02-06T17:53:03"/>
    <m/>
    <d v="2020-02-06T17:53:40"/>
  </r>
  <r>
    <n v="1219"/>
    <s v="Вентилируемый Фасад. Монтаж минваты. в осях 24-26. Блок А2"/>
    <n v="2"/>
    <s v="Значительное"/>
    <x v="0"/>
    <x v="10"/>
    <s v="prasolov@spgr.ru"/>
    <x v="1"/>
    <m/>
    <m/>
    <m/>
    <m/>
    <m/>
    <m/>
    <m/>
    <m/>
    <m/>
    <m/>
    <x v="948"/>
    <d v="2020-02-06T18:02:03"/>
    <d v="2020-02-06T18:02:03"/>
    <m/>
    <d v="2020-02-06T18:02:03"/>
  </r>
  <r>
    <n v="1221"/>
    <s v="Кирпичная кладка  парапетов 1-2/ Е-Д, L16"/>
    <n v="2"/>
    <s v="Значительное"/>
    <x v="0"/>
    <x v="10"/>
    <s v="prasolov@spgr.ru"/>
    <x v="1"/>
    <m/>
    <m/>
    <m/>
    <m/>
    <m/>
    <m/>
    <m/>
    <m/>
    <m/>
    <m/>
    <x v="949"/>
    <d v="2020-02-06T18:15:35"/>
    <d v="2020-02-06T18:15:35"/>
    <m/>
    <d v="2020-02-06T18:15:35"/>
  </r>
  <r>
    <n v="901"/>
    <s v="Установка опалубки стены ПС-1 в/о Ф-Ш/1 -2.680м"/>
    <n v="2"/>
    <s v="Значительное"/>
    <x v="0"/>
    <x v="10"/>
    <s v="prasolov@spgr.ru"/>
    <x v="1"/>
    <m/>
    <m/>
    <m/>
    <m/>
    <m/>
    <m/>
    <m/>
    <m/>
    <m/>
    <m/>
    <x v="950"/>
    <d v="2020-01-13T02:38:48"/>
    <d v="2020-01-13T02:38:48"/>
    <m/>
    <d v="2020-01-13T02:38:48"/>
  </r>
  <r>
    <n v="1260"/>
    <s v="Сборка ферм кровли ETFE перед монтажом в осях 7-9/К"/>
    <n v="2"/>
    <s v="Значительное"/>
    <x v="0"/>
    <x v="10"/>
    <s v="prasolov@spgr.ru"/>
    <x v="1"/>
    <m/>
    <m/>
    <m/>
    <m/>
    <m/>
    <m/>
    <m/>
    <m/>
    <m/>
    <m/>
    <x v="951"/>
    <d v="2020-02-09T20:04:29"/>
    <d v="2020-02-09T20:04:29"/>
    <m/>
    <d v="2020-02-09T20:04:28"/>
  </r>
  <r>
    <n v="933"/>
    <s v="НВК 3-с Гидрозамки Колодцев"/>
    <n v="2"/>
    <s v="Значительное"/>
    <x v="0"/>
    <x v="10"/>
    <s v="prasolov@spgr.ru"/>
    <x v="1"/>
    <m/>
    <m/>
    <m/>
    <m/>
    <m/>
    <m/>
    <m/>
    <m/>
    <m/>
    <m/>
    <x v="952"/>
    <d v="2020-01-17T08:13:25"/>
    <d v="2020-01-17T08:13:25"/>
    <m/>
    <d v="2020-01-17T08:13:26"/>
  </r>
  <r>
    <n v="932"/>
    <s v="Устройство Подсыпки основания Под плиту Пс-10"/>
    <n v="2"/>
    <s v="Значительное"/>
    <x v="0"/>
    <x v="10"/>
    <s v="prasolov@spgr.ru"/>
    <x v="1"/>
    <m/>
    <m/>
    <m/>
    <m/>
    <m/>
    <m/>
    <m/>
    <m/>
    <m/>
    <m/>
    <x v="953"/>
    <d v="2020-01-17T08:11:16"/>
    <d v="2020-01-17T08:11:16"/>
    <m/>
    <d v="2020-01-17T08:11:17"/>
  </r>
  <r>
    <n v="934"/>
    <s v="Армирование туннеля ГОЧС в/о Ш/2-Э / 1/Б отм. -8.550"/>
    <n v="2"/>
    <s v="Значительное"/>
    <x v="0"/>
    <x v="10"/>
    <s v="prasolov@spgr.ru"/>
    <x v="1"/>
    <m/>
    <m/>
    <m/>
    <m/>
    <m/>
    <m/>
    <m/>
    <m/>
    <m/>
    <m/>
    <x v="954"/>
    <d v="2020-01-17T08:16:38"/>
    <d v="2020-01-17T08:16:38"/>
    <m/>
    <d v="2020-01-17T08:16:39"/>
  </r>
  <r>
    <n v="968"/>
    <s v="Армирование плиты под подпорную стену ПС-10 в/о И-Л/1 на отм. -6.200 м"/>
    <n v="2"/>
    <s v="Значительное"/>
    <x v="0"/>
    <x v="10"/>
    <s v="prasolov@spgr.ru"/>
    <x v="1"/>
    <m/>
    <m/>
    <m/>
    <m/>
    <m/>
    <m/>
    <m/>
    <m/>
    <m/>
    <m/>
    <x v="955"/>
    <d v="2020-01-20T19:34:38"/>
    <d v="2020-01-20T19:34:38"/>
    <m/>
    <d v="2020-01-20T19:35:35"/>
  </r>
  <r>
    <n v="967"/>
    <s v="Армирование плиты подпорной стены ПС-10 в/о Г-Е/1 на отм. -6.200"/>
    <n v="2"/>
    <s v="Значительное"/>
    <x v="0"/>
    <x v="10"/>
    <s v="prasolov@spgr.ru"/>
    <x v="1"/>
    <m/>
    <m/>
    <m/>
    <m/>
    <m/>
    <m/>
    <m/>
    <m/>
    <m/>
    <m/>
    <x v="956"/>
    <d v="2020-01-20T19:32:42"/>
    <d v="2020-01-20T19:32:42"/>
    <m/>
    <d v="2020-01-20T19:32:43"/>
  </r>
  <r>
    <n v="969"/>
    <s v="Армирование плиты Пм-2.14 в/о Ш/2-Э/ 1/Б-2/Б на отм. -4.75"/>
    <n v="2"/>
    <s v="Значительное"/>
    <x v="0"/>
    <x v="10"/>
    <s v="prasolov@spgr.ru"/>
    <x v="1"/>
    <m/>
    <m/>
    <m/>
    <m/>
    <m/>
    <m/>
    <m/>
    <m/>
    <m/>
    <m/>
    <x v="957"/>
    <d v="2020-01-20T19:44:58"/>
    <d v="2020-01-20T19:44:58"/>
    <m/>
    <d v="2020-01-20T19:45:57"/>
  </r>
  <r>
    <n v="966"/>
    <s v="Устройство щебёночного основания под плиту опорной стены ПС-10 в/о В-Д/1 на отм. -6.650"/>
    <n v="2"/>
    <s v="Значительное"/>
    <x v="0"/>
    <x v="10"/>
    <s v="prasolov@spgr.ru"/>
    <x v="1"/>
    <m/>
    <m/>
    <m/>
    <m/>
    <m/>
    <m/>
    <m/>
    <m/>
    <m/>
    <m/>
    <x v="958"/>
    <d v="2020-01-20T19:30:14"/>
    <d v="2020-01-20T19:30:14"/>
    <m/>
    <d v="2020-01-20T19:30: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 Fieldwire" cacheId="13" applyNumberFormats="0" applyBorderFormats="0" applyFontFormats="0" applyPatternFormats="0" applyAlignmentFormats="0" applyWidthHeightFormats="1" dataCaption="Значения" updatedVersion="6" minRefreshableVersion="3" useAutoFormatting="1" itemPrintTitles="1" createdVersion="6" indent="0" compact="0" outline="1" outlineData="1" compactData="0" multipleFieldFilters="0">
  <location ref="A3:H72" firstHeaderRow="1" firstDataRow="3" firstDataCol="3"/>
  <pivotFields count="24">
    <pivotField compact="0" showAll="0"/>
    <pivotField dataField="1" compact="0" showAll="0"/>
    <pivotField compact="0" showAll="0"/>
    <pivotField compact="0" showAll="0"/>
    <pivotField axis="axisRow" compact="0" showAll="0">
      <items count="6">
        <item x="2"/>
        <item x="1"/>
        <item x="3"/>
        <item x="4"/>
        <item x="0"/>
        <item t="default"/>
      </items>
    </pivotField>
    <pivotField axis="axisRow" compact="0" showAll="0">
      <items count="12">
        <item x="1"/>
        <item x="2"/>
        <item x="3"/>
        <item x="4"/>
        <item x="5"/>
        <item x="6"/>
        <item x="7"/>
        <item x="8"/>
        <item x="9"/>
        <item x="10"/>
        <item x="0"/>
        <item t="default"/>
      </items>
    </pivotField>
    <pivotField compact="0" showAll="0"/>
    <pivotField axis="axisRow" compact="0" showAll="0">
      <items count="3">
        <item x="0"/>
        <item x="1"/>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axis="axisCol" compact="0" numFmtId="22" showAll="0">
      <items count="15">
        <item x="0"/>
        <item x="1"/>
        <item x="2"/>
        <item x="3"/>
        <item x="4"/>
        <item x="5"/>
        <item x="6"/>
        <item x="7"/>
        <item x="8"/>
        <item x="9"/>
        <item x="10"/>
        <item x="11"/>
        <item x="12"/>
        <item x="13"/>
        <item t="default"/>
      </items>
    </pivotField>
    <pivotField compact="0" showAll="0"/>
    <pivotField compact="0" showAll="0"/>
    <pivotField compact="0" showAll="0"/>
    <pivotField compact="0" numFmtId="22" showAll="0"/>
    <pivotField axis="axisCol" compact="0" showAll="0" defaultSubtotal="0">
      <items count="4">
        <item x="0"/>
        <item x="1"/>
        <item x="2"/>
        <item x="3"/>
      </items>
    </pivotField>
  </pivotFields>
  <rowFields count="3">
    <field x="5"/>
    <field x="7"/>
    <field x="4"/>
  </rowFields>
  <rowItems count="67">
    <i>
      <x/>
    </i>
    <i r="1">
      <x v="1"/>
    </i>
    <i r="2">
      <x v="1"/>
    </i>
    <i r="2">
      <x v="2"/>
    </i>
    <i>
      <x v="1"/>
    </i>
    <i r="1">
      <x/>
    </i>
    <i r="2">
      <x v="4"/>
    </i>
    <i r="1">
      <x v="1"/>
    </i>
    <i r="2">
      <x v="4"/>
    </i>
    <i>
      <x v="2"/>
    </i>
    <i r="1">
      <x v="1"/>
    </i>
    <i r="2">
      <x/>
    </i>
    <i r="2">
      <x v="1"/>
    </i>
    <i r="2">
      <x v="2"/>
    </i>
    <i r="2">
      <x v="4"/>
    </i>
    <i>
      <x v="3"/>
    </i>
    <i r="1">
      <x v="1"/>
    </i>
    <i r="2">
      <x/>
    </i>
    <i r="2">
      <x v="1"/>
    </i>
    <i r="2">
      <x v="2"/>
    </i>
    <i r="2">
      <x v="3"/>
    </i>
    <i r="2">
      <x v="4"/>
    </i>
    <i>
      <x v="4"/>
    </i>
    <i r="1">
      <x v="1"/>
    </i>
    <i r="2">
      <x v="1"/>
    </i>
    <i r="2">
      <x v="2"/>
    </i>
    <i r="2">
      <x v="3"/>
    </i>
    <i r="2">
      <x v="4"/>
    </i>
    <i>
      <x v="5"/>
    </i>
    <i r="1">
      <x v="1"/>
    </i>
    <i r="2">
      <x/>
    </i>
    <i r="2">
      <x v="1"/>
    </i>
    <i r="2">
      <x v="2"/>
    </i>
    <i r="2">
      <x v="4"/>
    </i>
    <i>
      <x v="6"/>
    </i>
    <i r="1">
      <x v="1"/>
    </i>
    <i r="2">
      <x v="1"/>
    </i>
    <i r="2">
      <x v="2"/>
    </i>
    <i r="2">
      <x v="3"/>
    </i>
    <i r="2">
      <x v="4"/>
    </i>
    <i>
      <x v="7"/>
    </i>
    <i r="1">
      <x/>
    </i>
    <i r="2">
      <x v="4"/>
    </i>
    <i r="1">
      <x v="1"/>
    </i>
    <i r="2">
      <x/>
    </i>
    <i r="2">
      <x v="1"/>
    </i>
    <i r="2">
      <x v="2"/>
    </i>
    <i r="2">
      <x v="4"/>
    </i>
    <i>
      <x v="8"/>
    </i>
    <i r="1">
      <x v="1"/>
    </i>
    <i r="2">
      <x v="3"/>
    </i>
    <i r="2">
      <x v="4"/>
    </i>
    <i>
      <x v="9"/>
    </i>
    <i r="1">
      <x/>
    </i>
    <i r="2">
      <x v="4"/>
    </i>
    <i r="1">
      <x v="1"/>
    </i>
    <i r="2">
      <x/>
    </i>
    <i r="2">
      <x v="1"/>
    </i>
    <i r="2">
      <x v="4"/>
    </i>
    <i>
      <x v="10"/>
    </i>
    <i r="1">
      <x/>
    </i>
    <i r="2">
      <x v="4"/>
    </i>
    <i r="1">
      <x v="1"/>
    </i>
    <i r="2">
      <x/>
    </i>
    <i r="2">
      <x v="1"/>
    </i>
    <i r="2">
      <x v="4"/>
    </i>
    <i t="grand">
      <x/>
    </i>
  </rowItems>
  <colFields count="2">
    <field x="23"/>
    <field x="18"/>
  </colFields>
  <colItems count="5">
    <i>
      <x v="1"/>
      <x v="11"/>
    </i>
    <i r="1">
      <x v="12"/>
    </i>
    <i>
      <x v="2"/>
      <x v="1"/>
    </i>
    <i r="1">
      <x v="2"/>
    </i>
    <i t="grand">
      <x/>
    </i>
  </colItems>
  <dataFields count="1">
    <dataField name="Количество по полю Заголовок"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source" displayName="source" ref="A4:W1083" totalsRowShown="0">
  <autoFilter ref="A4:W1083"/>
  <tableColumns count="23">
    <tableColumn id="1" name="ID"/>
    <tableColumn id="2" name="Заголовок"/>
    <tableColumn id="3" name="Приоритет"/>
    <tableColumn id="21" name="Приоритет_" dataDxfId="6">
      <calculatedColumnFormula>VLOOKUP(source[[#This Row],[Приоритет]],тПриоритеты[],2,0)</calculatedColumnFormula>
    </tableColumn>
    <tableColumn id="22" name="Статус" dataDxfId="5">
      <calculatedColumnFormula>IF(ISBLANK(source[[#This Row],[Проверенные]]),IF(ISBLANK(source[[#This Row],[Завершенные]]),source[[#This Row],[Приоритет_]],"Завершено"),"Проверено")</calculatedColumnFormula>
    </tableColumn>
    <tableColumn id="4" name="Категория"/>
    <tableColumn id="5" name="Отвественный"/>
    <tableColumn id="23" name="Ответственный_" dataDxfId="4">
      <calculatedColumnFormula>VLOOKUP(source[[#This Row],[Отвественный]],тОтветственные[],2,0)</calculatedColumnFormula>
    </tableColumn>
    <tableColumn id="6" name="Дата начала"/>
    <tableColumn id="7" name="Дата завершения"/>
    <tableColumn id="8" name="План"/>
    <tableColumn id="9" name="Поз. X (%)"/>
    <tableColumn id="10" name="Поз. Y (%)"/>
    <tableColumn id="11" name="Местоположение"/>
    <tableColumn id="12" name="Рабочая сила"/>
    <tableColumn id="13" name="Стоимость"/>
    <tableColumn id="14" name="Плановая папка"/>
    <tableColumn id="15" name="Ссылка на план"/>
    <tableColumn id="16" name="Созданный" dataDxfId="10"/>
    <tableColumn id="17" name="Завершенные" dataDxfId="9"/>
    <tableColumn id="18" name="Проверенные" dataDxfId="8"/>
    <tableColumn id="19" name="Удалено"/>
    <tableColumn id="20" name="Последнее обновление" dataDxfId="7"/>
  </tableColumns>
  <tableStyleInfo name="TableStyleMedium2" showFirstColumn="0" showLastColumn="0" showRowStripes="1" showColumnStripes="0"/>
</table>
</file>

<file path=xl/tables/table2.xml><?xml version="1.0" encoding="utf-8"?>
<table xmlns="http://schemas.openxmlformats.org/spreadsheetml/2006/main" id="1" name="тПриоритеты" displayName="тПриоритеты" ref="B2:C5" totalsRowShown="0">
  <autoFilter ref="B2:C5"/>
  <tableColumns count="2">
    <tableColumn id="1" name="Код"/>
    <tableColumn id="2" name="Приоритет"/>
  </tableColumns>
  <tableStyleInfo name="TableStyleMedium2" showFirstColumn="0" showLastColumn="0" showRowStripes="1" showColumnStripes="0"/>
</table>
</file>

<file path=xl/tables/table3.xml><?xml version="1.0" encoding="utf-8"?>
<table xmlns="http://schemas.openxmlformats.org/spreadsheetml/2006/main" id="2" name="тОтветственные" displayName="тОтветственные" ref="E2:F12" totalsRowShown="0">
  <autoFilter ref="E2:F12"/>
  <tableColumns count="2">
    <tableColumn id="1" name="Email"/>
    <tableColumn id="2" name="Ответственный"/>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GG1083"/>
  <sheetViews>
    <sheetView workbookViewId="0"/>
  </sheetViews>
  <sheetFormatPr defaultRowHeight="14.5" x14ac:dyDescent="0.35"/>
  <cols>
    <col min="2" max="2" width="11.90625" customWidth="1"/>
    <col min="3" max="5" width="12.1796875" customWidth="1"/>
    <col min="6" max="6" width="11.7265625" customWidth="1"/>
    <col min="7" max="8" width="15.36328125" customWidth="1"/>
    <col min="9" max="9" width="13.6328125" customWidth="1"/>
    <col min="10" max="10" width="18.08984375" customWidth="1"/>
    <col min="12" max="12" width="11.26953125" customWidth="1"/>
    <col min="13" max="13" width="11.1796875" customWidth="1"/>
    <col min="14" max="14" width="18.26953125" customWidth="1"/>
    <col min="15" max="15" width="14.54296875" customWidth="1"/>
    <col min="16" max="16" width="12.08984375" customWidth="1"/>
    <col min="17" max="17" width="17" customWidth="1"/>
    <col min="18" max="18" width="16.54296875" customWidth="1"/>
    <col min="19" max="19" width="12.7265625" customWidth="1"/>
    <col min="20" max="20" width="15.08984375" customWidth="1"/>
    <col min="21" max="21" width="15" customWidth="1"/>
    <col min="22" max="22" width="10.36328125" customWidth="1"/>
    <col min="23" max="23" width="23.453125" customWidth="1"/>
  </cols>
  <sheetData>
    <row r="1" spans="1:189" ht="15" customHeight="1" x14ac:dyDescent="0.35">
      <c r="A1" t="s">
        <v>0</v>
      </c>
    </row>
    <row r="2" spans="1:189" ht="15" customHeight="1" x14ac:dyDescent="0.35">
      <c r="A2" t="s">
        <v>1</v>
      </c>
    </row>
    <row r="3" spans="1:189" ht="15" customHeight="1" x14ac:dyDescent="0.35">
      <c r="A3" s="1">
        <v>43871.768171296295</v>
      </c>
    </row>
    <row r="4" spans="1:189" ht="15" customHeight="1" x14ac:dyDescent="0.35">
      <c r="A4" t="s">
        <v>2</v>
      </c>
      <c r="B4" t="s">
        <v>3</v>
      </c>
      <c r="C4" t="s">
        <v>4</v>
      </c>
      <c r="D4" t="s">
        <v>8354</v>
      </c>
      <c r="E4" t="s">
        <v>8355</v>
      </c>
      <c r="F4" t="s">
        <v>5</v>
      </c>
      <c r="G4" t="s">
        <v>6</v>
      </c>
      <c r="H4" t="s">
        <v>8356</v>
      </c>
      <c r="I4" t="s">
        <v>7</v>
      </c>
      <c r="J4" t="s">
        <v>8</v>
      </c>
      <c r="K4" t="s">
        <v>9</v>
      </c>
      <c r="L4" t="s">
        <v>10</v>
      </c>
      <c r="M4" t="s">
        <v>11</v>
      </c>
      <c r="N4" t="s">
        <v>12</v>
      </c>
      <c r="O4" t="s">
        <v>13</v>
      </c>
      <c r="P4" t="s">
        <v>14</v>
      </c>
      <c r="Q4" t="s">
        <v>15</v>
      </c>
      <c r="R4" t="s">
        <v>16</v>
      </c>
      <c r="S4" t="s">
        <v>17</v>
      </c>
      <c r="T4" t="s">
        <v>18</v>
      </c>
      <c r="U4" t="s">
        <v>19</v>
      </c>
      <c r="V4" t="s">
        <v>20</v>
      </c>
      <c r="W4" t="s">
        <v>21</v>
      </c>
      <c r="X4" t="s">
        <v>22</v>
      </c>
      <c r="Y4" t="s">
        <v>23</v>
      </c>
      <c r="Z4" t="s">
        <v>24</v>
      </c>
      <c r="AA4" t="s">
        <v>25</v>
      </c>
      <c r="AB4" t="s">
        <v>26</v>
      </c>
      <c r="AC4" t="s">
        <v>27</v>
      </c>
      <c r="AD4" t="s">
        <v>28</v>
      </c>
      <c r="AE4" t="s">
        <v>29</v>
      </c>
      <c r="AF4" t="s">
        <v>30</v>
      </c>
      <c r="AG4" t="s">
        <v>31</v>
      </c>
      <c r="AH4" t="s">
        <v>32</v>
      </c>
      <c r="AI4" t="s">
        <v>33</v>
      </c>
      <c r="AJ4" t="s">
        <v>34</v>
      </c>
      <c r="AK4" t="s">
        <v>35</v>
      </c>
      <c r="AL4" t="s">
        <v>36</v>
      </c>
      <c r="AM4" t="s">
        <v>37</v>
      </c>
      <c r="AN4" t="s">
        <v>38</v>
      </c>
      <c r="AO4" t="s">
        <v>39</v>
      </c>
      <c r="AP4" t="s">
        <v>40</v>
      </c>
      <c r="AQ4" t="s">
        <v>41</v>
      </c>
      <c r="AR4" t="s">
        <v>42</v>
      </c>
      <c r="AS4" t="s">
        <v>43</v>
      </c>
      <c r="AT4" t="s">
        <v>44</v>
      </c>
      <c r="AU4" t="s">
        <v>45</v>
      </c>
      <c r="AV4" t="s">
        <v>46</v>
      </c>
      <c r="AW4" t="s">
        <v>47</v>
      </c>
      <c r="AX4" t="s">
        <v>48</v>
      </c>
      <c r="AY4" t="s">
        <v>49</v>
      </c>
      <c r="AZ4" t="s">
        <v>50</v>
      </c>
      <c r="BA4" t="s">
        <v>51</v>
      </c>
      <c r="BB4" t="s">
        <v>52</v>
      </c>
      <c r="BC4" t="s">
        <v>53</v>
      </c>
      <c r="BD4" t="s">
        <v>54</v>
      </c>
      <c r="BE4" t="s">
        <v>55</v>
      </c>
      <c r="BF4" t="s">
        <v>56</v>
      </c>
      <c r="BG4" t="s">
        <v>57</v>
      </c>
      <c r="BH4" t="s">
        <v>58</v>
      </c>
      <c r="BI4" t="s">
        <v>59</v>
      </c>
      <c r="BJ4" t="s">
        <v>60</v>
      </c>
      <c r="BK4" t="s">
        <v>61</v>
      </c>
      <c r="BL4" t="s">
        <v>62</v>
      </c>
      <c r="BM4" t="s">
        <v>63</v>
      </c>
      <c r="BN4" t="s">
        <v>64</v>
      </c>
      <c r="BO4" t="s">
        <v>65</v>
      </c>
      <c r="BP4" t="s">
        <v>66</v>
      </c>
      <c r="BQ4" t="s">
        <v>67</v>
      </c>
      <c r="BR4" t="s">
        <v>68</v>
      </c>
      <c r="BS4" t="s">
        <v>69</v>
      </c>
      <c r="BT4" t="s">
        <v>70</v>
      </c>
      <c r="BU4" t="s">
        <v>71</v>
      </c>
      <c r="BV4" t="s">
        <v>72</v>
      </c>
      <c r="BW4" t="s">
        <v>73</v>
      </c>
      <c r="BX4" t="s">
        <v>74</v>
      </c>
      <c r="BY4" t="s">
        <v>75</v>
      </c>
      <c r="BZ4" t="s">
        <v>76</v>
      </c>
      <c r="CA4" t="s">
        <v>77</v>
      </c>
      <c r="CB4" t="s">
        <v>78</v>
      </c>
      <c r="CC4" t="s">
        <v>79</v>
      </c>
      <c r="CD4" t="s">
        <v>80</v>
      </c>
      <c r="CE4" t="s">
        <v>81</v>
      </c>
      <c r="CF4" t="s">
        <v>82</v>
      </c>
      <c r="CG4" t="s">
        <v>83</v>
      </c>
      <c r="CH4" t="s">
        <v>84</v>
      </c>
      <c r="CI4" t="s">
        <v>85</v>
      </c>
      <c r="CJ4" t="s">
        <v>86</v>
      </c>
      <c r="CK4" t="s">
        <v>87</v>
      </c>
      <c r="CL4" t="s">
        <v>88</v>
      </c>
      <c r="CM4" t="s">
        <v>89</v>
      </c>
      <c r="CN4" t="s">
        <v>90</v>
      </c>
      <c r="CO4" t="s">
        <v>91</v>
      </c>
      <c r="CP4" t="s">
        <v>92</v>
      </c>
      <c r="CQ4" t="s">
        <v>93</v>
      </c>
      <c r="CR4" t="s">
        <v>94</v>
      </c>
      <c r="CS4" t="s">
        <v>95</v>
      </c>
      <c r="CT4" t="s">
        <v>96</v>
      </c>
      <c r="CU4" t="s">
        <v>97</v>
      </c>
      <c r="CV4" t="s">
        <v>98</v>
      </c>
      <c r="CW4" t="s">
        <v>99</v>
      </c>
      <c r="CX4" t="s">
        <v>100</v>
      </c>
      <c r="CY4" t="s">
        <v>101</v>
      </c>
      <c r="CZ4" t="s">
        <v>102</v>
      </c>
      <c r="DA4" t="s">
        <v>103</v>
      </c>
      <c r="DB4" t="s">
        <v>104</v>
      </c>
      <c r="DC4" t="s">
        <v>105</v>
      </c>
      <c r="DD4" t="s">
        <v>106</v>
      </c>
      <c r="DE4" t="s">
        <v>107</v>
      </c>
      <c r="DF4" t="s">
        <v>108</v>
      </c>
      <c r="DG4" t="s">
        <v>109</v>
      </c>
      <c r="DH4" t="s">
        <v>110</v>
      </c>
      <c r="DI4" t="s">
        <v>111</v>
      </c>
      <c r="DJ4" t="s">
        <v>112</v>
      </c>
      <c r="DK4" t="s">
        <v>113</v>
      </c>
      <c r="DL4" t="s">
        <v>114</v>
      </c>
      <c r="DM4" t="s">
        <v>115</v>
      </c>
      <c r="DN4" t="s">
        <v>116</v>
      </c>
      <c r="DO4" t="s">
        <v>117</v>
      </c>
      <c r="DP4" t="s">
        <v>118</v>
      </c>
      <c r="DQ4" t="s">
        <v>119</v>
      </c>
      <c r="DR4" t="s">
        <v>120</v>
      </c>
      <c r="DS4" t="s">
        <v>121</v>
      </c>
      <c r="DT4" t="s">
        <v>122</v>
      </c>
      <c r="DU4" t="s">
        <v>123</v>
      </c>
      <c r="DV4" t="s">
        <v>124</v>
      </c>
      <c r="DW4" t="s">
        <v>125</v>
      </c>
      <c r="DX4" t="s">
        <v>126</v>
      </c>
      <c r="DY4" t="s">
        <v>127</v>
      </c>
      <c r="DZ4" t="s">
        <v>128</v>
      </c>
      <c r="EA4" t="s">
        <v>129</v>
      </c>
      <c r="EB4" t="s">
        <v>130</v>
      </c>
      <c r="EC4" t="s">
        <v>131</v>
      </c>
      <c r="ED4" t="s">
        <v>132</v>
      </c>
      <c r="EE4" t="s">
        <v>133</v>
      </c>
      <c r="EF4" t="s">
        <v>134</v>
      </c>
      <c r="EG4" t="s">
        <v>135</v>
      </c>
      <c r="EH4" t="s">
        <v>136</v>
      </c>
      <c r="EI4" t="s">
        <v>137</v>
      </c>
      <c r="EJ4" t="s">
        <v>138</v>
      </c>
      <c r="EK4" t="s">
        <v>139</v>
      </c>
      <c r="EL4" t="s">
        <v>140</v>
      </c>
      <c r="EM4" t="s">
        <v>141</v>
      </c>
      <c r="EN4" t="s">
        <v>142</v>
      </c>
      <c r="EO4" t="s">
        <v>143</v>
      </c>
      <c r="EP4" t="s">
        <v>144</v>
      </c>
      <c r="EQ4" t="s">
        <v>145</v>
      </c>
      <c r="ER4" t="s">
        <v>146</v>
      </c>
      <c r="ES4" t="s">
        <v>147</v>
      </c>
      <c r="ET4" t="s">
        <v>148</v>
      </c>
      <c r="EU4" t="s">
        <v>149</v>
      </c>
      <c r="EV4" t="s">
        <v>150</v>
      </c>
      <c r="EW4" t="s">
        <v>151</v>
      </c>
      <c r="EX4" t="s">
        <v>152</v>
      </c>
      <c r="EY4" t="s">
        <v>153</v>
      </c>
      <c r="EZ4" t="s">
        <v>154</v>
      </c>
      <c r="FA4" t="s">
        <v>155</v>
      </c>
      <c r="FB4" t="s">
        <v>156</v>
      </c>
      <c r="FC4" t="s">
        <v>157</v>
      </c>
      <c r="FD4" t="s">
        <v>158</v>
      </c>
      <c r="FE4" t="s">
        <v>159</v>
      </c>
      <c r="FF4" t="s">
        <v>160</v>
      </c>
      <c r="FG4" t="s">
        <v>161</v>
      </c>
      <c r="FH4" t="s">
        <v>162</v>
      </c>
      <c r="FI4" t="s">
        <v>163</v>
      </c>
      <c r="FJ4" t="s">
        <v>164</v>
      </c>
      <c r="FK4" t="s">
        <v>165</v>
      </c>
      <c r="FL4" t="s">
        <v>166</v>
      </c>
      <c r="FM4" t="s">
        <v>167</v>
      </c>
      <c r="FN4" t="s">
        <v>168</v>
      </c>
      <c r="FO4" t="s">
        <v>169</v>
      </c>
      <c r="FP4" t="s">
        <v>170</v>
      </c>
      <c r="FQ4" t="s">
        <v>171</v>
      </c>
      <c r="FR4" t="s">
        <v>172</v>
      </c>
      <c r="FS4" t="s">
        <v>173</v>
      </c>
      <c r="FT4" t="s">
        <v>174</v>
      </c>
      <c r="FU4" t="s">
        <v>175</v>
      </c>
      <c r="FV4" t="s">
        <v>176</v>
      </c>
      <c r="FW4" t="s">
        <v>177</v>
      </c>
      <c r="FX4" t="s">
        <v>178</v>
      </c>
      <c r="FY4" t="s">
        <v>179</v>
      </c>
      <c r="FZ4" t="s">
        <v>180</v>
      </c>
      <c r="GA4" t="s">
        <v>181</v>
      </c>
      <c r="GB4" t="s">
        <v>182</v>
      </c>
      <c r="GC4" t="s">
        <v>183</v>
      </c>
      <c r="GD4" t="s">
        <v>184</v>
      </c>
      <c r="GE4" t="s">
        <v>185</v>
      </c>
      <c r="GF4" t="s">
        <v>186</v>
      </c>
      <c r="GG4" t="s">
        <v>187</v>
      </c>
    </row>
    <row r="5" spans="1:189" ht="15" customHeight="1" x14ac:dyDescent="0.35">
      <c r="A5">
        <v>1255</v>
      </c>
      <c r="B5" t="s">
        <v>188</v>
      </c>
      <c r="C5">
        <v>2</v>
      </c>
      <c r="D5" t="str">
        <f>VLOOKUP(source[[#This Row],[Приоритет]],тПриоритеты[],2,0)</f>
        <v>Значительное</v>
      </c>
      <c r="E5" t="str">
        <f>IF(ISBLANK(source[[#This Row],[Проверенные]]),IF(ISBLANK(source[[#This Row],[Завершенные]]),source[[#This Row],[Приоритет_]],"Завершено"),"Проверено")</f>
        <v>Проверено</v>
      </c>
      <c r="G5" t="s">
        <v>189</v>
      </c>
      <c r="H5" t="str">
        <f>VLOOKUP(source[[#This Row],[Отвественный]],тОтветственные[],2,0)</f>
        <v>Отв7</v>
      </c>
      <c r="I5" s="2">
        <v>43863</v>
      </c>
      <c r="J5" s="2">
        <v>43863</v>
      </c>
      <c r="N5" t="s">
        <v>190</v>
      </c>
      <c r="S5" s="1">
        <v>43870.402071759258</v>
      </c>
      <c r="T5" s="1">
        <v>43870.406180555554</v>
      </c>
      <c r="U5" s="1">
        <v>43870.406180555554</v>
      </c>
      <c r="W5" s="1">
        <v>43870.408692129633</v>
      </c>
      <c r="X5" t="s">
        <v>191</v>
      </c>
      <c r="AH5" t="s">
        <v>192</v>
      </c>
      <c r="AI5" t="s">
        <v>193</v>
      </c>
      <c r="AJ5" t="s">
        <v>194</v>
      </c>
      <c r="AK5" t="s">
        <v>195</v>
      </c>
      <c r="AL5" t="s">
        <v>196</v>
      </c>
      <c r="AM5" t="s">
        <v>197</v>
      </c>
      <c r="AN5" t="s">
        <v>198</v>
      </c>
      <c r="AO5" t="s">
        <v>199</v>
      </c>
      <c r="AP5" t="s">
        <v>200</v>
      </c>
      <c r="AQ5" t="s">
        <v>201</v>
      </c>
      <c r="AR5" t="s">
        <v>202</v>
      </c>
      <c r="AS5" t="s">
        <v>203</v>
      </c>
      <c r="AT5" t="s">
        <v>204</v>
      </c>
      <c r="AU5" t="s">
        <v>205</v>
      </c>
      <c r="AV5" t="s">
        <v>206</v>
      </c>
      <c r="AW5" t="s">
        <v>207</v>
      </c>
      <c r="AX5" t="s">
        <v>208</v>
      </c>
      <c r="AY5" t="s">
        <v>209</v>
      </c>
      <c r="EC5" t="s">
        <v>210</v>
      </c>
      <c r="ED5" t="s">
        <v>211</v>
      </c>
      <c r="EE5" t="s">
        <v>212</v>
      </c>
      <c r="EF5" t="s">
        <v>213</v>
      </c>
      <c r="EG5" t="s">
        <v>214</v>
      </c>
      <c r="EH5" t="s">
        <v>215</v>
      </c>
      <c r="EI5" t="str">
        <f>HYPERLINK("https://d33htgqikc2pj4.cloudfront.net/0dd4b88ce055bc1a9511034579201e94/fb111a190156c0b393b401cdf6e3cc19-file.jpeg", "Александр Олуферов: Ссылка на изображение")</f>
        <v>Александр Олуферов: Ссылка на изображение</v>
      </c>
      <c r="EJ5" t="str">
        <f>HYPERLINK("https://d33htgqikc2pj4.cloudfront.net/074741f910d5ae74cf9aaae77a8b1aee/2b8196f4597b7866ce7bfe04e9089338-file.jpeg", "Александр Олуферов: Ссылка на изображение")</f>
        <v>Александр Олуферов: Ссылка на изображение</v>
      </c>
    </row>
    <row r="6" spans="1:189" ht="15" customHeight="1" x14ac:dyDescent="0.35">
      <c r="A6">
        <v>1153</v>
      </c>
      <c r="B6" t="s">
        <v>216</v>
      </c>
      <c r="C6">
        <v>2</v>
      </c>
      <c r="D6" t="str">
        <f>VLOOKUP(source[[#This Row],[Приоритет]],тПриоритеты[],2,0)</f>
        <v>Значительное</v>
      </c>
      <c r="E6" t="str">
        <f>IF(ISBLANK(source[[#This Row],[Проверенные]]),IF(ISBLANK(source[[#This Row],[Завершенные]]),source[[#This Row],[Приоритет_]],"Завершено"),"Проверено")</f>
        <v>Проверено</v>
      </c>
      <c r="G6" t="s">
        <v>217</v>
      </c>
      <c r="H6" t="e">
        <f>VLOOKUP(source[[#This Row],[Отвественный]],тОтветственные[],2,0)</f>
        <v>#N/A</v>
      </c>
      <c r="I6" s="2">
        <v>43862</v>
      </c>
      <c r="J6" s="2">
        <v>43862</v>
      </c>
      <c r="S6" s="1">
        <v>43862.731886574074</v>
      </c>
      <c r="T6" s="1">
        <v>43862.731921296298</v>
      </c>
      <c r="U6" s="1">
        <v>43862.731921296298</v>
      </c>
      <c r="W6" s="1">
        <v>43862.732951388891</v>
      </c>
      <c r="EC6" t="s">
        <v>218</v>
      </c>
      <c r="ED6" t="s">
        <v>219</v>
      </c>
      <c r="EE6" t="s">
        <v>220</v>
      </c>
      <c r="EF6" t="s">
        <v>221</v>
      </c>
      <c r="EG6" t="s">
        <v>222</v>
      </c>
      <c r="EH6" t="s">
        <v>223</v>
      </c>
      <c r="EI6" t="s">
        <v>224</v>
      </c>
      <c r="EJ6" t="s">
        <v>225</v>
      </c>
    </row>
    <row r="7" spans="1:189" ht="15" customHeight="1" x14ac:dyDescent="0.35">
      <c r="A7">
        <v>1159</v>
      </c>
      <c r="B7" t="s">
        <v>226</v>
      </c>
      <c r="C7">
        <v>2</v>
      </c>
      <c r="D7" t="str">
        <f>VLOOKUP(source[[#This Row],[Приоритет]],тПриоритеты[],2,0)</f>
        <v>Значительное</v>
      </c>
      <c r="E7" t="str">
        <f>IF(ISBLANK(source[[#This Row],[Проверенные]]),IF(ISBLANK(source[[#This Row],[Завершенные]]),source[[#This Row],[Приоритет_]],"Завершено"),"Проверено")</f>
        <v>Проверено</v>
      </c>
      <c r="G7" t="s">
        <v>217</v>
      </c>
      <c r="H7" t="e">
        <f>VLOOKUP(source[[#This Row],[Отвественный]],тОтветственные[],2,0)</f>
        <v>#N/A</v>
      </c>
      <c r="I7" s="2">
        <v>43863</v>
      </c>
      <c r="J7" s="2">
        <v>43863</v>
      </c>
      <c r="S7" s="1">
        <v>43863.722384259258</v>
      </c>
      <c r="T7" s="1">
        <v>43863.722453703704</v>
      </c>
      <c r="U7" s="1">
        <v>43863.722453703704</v>
      </c>
      <c r="W7" s="1">
        <v>43863.726979166669</v>
      </c>
      <c r="EC7" t="s">
        <v>218</v>
      </c>
      <c r="ED7" t="s">
        <v>227</v>
      </c>
      <c r="EE7" t="s">
        <v>228</v>
      </c>
      <c r="EF7" t="s">
        <v>229</v>
      </c>
      <c r="EG7" t="s">
        <v>230</v>
      </c>
      <c r="EH7" t="s">
        <v>231</v>
      </c>
    </row>
    <row r="8" spans="1:189" ht="15" customHeight="1" x14ac:dyDescent="0.35">
      <c r="A8">
        <v>1160</v>
      </c>
      <c r="B8" t="s">
        <v>232</v>
      </c>
      <c r="C8">
        <v>2</v>
      </c>
      <c r="D8" t="str">
        <f>VLOOKUP(source[[#This Row],[Приоритет]],тПриоритеты[],2,0)</f>
        <v>Значительное</v>
      </c>
      <c r="E8" t="str">
        <f>IF(ISBLANK(source[[#This Row],[Проверенные]]),IF(ISBLANK(source[[#This Row],[Завершенные]]),source[[#This Row],[Приоритет_]],"Завершено"),"Проверено")</f>
        <v>Проверено</v>
      </c>
      <c r="G8" t="s">
        <v>217</v>
      </c>
      <c r="H8" t="e">
        <f>VLOOKUP(source[[#This Row],[Отвественный]],тОтветственные[],2,0)</f>
        <v>#N/A</v>
      </c>
      <c r="I8" s="2">
        <v>43863</v>
      </c>
      <c r="J8" s="2">
        <v>43863</v>
      </c>
      <c r="S8" s="1">
        <v>43863.727511574078</v>
      </c>
      <c r="T8" s="1">
        <v>43863.727546296293</v>
      </c>
      <c r="U8" s="1">
        <v>43863.727546296293</v>
      </c>
      <c r="W8" s="1">
        <v>43863.728020833332</v>
      </c>
      <c r="EC8" t="s">
        <v>233</v>
      </c>
      <c r="ED8" t="s">
        <v>218</v>
      </c>
      <c r="EE8" t="s">
        <v>233</v>
      </c>
      <c r="EF8" t="s">
        <v>234</v>
      </c>
      <c r="EG8" t="s">
        <v>227</v>
      </c>
    </row>
    <row r="9" spans="1:189" ht="15" customHeight="1" x14ac:dyDescent="0.35">
      <c r="A9">
        <v>863</v>
      </c>
      <c r="B9" t="s">
        <v>235</v>
      </c>
      <c r="C9">
        <v>2</v>
      </c>
      <c r="D9" t="str">
        <f>VLOOKUP(source[[#This Row],[Приоритет]],тПриоритеты[],2,0)</f>
        <v>Значительное</v>
      </c>
      <c r="E9" t="str">
        <f>IF(ISBLANK(source[[#This Row],[Проверенные]]),IF(ISBLANK(source[[#This Row],[Завершенные]]),source[[#This Row],[Приоритет_]],"Завершено"),"Проверено")</f>
        <v>Проверено</v>
      </c>
      <c r="G9" t="s">
        <v>217</v>
      </c>
      <c r="H9" t="e">
        <f>VLOOKUP(source[[#This Row],[Отвественный]],тОтветственные[],2,0)</f>
        <v>#N/A</v>
      </c>
      <c r="I9" s="2">
        <v>43838</v>
      </c>
      <c r="J9" s="2">
        <v>43838</v>
      </c>
      <c r="S9" s="1">
        <v>43838.71502314815</v>
      </c>
      <c r="T9" s="1">
        <v>43838.715057870373</v>
      </c>
      <c r="U9" s="1">
        <v>43838.715057870373</v>
      </c>
      <c r="W9" s="1">
        <v>43838.717766203707</v>
      </c>
      <c r="EC9" t="s">
        <v>218</v>
      </c>
      <c r="ED9" t="s">
        <v>236</v>
      </c>
      <c r="EE9" t="s">
        <v>237</v>
      </c>
      <c r="EF9" t="str">
        <f>HYPERLINK("https://d33htgqikc2pj4.cloudfront.net/9ee884fb5a51e3aeee420f6330f3d644/8bfe5d356c8d9a2e4b1e9cb2f6f09d51-file.jpeg", "Антон Федоров: Ссылка на изображение")</f>
        <v>Антон Федоров: Ссылка на изображение</v>
      </c>
    </row>
    <row r="10" spans="1:189" ht="15" customHeight="1" x14ac:dyDescent="0.35">
      <c r="A10">
        <v>1223</v>
      </c>
      <c r="B10" t="s">
        <v>238</v>
      </c>
      <c r="C10">
        <v>2</v>
      </c>
      <c r="D10" t="str">
        <f>VLOOKUP(source[[#This Row],[Приоритет]],тПриоритеты[],2,0)</f>
        <v>Значительное</v>
      </c>
      <c r="E10" t="str">
        <f>IF(ISBLANK(source[[#This Row],[Проверенные]]),IF(ISBLANK(source[[#This Row],[Завершенные]]),source[[#This Row],[Приоритет_]],"Завершено"),"Проверено")</f>
        <v>Проверено</v>
      </c>
      <c r="G10" t="s">
        <v>217</v>
      </c>
      <c r="H10" t="e">
        <f>VLOOKUP(source[[#This Row],[Отвественный]],тОтветственные[],2,0)</f>
        <v>#N/A</v>
      </c>
      <c r="I10" s="2">
        <v>43868</v>
      </c>
      <c r="J10" s="2">
        <v>43868</v>
      </c>
      <c r="S10" s="1">
        <v>43868.255706018521</v>
      </c>
      <c r="T10" s="1">
        <v>43868.256342592591</v>
      </c>
      <c r="U10" s="1">
        <v>43868.256342592591</v>
      </c>
      <c r="W10" s="1">
        <v>43868.256423611114</v>
      </c>
      <c r="X10" t="s">
        <v>191</v>
      </c>
      <c r="AH10" t="s">
        <v>239</v>
      </c>
      <c r="AI10" t="s">
        <v>240</v>
      </c>
      <c r="AJ10" t="s">
        <v>241</v>
      </c>
      <c r="AK10" t="s">
        <v>242</v>
      </c>
      <c r="AL10" t="s">
        <v>243</v>
      </c>
      <c r="AM10" t="s">
        <v>244</v>
      </c>
      <c r="AN10" t="s">
        <v>245</v>
      </c>
      <c r="AO10" t="s">
        <v>246</v>
      </c>
      <c r="AP10" t="s">
        <v>247</v>
      </c>
      <c r="AQ10" t="s">
        <v>248</v>
      </c>
      <c r="AR10" t="s">
        <v>249</v>
      </c>
      <c r="AS10" t="s">
        <v>250</v>
      </c>
      <c r="AT10" t="s">
        <v>251</v>
      </c>
      <c r="AU10" t="s">
        <v>252</v>
      </c>
      <c r="AV10" t="s">
        <v>253</v>
      </c>
      <c r="AW10" t="s">
        <v>254</v>
      </c>
      <c r="AX10" t="s">
        <v>255</v>
      </c>
      <c r="AY10" t="s">
        <v>256</v>
      </c>
      <c r="EC10" t="s">
        <v>257</v>
      </c>
      <c r="ED10" t="s">
        <v>218</v>
      </c>
      <c r="EE10" t="s">
        <v>258</v>
      </c>
    </row>
    <row r="11" spans="1:189" ht="15" customHeight="1" x14ac:dyDescent="0.35">
      <c r="A11">
        <v>1237</v>
      </c>
      <c r="B11" t="s">
        <v>259</v>
      </c>
      <c r="C11">
        <v>2</v>
      </c>
      <c r="D11" t="str">
        <f>VLOOKUP(source[[#This Row],[Приоритет]],тПриоритеты[],2,0)</f>
        <v>Значительное</v>
      </c>
      <c r="E11" t="str">
        <f>IF(ISBLANK(source[[#This Row],[Проверенные]]),IF(ISBLANK(source[[#This Row],[Завершенные]]),source[[#This Row],[Приоритет_]],"Завершено"),"Проверено")</f>
        <v>Значительное</v>
      </c>
      <c r="G11" t="s">
        <v>260</v>
      </c>
      <c r="H11" t="e">
        <f>VLOOKUP(source[[#This Row],[Отвественный]],тОтветственные[],2,0)</f>
        <v>#N/A</v>
      </c>
      <c r="S11" s="1">
        <v>43868.577581018515</v>
      </c>
      <c r="W11" s="1">
        <v>43868.577847222223</v>
      </c>
      <c r="EC11" t="s">
        <v>261</v>
      </c>
      <c r="ED11" t="str">
        <f>HYPERLINK("https://d33htgqikc2pj4.cloudfront.net/4519a06a-f86f-4a41-8398-86b8a89e9e3e.jpeg", "Вячеслав Сорокин: Ссылка на изображение")</f>
        <v>Вячеслав Сорокин: Ссылка на изображение</v>
      </c>
      <c r="EE11" t="str">
        <f>HYPERLINK("https://d33htgqikc2pj4.cloudfront.net/af1e0cbe-f47a-46f3-a62b-0c0f3010bd00.jpeg", "Вячеслав Сорокин: Ссылка на изображение")</f>
        <v>Вячеслав Сорокин: Ссылка на изображение</v>
      </c>
      <c r="EF11" t="str">
        <f>HYPERLINK("https://d33htgqikc2pj4.cloudfront.net/16d7c69a-ad40-442a-a985-87565eb4f216.jpeg", "Вячеслав Сорокин: Ссылка на изображение")</f>
        <v>Вячеслав Сорокин: Ссылка на изображение</v>
      </c>
    </row>
    <row r="12" spans="1:189" ht="15" customHeight="1" x14ac:dyDescent="0.35">
      <c r="A12">
        <v>1115</v>
      </c>
      <c r="B12" t="s">
        <v>262</v>
      </c>
      <c r="C12">
        <v>2</v>
      </c>
      <c r="D12" t="str">
        <f>VLOOKUP(source[[#This Row],[Приоритет]],тПриоритеты[],2,0)</f>
        <v>Значительное</v>
      </c>
      <c r="E12" t="str">
        <f>IF(ISBLANK(source[[#This Row],[Проверенные]]),IF(ISBLANK(source[[#This Row],[Завершенные]]),source[[#This Row],[Приоритет_]],"Завершено"),"Проверено")</f>
        <v>Проверено</v>
      </c>
      <c r="G12" t="s">
        <v>260</v>
      </c>
      <c r="H12" t="e">
        <f>VLOOKUP(source[[#This Row],[Отвественный]],тОтветственные[],2,0)</f>
        <v>#N/A</v>
      </c>
      <c r="I12" s="2">
        <v>43855</v>
      </c>
      <c r="J12" s="2">
        <v>43855</v>
      </c>
      <c r="S12" s="1">
        <v>43860.405405092592</v>
      </c>
      <c r="T12" s="1">
        <v>43866.475740740738</v>
      </c>
      <c r="U12" s="1">
        <v>43866.475740740738</v>
      </c>
      <c r="W12" s="1">
        <v>43866.476261574076</v>
      </c>
      <c r="EC12" t="s">
        <v>263</v>
      </c>
      <c r="ED12" t="s">
        <v>264</v>
      </c>
      <c r="EE12" t="str">
        <f>HYPERLINK("https://d33htgqikc2pj4.cloudfront.net/qvHDimMUqxZcQnsj/a902ed4d-73fa-4c94-b4da-332f479baa8b.jpeg", "Вячеслав Сорокин: Ссылка на изображение")</f>
        <v>Вячеслав Сорокин: Ссылка на изображение</v>
      </c>
      <c r="EF12" t="s">
        <v>265</v>
      </c>
      <c r="EG12" t="s">
        <v>266</v>
      </c>
      <c r="EH12" t="s">
        <v>267</v>
      </c>
    </row>
    <row r="13" spans="1:189" ht="15" customHeight="1" x14ac:dyDescent="0.35">
      <c r="A13">
        <v>1015</v>
      </c>
      <c r="B13" t="s">
        <v>268</v>
      </c>
      <c r="C13">
        <v>2</v>
      </c>
      <c r="D13" t="str">
        <f>VLOOKUP(source[[#This Row],[Приоритет]],тПриоритеты[],2,0)</f>
        <v>Значительное</v>
      </c>
      <c r="E13" t="str">
        <f>IF(ISBLANK(source[[#This Row],[Проверенные]]),IF(ISBLANK(source[[#This Row],[Завершенные]]),source[[#This Row],[Приоритет_]],"Завершено"),"Проверено")</f>
        <v>Значительное</v>
      </c>
      <c r="G13" t="s">
        <v>269</v>
      </c>
      <c r="H13" t="e">
        <f>VLOOKUP(source[[#This Row],[Отвественный]],тОтветственные[],2,0)</f>
        <v>#N/A</v>
      </c>
      <c r="S13" s="1">
        <v>43852.748124999998</v>
      </c>
      <c r="W13" s="1">
        <v>43852.748124999998</v>
      </c>
      <c r="EC13" t="s">
        <v>270</v>
      </c>
      <c r="ED13" t="s">
        <v>271</v>
      </c>
      <c r="EE13" t="str">
        <f>HYPERLINK("https://d33htgqikc2pj4.cloudfront.net/qvHDimMUqxZcQnsj/2980e75d-552c-49a6-90b9-de3fbfb38423.jpeg", "Вячеслав Сорокин: Ссылка на изображение")</f>
        <v>Вячеслав Сорокин: Ссылка на изображение</v>
      </c>
      <c r="EF13" t="str">
        <f>HYPERLINK("https://d33htgqikc2pj4.cloudfront.net/qvHDimMUqxZcQnsj/ab17ce28-8df5-4c37-a981-3cf48c135a04.jpeg", "Вячеслав Сорокин: Ссылка на изображение")</f>
        <v>Вячеслав Сорокин: Ссылка на изображение</v>
      </c>
    </row>
    <row r="14" spans="1:189" ht="15" customHeight="1" x14ac:dyDescent="0.35">
      <c r="A14">
        <v>1196</v>
      </c>
      <c r="B14" t="s">
        <v>272</v>
      </c>
      <c r="C14">
        <v>2</v>
      </c>
      <c r="D14" t="str">
        <f>VLOOKUP(source[[#This Row],[Приоритет]],тПриоритеты[],2,0)</f>
        <v>Значительное</v>
      </c>
      <c r="E14" t="str">
        <f>IF(ISBLANK(source[[#This Row],[Проверенные]]),IF(ISBLANK(source[[#This Row],[Завершенные]]),source[[#This Row],[Приоритет_]],"Завершено"),"Проверено")</f>
        <v>Завершено</v>
      </c>
      <c r="G14" t="s">
        <v>269</v>
      </c>
      <c r="H14" t="e">
        <f>VLOOKUP(source[[#This Row],[Отвественный]],тОтветственные[],2,0)</f>
        <v>#N/A</v>
      </c>
      <c r="I14" s="2">
        <v>43866</v>
      </c>
      <c r="J14" s="2">
        <v>43866</v>
      </c>
      <c r="S14" s="1">
        <v>43866.662870370368</v>
      </c>
      <c r="T14" s="1">
        <v>43871.398668981485</v>
      </c>
      <c r="W14" s="1">
        <v>43871.398668981485</v>
      </c>
      <c r="EC14" t="s">
        <v>273</v>
      </c>
      <c r="ED14" t="s">
        <v>271</v>
      </c>
      <c r="EE14" t="s">
        <v>274</v>
      </c>
      <c r="EF14" t="str">
        <f>HYPERLINK("https://d33htgqikc2pj4.cloudfront.net/qvHDimMUqxZcQnsj/2f5a5b7b-1710-43f4-bd04-c58ee3f83f0e.jpeg", "Вячеслав Сорокин: Ссылка на изображение")</f>
        <v>Вячеслав Сорокин: Ссылка на изображение</v>
      </c>
      <c r="EG14" t="s">
        <v>275</v>
      </c>
    </row>
    <row r="15" spans="1:189" ht="15" customHeight="1" x14ac:dyDescent="0.35">
      <c r="A15">
        <v>715</v>
      </c>
      <c r="B15" t="s">
        <v>276</v>
      </c>
      <c r="C15">
        <v>2</v>
      </c>
      <c r="D15" t="str">
        <f>VLOOKUP(source[[#This Row],[Приоритет]],тПриоритеты[],2,0)</f>
        <v>Значительное</v>
      </c>
      <c r="E15" t="str">
        <f>IF(ISBLANK(source[[#This Row],[Проверенные]]),IF(ISBLANK(source[[#This Row],[Завершенные]]),source[[#This Row],[Приоритет_]],"Завершено"),"Проверено")</f>
        <v>Значительное</v>
      </c>
      <c r="G15" t="s">
        <v>277</v>
      </c>
      <c r="H15" t="e">
        <f>VLOOKUP(source[[#This Row],[Отвественный]],тОтветственные[],2,0)</f>
        <v>#N/A</v>
      </c>
      <c r="K15" t="s">
        <v>278</v>
      </c>
      <c r="L15">
        <v>65.599999999999994</v>
      </c>
      <c r="M15">
        <v>34.35</v>
      </c>
      <c r="Q15" t="s">
        <v>279</v>
      </c>
      <c r="R15" t="str">
        <f t="shared" ref="R15:R55" si="0">HYPERLINK("https://d28ji4sm1vmprj.cloudfront.net/6af7544790f117ff0a35caff14b15d5b/fb817d9a3718253be056f0fa144a7721.jpeg", "Ссылка на план")</f>
        <v>Ссылка на план</v>
      </c>
      <c r="S15" s="1">
        <v>43822.637569444443</v>
      </c>
      <c r="W15" s="1">
        <v>43822.637569444443</v>
      </c>
      <c r="EC15" t="s">
        <v>280</v>
      </c>
    </row>
    <row r="16" spans="1:189" ht="15" customHeight="1" x14ac:dyDescent="0.35">
      <c r="A16">
        <v>720</v>
      </c>
      <c r="B16" t="s">
        <v>276</v>
      </c>
      <c r="C16">
        <v>2</v>
      </c>
      <c r="D16" t="str">
        <f>VLOOKUP(source[[#This Row],[Приоритет]],тПриоритеты[],2,0)</f>
        <v>Значительное</v>
      </c>
      <c r="E16" t="str">
        <f>IF(ISBLANK(source[[#This Row],[Проверенные]]),IF(ISBLANK(source[[#This Row],[Завершенные]]),source[[#This Row],[Приоритет_]],"Завершено"),"Проверено")</f>
        <v>Значительное</v>
      </c>
      <c r="G16" t="s">
        <v>277</v>
      </c>
      <c r="H16" t="e">
        <f>VLOOKUP(source[[#This Row],[Отвественный]],тОтветственные[],2,0)</f>
        <v>#N/A</v>
      </c>
      <c r="K16" t="s">
        <v>278</v>
      </c>
      <c r="L16">
        <v>72.34</v>
      </c>
      <c r="M16">
        <v>41.31</v>
      </c>
      <c r="Q16" t="s">
        <v>279</v>
      </c>
      <c r="R16" t="str">
        <f t="shared" si="0"/>
        <v>Ссылка на план</v>
      </c>
      <c r="S16" s="1">
        <v>43822.637604166666</v>
      </c>
      <c r="W16" s="1">
        <v>43822.637604166666</v>
      </c>
      <c r="EC16" t="s">
        <v>280</v>
      </c>
    </row>
    <row r="17" spans="1:135" ht="15" customHeight="1" x14ac:dyDescent="0.35">
      <c r="A17">
        <v>721</v>
      </c>
      <c r="B17" t="s">
        <v>281</v>
      </c>
      <c r="C17">
        <v>2</v>
      </c>
      <c r="D17" t="str">
        <f>VLOOKUP(source[[#This Row],[Приоритет]],тПриоритеты[],2,0)</f>
        <v>Значительное</v>
      </c>
      <c r="E17" t="str">
        <f>IF(ISBLANK(source[[#This Row],[Проверенные]]),IF(ISBLANK(source[[#This Row],[Завершенные]]),source[[#This Row],[Приоритет_]],"Завершено"),"Проверено")</f>
        <v>Значительное</v>
      </c>
      <c r="G17" t="s">
        <v>277</v>
      </c>
      <c r="H17" t="e">
        <f>VLOOKUP(source[[#This Row],[Отвественный]],тОтветственные[],2,0)</f>
        <v>#N/A</v>
      </c>
      <c r="K17" t="s">
        <v>278</v>
      </c>
      <c r="L17">
        <v>75.239999999999995</v>
      </c>
      <c r="M17">
        <v>40.950000000000003</v>
      </c>
      <c r="Q17" t="s">
        <v>279</v>
      </c>
      <c r="R17" t="str">
        <f t="shared" si="0"/>
        <v>Ссылка на план</v>
      </c>
      <c r="S17" s="1">
        <v>43822.637604166666</v>
      </c>
      <c r="W17" s="1">
        <v>43822.637615740743</v>
      </c>
      <c r="EC17" t="str">
        <f>HYPERLINK("https://d33htgqikc2pj4.cloudfront.net/b5e85473-acba-4385-b00e-cd7500ea47f3.jpeg", "Кирилл Васенков: Ссылка на изображение")</f>
        <v>Кирилл Васенков: Ссылка на изображение</v>
      </c>
      <c r="ED17" t="s">
        <v>282</v>
      </c>
    </row>
    <row r="18" spans="1:135" ht="15" customHeight="1" x14ac:dyDescent="0.35">
      <c r="A18">
        <v>711</v>
      </c>
      <c r="B18" t="s">
        <v>283</v>
      </c>
      <c r="C18">
        <v>2</v>
      </c>
      <c r="D18" t="str">
        <f>VLOOKUP(source[[#This Row],[Приоритет]],тПриоритеты[],2,0)</f>
        <v>Значительное</v>
      </c>
      <c r="E18" t="str">
        <f>IF(ISBLANK(source[[#This Row],[Проверенные]]),IF(ISBLANK(source[[#This Row],[Завершенные]]),source[[#This Row],[Приоритет_]],"Завершено"),"Проверено")</f>
        <v>Значительное</v>
      </c>
      <c r="G18" t="s">
        <v>277</v>
      </c>
      <c r="H18" t="e">
        <f>VLOOKUP(source[[#This Row],[Отвественный]],тОтветственные[],2,0)</f>
        <v>#N/A</v>
      </c>
      <c r="K18" t="s">
        <v>278</v>
      </c>
      <c r="L18">
        <v>56.29</v>
      </c>
      <c r="M18">
        <v>28.99</v>
      </c>
      <c r="Q18" t="s">
        <v>279</v>
      </c>
      <c r="R18" t="str">
        <f t="shared" si="0"/>
        <v>Ссылка на план</v>
      </c>
      <c r="S18" s="1">
        <v>43822.628217592595</v>
      </c>
      <c r="W18" s="1">
        <v>43822.628217592595</v>
      </c>
      <c r="EC18" t="s">
        <v>280</v>
      </c>
      <c r="ED18" t="s">
        <v>284</v>
      </c>
    </row>
    <row r="19" spans="1:135" ht="15" customHeight="1" x14ac:dyDescent="0.35">
      <c r="A19">
        <v>714</v>
      </c>
      <c r="C19">
        <v>2</v>
      </c>
      <c r="D19" t="str">
        <f>VLOOKUP(source[[#This Row],[Приоритет]],тПриоритеты[],2,0)</f>
        <v>Значительное</v>
      </c>
      <c r="E19" t="str">
        <f>IF(ISBLANK(source[[#This Row],[Проверенные]]),IF(ISBLANK(source[[#This Row],[Завершенные]]),source[[#This Row],[Приоритет_]],"Завершено"),"Проверено")</f>
        <v>Значительное</v>
      </c>
      <c r="G19" t="s">
        <v>277</v>
      </c>
      <c r="H19" t="e">
        <f>VLOOKUP(source[[#This Row],[Отвественный]],тОтветственные[],2,0)</f>
        <v>#N/A</v>
      </c>
      <c r="K19" t="s">
        <v>278</v>
      </c>
      <c r="L19">
        <v>61.01</v>
      </c>
      <c r="M19">
        <v>28.57</v>
      </c>
      <c r="Q19" t="s">
        <v>279</v>
      </c>
      <c r="R19" t="str">
        <f t="shared" si="0"/>
        <v>Ссылка на план</v>
      </c>
      <c r="S19" s="1">
        <v>43822.637569444443</v>
      </c>
      <c r="W19" s="1">
        <v>43822.637569444443</v>
      </c>
      <c r="AH19" t="s">
        <v>285</v>
      </c>
      <c r="EC19" t="str">
        <f>HYPERLINK("https://d33htgqikc2pj4.cloudfront.net/8d9ff242-925f-42af-8d9d-00d1de09d1cf.jpeg", "Кирилл Васенков: Ссылка на изображение")</f>
        <v>Кирилл Васенков: Ссылка на изображение</v>
      </c>
    </row>
    <row r="20" spans="1:135" ht="15" customHeight="1" x14ac:dyDescent="0.35">
      <c r="A20">
        <v>717</v>
      </c>
      <c r="B20" t="s">
        <v>286</v>
      </c>
      <c r="C20">
        <v>2</v>
      </c>
      <c r="D20" t="str">
        <f>VLOOKUP(source[[#This Row],[Приоритет]],тПриоритеты[],2,0)</f>
        <v>Значительное</v>
      </c>
      <c r="E20" t="str">
        <f>IF(ISBLANK(source[[#This Row],[Проверенные]]),IF(ISBLANK(source[[#This Row],[Завершенные]]),source[[#This Row],[Приоритет_]],"Завершено"),"Проверено")</f>
        <v>Значительное</v>
      </c>
      <c r="G20" t="s">
        <v>277</v>
      </c>
      <c r="H20" t="e">
        <f>VLOOKUP(source[[#This Row],[Отвественный]],тОтветственные[],2,0)</f>
        <v>#N/A</v>
      </c>
      <c r="K20" t="s">
        <v>278</v>
      </c>
      <c r="L20">
        <v>64.63</v>
      </c>
      <c r="M20">
        <v>43.04</v>
      </c>
      <c r="Q20" t="s">
        <v>279</v>
      </c>
      <c r="R20" t="str">
        <f t="shared" si="0"/>
        <v>Ссылка на план</v>
      </c>
      <c r="S20" s="1">
        <v>43822.63758101852</v>
      </c>
      <c r="W20" s="1">
        <v>43822.637592592589</v>
      </c>
      <c r="EC20" t="s">
        <v>287</v>
      </c>
    </row>
    <row r="21" spans="1:135" ht="15" customHeight="1" x14ac:dyDescent="0.35">
      <c r="A21">
        <v>718</v>
      </c>
      <c r="B21" t="s">
        <v>286</v>
      </c>
      <c r="C21">
        <v>2</v>
      </c>
      <c r="D21" t="str">
        <f>VLOOKUP(source[[#This Row],[Приоритет]],тПриоритеты[],2,0)</f>
        <v>Значительное</v>
      </c>
      <c r="E21" t="str">
        <f>IF(ISBLANK(source[[#This Row],[Проверенные]]),IF(ISBLANK(source[[#This Row],[Завершенные]]),source[[#This Row],[Приоритет_]],"Завершено"),"Проверено")</f>
        <v>Значительное</v>
      </c>
      <c r="G21" t="s">
        <v>277</v>
      </c>
      <c r="H21" t="e">
        <f>VLOOKUP(source[[#This Row],[Отвественный]],тОтветственные[],2,0)</f>
        <v>#N/A</v>
      </c>
      <c r="K21" t="s">
        <v>278</v>
      </c>
      <c r="L21">
        <v>63.45</v>
      </c>
      <c r="M21">
        <v>43.04</v>
      </c>
      <c r="Q21" t="s">
        <v>279</v>
      </c>
      <c r="R21" t="str">
        <f t="shared" si="0"/>
        <v>Ссылка на план</v>
      </c>
      <c r="S21" s="1">
        <v>43822.637592592589</v>
      </c>
      <c r="W21" s="1">
        <v>43822.637592592589</v>
      </c>
      <c r="EC21" t="s">
        <v>287</v>
      </c>
    </row>
    <row r="22" spans="1:135" ht="15" customHeight="1" x14ac:dyDescent="0.35">
      <c r="A22">
        <v>722</v>
      </c>
      <c r="B22" t="s">
        <v>276</v>
      </c>
      <c r="C22">
        <v>2</v>
      </c>
      <c r="D22" t="str">
        <f>VLOOKUP(source[[#This Row],[Приоритет]],тПриоритеты[],2,0)</f>
        <v>Значительное</v>
      </c>
      <c r="E22" t="str">
        <f>IF(ISBLANK(source[[#This Row],[Проверенные]]),IF(ISBLANK(source[[#This Row],[Завершенные]]),source[[#This Row],[Приоритет_]],"Завершено"),"Проверено")</f>
        <v>Значительное</v>
      </c>
      <c r="G22" t="s">
        <v>277</v>
      </c>
      <c r="H22" t="e">
        <f>VLOOKUP(source[[#This Row],[Отвественный]],тОтветственные[],2,0)</f>
        <v>#N/A</v>
      </c>
      <c r="K22" t="s">
        <v>278</v>
      </c>
      <c r="L22">
        <v>73.349999999999994</v>
      </c>
      <c r="M22">
        <v>36.85</v>
      </c>
      <c r="Q22" t="s">
        <v>279</v>
      </c>
      <c r="R22" t="str">
        <f t="shared" si="0"/>
        <v>Ссылка на план</v>
      </c>
      <c r="S22" s="1">
        <v>43822.637615740743</v>
      </c>
      <c r="W22" s="1">
        <v>43822.637615740743</v>
      </c>
      <c r="EC22" t="s">
        <v>280</v>
      </c>
    </row>
    <row r="23" spans="1:135" ht="15" customHeight="1" x14ac:dyDescent="0.35">
      <c r="A23">
        <v>723</v>
      </c>
      <c r="B23" t="s">
        <v>276</v>
      </c>
      <c r="C23">
        <v>2</v>
      </c>
      <c r="D23" t="str">
        <f>VLOOKUP(source[[#This Row],[Приоритет]],тПриоритеты[],2,0)</f>
        <v>Значительное</v>
      </c>
      <c r="E23" t="str">
        <f>IF(ISBLANK(source[[#This Row],[Проверенные]]),IF(ISBLANK(source[[#This Row],[Завершенные]]),source[[#This Row],[Приоритет_]],"Завершено"),"Проверено")</f>
        <v>Значительное</v>
      </c>
      <c r="G23" t="s">
        <v>277</v>
      </c>
      <c r="H23" t="e">
        <f>VLOOKUP(source[[#This Row],[Отвественный]],тОтветственные[],2,0)</f>
        <v>#N/A</v>
      </c>
      <c r="K23" t="s">
        <v>278</v>
      </c>
      <c r="L23">
        <v>72.8</v>
      </c>
      <c r="M23">
        <v>48.81</v>
      </c>
      <c r="Q23" t="s">
        <v>279</v>
      </c>
      <c r="R23" t="str">
        <f t="shared" si="0"/>
        <v>Ссылка на план</v>
      </c>
      <c r="S23" s="1">
        <v>43822.708564814813</v>
      </c>
      <c r="W23" s="1">
        <v>43822.708726851852</v>
      </c>
      <c r="EC23" t="s">
        <v>280</v>
      </c>
    </row>
    <row r="24" spans="1:135" ht="15" customHeight="1" x14ac:dyDescent="0.35">
      <c r="A24">
        <v>732</v>
      </c>
      <c r="B24" t="s">
        <v>288</v>
      </c>
      <c r="C24">
        <v>2</v>
      </c>
      <c r="D24" t="str">
        <f>VLOOKUP(source[[#This Row],[Приоритет]],тПриоритеты[],2,0)</f>
        <v>Значительное</v>
      </c>
      <c r="E24" t="str">
        <f>IF(ISBLANK(source[[#This Row],[Проверенные]]),IF(ISBLANK(source[[#This Row],[Завершенные]]),source[[#This Row],[Приоритет_]],"Завершено"),"Проверено")</f>
        <v>Значительное</v>
      </c>
      <c r="G24" t="s">
        <v>277</v>
      </c>
      <c r="H24" t="e">
        <f>VLOOKUP(source[[#This Row],[Отвественный]],тОтветственные[],2,0)</f>
        <v>#N/A</v>
      </c>
      <c r="K24" t="s">
        <v>278</v>
      </c>
      <c r="L24">
        <v>65.56</v>
      </c>
      <c r="M24">
        <v>60.65</v>
      </c>
      <c r="Q24" t="s">
        <v>279</v>
      </c>
      <c r="R24" t="str">
        <f t="shared" si="0"/>
        <v>Ссылка на план</v>
      </c>
      <c r="S24" s="1">
        <v>43822.739293981482</v>
      </c>
      <c r="W24" s="1">
        <v>43822.739305555559</v>
      </c>
      <c r="EC24" t="s">
        <v>289</v>
      </c>
    </row>
    <row r="25" spans="1:135" ht="15" customHeight="1" x14ac:dyDescent="0.35">
      <c r="A25">
        <v>741</v>
      </c>
      <c r="B25" t="s">
        <v>276</v>
      </c>
      <c r="C25">
        <v>2</v>
      </c>
      <c r="D25" t="str">
        <f>VLOOKUP(source[[#This Row],[Приоритет]],тПриоритеты[],2,0)</f>
        <v>Значительное</v>
      </c>
      <c r="E25" t="str">
        <f>IF(ISBLANK(source[[#This Row],[Проверенные]]),IF(ISBLANK(source[[#This Row],[Завершенные]]),source[[#This Row],[Приоритет_]],"Завершено"),"Проверено")</f>
        <v>Значительное</v>
      </c>
      <c r="G25" t="s">
        <v>277</v>
      </c>
      <c r="H25" t="e">
        <f>VLOOKUP(source[[#This Row],[Отвественный]],тОтветственные[],2,0)</f>
        <v>#N/A</v>
      </c>
      <c r="K25" t="s">
        <v>278</v>
      </c>
      <c r="L25">
        <v>21.09</v>
      </c>
      <c r="M25">
        <v>66.19</v>
      </c>
      <c r="Q25" t="s">
        <v>279</v>
      </c>
      <c r="R25" t="str">
        <f t="shared" si="0"/>
        <v>Ссылка на план</v>
      </c>
      <c r="S25" s="1">
        <v>43822.739363425928</v>
      </c>
      <c r="W25" s="1">
        <v>43822.739374999997</v>
      </c>
      <c r="EC25" t="s">
        <v>280</v>
      </c>
    </row>
    <row r="26" spans="1:135" ht="15" customHeight="1" x14ac:dyDescent="0.35">
      <c r="A26">
        <v>744</v>
      </c>
      <c r="B26" t="s">
        <v>290</v>
      </c>
      <c r="C26">
        <v>2</v>
      </c>
      <c r="D26" t="str">
        <f>VLOOKUP(source[[#This Row],[Приоритет]],тПриоритеты[],2,0)</f>
        <v>Значительное</v>
      </c>
      <c r="E26" t="str">
        <f>IF(ISBLANK(source[[#This Row],[Проверенные]]),IF(ISBLANK(source[[#This Row],[Завершенные]]),source[[#This Row],[Приоритет_]],"Завершено"),"Проверено")</f>
        <v>Значительное</v>
      </c>
      <c r="G26" t="s">
        <v>277</v>
      </c>
      <c r="H26" t="e">
        <f>VLOOKUP(source[[#This Row],[Отвественный]],тОтветственные[],2,0)</f>
        <v>#N/A</v>
      </c>
      <c r="K26" t="s">
        <v>278</v>
      </c>
      <c r="L26">
        <v>29.77</v>
      </c>
      <c r="M26">
        <v>57.02</v>
      </c>
      <c r="Q26" t="s">
        <v>279</v>
      </c>
      <c r="R26" t="str">
        <f t="shared" si="0"/>
        <v>Ссылка на план</v>
      </c>
      <c r="S26" s="1">
        <v>43822.739386574074</v>
      </c>
      <c r="W26" s="1">
        <v>43822.739386574074</v>
      </c>
      <c r="EC26" t="s">
        <v>291</v>
      </c>
      <c r="ED26" t="str">
        <f>HYPERLINK("https://d33htgqikc2pj4.cloudfront.net/6cbbe4cf-f569-45c5-bf60-abe1b4efc4ac.jpeg", "Кирилл Васенков: Ссылка на изображение")</f>
        <v>Кирилл Васенков: Ссылка на изображение</v>
      </c>
      <c r="EE26" t="s">
        <v>292</v>
      </c>
    </row>
    <row r="27" spans="1:135" ht="15" customHeight="1" x14ac:dyDescent="0.35">
      <c r="A27">
        <v>747</v>
      </c>
      <c r="B27" t="s">
        <v>290</v>
      </c>
      <c r="C27">
        <v>2</v>
      </c>
      <c r="D27" t="str">
        <f>VLOOKUP(source[[#This Row],[Приоритет]],тПриоритеты[],2,0)</f>
        <v>Значительное</v>
      </c>
      <c r="E27" t="str">
        <f>IF(ISBLANK(source[[#This Row],[Проверенные]]),IF(ISBLANK(source[[#This Row],[Завершенные]]),source[[#This Row],[Приоритет_]],"Завершено"),"Проверено")</f>
        <v>Значительное</v>
      </c>
      <c r="G27" t="s">
        <v>277</v>
      </c>
      <c r="H27" t="e">
        <f>VLOOKUP(source[[#This Row],[Отвественный]],тОтветственные[],2,0)</f>
        <v>#N/A</v>
      </c>
      <c r="K27" t="s">
        <v>278</v>
      </c>
      <c r="L27">
        <v>44.34</v>
      </c>
      <c r="M27">
        <v>56.67</v>
      </c>
      <c r="Q27" t="s">
        <v>279</v>
      </c>
      <c r="R27" t="str">
        <f t="shared" si="0"/>
        <v>Ссылка на план</v>
      </c>
      <c r="S27" s="1">
        <v>43822.739398148151</v>
      </c>
      <c r="W27" s="1">
        <v>43822.73940972222</v>
      </c>
      <c r="EC27" t="s">
        <v>293</v>
      </c>
    </row>
    <row r="28" spans="1:135" ht="15" customHeight="1" x14ac:dyDescent="0.35">
      <c r="A28">
        <v>736</v>
      </c>
      <c r="B28" t="s">
        <v>276</v>
      </c>
      <c r="C28">
        <v>2</v>
      </c>
      <c r="D28" t="str">
        <f>VLOOKUP(source[[#This Row],[Приоритет]],тПриоритеты[],2,0)</f>
        <v>Значительное</v>
      </c>
      <c r="E28" t="str">
        <f>IF(ISBLANK(source[[#This Row],[Проверенные]]),IF(ISBLANK(source[[#This Row],[Завершенные]]),source[[#This Row],[Приоритет_]],"Завершено"),"Проверено")</f>
        <v>Значительное</v>
      </c>
      <c r="G28" t="s">
        <v>277</v>
      </c>
      <c r="H28" t="e">
        <f>VLOOKUP(source[[#This Row],[Отвественный]],тОтветственные[],2,0)</f>
        <v>#N/A</v>
      </c>
      <c r="K28" t="s">
        <v>278</v>
      </c>
      <c r="L28">
        <v>43.62</v>
      </c>
      <c r="M28">
        <v>71.900000000000006</v>
      </c>
      <c r="Q28" t="s">
        <v>279</v>
      </c>
      <c r="R28" t="str">
        <f t="shared" si="0"/>
        <v>Ссылка на план</v>
      </c>
      <c r="S28" s="1">
        <v>43822.739328703705</v>
      </c>
      <c r="W28" s="1">
        <v>43822.739328703705</v>
      </c>
      <c r="EC28" t="s">
        <v>280</v>
      </c>
    </row>
    <row r="29" spans="1:135" ht="15" customHeight="1" x14ac:dyDescent="0.35">
      <c r="A29">
        <v>731</v>
      </c>
      <c r="B29" t="s">
        <v>276</v>
      </c>
      <c r="C29">
        <v>2</v>
      </c>
      <c r="D29" t="str">
        <f>VLOOKUP(source[[#This Row],[Приоритет]],тПриоритеты[],2,0)</f>
        <v>Значительное</v>
      </c>
      <c r="E29" t="str">
        <f>IF(ISBLANK(source[[#This Row],[Проверенные]]),IF(ISBLANK(source[[#This Row],[Завершенные]]),source[[#This Row],[Приоритет_]],"Завершено"),"Проверено")</f>
        <v>Значительное</v>
      </c>
      <c r="G29" t="s">
        <v>277</v>
      </c>
      <c r="H29" t="e">
        <f>VLOOKUP(source[[#This Row],[Отвественный]],тОтветственные[],2,0)</f>
        <v>#N/A</v>
      </c>
      <c r="K29" t="s">
        <v>278</v>
      </c>
      <c r="L29">
        <v>54.53</v>
      </c>
      <c r="M29">
        <v>57.74</v>
      </c>
      <c r="Q29" t="s">
        <v>279</v>
      </c>
      <c r="R29" t="str">
        <f t="shared" si="0"/>
        <v>Ссылка на план</v>
      </c>
      <c r="S29" s="1">
        <v>43822.738923611112</v>
      </c>
      <c r="W29" s="1">
        <v>43822.739120370374</v>
      </c>
      <c r="EC29" t="s">
        <v>280</v>
      </c>
    </row>
    <row r="30" spans="1:135" ht="15" customHeight="1" x14ac:dyDescent="0.35">
      <c r="A30">
        <v>750</v>
      </c>
      <c r="B30" t="s">
        <v>294</v>
      </c>
      <c r="C30">
        <v>2</v>
      </c>
      <c r="D30" t="str">
        <f>VLOOKUP(source[[#This Row],[Приоритет]],тПриоритеты[],2,0)</f>
        <v>Значительное</v>
      </c>
      <c r="E30" t="str">
        <f>IF(ISBLANK(source[[#This Row],[Проверенные]]),IF(ISBLANK(source[[#This Row],[Завершенные]]),source[[#This Row],[Приоритет_]],"Завершено"),"Проверено")</f>
        <v>Значительное</v>
      </c>
      <c r="G30" t="s">
        <v>277</v>
      </c>
      <c r="H30" t="e">
        <f>VLOOKUP(source[[#This Row],[Отвественный]],тОтветственные[],2,0)</f>
        <v>#N/A</v>
      </c>
      <c r="K30" t="s">
        <v>278</v>
      </c>
      <c r="L30">
        <v>44.04</v>
      </c>
      <c r="M30">
        <v>54.52</v>
      </c>
      <c r="Q30" t="s">
        <v>279</v>
      </c>
      <c r="R30" t="str">
        <f t="shared" si="0"/>
        <v>Ссылка на план</v>
      </c>
      <c r="S30" s="1">
        <v>43822.739421296297</v>
      </c>
      <c r="W30" s="1">
        <v>43822.739421296297</v>
      </c>
      <c r="EC30" t="str">
        <f>HYPERLINK("https://d33htgqikc2pj4.cloudfront.net/92569b71-1b90-4884-868b-49776eceb57f.jpeg", "Кирилл Васенков: Ссылка на изображение")</f>
        <v>Кирилл Васенков: Ссылка на изображение</v>
      </c>
      <c r="ED30" t="s">
        <v>295</v>
      </c>
    </row>
    <row r="31" spans="1:135" ht="15" customHeight="1" x14ac:dyDescent="0.35">
      <c r="A31">
        <v>725</v>
      </c>
      <c r="B31" t="s">
        <v>296</v>
      </c>
      <c r="C31">
        <v>2</v>
      </c>
      <c r="D31" t="str">
        <f>VLOOKUP(source[[#This Row],[Приоритет]],тПриоритеты[],2,0)</f>
        <v>Значительное</v>
      </c>
      <c r="E31" t="str">
        <f>IF(ISBLANK(source[[#This Row],[Проверенные]]),IF(ISBLANK(source[[#This Row],[Завершенные]]),source[[#This Row],[Приоритет_]],"Завершено"),"Проверено")</f>
        <v>Значительное</v>
      </c>
      <c r="G31" t="s">
        <v>277</v>
      </c>
      <c r="H31" t="e">
        <f>VLOOKUP(source[[#This Row],[Отвественный]],тОтветственные[],2,0)</f>
        <v>#N/A</v>
      </c>
      <c r="K31" t="s">
        <v>278</v>
      </c>
      <c r="L31">
        <v>70.319999999999993</v>
      </c>
      <c r="M31">
        <v>52.92</v>
      </c>
      <c r="Q31" t="s">
        <v>279</v>
      </c>
      <c r="R31" t="str">
        <f t="shared" si="0"/>
        <v>Ссылка на план</v>
      </c>
      <c r="S31" s="1">
        <v>43822.714895833335</v>
      </c>
      <c r="W31" s="1">
        <v>43822.737118055556</v>
      </c>
      <c r="EC31" t="s">
        <v>297</v>
      </c>
    </row>
    <row r="32" spans="1:135" ht="15" customHeight="1" x14ac:dyDescent="0.35">
      <c r="A32">
        <v>724</v>
      </c>
      <c r="B32" t="s">
        <v>298</v>
      </c>
      <c r="C32">
        <v>2</v>
      </c>
      <c r="D32" t="str">
        <f>VLOOKUP(source[[#This Row],[Приоритет]],тПриоритеты[],2,0)</f>
        <v>Значительное</v>
      </c>
      <c r="E32" t="str">
        <f>IF(ISBLANK(source[[#This Row],[Проверенные]]),IF(ISBLANK(source[[#This Row],[Завершенные]]),source[[#This Row],[Приоритет_]],"Завершено"),"Проверено")</f>
        <v>Значительное</v>
      </c>
      <c r="G32" t="s">
        <v>277</v>
      </c>
      <c r="H32" t="e">
        <f>VLOOKUP(source[[#This Row],[Отвественный]],тОтветственные[],2,0)</f>
        <v>#N/A</v>
      </c>
      <c r="K32" t="s">
        <v>278</v>
      </c>
      <c r="L32">
        <v>70.569999999999993</v>
      </c>
      <c r="M32">
        <v>48.99</v>
      </c>
      <c r="Q32" t="s">
        <v>279</v>
      </c>
      <c r="R32" t="str">
        <f t="shared" si="0"/>
        <v>Ссылка на план</v>
      </c>
      <c r="S32" s="1">
        <v>43822.709988425922</v>
      </c>
      <c r="W32" s="1">
        <v>43822.71025462963</v>
      </c>
      <c r="EC32" t="s">
        <v>299</v>
      </c>
    </row>
    <row r="33" spans="1:135" ht="15" customHeight="1" x14ac:dyDescent="0.35">
      <c r="A33">
        <v>737</v>
      </c>
      <c r="B33" t="s">
        <v>276</v>
      </c>
      <c r="C33">
        <v>2</v>
      </c>
      <c r="D33" t="str">
        <f>VLOOKUP(source[[#This Row],[Приоритет]],тПриоритеты[],2,0)</f>
        <v>Значительное</v>
      </c>
      <c r="E33" t="str">
        <f>IF(ISBLANK(source[[#This Row],[Проверенные]]),IF(ISBLANK(source[[#This Row],[Завершенные]]),source[[#This Row],[Приоритет_]],"Завершено"),"Проверено")</f>
        <v>Значительное</v>
      </c>
      <c r="G33" t="s">
        <v>277</v>
      </c>
      <c r="H33" t="e">
        <f>VLOOKUP(source[[#This Row],[Отвественный]],тОтветственные[],2,0)</f>
        <v>#N/A</v>
      </c>
      <c r="K33" t="s">
        <v>278</v>
      </c>
      <c r="L33">
        <v>45.47</v>
      </c>
      <c r="M33">
        <v>70.06</v>
      </c>
      <c r="Q33" t="s">
        <v>279</v>
      </c>
      <c r="R33" t="str">
        <f t="shared" si="0"/>
        <v>Ссылка на план</v>
      </c>
      <c r="S33" s="1">
        <v>43822.739340277774</v>
      </c>
      <c r="W33" s="1">
        <v>43822.739340277774</v>
      </c>
      <c r="EC33" t="s">
        <v>280</v>
      </c>
    </row>
    <row r="34" spans="1:135" ht="15" customHeight="1" x14ac:dyDescent="0.35">
      <c r="A34">
        <v>746</v>
      </c>
      <c r="B34" t="s">
        <v>300</v>
      </c>
      <c r="C34">
        <v>2</v>
      </c>
      <c r="D34" t="str">
        <f>VLOOKUP(source[[#This Row],[Приоритет]],тПриоритеты[],2,0)</f>
        <v>Значительное</v>
      </c>
      <c r="E34" t="str">
        <f>IF(ISBLANK(source[[#This Row],[Проверенные]]),IF(ISBLANK(source[[#This Row],[Завершенные]]),source[[#This Row],[Приоритет_]],"Завершено"),"Проверено")</f>
        <v>Значительное</v>
      </c>
      <c r="G34" t="s">
        <v>277</v>
      </c>
      <c r="H34" t="e">
        <f>VLOOKUP(source[[#This Row],[Отвественный]],тОтветственные[],2,0)</f>
        <v>#N/A</v>
      </c>
      <c r="K34" t="s">
        <v>278</v>
      </c>
      <c r="L34">
        <v>40.93</v>
      </c>
      <c r="M34">
        <v>55.54</v>
      </c>
      <c r="Q34" t="s">
        <v>279</v>
      </c>
      <c r="R34" t="str">
        <f t="shared" si="0"/>
        <v>Ссылка на план</v>
      </c>
      <c r="S34" s="1">
        <v>43822.739398148151</v>
      </c>
      <c r="W34" s="1">
        <v>43822.739398148151</v>
      </c>
      <c r="EC34" t="s">
        <v>301</v>
      </c>
    </row>
    <row r="35" spans="1:135" ht="15" customHeight="1" x14ac:dyDescent="0.35">
      <c r="A35">
        <v>748</v>
      </c>
      <c r="B35" t="s">
        <v>290</v>
      </c>
      <c r="C35">
        <v>2</v>
      </c>
      <c r="D35" t="str">
        <f>VLOOKUP(source[[#This Row],[Приоритет]],тПриоритеты[],2,0)</f>
        <v>Значительное</v>
      </c>
      <c r="E35" t="str">
        <f>IF(ISBLANK(source[[#This Row],[Проверенные]]),IF(ISBLANK(source[[#This Row],[Завершенные]]),source[[#This Row],[Приоритет_]],"Завершено"),"Проверено")</f>
        <v>Значительное</v>
      </c>
      <c r="G35" t="s">
        <v>277</v>
      </c>
      <c r="H35" t="e">
        <f>VLOOKUP(source[[#This Row],[Отвественный]],тОтветственные[],2,0)</f>
        <v>#N/A</v>
      </c>
      <c r="K35" t="s">
        <v>278</v>
      </c>
      <c r="L35">
        <v>43.58</v>
      </c>
      <c r="M35">
        <v>56.79</v>
      </c>
      <c r="Q35" t="s">
        <v>279</v>
      </c>
      <c r="R35" t="str">
        <f t="shared" si="0"/>
        <v>Ссылка на план</v>
      </c>
      <c r="S35" s="1">
        <v>43822.73940972222</v>
      </c>
      <c r="W35" s="1">
        <v>43822.73940972222</v>
      </c>
      <c r="EC35" t="s">
        <v>302</v>
      </c>
      <c r="ED35" t="s">
        <v>303</v>
      </c>
      <c r="EE35" t="str">
        <f>HYPERLINK("https://d33htgqikc2pj4.cloudfront.net/cfb88640-46ef-4944-8022-3f02d5c03cee.jpeg", "Кирилл Васенков: Ссылка на изображение")</f>
        <v>Кирилл Васенков: Ссылка на изображение</v>
      </c>
    </row>
    <row r="36" spans="1:135" ht="15" customHeight="1" x14ac:dyDescent="0.35">
      <c r="A36">
        <v>740</v>
      </c>
      <c r="B36" t="s">
        <v>276</v>
      </c>
      <c r="C36">
        <v>2</v>
      </c>
      <c r="D36" t="str">
        <f>VLOOKUP(source[[#This Row],[Приоритет]],тПриоритеты[],2,0)</f>
        <v>Значительное</v>
      </c>
      <c r="E36" t="str">
        <f>IF(ISBLANK(source[[#This Row],[Проверенные]]),IF(ISBLANK(source[[#This Row],[Завершенные]]),source[[#This Row],[Приоритет_]],"Завершено"),"Проверено")</f>
        <v>Значительное</v>
      </c>
      <c r="G36" t="s">
        <v>277</v>
      </c>
      <c r="H36" t="e">
        <f>VLOOKUP(source[[#This Row],[Отвественный]],тОтветственные[],2,0)</f>
        <v>#N/A</v>
      </c>
      <c r="K36" t="s">
        <v>278</v>
      </c>
      <c r="L36">
        <v>22.23</v>
      </c>
      <c r="M36">
        <v>67.680000000000007</v>
      </c>
      <c r="Q36" t="s">
        <v>279</v>
      </c>
      <c r="R36" t="str">
        <f t="shared" si="0"/>
        <v>Ссылка на план</v>
      </c>
      <c r="S36" s="1">
        <v>43822.739351851851</v>
      </c>
      <c r="W36" s="1">
        <v>43822.739363425928</v>
      </c>
      <c r="EC36" t="s">
        <v>280</v>
      </c>
    </row>
    <row r="37" spans="1:135" ht="15" customHeight="1" x14ac:dyDescent="0.35">
      <c r="A37">
        <v>728</v>
      </c>
      <c r="B37" t="s">
        <v>276</v>
      </c>
      <c r="C37">
        <v>2</v>
      </c>
      <c r="D37" t="str">
        <f>VLOOKUP(source[[#This Row],[Приоритет]],тПриоритеты[],2,0)</f>
        <v>Значительное</v>
      </c>
      <c r="E37" t="str">
        <f>IF(ISBLANK(source[[#This Row],[Проверенные]]),IF(ISBLANK(source[[#This Row],[Завершенные]]),source[[#This Row],[Приоритет_]],"Завершено"),"Проверено")</f>
        <v>Значительное</v>
      </c>
      <c r="G37" t="s">
        <v>277</v>
      </c>
      <c r="H37" t="e">
        <f>VLOOKUP(source[[#This Row],[Отвественный]],тОтветственные[],2,0)</f>
        <v>#N/A</v>
      </c>
      <c r="K37" t="s">
        <v>278</v>
      </c>
      <c r="L37">
        <v>73.77</v>
      </c>
      <c r="M37">
        <v>60.12</v>
      </c>
      <c r="Q37" t="s">
        <v>279</v>
      </c>
      <c r="R37" t="str">
        <f t="shared" si="0"/>
        <v>Ссылка на план</v>
      </c>
      <c r="S37" s="1">
        <v>43822.737442129626</v>
      </c>
      <c r="W37" s="1">
        <v>43822.738067129627</v>
      </c>
      <c r="EC37" t="s">
        <v>280</v>
      </c>
    </row>
    <row r="38" spans="1:135" ht="15" customHeight="1" x14ac:dyDescent="0.35">
      <c r="A38">
        <v>734</v>
      </c>
      <c r="B38" t="s">
        <v>304</v>
      </c>
      <c r="C38">
        <v>2</v>
      </c>
      <c r="D38" t="str">
        <f>VLOOKUP(source[[#This Row],[Приоритет]],тПриоритеты[],2,0)</f>
        <v>Значительное</v>
      </c>
      <c r="E38" t="str">
        <f>IF(ISBLANK(source[[#This Row],[Проверенные]]),IF(ISBLANK(source[[#This Row],[Завершенные]]),source[[#This Row],[Приоритет_]],"Завершено"),"Проверено")</f>
        <v>Значительное</v>
      </c>
      <c r="G38" t="s">
        <v>277</v>
      </c>
      <c r="H38" t="e">
        <f>VLOOKUP(source[[#This Row],[Отвественный]],тОтветственные[],2,0)</f>
        <v>#N/A</v>
      </c>
      <c r="K38" t="s">
        <v>278</v>
      </c>
      <c r="L38">
        <v>52.59</v>
      </c>
      <c r="M38">
        <v>63.93</v>
      </c>
      <c r="Q38" t="s">
        <v>279</v>
      </c>
      <c r="R38" t="str">
        <f t="shared" si="0"/>
        <v>Ссылка на план</v>
      </c>
      <c r="S38" s="1">
        <v>43822.739305555559</v>
      </c>
      <c r="W38" s="1">
        <v>43822.739317129628</v>
      </c>
      <c r="EC38" t="str">
        <f>HYPERLINK("https://d33htgqikc2pj4.cloudfront.net/be0ce870-90eb-450b-874c-e23f03836378.jpeg", "Кирилл Васенков: Ссылка на изображение")</f>
        <v>Кирилл Васенков: Ссылка на изображение</v>
      </c>
      <c r="ED38" t="s">
        <v>305</v>
      </c>
    </row>
    <row r="39" spans="1:135" ht="15" customHeight="1" x14ac:dyDescent="0.35">
      <c r="A39">
        <v>743</v>
      </c>
      <c r="B39" t="s">
        <v>306</v>
      </c>
      <c r="C39">
        <v>2</v>
      </c>
      <c r="D39" t="str">
        <f>VLOOKUP(source[[#This Row],[Приоритет]],тПриоритеты[],2,0)</f>
        <v>Значительное</v>
      </c>
      <c r="E39" t="str">
        <f>IF(ISBLANK(source[[#This Row],[Проверенные]]),IF(ISBLANK(source[[#This Row],[Завершенные]]),source[[#This Row],[Приоритет_]],"Завершено"),"Проверено")</f>
        <v>Значительное</v>
      </c>
      <c r="G39" t="s">
        <v>277</v>
      </c>
      <c r="H39" t="e">
        <f>VLOOKUP(source[[#This Row],[Отвественный]],тОтветственные[],2,0)</f>
        <v>#N/A</v>
      </c>
      <c r="K39" t="s">
        <v>278</v>
      </c>
      <c r="L39">
        <v>25.09</v>
      </c>
      <c r="M39">
        <v>65.06</v>
      </c>
      <c r="Q39" t="s">
        <v>279</v>
      </c>
      <c r="R39" t="str">
        <f t="shared" si="0"/>
        <v>Ссылка на план</v>
      </c>
      <c r="S39" s="1">
        <v>43822.739374999997</v>
      </c>
      <c r="W39" s="1">
        <v>43822.739374999997</v>
      </c>
      <c r="EC39" t="s">
        <v>307</v>
      </c>
    </row>
    <row r="40" spans="1:135" ht="15" customHeight="1" x14ac:dyDescent="0.35">
      <c r="A40">
        <v>742</v>
      </c>
      <c r="B40" t="s">
        <v>306</v>
      </c>
      <c r="C40">
        <v>2</v>
      </c>
      <c r="D40" t="str">
        <f>VLOOKUP(source[[#This Row],[Приоритет]],тПриоритеты[],2,0)</f>
        <v>Значительное</v>
      </c>
      <c r="E40" t="str">
        <f>IF(ISBLANK(source[[#This Row],[Проверенные]]),IF(ISBLANK(source[[#This Row],[Завершенные]]),source[[#This Row],[Приоритет_]],"Завершено"),"Проверено")</f>
        <v>Значительное</v>
      </c>
      <c r="G40" t="s">
        <v>277</v>
      </c>
      <c r="H40" t="e">
        <f>VLOOKUP(source[[#This Row],[Отвественный]],тОтветственные[],2,0)</f>
        <v>#N/A</v>
      </c>
      <c r="K40" t="s">
        <v>278</v>
      </c>
      <c r="L40">
        <v>25.26</v>
      </c>
      <c r="M40">
        <v>63.15</v>
      </c>
      <c r="Q40" t="s">
        <v>279</v>
      </c>
      <c r="R40" t="str">
        <f t="shared" si="0"/>
        <v>Ссылка на план</v>
      </c>
      <c r="S40" s="1">
        <v>43822.739363425928</v>
      </c>
      <c r="W40" s="1">
        <v>43822.739374999997</v>
      </c>
      <c r="EC40" t="s">
        <v>307</v>
      </c>
    </row>
    <row r="41" spans="1:135" ht="15" customHeight="1" x14ac:dyDescent="0.35">
      <c r="A41">
        <v>738</v>
      </c>
      <c r="B41" t="s">
        <v>308</v>
      </c>
      <c r="C41">
        <v>2</v>
      </c>
      <c r="D41" t="str">
        <f>VLOOKUP(source[[#This Row],[Приоритет]],тПриоритеты[],2,0)</f>
        <v>Значительное</v>
      </c>
      <c r="E41" t="str">
        <f>IF(ISBLANK(source[[#This Row],[Проверенные]]),IF(ISBLANK(source[[#This Row],[Завершенные]]),source[[#This Row],[Приоритет_]],"Завершено"),"Проверено")</f>
        <v>Значительное</v>
      </c>
      <c r="G41" t="s">
        <v>277</v>
      </c>
      <c r="H41" t="e">
        <f>VLOOKUP(source[[#This Row],[Отвественный]],тОтветственные[],2,0)</f>
        <v>#N/A</v>
      </c>
      <c r="K41" t="s">
        <v>278</v>
      </c>
      <c r="L41">
        <v>26.61</v>
      </c>
      <c r="M41">
        <v>76.959999999999994</v>
      </c>
      <c r="Q41" t="s">
        <v>279</v>
      </c>
      <c r="R41" t="str">
        <f t="shared" si="0"/>
        <v>Ссылка на план</v>
      </c>
      <c r="S41" s="1">
        <v>43822.739340277774</v>
      </c>
      <c r="W41" s="1">
        <v>43847.732453703706</v>
      </c>
      <c r="EC41" t="s">
        <v>309</v>
      </c>
    </row>
    <row r="42" spans="1:135" ht="15" customHeight="1" x14ac:dyDescent="0.35">
      <c r="A42">
        <v>726</v>
      </c>
      <c r="B42" t="s">
        <v>310</v>
      </c>
      <c r="C42">
        <v>2</v>
      </c>
      <c r="D42" t="str">
        <f>VLOOKUP(source[[#This Row],[Приоритет]],тПриоритеты[],2,0)</f>
        <v>Значительное</v>
      </c>
      <c r="E42" t="str">
        <f>IF(ISBLANK(source[[#This Row],[Проверенные]]),IF(ISBLANK(source[[#This Row],[Завершенные]]),source[[#This Row],[Приоритет_]],"Завершено"),"Проверено")</f>
        <v>Значительное</v>
      </c>
      <c r="G42" t="s">
        <v>277</v>
      </c>
      <c r="H42" t="e">
        <f>VLOOKUP(source[[#This Row],[Отвественный]],тОтветственные[],2,0)</f>
        <v>#N/A</v>
      </c>
      <c r="K42" t="s">
        <v>278</v>
      </c>
      <c r="L42">
        <v>69.05</v>
      </c>
      <c r="M42">
        <v>53.27</v>
      </c>
      <c r="Q42" t="s">
        <v>279</v>
      </c>
      <c r="R42" t="str">
        <f t="shared" si="0"/>
        <v>Ссылка на план</v>
      </c>
      <c r="S42" s="1">
        <v>43822.737129629626</v>
      </c>
      <c r="W42" s="1">
        <v>43822.737129629626</v>
      </c>
      <c r="EC42" t="s">
        <v>311</v>
      </c>
      <c r="ED42" t="str">
        <f>HYPERLINK("https://d33htgqikc2pj4.cloudfront.net/d55c3f15-8a3e-4dd1-a79e-1fc0757d582f.jpeg", "Кирилл Васенков: Ссылка на изображение")</f>
        <v>Кирилл Васенков: Ссылка на изображение</v>
      </c>
    </row>
    <row r="43" spans="1:135" ht="15" customHeight="1" x14ac:dyDescent="0.35">
      <c r="A43">
        <v>735</v>
      </c>
      <c r="B43" t="s">
        <v>300</v>
      </c>
      <c r="C43">
        <v>2</v>
      </c>
      <c r="D43" t="str">
        <f>VLOOKUP(source[[#This Row],[Приоритет]],тПриоритеты[],2,0)</f>
        <v>Значительное</v>
      </c>
      <c r="E43" t="str">
        <f>IF(ISBLANK(source[[#This Row],[Проверенные]]),IF(ISBLANK(source[[#This Row],[Завершенные]]),source[[#This Row],[Приоритет_]],"Завершено"),"Проверено")</f>
        <v>Значительное</v>
      </c>
      <c r="G43" t="s">
        <v>277</v>
      </c>
      <c r="H43" t="e">
        <f>VLOOKUP(source[[#This Row],[Отвественный]],тОтветственные[],2,0)</f>
        <v>#N/A</v>
      </c>
      <c r="K43" t="s">
        <v>278</v>
      </c>
      <c r="L43">
        <v>49.31</v>
      </c>
      <c r="M43">
        <v>69.88</v>
      </c>
      <c r="Q43" t="s">
        <v>279</v>
      </c>
      <c r="R43" t="str">
        <f t="shared" si="0"/>
        <v>Ссылка на план</v>
      </c>
      <c r="S43" s="1">
        <v>43822.739317129628</v>
      </c>
      <c r="W43" s="1">
        <v>43822.739317129628</v>
      </c>
      <c r="EC43" t="s">
        <v>301</v>
      </c>
    </row>
    <row r="44" spans="1:135" ht="15" customHeight="1" x14ac:dyDescent="0.35">
      <c r="A44">
        <v>727</v>
      </c>
      <c r="B44" t="s">
        <v>276</v>
      </c>
      <c r="C44">
        <v>2</v>
      </c>
      <c r="D44" t="str">
        <f>VLOOKUP(source[[#This Row],[Приоритет]],тПриоритеты[],2,0)</f>
        <v>Значительное</v>
      </c>
      <c r="E44" t="str">
        <f>IF(ISBLANK(source[[#This Row],[Проверенные]]),IF(ISBLANK(source[[#This Row],[Завершенные]]),source[[#This Row],[Приоритет_]],"Завершено"),"Проверено")</f>
        <v>Значительное</v>
      </c>
      <c r="G44" t="s">
        <v>277</v>
      </c>
      <c r="H44" t="e">
        <f>VLOOKUP(source[[#This Row],[Отвественный]],тОтветственные[],2,0)</f>
        <v>#N/A</v>
      </c>
      <c r="K44" t="s">
        <v>278</v>
      </c>
      <c r="L44">
        <v>73.73</v>
      </c>
      <c r="M44">
        <v>56.55</v>
      </c>
      <c r="Q44" t="s">
        <v>279</v>
      </c>
      <c r="R44" t="str">
        <f t="shared" si="0"/>
        <v>Ссылка на план</v>
      </c>
      <c r="S44" s="1">
        <v>43822.737141203703</v>
      </c>
      <c r="W44" s="1">
        <v>43822.737222222226</v>
      </c>
      <c r="EC44" t="s">
        <v>280</v>
      </c>
    </row>
    <row r="45" spans="1:135" ht="15" customHeight="1" x14ac:dyDescent="0.35">
      <c r="A45">
        <v>749</v>
      </c>
      <c r="B45" t="s">
        <v>312</v>
      </c>
      <c r="C45">
        <v>2</v>
      </c>
      <c r="D45" t="str">
        <f>VLOOKUP(source[[#This Row],[Приоритет]],тПриоритеты[],2,0)</f>
        <v>Значительное</v>
      </c>
      <c r="E45" t="str">
        <f>IF(ISBLANK(source[[#This Row],[Проверенные]]),IF(ISBLANK(source[[#This Row],[Завершенные]]),source[[#This Row],[Приоритет_]],"Завершено"),"Проверено")</f>
        <v>Значительное</v>
      </c>
      <c r="G45" t="s">
        <v>277</v>
      </c>
      <c r="H45" t="e">
        <f>VLOOKUP(source[[#This Row],[Отвественный]],тОтветственные[],2,0)</f>
        <v>#N/A</v>
      </c>
      <c r="K45" t="s">
        <v>278</v>
      </c>
      <c r="L45">
        <v>44.97</v>
      </c>
      <c r="M45">
        <v>53.87</v>
      </c>
      <c r="Q45" t="s">
        <v>279</v>
      </c>
      <c r="R45" t="str">
        <f t="shared" si="0"/>
        <v>Ссылка на план</v>
      </c>
      <c r="S45" s="1">
        <v>43822.73940972222</v>
      </c>
      <c r="W45" s="1">
        <v>43822.739421296297</v>
      </c>
      <c r="EC45" t="s">
        <v>313</v>
      </c>
    </row>
    <row r="46" spans="1:135" ht="15" customHeight="1" x14ac:dyDescent="0.35">
      <c r="A46">
        <v>739</v>
      </c>
      <c r="B46" t="s">
        <v>276</v>
      </c>
      <c r="C46">
        <v>2</v>
      </c>
      <c r="D46" t="str">
        <f>VLOOKUP(source[[#This Row],[Приоритет]],тПриоритеты[],2,0)</f>
        <v>Значительное</v>
      </c>
      <c r="E46" t="str">
        <f>IF(ISBLANK(source[[#This Row],[Проверенные]]),IF(ISBLANK(source[[#This Row],[Завершенные]]),source[[#This Row],[Приоритет_]],"Завершено"),"Проверено")</f>
        <v>Значительное</v>
      </c>
      <c r="G46" t="s">
        <v>277</v>
      </c>
      <c r="H46" t="e">
        <f>VLOOKUP(source[[#This Row],[Отвественный]],тОтветственные[],2,0)</f>
        <v>#N/A</v>
      </c>
      <c r="K46" t="s">
        <v>278</v>
      </c>
      <c r="L46">
        <v>23.54</v>
      </c>
      <c r="M46">
        <v>72.08</v>
      </c>
      <c r="Q46" t="s">
        <v>279</v>
      </c>
      <c r="R46" t="str">
        <f t="shared" si="0"/>
        <v>Ссылка на план</v>
      </c>
      <c r="S46" s="1">
        <v>43822.739351851851</v>
      </c>
      <c r="W46" s="1">
        <v>43822.739351851851</v>
      </c>
      <c r="EC46" t="s">
        <v>280</v>
      </c>
    </row>
    <row r="47" spans="1:135" ht="15" customHeight="1" x14ac:dyDescent="0.35">
      <c r="A47">
        <v>729</v>
      </c>
      <c r="B47" t="s">
        <v>314</v>
      </c>
      <c r="C47">
        <v>2</v>
      </c>
      <c r="D47" t="str">
        <f>VLOOKUP(source[[#This Row],[Приоритет]],тПриоритеты[],2,0)</f>
        <v>Значительное</v>
      </c>
      <c r="E47" t="str">
        <f>IF(ISBLANK(source[[#This Row],[Проверенные]]),IF(ISBLANK(source[[#This Row],[Завершенные]]),source[[#This Row],[Приоритет_]],"Завершено"),"Проверено")</f>
        <v>Значительное</v>
      </c>
      <c r="G47" t="s">
        <v>277</v>
      </c>
      <c r="H47" t="e">
        <f>VLOOKUP(source[[#This Row],[Отвественный]],тОтветственные[],2,0)</f>
        <v>#N/A</v>
      </c>
      <c r="K47" t="s">
        <v>278</v>
      </c>
      <c r="L47">
        <v>74.150000000000006</v>
      </c>
      <c r="M47">
        <v>56.67</v>
      </c>
      <c r="Q47" t="s">
        <v>279</v>
      </c>
      <c r="R47" t="str">
        <f t="shared" si="0"/>
        <v>Ссылка на план</v>
      </c>
      <c r="S47" s="1">
        <v>43822.738078703704</v>
      </c>
      <c r="W47" s="1">
        <v>43822.73809027778</v>
      </c>
      <c r="AH47" t="s">
        <v>315</v>
      </c>
      <c r="EC47" t="str">
        <f>HYPERLINK("https://d33htgqikc2pj4.cloudfront.net/b032a9f0-d8c0-4813-8b85-e611fc85029f.jpeg", "Кирилл Васенков: Ссылка на изображение")</f>
        <v>Кирилл Васенков: Ссылка на изображение</v>
      </c>
      <c r="ED47" t="s">
        <v>316</v>
      </c>
      <c r="EE47" t="str">
        <f>HYPERLINK("https://d33htgqikc2pj4.cloudfront.net/23ac7d56-308d-4ec9-a319-a016cdd4e18b.jpeg", "Кирилл Васенков: Ссылка на изображение")</f>
        <v>Кирилл Васенков: Ссылка на изображение</v>
      </c>
    </row>
    <row r="48" spans="1:135" ht="15" customHeight="1" x14ac:dyDescent="0.35">
      <c r="A48">
        <v>730</v>
      </c>
      <c r="B48" t="s">
        <v>317</v>
      </c>
      <c r="C48">
        <v>2</v>
      </c>
      <c r="D48" t="str">
        <f>VLOOKUP(source[[#This Row],[Приоритет]],тПриоритеты[],2,0)</f>
        <v>Значительное</v>
      </c>
      <c r="E48" t="str">
        <f>IF(ISBLANK(source[[#This Row],[Проверенные]]),IF(ISBLANK(source[[#This Row],[Завершенные]]),source[[#This Row],[Приоритет_]],"Завершено"),"Проверено")</f>
        <v>Значительное</v>
      </c>
      <c r="G48" t="s">
        <v>277</v>
      </c>
      <c r="H48" t="e">
        <f>VLOOKUP(source[[#This Row],[Отвественный]],тОтветственные[],2,0)</f>
        <v>#N/A</v>
      </c>
      <c r="K48" t="s">
        <v>278</v>
      </c>
      <c r="L48">
        <v>62.61</v>
      </c>
      <c r="M48">
        <v>57.86</v>
      </c>
      <c r="Q48" t="s">
        <v>279</v>
      </c>
      <c r="R48" t="str">
        <f t="shared" si="0"/>
        <v>Ссылка на план</v>
      </c>
      <c r="S48" s="1">
        <v>43822.73810185185</v>
      </c>
      <c r="W48" s="1">
        <v>43822.738113425927</v>
      </c>
      <c r="EC48" t="s">
        <v>318</v>
      </c>
    </row>
    <row r="49" spans="1:135" ht="15" customHeight="1" x14ac:dyDescent="0.35">
      <c r="A49">
        <v>733</v>
      </c>
      <c r="B49" t="s">
        <v>319</v>
      </c>
      <c r="C49">
        <v>2</v>
      </c>
      <c r="D49" t="str">
        <f>VLOOKUP(source[[#This Row],[Приоритет]],тПриоритеты[],2,0)</f>
        <v>Значительное</v>
      </c>
      <c r="E49" t="str">
        <f>IF(ISBLANK(source[[#This Row],[Проверенные]]),IF(ISBLANK(source[[#This Row],[Завершенные]]),source[[#This Row],[Приоритет_]],"Завершено"),"Проверено")</f>
        <v>Значительное</v>
      </c>
      <c r="G49" t="s">
        <v>277</v>
      </c>
      <c r="H49" t="e">
        <f>VLOOKUP(source[[#This Row],[Отвественный]],тОтветственные[],2,0)</f>
        <v>#N/A</v>
      </c>
      <c r="K49" t="s">
        <v>278</v>
      </c>
      <c r="L49">
        <v>60.46</v>
      </c>
      <c r="M49">
        <v>63.87</v>
      </c>
      <c r="Q49" t="s">
        <v>279</v>
      </c>
      <c r="R49" t="str">
        <f t="shared" si="0"/>
        <v>Ссылка на план</v>
      </c>
      <c r="S49" s="1">
        <v>43822.739305555559</v>
      </c>
      <c r="W49" s="1">
        <v>43822.739305555559</v>
      </c>
      <c r="EC49" t="s">
        <v>320</v>
      </c>
      <c r="ED49" t="str">
        <f>HYPERLINK("https://d33htgqikc2pj4.cloudfront.net/c0dc553d-3570-4461-8251-936951819db5.jpeg", "Кирилл Васенков: Ссылка на изображение")</f>
        <v>Кирилл Васенков: Ссылка на изображение</v>
      </c>
    </row>
    <row r="50" spans="1:135" ht="15" customHeight="1" x14ac:dyDescent="0.35">
      <c r="A50">
        <v>745</v>
      </c>
      <c r="B50" t="s">
        <v>300</v>
      </c>
      <c r="C50">
        <v>2</v>
      </c>
      <c r="D50" t="str">
        <f>VLOOKUP(source[[#This Row],[Приоритет]],тПриоритеты[],2,0)</f>
        <v>Значительное</v>
      </c>
      <c r="E50" t="str">
        <f>IF(ISBLANK(source[[#This Row],[Проверенные]]),IF(ISBLANK(source[[#This Row],[Завершенные]]),source[[#This Row],[Приоритет_]],"Завершено"),"Проверено")</f>
        <v>Значительное</v>
      </c>
      <c r="G50" t="s">
        <v>277</v>
      </c>
      <c r="H50" t="e">
        <f>VLOOKUP(source[[#This Row],[Отвественный]],тОтветственные[],2,0)</f>
        <v>#N/A</v>
      </c>
      <c r="K50" t="s">
        <v>278</v>
      </c>
      <c r="L50">
        <v>36.340000000000003</v>
      </c>
      <c r="M50">
        <v>55.54</v>
      </c>
      <c r="Q50" t="s">
        <v>279</v>
      </c>
      <c r="R50" t="str">
        <f t="shared" si="0"/>
        <v>Ссылка на план</v>
      </c>
      <c r="S50" s="1">
        <v>43822.739386574074</v>
      </c>
      <c r="W50" s="1">
        <v>43822.739398148151</v>
      </c>
      <c r="EC50" t="s">
        <v>321</v>
      </c>
      <c r="ED50" t="str">
        <f>HYPERLINK("https://d33htgqikc2pj4.cloudfront.net/3f6c86a3-b40f-4d33-8fed-50591fbb4269.jpeg", "Кирилл Васенков: Ссылка на изображение")</f>
        <v>Кирилл Васенков: Ссылка на изображение</v>
      </c>
      <c r="EE50" t="s">
        <v>322</v>
      </c>
    </row>
    <row r="51" spans="1:135" ht="15" customHeight="1" x14ac:dyDescent="0.35">
      <c r="A51">
        <v>712</v>
      </c>
      <c r="B51" t="s">
        <v>323</v>
      </c>
      <c r="C51">
        <v>2</v>
      </c>
      <c r="D51" t="str">
        <f>VLOOKUP(source[[#This Row],[Приоритет]],тПриоритеты[],2,0)</f>
        <v>Значительное</v>
      </c>
      <c r="E51" t="str">
        <f>IF(ISBLANK(source[[#This Row],[Проверенные]]),IF(ISBLANK(source[[#This Row],[Завершенные]]),source[[#This Row],[Приоритет_]],"Завершено"),"Проверено")</f>
        <v>Значительное</v>
      </c>
      <c r="G51" t="s">
        <v>277</v>
      </c>
      <c r="H51" t="e">
        <f>VLOOKUP(source[[#This Row],[Отвественный]],тОтветственные[],2,0)</f>
        <v>#N/A</v>
      </c>
      <c r="K51" t="s">
        <v>278</v>
      </c>
      <c r="L51">
        <v>59.66</v>
      </c>
      <c r="M51">
        <v>29.76</v>
      </c>
      <c r="Q51" t="s">
        <v>279</v>
      </c>
      <c r="R51" t="str">
        <f t="shared" si="0"/>
        <v>Ссылка на план</v>
      </c>
      <c r="S51" s="1">
        <v>43822.628229166665</v>
      </c>
      <c r="W51" s="1">
        <v>43822.62835648148</v>
      </c>
      <c r="EC51" t="s">
        <v>324</v>
      </c>
    </row>
    <row r="52" spans="1:135" ht="15" customHeight="1" x14ac:dyDescent="0.35">
      <c r="A52">
        <v>710</v>
      </c>
      <c r="C52">
        <v>2</v>
      </c>
      <c r="D52" t="str">
        <f>VLOOKUP(source[[#This Row],[Приоритет]],тПриоритеты[],2,0)</f>
        <v>Значительное</v>
      </c>
      <c r="E52" t="str">
        <f>IF(ISBLANK(source[[#This Row],[Проверенные]]),IF(ISBLANK(source[[#This Row],[Завершенные]]),source[[#This Row],[Приоритет_]],"Завершено"),"Проверено")</f>
        <v>Значительное</v>
      </c>
      <c r="G52" t="s">
        <v>277</v>
      </c>
      <c r="H52" t="e">
        <f>VLOOKUP(source[[#This Row],[Отвественный]],тОтветственные[],2,0)</f>
        <v>#N/A</v>
      </c>
      <c r="K52" t="s">
        <v>278</v>
      </c>
      <c r="L52">
        <v>53.31</v>
      </c>
      <c r="M52">
        <v>28.57</v>
      </c>
      <c r="Q52" t="s">
        <v>279</v>
      </c>
      <c r="R52" t="str">
        <f t="shared" si="0"/>
        <v>Ссылка на план</v>
      </c>
      <c r="S52" s="1">
        <v>43822.628206018519</v>
      </c>
      <c r="W52" s="1">
        <v>43822.628217592595</v>
      </c>
      <c r="AH52" t="s">
        <v>325</v>
      </c>
    </row>
    <row r="53" spans="1:135" ht="15" customHeight="1" x14ac:dyDescent="0.35">
      <c r="A53">
        <v>716</v>
      </c>
      <c r="B53" t="s">
        <v>326</v>
      </c>
      <c r="C53">
        <v>2</v>
      </c>
      <c r="D53" t="str">
        <f>VLOOKUP(source[[#This Row],[Приоритет]],тПриоритеты[],2,0)</f>
        <v>Значительное</v>
      </c>
      <c r="E53" t="str">
        <f>IF(ISBLANK(source[[#This Row],[Проверенные]]),IF(ISBLANK(source[[#This Row],[Завершенные]]),source[[#This Row],[Приоритет_]],"Завершено"),"Проверено")</f>
        <v>Значительное</v>
      </c>
      <c r="G53" t="s">
        <v>277</v>
      </c>
      <c r="H53" t="e">
        <f>VLOOKUP(source[[#This Row],[Отвественный]],тОтветственные[],2,0)</f>
        <v>#N/A</v>
      </c>
      <c r="K53" t="s">
        <v>278</v>
      </c>
      <c r="L53">
        <v>66.319999999999993</v>
      </c>
      <c r="M53">
        <v>43.39</v>
      </c>
      <c r="Q53" t="s">
        <v>279</v>
      </c>
      <c r="R53" t="str">
        <f t="shared" si="0"/>
        <v>Ссылка на план</v>
      </c>
      <c r="S53" s="1">
        <v>43822.63758101852</v>
      </c>
      <c r="W53" s="1">
        <v>43822.63758101852</v>
      </c>
      <c r="EC53" t="str">
        <f>HYPERLINK("https://d33htgqikc2pj4.cloudfront.net/6271f58d-b30e-45a6-af59-3c4c5cfd9229.jpeg", "Кирилл Васенков: Ссылка на изображение")</f>
        <v>Кирилл Васенков: Ссылка на изображение</v>
      </c>
      <c r="ED53" t="s">
        <v>327</v>
      </c>
    </row>
    <row r="54" spans="1:135" ht="15" customHeight="1" x14ac:dyDescent="0.35">
      <c r="A54">
        <v>713</v>
      </c>
      <c r="B54" t="s">
        <v>328</v>
      </c>
      <c r="C54">
        <v>2</v>
      </c>
      <c r="D54" t="str">
        <f>VLOOKUP(source[[#This Row],[Приоритет]],тПриоритеты[],2,0)</f>
        <v>Значительное</v>
      </c>
      <c r="E54" t="str">
        <f>IF(ISBLANK(source[[#This Row],[Проверенные]]),IF(ISBLANK(source[[#This Row],[Завершенные]]),source[[#This Row],[Приоритет_]],"Завершено"),"Проверено")</f>
        <v>Значительное</v>
      </c>
      <c r="G54" t="s">
        <v>277</v>
      </c>
      <c r="H54" t="e">
        <f>VLOOKUP(source[[#This Row],[Отвественный]],тОтветственные[],2,0)</f>
        <v>#N/A</v>
      </c>
      <c r="K54" t="s">
        <v>278</v>
      </c>
      <c r="L54">
        <v>60.34</v>
      </c>
      <c r="M54">
        <v>28.51</v>
      </c>
      <c r="Q54" t="s">
        <v>279</v>
      </c>
      <c r="R54" t="str">
        <f t="shared" si="0"/>
        <v>Ссылка на план</v>
      </c>
      <c r="S54" s="1">
        <v>43822.637557870374</v>
      </c>
      <c r="W54" s="1">
        <v>43822.637557870374</v>
      </c>
      <c r="EC54" t="str">
        <f>HYPERLINK("https://d33htgqikc2pj4.cloudfront.net/adf705ed-63e8-4021-8c30-75bf8e6d98ca.jpeg", "Кирилл Васенков: Ссылка на изображение")</f>
        <v>Кирилл Васенков: Ссылка на изображение</v>
      </c>
      <c r="ED54" t="s">
        <v>329</v>
      </c>
    </row>
    <row r="55" spans="1:135" ht="15" customHeight="1" x14ac:dyDescent="0.35">
      <c r="A55">
        <v>719</v>
      </c>
      <c r="C55">
        <v>2</v>
      </c>
      <c r="D55" t="str">
        <f>VLOOKUP(source[[#This Row],[Приоритет]],тПриоритеты[],2,0)</f>
        <v>Значительное</v>
      </c>
      <c r="E55" t="str">
        <f>IF(ISBLANK(source[[#This Row],[Проверенные]]),IF(ISBLANK(source[[#This Row],[Завершенные]]),source[[#This Row],[Приоритет_]],"Завершено"),"Проверено")</f>
        <v>Значительное</v>
      </c>
      <c r="G55" t="s">
        <v>277</v>
      </c>
      <c r="H55" t="e">
        <f>VLOOKUP(source[[#This Row],[Отвественный]],тОтветственные[],2,0)</f>
        <v>#N/A</v>
      </c>
      <c r="K55" t="s">
        <v>278</v>
      </c>
      <c r="L55">
        <v>71.12</v>
      </c>
      <c r="M55">
        <v>41.37</v>
      </c>
      <c r="Q55" t="s">
        <v>279</v>
      </c>
      <c r="R55" t="str">
        <f t="shared" si="0"/>
        <v>Ссылка на план</v>
      </c>
      <c r="S55" s="1">
        <v>43822.637592592589</v>
      </c>
      <c r="W55" s="1">
        <v>43822.637592592589</v>
      </c>
    </row>
    <row r="56" spans="1:135" ht="15" customHeight="1" x14ac:dyDescent="0.35">
      <c r="A56">
        <v>789</v>
      </c>
      <c r="B56" t="s">
        <v>330</v>
      </c>
      <c r="C56">
        <v>2</v>
      </c>
      <c r="D56" t="str">
        <f>VLOOKUP(source[[#This Row],[Приоритет]],тПриоритеты[],2,0)</f>
        <v>Значительное</v>
      </c>
      <c r="E56" t="str">
        <f>IF(ISBLANK(source[[#This Row],[Проверенные]]),IF(ISBLANK(source[[#This Row],[Завершенные]]),source[[#This Row],[Приоритет_]],"Завершено"),"Проверено")</f>
        <v>Значительное</v>
      </c>
      <c r="G56" t="s">
        <v>277</v>
      </c>
      <c r="H56" t="e">
        <f>VLOOKUP(source[[#This Row],[Отвественный]],тОтветственные[],2,0)</f>
        <v>#N/A</v>
      </c>
      <c r="K56" t="s">
        <v>331</v>
      </c>
      <c r="L56">
        <v>31.49</v>
      </c>
      <c r="M56">
        <v>58.49</v>
      </c>
      <c r="Q56" t="s">
        <v>279</v>
      </c>
      <c r="R56" t="str">
        <f>HYPERLINK("https://d28ji4sm1vmprj.cloudfront.net/dfb8927603158d48652ad3c73169f249/c1a453352f8cb8ce5a2145141b621854.jpeg", "Ссылка на план")</f>
        <v>Ссылка на план</v>
      </c>
      <c r="S56" s="1">
        <v>43824.710543981484</v>
      </c>
      <c r="W56" s="1">
        <v>43824.710729166669</v>
      </c>
      <c r="EC56" t="s">
        <v>332</v>
      </c>
    </row>
    <row r="57" spans="1:135" ht="15" customHeight="1" x14ac:dyDescent="0.35">
      <c r="A57">
        <v>781</v>
      </c>
      <c r="B57" t="s">
        <v>333</v>
      </c>
      <c r="C57">
        <v>2</v>
      </c>
      <c r="D57" t="str">
        <f>VLOOKUP(source[[#This Row],[Приоритет]],тПриоритеты[],2,0)</f>
        <v>Значительное</v>
      </c>
      <c r="E57" t="str">
        <f>IF(ISBLANK(source[[#This Row],[Проверенные]]),IF(ISBLANK(source[[#This Row],[Завершенные]]),source[[#This Row],[Приоритет_]],"Завершено"),"Проверено")</f>
        <v>Значительное</v>
      </c>
      <c r="G57" t="s">
        <v>277</v>
      </c>
      <c r="H57" t="e">
        <f>VLOOKUP(source[[#This Row],[Отвественный]],тОтветственные[],2,0)</f>
        <v>#N/A</v>
      </c>
      <c r="K57" t="s">
        <v>334</v>
      </c>
      <c r="L57">
        <v>27.68</v>
      </c>
      <c r="M57">
        <v>36.25</v>
      </c>
      <c r="Q57" t="s">
        <v>279</v>
      </c>
      <c r="R57" t="str">
        <f t="shared" ref="R57:R62" si="1">HYPERLINK("https://d28ji4sm1vmprj.cloudfront.net/ae0195ceb9ae413dd8cf2b47903acfd5/e076e3b077707e8be1e6eebc492ae0d2.jpeg", "Ссылка на план")</f>
        <v>Ссылка на план</v>
      </c>
      <c r="S57" s="1">
        <v>43824.681666666664</v>
      </c>
      <c r="W57" s="1">
        <v>43824.681828703702</v>
      </c>
      <c r="EC57" t="s">
        <v>335</v>
      </c>
      <c r="ED57" t="str">
        <f>HYPERLINK("https://d33htgqikc2pj4.cloudfront.net/f8815c24-8fca-4bc3-aaf8-fee0847dc235.jpeg", "Кирилл Васенков: Ссылка на изображение")</f>
        <v>Кирилл Васенков: Ссылка на изображение</v>
      </c>
    </row>
    <row r="58" spans="1:135" ht="15" customHeight="1" x14ac:dyDescent="0.35">
      <c r="A58">
        <v>774</v>
      </c>
      <c r="B58" t="s">
        <v>288</v>
      </c>
      <c r="C58">
        <v>2</v>
      </c>
      <c r="D58" t="str">
        <f>VLOOKUP(source[[#This Row],[Приоритет]],тПриоритеты[],2,0)</f>
        <v>Значительное</v>
      </c>
      <c r="E58" t="str">
        <f>IF(ISBLANK(source[[#This Row],[Проверенные]]),IF(ISBLANK(source[[#This Row],[Завершенные]]),source[[#This Row],[Приоритет_]],"Завершено"),"Проверено")</f>
        <v>Значительное</v>
      </c>
      <c r="G58" t="s">
        <v>277</v>
      </c>
      <c r="H58" t="e">
        <f>VLOOKUP(source[[#This Row],[Отвественный]],тОтветственные[],2,0)</f>
        <v>#N/A</v>
      </c>
      <c r="K58" t="s">
        <v>334</v>
      </c>
      <c r="L58">
        <v>35.770000000000003</v>
      </c>
      <c r="M58">
        <v>54.44</v>
      </c>
      <c r="Q58" t="s">
        <v>279</v>
      </c>
      <c r="R58" t="str">
        <f t="shared" si="1"/>
        <v>Ссылка на план</v>
      </c>
      <c r="S58" s="1">
        <v>43824.660185185188</v>
      </c>
      <c r="W58" s="1">
        <v>43824.66028935185</v>
      </c>
      <c r="EC58" t="s">
        <v>307</v>
      </c>
      <c r="ED58" t="s">
        <v>336</v>
      </c>
    </row>
    <row r="59" spans="1:135" ht="15" customHeight="1" x14ac:dyDescent="0.35">
      <c r="A59">
        <v>777</v>
      </c>
      <c r="B59" t="s">
        <v>337</v>
      </c>
      <c r="C59">
        <v>2</v>
      </c>
      <c r="D59" t="str">
        <f>VLOOKUP(source[[#This Row],[Приоритет]],тПриоритеты[],2,0)</f>
        <v>Значительное</v>
      </c>
      <c r="E59" t="str">
        <f>IF(ISBLANK(source[[#This Row],[Проверенные]]),IF(ISBLANK(source[[#This Row],[Завершенные]]),source[[#This Row],[Приоритет_]],"Завершено"),"Проверено")</f>
        <v>Значительное</v>
      </c>
      <c r="G59" t="s">
        <v>277</v>
      </c>
      <c r="H59" t="e">
        <f>VLOOKUP(source[[#This Row],[Отвественный]],тОтветственные[],2,0)</f>
        <v>#N/A</v>
      </c>
      <c r="K59" t="s">
        <v>334</v>
      </c>
      <c r="L59">
        <v>32.26</v>
      </c>
      <c r="M59">
        <v>60.63</v>
      </c>
      <c r="Q59" t="s">
        <v>279</v>
      </c>
      <c r="R59" t="str">
        <f t="shared" si="1"/>
        <v>Ссылка на план</v>
      </c>
      <c r="S59" s="1">
        <v>43824.667893518519</v>
      </c>
      <c r="W59" s="1">
        <v>43824.667893518519</v>
      </c>
      <c r="EC59" t="s">
        <v>338</v>
      </c>
    </row>
    <row r="60" spans="1:135" ht="15" customHeight="1" x14ac:dyDescent="0.35">
      <c r="A60">
        <v>778</v>
      </c>
      <c r="B60" t="s">
        <v>339</v>
      </c>
      <c r="C60">
        <v>2</v>
      </c>
      <c r="D60" t="str">
        <f>VLOOKUP(source[[#This Row],[Приоритет]],тПриоритеты[],2,0)</f>
        <v>Значительное</v>
      </c>
      <c r="E60" t="str">
        <f>IF(ISBLANK(source[[#This Row],[Проверенные]]),IF(ISBLANK(source[[#This Row],[Завершенные]]),source[[#This Row],[Приоритет_]],"Завершено"),"Проверено")</f>
        <v>Значительное</v>
      </c>
      <c r="G60" t="s">
        <v>277</v>
      </c>
      <c r="H60" t="e">
        <f>VLOOKUP(source[[#This Row],[Отвественный]],тОтветственные[],2,0)</f>
        <v>#N/A</v>
      </c>
      <c r="K60" t="s">
        <v>334</v>
      </c>
      <c r="L60">
        <v>29.88</v>
      </c>
      <c r="M60">
        <v>70.819999999999993</v>
      </c>
      <c r="Q60" t="s">
        <v>279</v>
      </c>
      <c r="R60" t="str">
        <f t="shared" si="1"/>
        <v>Ссылка на план</v>
      </c>
      <c r="S60" s="1">
        <v>43824.667928240742</v>
      </c>
      <c r="W60" s="1">
        <v>43824.667939814812</v>
      </c>
      <c r="EC60" t="s">
        <v>340</v>
      </c>
    </row>
    <row r="61" spans="1:135" ht="15" customHeight="1" x14ac:dyDescent="0.35">
      <c r="A61">
        <v>779</v>
      </c>
      <c r="B61" t="s">
        <v>341</v>
      </c>
      <c r="C61">
        <v>2</v>
      </c>
      <c r="D61" t="str">
        <f>VLOOKUP(source[[#This Row],[Приоритет]],тПриоритеты[],2,0)</f>
        <v>Значительное</v>
      </c>
      <c r="E61" t="str">
        <f>IF(ISBLANK(source[[#This Row],[Проверенные]]),IF(ISBLANK(source[[#This Row],[Завершенные]]),source[[#This Row],[Приоритет_]],"Завершено"),"Проверено")</f>
        <v>Значительное</v>
      </c>
      <c r="G61" t="s">
        <v>277</v>
      </c>
      <c r="H61" t="e">
        <f>VLOOKUP(source[[#This Row],[Отвественный]],тОтветственные[],2,0)</f>
        <v>#N/A</v>
      </c>
      <c r="K61" t="s">
        <v>334</v>
      </c>
      <c r="L61">
        <v>35.479999999999997</v>
      </c>
      <c r="M61">
        <v>70.53</v>
      </c>
      <c r="Q61" t="s">
        <v>279</v>
      </c>
      <c r="R61" t="str">
        <f t="shared" si="1"/>
        <v>Ссылка на план</v>
      </c>
      <c r="S61" s="1">
        <v>43824.667974537035</v>
      </c>
      <c r="W61" s="1">
        <v>43824.668009259258</v>
      </c>
      <c r="EC61" t="s">
        <v>342</v>
      </c>
    </row>
    <row r="62" spans="1:135" ht="15" customHeight="1" x14ac:dyDescent="0.35">
      <c r="A62">
        <v>780</v>
      </c>
      <c r="B62" t="s">
        <v>343</v>
      </c>
      <c r="C62">
        <v>2</v>
      </c>
      <c r="D62" t="str">
        <f>VLOOKUP(source[[#This Row],[Приоритет]],тПриоритеты[],2,0)</f>
        <v>Значительное</v>
      </c>
      <c r="E62" t="str">
        <f>IF(ISBLANK(source[[#This Row],[Проверенные]]),IF(ISBLANK(source[[#This Row],[Завершенные]]),source[[#This Row],[Приоритет_]],"Завершено"),"Проверено")</f>
        <v>Значительное</v>
      </c>
      <c r="G62" t="s">
        <v>277</v>
      </c>
      <c r="H62" t="e">
        <f>VLOOKUP(source[[#This Row],[Отвественный]],тОтветственные[],2,0)</f>
        <v>#N/A</v>
      </c>
      <c r="K62" t="s">
        <v>334</v>
      </c>
      <c r="L62">
        <v>37.68</v>
      </c>
      <c r="M62">
        <v>73.599999999999994</v>
      </c>
      <c r="Q62" t="s">
        <v>279</v>
      </c>
      <c r="R62" t="str">
        <f t="shared" si="1"/>
        <v>Ссылка на план</v>
      </c>
      <c r="S62" s="1">
        <v>43824.669386574074</v>
      </c>
      <c r="W62" s="1">
        <v>43824.669479166667</v>
      </c>
      <c r="EC62" t="s">
        <v>344</v>
      </c>
      <c r="ED62" t="str">
        <f>HYPERLINK("https://d33htgqikc2pj4.cloudfront.net/32837c42-e6e6-4ec1-84b9-4700774ed3fd.jpeg", "Кирилл Васенков: Ссылка на изображение")</f>
        <v>Кирилл Васенков: Ссылка на изображение</v>
      </c>
    </row>
    <row r="63" spans="1:135" ht="15" customHeight="1" x14ac:dyDescent="0.35">
      <c r="A63">
        <v>785</v>
      </c>
      <c r="B63" t="s">
        <v>345</v>
      </c>
      <c r="C63">
        <v>2</v>
      </c>
      <c r="D63" t="str">
        <f>VLOOKUP(source[[#This Row],[Приоритет]],тПриоритеты[],2,0)</f>
        <v>Значительное</v>
      </c>
      <c r="E63" t="str">
        <f>IF(ISBLANK(source[[#This Row],[Проверенные]]),IF(ISBLANK(source[[#This Row],[Завершенные]]),source[[#This Row],[Приоритет_]],"Завершено"),"Проверено")</f>
        <v>Значительное</v>
      </c>
      <c r="G63" t="s">
        <v>277</v>
      </c>
      <c r="H63" t="e">
        <f>VLOOKUP(source[[#This Row],[Отвественный]],тОтветственные[],2,0)</f>
        <v>#N/A</v>
      </c>
      <c r="K63" t="s">
        <v>346</v>
      </c>
      <c r="L63">
        <v>25.83</v>
      </c>
      <c r="M63">
        <v>31.24</v>
      </c>
      <c r="Q63" t="s">
        <v>279</v>
      </c>
      <c r="R63" t="str">
        <f>HYPERLINK("https://d28ji4sm1vmprj.cloudfront.net/2f967aec7d41531b1fa69cf444c0d3e0/dc3e263d2600ca15b222e84e6b43d13b.jpeg", "Ссылка на план")</f>
        <v>Ссылка на план</v>
      </c>
      <c r="S63" s="1">
        <v>43824.696099537039</v>
      </c>
      <c r="W63" s="1">
        <v>43824.696331018517</v>
      </c>
      <c r="EC63" t="s">
        <v>347</v>
      </c>
    </row>
    <row r="64" spans="1:135" ht="15" customHeight="1" x14ac:dyDescent="0.35">
      <c r="A64">
        <v>782</v>
      </c>
      <c r="B64" t="s">
        <v>348</v>
      </c>
      <c r="C64">
        <v>2</v>
      </c>
      <c r="D64" t="str">
        <f>VLOOKUP(source[[#This Row],[Приоритет]],тПриоритеты[],2,0)</f>
        <v>Значительное</v>
      </c>
      <c r="E64" t="str">
        <f>IF(ISBLANK(source[[#This Row],[Проверенные]]),IF(ISBLANK(source[[#This Row],[Завершенные]]),source[[#This Row],[Приоритет_]],"Завершено"),"Проверено")</f>
        <v>Значительное</v>
      </c>
      <c r="G64" t="s">
        <v>277</v>
      </c>
      <c r="H64" t="e">
        <f>VLOOKUP(source[[#This Row],[Отвественный]],тОтветственные[],2,0)</f>
        <v>#N/A</v>
      </c>
      <c r="K64" t="s">
        <v>334</v>
      </c>
      <c r="L64">
        <v>33.81</v>
      </c>
      <c r="M64">
        <v>26.53</v>
      </c>
      <c r="Q64" t="s">
        <v>279</v>
      </c>
      <c r="R64" t="str">
        <f>HYPERLINK("https://d28ji4sm1vmprj.cloudfront.net/ae0195ceb9ae413dd8cf2b47903acfd5/e076e3b077707e8be1e6eebc492ae0d2.jpeg", "Ссылка на план")</f>
        <v>Ссылка на план</v>
      </c>
      <c r="S64" s="1">
        <v>43824.685624999998</v>
      </c>
      <c r="W64" s="1">
        <v>43824.685636574075</v>
      </c>
      <c r="EC64" t="s">
        <v>349</v>
      </c>
      <c r="ED64" t="str">
        <f>HYPERLINK("https://d33htgqikc2pj4.cloudfront.net/a6ada857-2d1a-4ceb-8553-db7e18e11dac.jpeg", "Кирилл Васенков: Ссылка на изображение")</f>
        <v>Кирилл Васенков: Ссылка на изображение</v>
      </c>
    </row>
    <row r="65" spans="1:138" ht="15" customHeight="1" x14ac:dyDescent="0.35">
      <c r="A65">
        <v>783</v>
      </c>
      <c r="B65" t="s">
        <v>350</v>
      </c>
      <c r="C65">
        <v>2</v>
      </c>
      <c r="D65" t="str">
        <f>VLOOKUP(source[[#This Row],[Приоритет]],тПриоритеты[],2,0)</f>
        <v>Значительное</v>
      </c>
      <c r="E65" t="str">
        <f>IF(ISBLANK(source[[#This Row],[Проверенные]]),IF(ISBLANK(source[[#This Row],[Завершенные]]),source[[#This Row],[Приоритет_]],"Завершено"),"Проверено")</f>
        <v>Значительное</v>
      </c>
      <c r="G65" t="s">
        <v>277</v>
      </c>
      <c r="H65" t="e">
        <f>VLOOKUP(source[[#This Row],[Отвественный]],тОтветственные[],2,0)</f>
        <v>#N/A</v>
      </c>
      <c r="K65" t="s">
        <v>346</v>
      </c>
      <c r="L65">
        <v>37.799999999999997</v>
      </c>
      <c r="M65">
        <v>76.2</v>
      </c>
      <c r="Q65" t="s">
        <v>279</v>
      </c>
      <c r="R65" t="str">
        <f>HYPERLINK("https://d28ji4sm1vmprj.cloudfront.net/2f967aec7d41531b1fa69cf444c0d3e0/dc3e263d2600ca15b222e84e6b43d13b.jpeg", "Ссылка на план")</f>
        <v>Ссылка на план</v>
      </c>
      <c r="S65" s="1">
        <v>43824.691608796296</v>
      </c>
      <c r="W65" s="1">
        <v>43824.691932870373</v>
      </c>
      <c r="EC65" t="s">
        <v>351</v>
      </c>
    </row>
    <row r="66" spans="1:138" ht="15" customHeight="1" x14ac:dyDescent="0.35">
      <c r="A66">
        <v>784</v>
      </c>
      <c r="B66" t="s">
        <v>352</v>
      </c>
      <c r="C66">
        <v>2</v>
      </c>
      <c r="D66" t="str">
        <f>VLOOKUP(source[[#This Row],[Приоритет]],тПриоритеты[],2,0)</f>
        <v>Значительное</v>
      </c>
      <c r="E66" t="str">
        <f>IF(ISBLANK(source[[#This Row],[Проверенные]]),IF(ISBLANK(source[[#This Row],[Завершенные]]),source[[#This Row],[Приоритет_]],"Завершено"),"Проверено")</f>
        <v>Значительное</v>
      </c>
      <c r="G66" t="s">
        <v>277</v>
      </c>
      <c r="H66" t="e">
        <f>VLOOKUP(source[[#This Row],[Отвественный]],тОтветственные[],2,0)</f>
        <v>#N/A</v>
      </c>
      <c r="K66" t="s">
        <v>346</v>
      </c>
      <c r="L66">
        <v>25.89</v>
      </c>
      <c r="M66">
        <v>88.35</v>
      </c>
      <c r="Q66" t="s">
        <v>279</v>
      </c>
      <c r="R66" t="str">
        <f>HYPERLINK("https://d28ji4sm1vmprj.cloudfront.net/2f967aec7d41531b1fa69cf444c0d3e0/dc3e263d2600ca15b222e84e6b43d13b.jpeg", "Ссылка на план")</f>
        <v>Ссылка на план</v>
      </c>
      <c r="S66" s="1">
        <v>43824.693356481483</v>
      </c>
      <c r="W66" s="1">
        <v>43824.693506944444</v>
      </c>
      <c r="EC66" t="s">
        <v>353</v>
      </c>
      <c r="ED66" t="str">
        <f>HYPERLINK("https://d33htgqikc2pj4.cloudfront.net/431fd037-d841-4f25-9e80-1bb4c0aa92b4.jpeg", "Кирилл Васенков: Ссылка на изображение")</f>
        <v>Кирилл Васенков: Ссылка на изображение</v>
      </c>
      <c r="EE66" t="str">
        <f>HYPERLINK("https://d33htgqikc2pj4.cloudfront.net/26b8bf63-4ae0-422b-8f69-7e9ee2f1041a.jpeg", "Кирилл Васенков: Ссылка на изображение")</f>
        <v>Кирилл Васенков: Ссылка на изображение</v>
      </c>
    </row>
    <row r="67" spans="1:138" ht="15" customHeight="1" x14ac:dyDescent="0.35">
      <c r="A67">
        <v>786</v>
      </c>
      <c r="B67" t="s">
        <v>354</v>
      </c>
      <c r="C67">
        <v>2</v>
      </c>
      <c r="D67" t="str">
        <f>VLOOKUP(source[[#This Row],[Приоритет]],тПриоритеты[],2,0)</f>
        <v>Значительное</v>
      </c>
      <c r="E67" t="str">
        <f>IF(ISBLANK(source[[#This Row],[Проверенные]]),IF(ISBLANK(source[[#This Row],[Завершенные]]),source[[#This Row],[Приоритет_]],"Завершено"),"Проверено")</f>
        <v>Значительное</v>
      </c>
      <c r="G67" t="s">
        <v>277</v>
      </c>
      <c r="H67" t="e">
        <f>VLOOKUP(source[[#This Row],[Отвественный]],тОтветственные[],2,0)</f>
        <v>#N/A</v>
      </c>
      <c r="K67" t="s">
        <v>355</v>
      </c>
      <c r="L67">
        <v>28.99</v>
      </c>
      <c r="M67">
        <v>90.75</v>
      </c>
      <c r="Q67" t="s">
        <v>279</v>
      </c>
      <c r="R67" t="str">
        <f>HYPERLINK("https://d28ji4sm1vmprj.cloudfront.net/41c17a36c09e61d7ec4967158f98dfc8/188bc505240e4fabc3d31973fb6cc82d.jpeg", "Ссылка на план")</f>
        <v>Ссылка на план</v>
      </c>
      <c r="S67" s="1">
        <v>43824.70175925926</v>
      </c>
      <c r="W67" s="1">
        <v>43824.701932870368</v>
      </c>
      <c r="EC67" t="s">
        <v>356</v>
      </c>
    </row>
    <row r="68" spans="1:138" ht="15" customHeight="1" x14ac:dyDescent="0.35">
      <c r="A68">
        <v>787</v>
      </c>
      <c r="B68" t="s">
        <v>357</v>
      </c>
      <c r="C68">
        <v>2</v>
      </c>
      <c r="D68" t="str">
        <f>VLOOKUP(source[[#This Row],[Приоритет]],тПриоритеты[],2,0)</f>
        <v>Значительное</v>
      </c>
      <c r="E68" t="str">
        <f>IF(ISBLANK(source[[#This Row],[Проверенные]]),IF(ISBLANK(source[[#This Row],[Завершенные]]),source[[#This Row],[Приоритет_]],"Завершено"),"Проверено")</f>
        <v>Значительное</v>
      </c>
      <c r="G68" t="s">
        <v>277</v>
      </c>
      <c r="H68" t="e">
        <f>VLOOKUP(source[[#This Row],[Отвественный]],тОтветственные[],2,0)</f>
        <v>#N/A</v>
      </c>
      <c r="K68" t="s">
        <v>355</v>
      </c>
      <c r="L68">
        <v>27.2</v>
      </c>
      <c r="M68">
        <v>87.72</v>
      </c>
      <c r="Q68" t="s">
        <v>279</v>
      </c>
      <c r="R68" t="str">
        <f>HYPERLINK("https://d28ji4sm1vmprj.cloudfront.net/41c17a36c09e61d7ec4967158f98dfc8/188bc505240e4fabc3d31973fb6cc82d.jpeg", "Ссылка на план")</f>
        <v>Ссылка на план</v>
      </c>
      <c r="S68" s="1">
        <v>43824.703344907408</v>
      </c>
      <c r="W68" s="1">
        <v>43824.703611111108</v>
      </c>
      <c r="EC68" t="s">
        <v>358</v>
      </c>
    </row>
    <row r="69" spans="1:138" ht="15" customHeight="1" x14ac:dyDescent="0.35">
      <c r="A69">
        <v>788</v>
      </c>
      <c r="B69" t="s">
        <v>359</v>
      </c>
      <c r="C69">
        <v>2</v>
      </c>
      <c r="D69" t="str">
        <f>VLOOKUP(source[[#This Row],[Приоритет]],тПриоритеты[],2,0)</f>
        <v>Значительное</v>
      </c>
      <c r="E69" t="str">
        <f>IF(ISBLANK(source[[#This Row],[Проверенные]]),IF(ISBLANK(source[[#This Row],[Завершенные]]),source[[#This Row],[Приоритет_]],"Завершено"),"Проверено")</f>
        <v>Значительное</v>
      </c>
      <c r="G69" t="s">
        <v>277</v>
      </c>
      <c r="H69" t="e">
        <f>VLOOKUP(source[[#This Row],[Отвественный]],тОтветственные[],2,0)</f>
        <v>#N/A</v>
      </c>
      <c r="K69" t="s">
        <v>355</v>
      </c>
      <c r="L69">
        <v>28.1</v>
      </c>
      <c r="M69">
        <v>50.5</v>
      </c>
      <c r="Q69" t="s">
        <v>279</v>
      </c>
      <c r="R69" t="str">
        <f>HYPERLINK("https://d28ji4sm1vmprj.cloudfront.net/41c17a36c09e61d7ec4967158f98dfc8/188bc505240e4fabc3d31973fb6cc82d.jpeg", "Ссылка на план")</f>
        <v>Ссылка на план</v>
      </c>
      <c r="S69" s="1">
        <v>43824.705694444441</v>
      </c>
      <c r="W69" s="1">
        <v>43824.705810185187</v>
      </c>
      <c r="EC69" t="s">
        <v>360</v>
      </c>
    </row>
    <row r="70" spans="1:138" ht="15" customHeight="1" x14ac:dyDescent="0.35">
      <c r="A70">
        <v>794</v>
      </c>
      <c r="B70" t="s">
        <v>361</v>
      </c>
      <c r="C70">
        <v>2</v>
      </c>
      <c r="D70" t="str">
        <f>VLOOKUP(source[[#This Row],[Приоритет]],тПриоритеты[],2,0)</f>
        <v>Значительное</v>
      </c>
      <c r="E70" t="str">
        <f>IF(ISBLANK(source[[#This Row],[Проверенные]]),IF(ISBLANK(source[[#This Row],[Завершенные]]),source[[#This Row],[Приоритет_]],"Завершено"),"Проверено")</f>
        <v>Значительное</v>
      </c>
      <c r="G70" t="s">
        <v>277</v>
      </c>
      <c r="H70" t="e">
        <f>VLOOKUP(source[[#This Row],[Отвественный]],тОтветственные[],2,0)</f>
        <v>#N/A</v>
      </c>
      <c r="K70" t="s">
        <v>331</v>
      </c>
      <c r="L70">
        <v>33.630000000000003</v>
      </c>
      <c r="M70">
        <v>82.25</v>
      </c>
      <c r="Q70" t="s">
        <v>279</v>
      </c>
      <c r="R70" t="str">
        <f>HYPERLINK("https://d28ji4sm1vmprj.cloudfront.net/dfb8927603158d48652ad3c73169f249/c1a453352f8cb8ce5a2145141b621854.jpeg", "Ссылка на план")</f>
        <v>Ссылка на план</v>
      </c>
      <c r="S70" s="1">
        <v>43824.716134259259</v>
      </c>
      <c r="W70" s="1">
        <v>43824.716412037036</v>
      </c>
      <c r="EC70" t="s">
        <v>362</v>
      </c>
      <c r="ED70" t="str">
        <f>HYPERLINK("https://d33htgqikc2pj4.cloudfront.net/64fbd78a-5dea-4ddc-b97f-dff414863c52.jpeg", "Кирилл Васенков: Ссылка на изображение")</f>
        <v>Кирилл Васенков: Ссылка на изображение</v>
      </c>
    </row>
    <row r="71" spans="1:138" ht="15" customHeight="1" x14ac:dyDescent="0.35">
      <c r="A71">
        <v>793</v>
      </c>
      <c r="B71" t="s">
        <v>363</v>
      </c>
      <c r="C71">
        <v>2</v>
      </c>
      <c r="D71" t="str">
        <f>VLOOKUP(source[[#This Row],[Приоритет]],тПриоритеты[],2,0)</f>
        <v>Значительное</v>
      </c>
      <c r="E71" t="str">
        <f>IF(ISBLANK(source[[#This Row],[Проверенные]]),IF(ISBLANK(source[[#This Row],[Завершенные]]),source[[#This Row],[Приоритет_]],"Завершено"),"Проверено")</f>
        <v>Значительное</v>
      </c>
      <c r="G71" t="s">
        <v>277</v>
      </c>
      <c r="H71" t="e">
        <f>VLOOKUP(source[[#This Row],[Отвественный]],тОтветственные[],2,0)</f>
        <v>#N/A</v>
      </c>
      <c r="K71" t="s">
        <v>331</v>
      </c>
      <c r="L71">
        <v>28.39</v>
      </c>
      <c r="M71">
        <v>77.92</v>
      </c>
      <c r="Q71" t="s">
        <v>279</v>
      </c>
      <c r="R71" t="str">
        <f>HYPERLINK("https://d28ji4sm1vmprj.cloudfront.net/dfb8927603158d48652ad3c73169f249/c1a453352f8cb8ce5a2145141b621854.jpeg", "Ссылка на план")</f>
        <v>Ссылка на план</v>
      </c>
      <c r="S71" s="1">
        <v>43824.715173611112</v>
      </c>
      <c r="W71" s="1">
        <v>43824.715451388889</v>
      </c>
      <c r="EC71" t="s">
        <v>364</v>
      </c>
    </row>
    <row r="72" spans="1:138" ht="15" customHeight="1" x14ac:dyDescent="0.35">
      <c r="A72">
        <v>791</v>
      </c>
      <c r="B72" t="s">
        <v>365</v>
      </c>
      <c r="C72">
        <v>2</v>
      </c>
      <c r="D72" t="str">
        <f>VLOOKUP(source[[#This Row],[Приоритет]],тПриоритеты[],2,0)</f>
        <v>Значительное</v>
      </c>
      <c r="E72" t="str">
        <f>IF(ISBLANK(source[[#This Row],[Проверенные]]),IF(ISBLANK(source[[#This Row],[Завершенные]]),source[[#This Row],[Приоритет_]],"Завершено"),"Проверено")</f>
        <v>Значительное</v>
      </c>
      <c r="G72" t="s">
        <v>277</v>
      </c>
      <c r="H72" t="e">
        <f>VLOOKUP(source[[#This Row],[Отвественный]],тОтветственные[],2,0)</f>
        <v>#N/A</v>
      </c>
      <c r="K72" t="s">
        <v>331</v>
      </c>
      <c r="L72">
        <v>27.08</v>
      </c>
      <c r="M72">
        <v>56.35</v>
      </c>
      <c r="Q72" t="s">
        <v>279</v>
      </c>
      <c r="R72" t="str">
        <f>HYPERLINK("https://d28ji4sm1vmprj.cloudfront.net/dfb8927603158d48652ad3c73169f249/c1a453352f8cb8ce5a2145141b621854.jpeg", "Ссылка на план")</f>
        <v>Ссылка на план</v>
      </c>
      <c r="S72" s="1">
        <v>43824.712256944447</v>
      </c>
      <c r="W72" s="1">
        <v>43824.71230324074</v>
      </c>
      <c r="EC72" t="s">
        <v>366</v>
      </c>
    </row>
    <row r="73" spans="1:138" ht="15" customHeight="1" x14ac:dyDescent="0.35">
      <c r="A73">
        <v>792</v>
      </c>
      <c r="B73" t="s">
        <v>367</v>
      </c>
      <c r="C73">
        <v>2</v>
      </c>
      <c r="D73" t="str">
        <f>VLOOKUP(source[[#This Row],[Приоритет]],тПриоритеты[],2,0)</f>
        <v>Значительное</v>
      </c>
      <c r="E73" t="str">
        <f>IF(ISBLANK(source[[#This Row],[Проверенные]]),IF(ISBLANK(source[[#This Row],[Завершенные]]),source[[#This Row],[Приоритет_]],"Завершено"),"Проверено")</f>
        <v>Значительное</v>
      </c>
      <c r="G73" t="s">
        <v>277</v>
      </c>
      <c r="H73" t="e">
        <f>VLOOKUP(source[[#This Row],[Отвественный]],тОтветственные[],2,0)</f>
        <v>#N/A</v>
      </c>
      <c r="K73" t="s">
        <v>331</v>
      </c>
      <c r="L73">
        <v>31.07</v>
      </c>
      <c r="M73">
        <v>73.34</v>
      </c>
      <c r="Q73" t="s">
        <v>279</v>
      </c>
      <c r="R73" t="str">
        <f>HYPERLINK("https://d28ji4sm1vmprj.cloudfront.net/dfb8927603158d48652ad3c73169f249/c1a453352f8cb8ce5a2145141b621854.jpeg", "Ссылка на план")</f>
        <v>Ссылка на план</v>
      </c>
      <c r="S73" s="1">
        <v>43824.714259259257</v>
      </c>
      <c r="W73" s="1">
        <v>43824.714467592596</v>
      </c>
      <c r="EC73" t="s">
        <v>368</v>
      </c>
    </row>
    <row r="74" spans="1:138" ht="15" customHeight="1" x14ac:dyDescent="0.35">
      <c r="A74">
        <v>293</v>
      </c>
      <c r="B74" t="s">
        <v>369</v>
      </c>
      <c r="C74">
        <v>2</v>
      </c>
      <c r="D74" t="str">
        <f>VLOOKUP(source[[#This Row],[Приоритет]],тПриоритеты[],2,0)</f>
        <v>Значительное</v>
      </c>
      <c r="E74" t="str">
        <f>IF(ISBLANK(source[[#This Row],[Проверенные]]),IF(ISBLANK(source[[#This Row],[Завершенные]]),source[[#This Row],[Приоритет_]],"Завершено"),"Проверено")</f>
        <v>Значительное</v>
      </c>
      <c r="G74" t="s">
        <v>277</v>
      </c>
      <c r="H74" t="e">
        <f>VLOOKUP(source[[#This Row],[Отвественный]],тОтветственные[],2,0)</f>
        <v>#N/A</v>
      </c>
      <c r="K74" t="s">
        <v>370</v>
      </c>
      <c r="L74">
        <v>11.82</v>
      </c>
      <c r="M74">
        <v>54.82</v>
      </c>
      <c r="Q74" t="s">
        <v>371</v>
      </c>
      <c r="R74" t="str">
        <f>HYPERLINK("https://d28ji4sm1vmprj.cloudfront.net/49dddfb754a33397a28a0080b4edf964/676efe57c7c864479f5bc31d678c0cdf.jpeg", "Ссылка на план")</f>
        <v>Ссылка на план</v>
      </c>
      <c r="S74" s="1">
        <v>43784.694340277776</v>
      </c>
      <c r="W74" s="1">
        <v>43784.694826388892</v>
      </c>
      <c r="X74" t="s">
        <v>372</v>
      </c>
      <c r="EC74" t="s">
        <v>373</v>
      </c>
    </row>
    <row r="75" spans="1:138" ht="15" customHeight="1" x14ac:dyDescent="0.35">
      <c r="A75">
        <v>318</v>
      </c>
      <c r="B75" t="s">
        <v>374</v>
      </c>
      <c r="C75">
        <v>2</v>
      </c>
      <c r="D75" t="str">
        <f>VLOOKUP(source[[#This Row],[Приоритет]],тПриоритеты[],2,0)</f>
        <v>Значительное</v>
      </c>
      <c r="E75" t="str">
        <f>IF(ISBLANK(source[[#This Row],[Проверенные]]),IF(ISBLANK(source[[#This Row],[Завершенные]]),source[[#This Row],[Приоритет_]],"Завершено"),"Проверено")</f>
        <v>Значительное</v>
      </c>
      <c r="G75" t="s">
        <v>277</v>
      </c>
      <c r="H75" t="e">
        <f>VLOOKUP(source[[#This Row],[Отвественный]],тОтветственные[],2,0)</f>
        <v>#N/A</v>
      </c>
      <c r="K75" t="s">
        <v>370</v>
      </c>
      <c r="L75">
        <v>67.62</v>
      </c>
      <c r="M75">
        <v>34.35</v>
      </c>
      <c r="Q75" t="s">
        <v>371</v>
      </c>
      <c r="R75" t="str">
        <f>HYPERLINK("https://d28ji4sm1vmprj.cloudfront.net/49dddfb754a33397a28a0080b4edf964/676efe57c7c864479f5bc31d678c0cdf.jpeg", "Ссылка на план")</f>
        <v>Ссылка на план</v>
      </c>
      <c r="S75" s="1">
        <v>43787.469953703701</v>
      </c>
      <c r="W75" s="1">
        <v>43787.470150462963</v>
      </c>
      <c r="X75" t="s">
        <v>372</v>
      </c>
      <c r="EC75" t="s">
        <v>375</v>
      </c>
      <c r="ED75" t="s">
        <v>376</v>
      </c>
    </row>
    <row r="76" spans="1:138" ht="15" customHeight="1" x14ac:dyDescent="0.35">
      <c r="A76">
        <v>319</v>
      </c>
      <c r="B76" t="s">
        <v>374</v>
      </c>
      <c r="C76">
        <v>2</v>
      </c>
      <c r="D76" t="str">
        <f>VLOOKUP(source[[#This Row],[Приоритет]],тПриоритеты[],2,0)</f>
        <v>Значительное</v>
      </c>
      <c r="E76" t="str">
        <f>IF(ISBLANK(source[[#This Row],[Проверенные]]),IF(ISBLANK(source[[#This Row],[Завершенные]]),source[[#This Row],[Приоритет_]],"Завершено"),"Проверено")</f>
        <v>Значительное</v>
      </c>
      <c r="G76" t="s">
        <v>277</v>
      </c>
      <c r="H76" t="e">
        <f>VLOOKUP(source[[#This Row],[Отвественный]],тОтветственные[],2,0)</f>
        <v>#N/A</v>
      </c>
      <c r="K76" t="s">
        <v>370</v>
      </c>
      <c r="L76">
        <v>66.900000000000006</v>
      </c>
      <c r="M76">
        <v>40.36</v>
      </c>
      <c r="Q76" t="s">
        <v>371</v>
      </c>
      <c r="R76" t="str">
        <f>HYPERLINK("https://d28ji4sm1vmprj.cloudfront.net/49dddfb754a33397a28a0080b4edf964/676efe57c7c864479f5bc31d678c0cdf.jpeg", "Ссылка на план")</f>
        <v>Ссылка на план</v>
      </c>
      <c r="S76" s="1">
        <v>43787.471319444441</v>
      </c>
      <c r="W76" s="1">
        <v>43787.471412037034</v>
      </c>
      <c r="X76" t="s">
        <v>372</v>
      </c>
      <c r="EC76" t="s">
        <v>375</v>
      </c>
      <c r="ED76" t="s">
        <v>376</v>
      </c>
    </row>
    <row r="77" spans="1:138" ht="15" customHeight="1" x14ac:dyDescent="0.35">
      <c r="A77">
        <v>1229</v>
      </c>
      <c r="B77" t="s">
        <v>377</v>
      </c>
      <c r="C77">
        <v>2</v>
      </c>
      <c r="D77" t="str">
        <f>VLOOKUP(source[[#This Row],[Приоритет]],тПриоритеты[],2,0)</f>
        <v>Значительное</v>
      </c>
      <c r="E77" t="str">
        <f>IF(ISBLANK(source[[#This Row],[Проверенные]]),IF(ISBLANK(source[[#This Row],[Завершенные]]),source[[#This Row],[Приоритет_]],"Завершено"),"Проверено")</f>
        <v>Значительное</v>
      </c>
      <c r="G77" t="s">
        <v>277</v>
      </c>
      <c r="H77" t="e">
        <f>VLOOKUP(source[[#This Row],[Отвественный]],тОтветственные[],2,0)</f>
        <v>#N/A</v>
      </c>
      <c r="K77" t="s">
        <v>378</v>
      </c>
      <c r="L77">
        <v>54.62</v>
      </c>
      <c r="M77">
        <v>75.569999999999993</v>
      </c>
      <c r="Q77" t="s">
        <v>379</v>
      </c>
      <c r="R77" t="str">
        <f>HYPERLINK("https://d28ji4sm1vmprj.cloudfront.net/72738f3c6bedacf953a976d434013431/969af864c2042f7d7b7bcf012678662f.jpeg", "Ссылка на план")</f>
        <v>Ссылка на план</v>
      </c>
      <c r="S77" s="1">
        <v>43868.463483796295</v>
      </c>
      <c r="W77" s="1">
        <v>43868.463506944441</v>
      </c>
      <c r="EC77" t="s">
        <v>380</v>
      </c>
    </row>
    <row r="78" spans="1:138" ht="15" customHeight="1" x14ac:dyDescent="0.35">
      <c r="A78">
        <v>1234</v>
      </c>
      <c r="B78" t="s">
        <v>381</v>
      </c>
      <c r="C78">
        <v>2</v>
      </c>
      <c r="D78" t="str">
        <f>VLOOKUP(source[[#This Row],[Приоритет]],тПриоритеты[],2,0)</f>
        <v>Значительное</v>
      </c>
      <c r="E78" t="str">
        <f>IF(ISBLANK(source[[#This Row],[Проверенные]]),IF(ISBLANK(source[[#This Row],[Завершенные]]),source[[#This Row],[Приоритет_]],"Завершено"),"Проверено")</f>
        <v>Значительное</v>
      </c>
      <c r="G78" t="s">
        <v>277</v>
      </c>
      <c r="H78" t="e">
        <f>VLOOKUP(source[[#This Row],[Отвественный]],тОтветственные[],2,0)</f>
        <v>#N/A</v>
      </c>
      <c r="K78" t="s">
        <v>382</v>
      </c>
      <c r="L78">
        <v>50.09</v>
      </c>
      <c r="M78">
        <v>71.569999999999993</v>
      </c>
      <c r="Q78" t="s">
        <v>379</v>
      </c>
      <c r="R78" t="str">
        <f>HYPERLINK("https://d28ji4sm1vmprj.cloudfront.net/10bd298748ab96e96535712d8fe256a7/3b48080ade4533e20fbc14fa91703d72.jpeg", "Ссылка на план")</f>
        <v>Ссылка на план</v>
      </c>
      <c r="S78" s="1">
        <v>43868.474270833336</v>
      </c>
      <c r="W78" s="1">
        <v>43868.474687499998</v>
      </c>
      <c r="EC78" t="s">
        <v>383</v>
      </c>
      <c r="ED78" t="str">
        <f>HYPERLINK("https://d33htgqikc2pj4.cloudfront.net/c9bf4b86-9dee-41c0-a4d3-fd845afc81f0.jpeg", "Кирилл Васенков: Ссылка на изображение")</f>
        <v>Кирилл Васенков: Ссылка на изображение</v>
      </c>
    </row>
    <row r="79" spans="1:138" ht="15" customHeight="1" x14ac:dyDescent="0.35">
      <c r="A79">
        <v>963</v>
      </c>
      <c r="B79" t="s">
        <v>384</v>
      </c>
      <c r="C79">
        <v>2</v>
      </c>
      <c r="D79" t="str">
        <f>VLOOKUP(source[[#This Row],[Приоритет]],тПриоритеты[],2,0)</f>
        <v>Значительное</v>
      </c>
      <c r="E79" t="str">
        <f>IF(ISBLANK(source[[#This Row],[Проверенные]]),IF(ISBLANK(source[[#This Row],[Завершенные]]),source[[#This Row],[Приоритет_]],"Завершено"),"Проверено")</f>
        <v>Проверено</v>
      </c>
      <c r="G79" t="s">
        <v>277</v>
      </c>
      <c r="H79" t="e">
        <f>VLOOKUP(source[[#This Row],[Отвественный]],тОтветственные[],2,0)</f>
        <v>#N/A</v>
      </c>
      <c r="I79" s="2">
        <v>43850</v>
      </c>
      <c r="J79" s="2">
        <v>43850</v>
      </c>
      <c r="S79" s="1">
        <v>43850.625115740739</v>
      </c>
      <c r="T79" s="1">
        <v>43850.625983796293</v>
      </c>
      <c r="U79" s="1">
        <v>43851.527002314811</v>
      </c>
      <c r="W79" s="1">
        <v>43854.405497685184</v>
      </c>
      <c r="X79" t="s">
        <v>385</v>
      </c>
      <c r="AH79" t="s">
        <v>386</v>
      </c>
      <c r="AI79" t="s">
        <v>387</v>
      </c>
      <c r="AJ79" t="s">
        <v>388</v>
      </c>
      <c r="AK79" t="s">
        <v>389</v>
      </c>
      <c r="EC79" t="s">
        <v>390</v>
      </c>
      <c r="ED79" t="s">
        <v>391</v>
      </c>
      <c r="EE79" t="s">
        <v>392</v>
      </c>
      <c r="EF79" t="s">
        <v>393</v>
      </c>
      <c r="EG79" t="s">
        <v>394</v>
      </c>
    </row>
    <row r="80" spans="1:138" ht="15" customHeight="1" x14ac:dyDescent="0.35">
      <c r="A80">
        <v>984</v>
      </c>
      <c r="B80" t="s">
        <v>395</v>
      </c>
      <c r="C80">
        <v>2</v>
      </c>
      <c r="D80" t="str">
        <f>VLOOKUP(source[[#This Row],[Приоритет]],тПриоритеты[],2,0)</f>
        <v>Значительное</v>
      </c>
      <c r="E80" t="str">
        <f>IF(ISBLANK(source[[#This Row],[Проверенные]]),IF(ISBLANK(source[[#This Row],[Завершенные]]),source[[#This Row],[Приоритет_]],"Завершено"),"Проверено")</f>
        <v>Проверено</v>
      </c>
      <c r="G80" t="s">
        <v>277</v>
      </c>
      <c r="H80" t="e">
        <f>VLOOKUP(source[[#This Row],[Отвественный]],тОтветственные[],2,0)</f>
        <v>#N/A</v>
      </c>
      <c r="I80" s="2">
        <v>43851</v>
      </c>
      <c r="J80" s="2">
        <v>43851</v>
      </c>
      <c r="K80" t="s">
        <v>396</v>
      </c>
      <c r="L80">
        <v>44.4</v>
      </c>
      <c r="M80">
        <v>29.46</v>
      </c>
      <c r="Q80" t="s">
        <v>397</v>
      </c>
      <c r="R80" t="str">
        <f>HYPERLINK("https://d28ji4sm1vmprj.cloudfront.net/4c2587c872709f5c5978f26724110c6a/24111415a85c757deee82675aab8110a.jpeg", "Ссылка на план")</f>
        <v>Ссылка на план</v>
      </c>
      <c r="S80" s="1">
        <v>43851.623981481483</v>
      </c>
      <c r="T80" s="1">
        <v>43851.635312500002</v>
      </c>
      <c r="U80" s="1">
        <v>43851.747418981482</v>
      </c>
      <c r="W80" s="1">
        <v>43852.655949074076</v>
      </c>
      <c r="X80" t="s">
        <v>398</v>
      </c>
      <c r="Y80" t="s">
        <v>399</v>
      </c>
      <c r="Z80" t="s">
        <v>400</v>
      </c>
      <c r="AA80" t="s">
        <v>401</v>
      </c>
      <c r="AH80" t="s">
        <v>402</v>
      </c>
      <c r="AI80" t="s">
        <v>403</v>
      </c>
      <c r="AJ80" t="s">
        <v>404</v>
      </c>
      <c r="AK80" t="s">
        <v>405</v>
      </c>
      <c r="AL80" t="s">
        <v>406</v>
      </c>
      <c r="AM80" t="s">
        <v>407</v>
      </c>
      <c r="EC80" t="s">
        <v>408</v>
      </c>
      <c r="ED80" t="s">
        <v>409</v>
      </c>
      <c r="EE80" t="s">
        <v>410</v>
      </c>
      <c r="EF80" t="s">
        <v>392</v>
      </c>
      <c r="EG80" t="s">
        <v>394</v>
      </c>
      <c r="EH80" t="s">
        <v>411</v>
      </c>
    </row>
    <row r="81" spans="1:150" ht="15" customHeight="1" x14ac:dyDescent="0.35">
      <c r="A81">
        <v>1003</v>
      </c>
      <c r="B81" t="s">
        <v>412</v>
      </c>
      <c r="C81">
        <v>2</v>
      </c>
      <c r="D81" t="str">
        <f>VLOOKUP(source[[#This Row],[Приоритет]],тПриоритеты[],2,0)</f>
        <v>Значительное</v>
      </c>
      <c r="E81" t="str">
        <f>IF(ISBLANK(source[[#This Row],[Проверенные]]),IF(ISBLANK(source[[#This Row],[Завершенные]]),source[[#This Row],[Приоритет_]],"Завершено"),"Проверено")</f>
        <v>Проверено</v>
      </c>
      <c r="G81" t="s">
        <v>277</v>
      </c>
      <c r="H81" t="e">
        <f>VLOOKUP(source[[#This Row],[Отвественный]],тОтветственные[],2,0)</f>
        <v>#N/A</v>
      </c>
      <c r="I81" s="2">
        <v>43851</v>
      </c>
      <c r="J81" s="2">
        <v>43851</v>
      </c>
      <c r="S81" s="1">
        <v>43852.659525462965</v>
      </c>
      <c r="T81" s="1">
        <v>43852.660995370374</v>
      </c>
      <c r="U81" s="1">
        <v>43852.660995370374</v>
      </c>
      <c r="W81" s="1">
        <v>43854.405497685184</v>
      </c>
      <c r="X81" t="s">
        <v>385</v>
      </c>
      <c r="AH81" t="s">
        <v>388</v>
      </c>
      <c r="AI81" t="s">
        <v>389</v>
      </c>
      <c r="AJ81" t="s">
        <v>413</v>
      </c>
      <c r="AK81" t="s">
        <v>414</v>
      </c>
      <c r="EC81" t="s">
        <v>415</v>
      </c>
      <c r="ED81" t="s">
        <v>416</v>
      </c>
      <c r="EE81" t="s">
        <v>411</v>
      </c>
      <c r="EF81" t="s">
        <v>394</v>
      </c>
    </row>
    <row r="82" spans="1:150" ht="15" customHeight="1" x14ac:dyDescent="0.35">
      <c r="A82">
        <v>1002</v>
      </c>
      <c r="B82" t="s">
        <v>417</v>
      </c>
      <c r="C82">
        <v>2</v>
      </c>
      <c r="D82" t="str">
        <f>VLOOKUP(source[[#This Row],[Приоритет]],тПриоритеты[],2,0)</f>
        <v>Значительное</v>
      </c>
      <c r="E82" t="str">
        <f>IF(ISBLANK(source[[#This Row],[Проверенные]]),IF(ISBLANK(source[[#This Row],[Завершенные]]),source[[#This Row],[Приоритет_]],"Завершено"),"Проверено")</f>
        <v>Проверено</v>
      </c>
      <c r="G82" t="s">
        <v>277</v>
      </c>
      <c r="H82" t="e">
        <f>VLOOKUP(source[[#This Row],[Отвественный]],тОтветственные[],2,0)</f>
        <v>#N/A</v>
      </c>
      <c r="I82" s="2">
        <v>43851</v>
      </c>
      <c r="J82" s="2">
        <v>43851</v>
      </c>
      <c r="S82" s="1">
        <v>43852.657754629632</v>
      </c>
      <c r="T82" s="1">
        <v>43852.659259259257</v>
      </c>
      <c r="U82" s="1">
        <v>43852.659259259257</v>
      </c>
      <c r="W82" s="1">
        <v>43854.405497685184</v>
      </c>
      <c r="X82" t="s">
        <v>385</v>
      </c>
      <c r="AH82" t="s">
        <v>388</v>
      </c>
      <c r="AI82" t="s">
        <v>389</v>
      </c>
      <c r="AJ82" t="s">
        <v>413</v>
      </c>
      <c r="AK82" t="s">
        <v>414</v>
      </c>
      <c r="EC82" t="s">
        <v>418</v>
      </c>
      <c r="ED82" t="s">
        <v>394</v>
      </c>
      <c r="EE82" t="s">
        <v>411</v>
      </c>
    </row>
    <row r="83" spans="1:150" ht="15" customHeight="1" x14ac:dyDescent="0.35">
      <c r="A83">
        <v>1228</v>
      </c>
      <c r="B83" t="s">
        <v>419</v>
      </c>
      <c r="C83">
        <v>2</v>
      </c>
      <c r="D83" t="str">
        <f>VLOOKUP(source[[#This Row],[Приоритет]],тПриоритеты[],2,0)</f>
        <v>Значительное</v>
      </c>
      <c r="E83" t="str">
        <f>IF(ISBLANK(source[[#This Row],[Проверенные]]),IF(ISBLANK(source[[#This Row],[Завершенные]]),source[[#This Row],[Приоритет_]],"Завершено"),"Проверено")</f>
        <v>Значительное</v>
      </c>
      <c r="G83" t="s">
        <v>420</v>
      </c>
      <c r="H83" t="e">
        <f>VLOOKUP(source[[#This Row],[Отвественный]],тОтветственные[],2,0)</f>
        <v>#N/A</v>
      </c>
      <c r="K83" t="s">
        <v>421</v>
      </c>
      <c r="L83">
        <v>56.58</v>
      </c>
      <c r="M83">
        <v>24.29</v>
      </c>
      <c r="Q83" t="s">
        <v>379</v>
      </c>
      <c r="R83" t="str">
        <f>HYPERLINK("https://d28ji4sm1vmprj.cloudfront.net/cb88dca1b23ec48158c882692ce76d15/620f1c38eea4aed2ed5552a8d5280587.jpeg", "Ссылка на план")</f>
        <v>Ссылка на план</v>
      </c>
      <c r="S83" s="1">
        <v>43868.454027777778</v>
      </c>
      <c r="W83" s="1">
        <v>43871.358599537038</v>
      </c>
      <c r="EC83" t="s">
        <v>422</v>
      </c>
      <c r="ED83" t="s">
        <v>423</v>
      </c>
      <c r="EE83" t="str">
        <f>HYPERLINK("https://d33htgqikc2pj4.cloudfront.net/96688c19-8997-4213-84d9-1bd5ef06a9de.jpeg", "Кирилл Васенков: Ссылка на изображение")</f>
        <v>Кирилл Васенков: Ссылка на изображение</v>
      </c>
      <c r="EF83" t="str">
        <f>HYPERLINK("https://d33htgqikc2pj4.cloudfront.net/0f2a6262-e488-4c41-88b4-77ca10fa9220.jpeg", "Кирилл Васенков: Ссылка на изображение")</f>
        <v>Кирилл Васенков: Ссылка на изображение</v>
      </c>
      <c r="EG83" t="s">
        <v>424</v>
      </c>
      <c r="EH83" t="s">
        <v>425</v>
      </c>
    </row>
    <row r="84" spans="1:150" ht="15" customHeight="1" x14ac:dyDescent="0.35">
      <c r="A84">
        <v>1154</v>
      </c>
      <c r="C84">
        <v>2</v>
      </c>
      <c r="D84" t="str">
        <f>VLOOKUP(source[[#This Row],[Приоритет]],тПриоритеты[],2,0)</f>
        <v>Значительное</v>
      </c>
      <c r="E84" t="str">
        <f>IF(ISBLANK(source[[#This Row],[Проверенные]]),IF(ISBLANK(source[[#This Row],[Завершенные]]),source[[#This Row],[Приоритет_]],"Завершено"),"Проверено")</f>
        <v>Значительное</v>
      </c>
      <c r="G84" t="s">
        <v>426</v>
      </c>
      <c r="H84" t="e">
        <f>VLOOKUP(source[[#This Row],[Отвественный]],тОтветственные[],2,0)</f>
        <v>#N/A</v>
      </c>
      <c r="S84" s="1">
        <v>43863.290486111109</v>
      </c>
      <c r="W84" s="1">
        <v>43863.290486111109</v>
      </c>
    </row>
    <row r="85" spans="1:150" ht="15" customHeight="1" x14ac:dyDescent="0.35">
      <c r="A85">
        <v>1155</v>
      </c>
      <c r="C85">
        <v>2</v>
      </c>
      <c r="D85" t="str">
        <f>VLOOKUP(source[[#This Row],[Приоритет]],тПриоритеты[],2,0)</f>
        <v>Значительное</v>
      </c>
      <c r="E85" t="str">
        <f>IF(ISBLANK(source[[#This Row],[Проверенные]]),IF(ISBLANK(source[[#This Row],[Завершенные]]),source[[#This Row],[Приоритет_]],"Завершено"),"Проверено")</f>
        <v>Значительное</v>
      </c>
      <c r="G85" t="s">
        <v>426</v>
      </c>
      <c r="H85" t="e">
        <f>VLOOKUP(source[[#This Row],[Отвественный]],тОтветственные[],2,0)</f>
        <v>#N/A</v>
      </c>
      <c r="S85" s="1">
        <v>43863.290798611109</v>
      </c>
      <c r="W85" s="1">
        <v>43863.290798611109</v>
      </c>
    </row>
    <row r="86" spans="1:150" ht="15" customHeight="1" x14ac:dyDescent="0.35">
      <c r="A86">
        <v>1052</v>
      </c>
      <c r="B86" t="s">
        <v>427</v>
      </c>
      <c r="C86">
        <v>2</v>
      </c>
      <c r="D86" t="str">
        <f>VLOOKUP(source[[#This Row],[Приоритет]],тПриоритеты[],2,0)</f>
        <v>Значительное</v>
      </c>
      <c r="E86" t="str">
        <f>IF(ISBLANK(source[[#This Row],[Проверенные]]),IF(ISBLANK(source[[#This Row],[Завершенные]]),source[[#This Row],[Приоритет_]],"Завершено"),"Проверено")</f>
        <v>Проверено</v>
      </c>
      <c r="G86" t="s">
        <v>426</v>
      </c>
      <c r="H86" t="e">
        <f>VLOOKUP(source[[#This Row],[Отвественный]],тОтветственные[],2,0)</f>
        <v>#N/A</v>
      </c>
      <c r="S86" s="1">
        <v>43854.795937499999</v>
      </c>
      <c r="T86" s="1">
        <v>43854.797384259262</v>
      </c>
      <c r="U86" s="1">
        <v>43854.797384259262</v>
      </c>
      <c r="W86" s="1">
        <v>43854.797384259262</v>
      </c>
      <c r="EC86" t="s">
        <v>428</v>
      </c>
      <c r="ED86" t="s">
        <v>429</v>
      </c>
      <c r="EE86" t="s">
        <v>430</v>
      </c>
      <c r="EF86" t="str">
        <f>HYPERLINK("https://d33htgqikc2pj4.cloudfront.net/95bbeb5b-99c2-4d92-aa48-163c51082d27.jpeg", "Юрий Прасолов: Ссылка на изображение")</f>
        <v>Юрий Прасолов: Ссылка на изображение</v>
      </c>
      <c r="EG86" t="s">
        <v>428</v>
      </c>
    </row>
    <row r="87" spans="1:150" ht="15" customHeight="1" x14ac:dyDescent="0.35">
      <c r="A87">
        <v>1059</v>
      </c>
      <c r="B87" t="s">
        <v>431</v>
      </c>
      <c r="C87">
        <v>2</v>
      </c>
      <c r="D87" t="str">
        <f>VLOOKUP(source[[#This Row],[Приоритет]],тПриоритеты[],2,0)</f>
        <v>Значительное</v>
      </c>
      <c r="E87" t="str">
        <f>IF(ISBLANK(source[[#This Row],[Проверенные]]),IF(ISBLANK(source[[#This Row],[Завершенные]]),source[[#This Row],[Приоритет_]],"Завершено"),"Проверено")</f>
        <v>Проверено</v>
      </c>
      <c r="G87" t="s">
        <v>426</v>
      </c>
      <c r="H87" t="e">
        <f>VLOOKUP(source[[#This Row],[Отвественный]],тОтветственные[],2,0)</f>
        <v>#N/A</v>
      </c>
      <c r="S87" s="1">
        <v>43855.783263888887</v>
      </c>
      <c r="T87" s="1">
        <v>43859.231620370374</v>
      </c>
      <c r="U87" s="1">
        <v>43859.231620370374</v>
      </c>
      <c r="W87" s="1">
        <v>43859.231631944444</v>
      </c>
      <c r="X87" t="s">
        <v>432</v>
      </c>
      <c r="AH87" t="s">
        <v>433</v>
      </c>
      <c r="AI87" t="s">
        <v>434</v>
      </c>
      <c r="AJ87" s="3" t="s">
        <v>435</v>
      </c>
      <c r="AK87" s="3" t="s">
        <v>436</v>
      </c>
      <c r="AL87" t="s">
        <v>437</v>
      </c>
      <c r="AM87" s="3" t="s">
        <v>438</v>
      </c>
      <c r="AN87" t="s">
        <v>439</v>
      </c>
      <c r="AO87" t="s">
        <v>440</v>
      </c>
      <c r="AP87" t="s">
        <v>441</v>
      </c>
      <c r="EC87" t="s">
        <v>442</v>
      </c>
      <c r="ED87" t="s">
        <v>428</v>
      </c>
    </row>
    <row r="88" spans="1:150" ht="15" customHeight="1" x14ac:dyDescent="0.35">
      <c r="A88">
        <v>1109</v>
      </c>
      <c r="B88" t="s">
        <v>443</v>
      </c>
      <c r="C88">
        <v>2</v>
      </c>
      <c r="D88" t="str">
        <f>VLOOKUP(source[[#This Row],[Приоритет]],тПриоритеты[],2,0)</f>
        <v>Значительное</v>
      </c>
      <c r="E88" t="str">
        <f>IF(ISBLANK(source[[#This Row],[Проверенные]]),IF(ISBLANK(source[[#This Row],[Завершенные]]),source[[#This Row],[Приоритет_]],"Завершено"),"Проверено")</f>
        <v>Проверено</v>
      </c>
      <c r="G88" t="s">
        <v>426</v>
      </c>
      <c r="H88" t="e">
        <f>VLOOKUP(source[[#This Row],[Отвественный]],тОтветственные[],2,0)</f>
        <v>#N/A</v>
      </c>
      <c r="S88" s="1">
        <v>43860.348657407405</v>
      </c>
      <c r="T88" s="1">
        <v>43860.351527777777</v>
      </c>
      <c r="U88" s="1">
        <v>43860.351527777777</v>
      </c>
      <c r="W88" s="1">
        <v>43860.351539351854</v>
      </c>
      <c r="X88" t="s">
        <v>444</v>
      </c>
      <c r="AH88" t="s">
        <v>445</v>
      </c>
      <c r="AI88" t="s">
        <v>446</v>
      </c>
      <c r="AJ88" t="s">
        <v>447</v>
      </c>
      <c r="AK88" t="s">
        <v>448</v>
      </c>
      <c r="AL88" t="s">
        <v>449</v>
      </c>
      <c r="AM88" t="s">
        <v>450</v>
      </c>
      <c r="AN88" t="s">
        <v>451</v>
      </c>
      <c r="EC88" t="s">
        <v>452</v>
      </c>
      <c r="ED88" t="s">
        <v>428</v>
      </c>
      <c r="EE88" t="str">
        <f>HYPERLINK("https://d33htgqikc2pj4.cloudfront.net/48633386-80e1-4b3c-8d37-5856f68093c9.jpeg", "Юрий Прасолов: Ссылка на изображение")</f>
        <v>Юрий Прасолов: Ссылка на изображение</v>
      </c>
      <c r="EF88" t="str">
        <f>HYPERLINK("https://d33htgqikc2pj4.cloudfront.net/a3bbc149-4318-45cb-801b-90c6558e6ded.jpeg", "Юрий Прасолов: Ссылка на изображение")</f>
        <v>Юрий Прасолов: Ссылка на изображение</v>
      </c>
      <c r="EG88" t="str">
        <f>HYPERLINK("https://d33htgqikc2pj4.cloudfront.net/b8c757ee-1ebd-4e7e-9aae-b19f069e2638.jpeg", "Юрий Прасолов: Ссылка на изображение")</f>
        <v>Юрий Прасолов: Ссылка на изображение</v>
      </c>
    </row>
    <row r="89" spans="1:150" ht="15" customHeight="1" x14ac:dyDescent="0.35">
      <c r="A89">
        <v>1111</v>
      </c>
      <c r="B89" t="s">
        <v>453</v>
      </c>
      <c r="C89">
        <v>2</v>
      </c>
      <c r="D89" t="str">
        <f>VLOOKUP(source[[#This Row],[Приоритет]],тПриоритеты[],2,0)</f>
        <v>Значительное</v>
      </c>
      <c r="E89" t="str">
        <f>IF(ISBLANK(source[[#This Row],[Проверенные]]),IF(ISBLANK(source[[#This Row],[Завершенные]]),source[[#This Row],[Приоритет_]],"Завершено"),"Проверено")</f>
        <v>Проверено</v>
      </c>
      <c r="G89" t="s">
        <v>426</v>
      </c>
      <c r="H89" t="e">
        <f>VLOOKUP(source[[#This Row],[Отвественный]],тОтветственные[],2,0)</f>
        <v>#N/A</v>
      </c>
      <c r="S89" s="1">
        <v>43860.379374999997</v>
      </c>
      <c r="T89" s="1">
        <v>43863.289814814816</v>
      </c>
      <c r="U89" s="1">
        <v>43863.289814814816</v>
      </c>
      <c r="W89" s="1">
        <v>43863.289814814816</v>
      </c>
      <c r="EC89" t="str">
        <f>HYPERLINK("https://d33htgqikc2pj4.cloudfront.net/8cde661b-21ed-44d8-88b3-79b8995b7d76.jpeg", "Юрий Прасолов: Ссылка на изображение")</f>
        <v>Юрий Прасолов: Ссылка на изображение</v>
      </c>
      <c r="ED89" t="s">
        <v>454</v>
      </c>
      <c r="EE89" t="s">
        <v>428</v>
      </c>
    </row>
    <row r="90" spans="1:150" ht="15" customHeight="1" x14ac:dyDescent="0.35">
      <c r="A90">
        <v>864</v>
      </c>
      <c r="B90" t="s">
        <v>455</v>
      </c>
      <c r="C90">
        <v>2</v>
      </c>
      <c r="D90" t="str">
        <f>VLOOKUP(source[[#This Row],[Приоритет]],тПриоритеты[],2,0)</f>
        <v>Значительное</v>
      </c>
      <c r="E90" t="str">
        <f>IF(ISBLANK(source[[#This Row],[Проверенные]]),IF(ISBLANK(source[[#This Row],[Завершенные]]),source[[#This Row],[Приоритет_]],"Завершено"),"Проверено")</f>
        <v>Проверено</v>
      </c>
      <c r="G90" t="s">
        <v>426</v>
      </c>
      <c r="H90" t="e">
        <f>VLOOKUP(source[[#This Row],[Отвественный]],тОтветственные[],2,0)</f>
        <v>#N/A</v>
      </c>
      <c r="S90" s="1">
        <v>43839.105266203704</v>
      </c>
      <c r="T90" s="1">
        <v>43839.108101851853</v>
      </c>
      <c r="U90" s="1">
        <v>43839.108263888891</v>
      </c>
      <c r="W90" s="1">
        <v>43839.108275462961</v>
      </c>
      <c r="EC90" t="str">
        <f>HYPERLINK("https://d33htgqikc2pj4.cloudfront.net/c3b8a8ce-851e-4855-b2fc-a73b70d5eec7.jpeg", "Юрий Прасолов: Ссылка на изображение")</f>
        <v>Юрий Прасолов: Ссылка на изображение</v>
      </c>
      <c r="ED90" t="str">
        <f>HYPERLINK("https://d33htgqikc2pj4.cloudfront.net/af63a31d-df02-46e2-b88a-a2f70af7270d.jpeg", "Юрий Прасолов: Ссылка на изображение")</f>
        <v>Юрий Прасолов: Ссылка на изображение</v>
      </c>
      <c r="EE90" t="str">
        <f>HYPERLINK("https://d33htgqikc2pj4.cloudfront.net/e175ef54-3a26-4981-9f78-59dff8e1ce22.jpeg", "Юрий Прасолов: Ссылка на изображение")</f>
        <v>Юрий Прасолов: Ссылка на изображение</v>
      </c>
      <c r="EF90" t="str">
        <f>HYPERLINK("https://d33htgqikc2pj4.cloudfront.net/bc71c8dd-bbe1-40a1-a272-96f0bd94ee87.jpeg", "Юрий Прасолов: Ссылка на изображение")</f>
        <v>Юрий Прасолов: Ссылка на изображение</v>
      </c>
      <c r="EG90" t="str">
        <f>HYPERLINK("https://d33htgqikc2pj4.cloudfront.net/0140ba6b-a11a-464d-a2b5-e61e511c5390.jpeg", "Юрий Прасолов: Ссылка на изображение")</f>
        <v>Юрий Прасолов: Ссылка на изображение</v>
      </c>
      <c r="EH90" t="s">
        <v>456</v>
      </c>
      <c r="EI90" t="s">
        <v>457</v>
      </c>
      <c r="EJ90" t="s">
        <v>428</v>
      </c>
    </row>
    <row r="91" spans="1:150" ht="15" customHeight="1" x14ac:dyDescent="0.35">
      <c r="A91">
        <v>992</v>
      </c>
      <c r="B91" t="s">
        <v>458</v>
      </c>
      <c r="C91">
        <v>2</v>
      </c>
      <c r="D91" t="str">
        <f>VLOOKUP(source[[#This Row],[Приоритет]],тПриоритеты[],2,0)</f>
        <v>Значительное</v>
      </c>
      <c r="E91" t="str">
        <f>IF(ISBLANK(source[[#This Row],[Проверенные]]),IF(ISBLANK(source[[#This Row],[Завершенные]]),source[[#This Row],[Приоритет_]],"Завершено"),"Проверено")</f>
        <v>Проверено</v>
      </c>
      <c r="G91" t="s">
        <v>426</v>
      </c>
      <c r="H91" t="e">
        <f>VLOOKUP(source[[#This Row],[Отвественный]],тОтветственные[],2,0)</f>
        <v>#N/A</v>
      </c>
      <c r="S91" s="1">
        <v>43851.790219907409</v>
      </c>
      <c r="T91" s="1">
        <v>43851.790266203701</v>
      </c>
      <c r="U91" s="1">
        <v>43851.790266203701</v>
      </c>
      <c r="W91" s="1">
        <v>43851.792430555557</v>
      </c>
      <c r="EC91" t="s">
        <v>428</v>
      </c>
      <c r="ED91" t="s">
        <v>459</v>
      </c>
      <c r="EE91" t="str">
        <f>HYPERLINK("https://d33htgqikc2pj4.cloudfront.net/f4aecb38-c87a-4250-8772-b76fa53b195b.jpeg", "Юрий Прасолов: Ссылка на изображение")</f>
        <v>Юрий Прасолов: Ссылка на изображение</v>
      </c>
      <c r="EF91" t="str">
        <f>HYPERLINK("https://d33htgqikc2pj4.cloudfront.net/c8d43193-aa1c-4ac0-b9aa-1d1e7deb8daf.jpeg", "Юрий Прасолов: Ссылка на изображение")</f>
        <v>Юрий Прасолов: Ссылка на изображение</v>
      </c>
      <c r="EG91" t="str">
        <f>HYPERLINK("https://d33htgqikc2pj4.cloudfront.net/b604d5b0-2365-4c5a-86bd-bab1e3372d13.jpeg", "Юрий Прасолов: Ссылка на изображение")</f>
        <v>Юрий Прасолов: Ссылка на изображение</v>
      </c>
      <c r="EH91" t="str">
        <f>HYPERLINK("https://d33htgqikc2pj4.cloudfront.net/b3715a7c-17d9-4e38-b2df-306d7544b9e1.jpeg", "Юрий Прасолов: Ссылка на изображение")</f>
        <v>Юрий Прасолов: Ссылка на изображение</v>
      </c>
    </row>
    <row r="92" spans="1:150" ht="15" customHeight="1" x14ac:dyDescent="0.35">
      <c r="A92">
        <v>994</v>
      </c>
      <c r="B92" t="s">
        <v>460</v>
      </c>
      <c r="C92">
        <v>2</v>
      </c>
      <c r="D92" t="str">
        <f>VLOOKUP(source[[#This Row],[Приоритет]],тПриоритеты[],2,0)</f>
        <v>Значительное</v>
      </c>
      <c r="E92" t="str">
        <f>IF(ISBLANK(source[[#This Row],[Проверенные]]),IF(ISBLANK(source[[#This Row],[Завершенные]]),source[[#This Row],[Приоритет_]],"Завершено"),"Проверено")</f>
        <v>Проверено</v>
      </c>
      <c r="G92" t="s">
        <v>426</v>
      </c>
      <c r="H92" t="e">
        <f>VLOOKUP(source[[#This Row],[Отвественный]],тОтветственные[],2,0)</f>
        <v>#N/A</v>
      </c>
      <c r="S92" s="1">
        <v>43851.796099537038</v>
      </c>
      <c r="T92" s="1">
        <v>43851.797881944447</v>
      </c>
      <c r="U92" s="1">
        <v>43851.797881944447</v>
      </c>
      <c r="W92" s="1">
        <v>43851.797881944447</v>
      </c>
      <c r="X92" t="s">
        <v>461</v>
      </c>
      <c r="AH92" t="s">
        <v>462</v>
      </c>
      <c r="AI92" s="3" t="s">
        <v>463</v>
      </c>
      <c r="AJ92" s="3" t="s">
        <v>464</v>
      </c>
      <c r="AK92" t="s">
        <v>465</v>
      </c>
      <c r="AL92" t="s">
        <v>466</v>
      </c>
      <c r="AM92" t="s">
        <v>467</v>
      </c>
      <c r="AN92" t="s">
        <v>468</v>
      </c>
      <c r="AO92" t="s">
        <v>469</v>
      </c>
      <c r="AP92" t="s">
        <v>470</v>
      </c>
      <c r="AQ92" t="s">
        <v>471</v>
      </c>
      <c r="AR92" t="s">
        <v>472</v>
      </c>
      <c r="EC92" t="s">
        <v>473</v>
      </c>
      <c r="ED92" t="s">
        <v>428</v>
      </c>
    </row>
    <row r="93" spans="1:150" ht="15" customHeight="1" x14ac:dyDescent="0.35">
      <c r="A93">
        <v>993</v>
      </c>
      <c r="B93" t="s">
        <v>474</v>
      </c>
      <c r="C93">
        <v>2</v>
      </c>
      <c r="D93" t="str">
        <f>VLOOKUP(source[[#This Row],[Приоритет]],тПриоритеты[],2,0)</f>
        <v>Значительное</v>
      </c>
      <c r="E93" t="str">
        <f>IF(ISBLANK(source[[#This Row],[Проверенные]]),IF(ISBLANK(source[[#This Row],[Завершенные]]),source[[#This Row],[Приоритет_]],"Завершено"),"Проверено")</f>
        <v>Проверено</v>
      </c>
      <c r="G93" t="s">
        <v>426</v>
      </c>
      <c r="H93" t="e">
        <f>VLOOKUP(source[[#This Row],[Отвественный]],тОтветственные[],2,0)</f>
        <v>#N/A</v>
      </c>
      <c r="S93" s="1">
        <v>43851.792928240742</v>
      </c>
      <c r="T93" s="1">
        <v>43851.793726851851</v>
      </c>
      <c r="U93" s="1">
        <v>43851.793726851851</v>
      </c>
      <c r="W93" s="1">
        <v>43851.795393518521</v>
      </c>
      <c r="EC93" t="s">
        <v>428</v>
      </c>
      <c r="ED93" t="s">
        <v>475</v>
      </c>
      <c r="EE93" t="str">
        <f>HYPERLINK("https://d33htgqikc2pj4.cloudfront.net/a67abea7-0ae1-45b0-8d01-f67369e66aa6.jpeg", "Юрий Прасолов: Ссылка на изображение")</f>
        <v>Юрий Прасолов: Ссылка на изображение</v>
      </c>
    </row>
    <row r="94" spans="1:150" ht="15" customHeight="1" x14ac:dyDescent="0.35">
      <c r="A94">
        <v>1141</v>
      </c>
      <c r="B94" t="s">
        <v>476</v>
      </c>
      <c r="C94">
        <v>1</v>
      </c>
      <c r="D94" t="str">
        <f>VLOOKUP(source[[#This Row],[Приоритет]],тПриоритеты[],2,0)</f>
        <v>КРИТИЧЕСКОЕ</v>
      </c>
      <c r="E94" t="str">
        <f>IF(ISBLANK(source[[#This Row],[Проверенные]]),IF(ISBLANK(source[[#This Row],[Завершенные]]),source[[#This Row],[Приоритет_]],"Завершено"),"Проверено")</f>
        <v>КРИТИЧЕСКОЕ</v>
      </c>
      <c r="F94" t="s">
        <v>477</v>
      </c>
      <c r="G94" t="s">
        <v>478</v>
      </c>
      <c r="H94" t="e">
        <f>VLOOKUP(source[[#This Row],[Отвественный]],тОтветственные[],2,0)</f>
        <v>#N/A</v>
      </c>
      <c r="I94" s="2">
        <v>43861</v>
      </c>
      <c r="J94" s="2">
        <v>43865</v>
      </c>
      <c r="N94" t="s">
        <v>479</v>
      </c>
      <c r="S94" s="1">
        <v>43861.732407407406</v>
      </c>
      <c r="W94" s="1">
        <v>43862.629953703705</v>
      </c>
      <c r="EC94" t="s">
        <v>480</v>
      </c>
      <c r="ED94" t="s">
        <v>481</v>
      </c>
      <c r="EE94" t="str">
        <f>HYPERLINK("https://d33htgqikc2pj4.cloudfront.net/qvHDimMUqxZcQnsj/58bba332-fde9-4cd7-aa51-88f49ccbf2f7.jpeg", "Владимир Собченко: Ссылка на изображение")</f>
        <v>Владимир Собченко: Ссылка на изображение</v>
      </c>
      <c r="EF94" t="s">
        <v>482</v>
      </c>
      <c r="EG94" t="str">
        <f>HYPERLINK("https://d33htgqikc2pj4.cloudfront.net/89bbd208460797dace0a50ab7b6de341/e493c186df0f7b92c0da710c24c761c5-flattened.jpeg", "Владимир Собченко: Ссылка на изображение")</f>
        <v>Владимир Собченко: Ссылка на изображение</v>
      </c>
      <c r="EH94" t="s">
        <v>483</v>
      </c>
      <c r="EI94" t="str">
        <f>HYPERLINK("https://d33htgqikc2pj4.cloudfront.net/cc44cc6cf16414963a1a68e734e874a2/a1a3705b1b129c8fb5cd7ca52d5ad5a9-flattened.jpeg", "Владимир Собченко: Ссылка на изображение")</f>
        <v>Владимир Собченко: Ссылка на изображение</v>
      </c>
      <c r="EJ94" t="s">
        <v>484</v>
      </c>
      <c r="EK94" t="s">
        <v>485</v>
      </c>
      <c r="EL94" t="s">
        <v>486</v>
      </c>
      <c r="EM94" t="s">
        <v>487</v>
      </c>
      <c r="EN94" t="s">
        <v>488</v>
      </c>
    </row>
    <row r="95" spans="1:150" ht="15" customHeight="1" x14ac:dyDescent="0.35">
      <c r="A95">
        <v>1128</v>
      </c>
      <c r="B95" t="s">
        <v>489</v>
      </c>
      <c r="C95">
        <v>1</v>
      </c>
      <c r="D95" t="str">
        <f>VLOOKUP(source[[#This Row],[Приоритет]],тПриоритеты[],2,0)</f>
        <v>КРИТИЧЕСКОЕ</v>
      </c>
      <c r="E95" t="str">
        <f>IF(ISBLANK(source[[#This Row],[Проверенные]]),IF(ISBLANK(source[[#This Row],[Завершенные]]),source[[#This Row],[Приоритет_]],"Завершено"),"Проверено")</f>
        <v>КРИТИЧЕСКОЕ</v>
      </c>
      <c r="F95" t="s">
        <v>477</v>
      </c>
      <c r="G95" t="s">
        <v>478</v>
      </c>
      <c r="H95" t="e">
        <f>VLOOKUP(source[[#This Row],[Отвественный]],тОтветственные[],2,0)</f>
        <v>#N/A</v>
      </c>
      <c r="I95" s="2">
        <v>43861</v>
      </c>
      <c r="J95" s="2">
        <v>43865</v>
      </c>
      <c r="N95" t="s">
        <v>490</v>
      </c>
      <c r="S95" s="1">
        <v>43861.732395833336</v>
      </c>
      <c r="W95" s="1">
        <v>43862.628703703704</v>
      </c>
      <c r="EC95" t="s">
        <v>491</v>
      </c>
      <c r="ED95" t="s">
        <v>481</v>
      </c>
      <c r="EE95" t="str">
        <f>HYPERLINK("https://d33htgqikc2pj4.cloudfront.net/qvHDimMUqxZcQnsj/69103510-b359-4608-9c7e-61c63c4100ba.jpeg", "Владимир Собченко: Ссылка на изображение")</f>
        <v>Владимир Собченко: Ссылка на изображение</v>
      </c>
      <c r="EF95" t="s">
        <v>492</v>
      </c>
      <c r="EG95" t="str">
        <f>HYPERLINK("https://d33htgqikc2pj4.cloudfront.net/qvHDimMUqxZcQnsj/4bb09457-10e1-47a1-8652-8c33172592e4.jpeg", "Владимир Собченко: Ссылка на изображение")</f>
        <v>Владимир Собченко: Ссылка на изображение</v>
      </c>
      <c r="EH95" t="s">
        <v>493</v>
      </c>
      <c r="EI95" t="str">
        <f>HYPERLINK("https://d33htgqikc2pj4.cloudfront.net/qvHDimMUqxZcQnsj/c5e8b578-cdad-4127-bc1f-bd8727923859.jpeg", "Владимир Собченко: Ссылка на изображение")</f>
        <v>Владимир Собченко: Ссылка на изображение</v>
      </c>
      <c r="EJ95" t="s">
        <v>494</v>
      </c>
      <c r="EK95" t="s">
        <v>486</v>
      </c>
      <c r="EL95" t="s">
        <v>487</v>
      </c>
      <c r="EM95" t="s">
        <v>488</v>
      </c>
    </row>
    <row r="96" spans="1:150" ht="15" customHeight="1" x14ac:dyDescent="0.35">
      <c r="A96">
        <v>1137</v>
      </c>
      <c r="B96" t="s">
        <v>495</v>
      </c>
      <c r="C96">
        <v>1</v>
      </c>
      <c r="D96" t="str">
        <f>VLOOKUP(source[[#This Row],[Приоритет]],тПриоритеты[],2,0)</f>
        <v>КРИТИЧЕСКОЕ</v>
      </c>
      <c r="E96" t="str">
        <f>IF(ISBLANK(source[[#This Row],[Проверенные]]),IF(ISBLANK(source[[#This Row],[Завершенные]]),source[[#This Row],[Приоритет_]],"Завершено"),"Проверено")</f>
        <v>КРИТИЧЕСКОЕ</v>
      </c>
      <c r="F96" t="s">
        <v>477</v>
      </c>
      <c r="G96" t="s">
        <v>478</v>
      </c>
      <c r="H96" t="e">
        <f>VLOOKUP(source[[#This Row],[Отвественный]],тОтветственные[],2,0)</f>
        <v>#N/A</v>
      </c>
      <c r="I96" s="2">
        <v>43861</v>
      </c>
      <c r="J96" s="2">
        <v>43865</v>
      </c>
      <c r="N96" t="s">
        <v>496</v>
      </c>
      <c r="S96" s="1">
        <v>43861.732407407406</v>
      </c>
      <c r="W96" s="1">
        <v>43862.629548611112</v>
      </c>
      <c r="EC96" t="s">
        <v>497</v>
      </c>
      <c r="ED96" t="s">
        <v>481</v>
      </c>
      <c r="EE96" t="str">
        <f>HYPERLINK("https://d33htgqikc2pj4.cloudfront.net/qvHDimMUqxZcQnsj/ddbf6c87-033b-4201-9937-f272f32ffd52.jpeg", "Владимир Собченко: Ссылка на изображение")</f>
        <v>Владимир Собченко: Ссылка на изображение</v>
      </c>
      <c r="EF96" t="s">
        <v>498</v>
      </c>
      <c r="EG96" t="str">
        <f>HYPERLINK("https://d33htgqikc2pj4.cloudfront.net/qvHDimMUqxZcQnsj/4d896e05-de05-4990-8213-bcccd13e28bc.jpeg", "Владимир Собченко: Ссылка на изображение")</f>
        <v>Владимир Собченко: Ссылка на изображение</v>
      </c>
      <c r="EH96" t="s">
        <v>499</v>
      </c>
      <c r="EI96" t="str">
        <f>HYPERLINK("https://d33htgqikc2pj4.cloudfront.net/e42a93bf81345ea1dc896ff2710e804b/8cbdbee5b022c1bd6bb4fd33973e3019-flattened.jpeg", "Владимир Собченко: Ссылка на изображение")</f>
        <v>Владимир Собченко: Ссылка на изображение</v>
      </c>
      <c r="EJ96" t="s">
        <v>500</v>
      </c>
      <c r="EK96" t="str">
        <f>HYPERLINK("https://d33htgqikc2pj4.cloudfront.net/qvHDimMUqxZcQnsj/7b927139-d240-4449-9c5b-0150ca19e079.jpeg", "Владимир Собченко: Ссылка на изображение")</f>
        <v>Владимир Собченко: Ссылка на изображение</v>
      </c>
      <c r="EL96" t="s">
        <v>501</v>
      </c>
      <c r="EM96" t="str">
        <f>HYPERLINK("https://d33htgqikc2pj4.cloudfront.net/qvHDimMUqxZcQnsj/2d9cec66-0142-4fc3-b3d5-dcde98d14aea.jpeg", "Владимир Собченко: Ссылка на изображение")</f>
        <v>Владимир Собченко: Ссылка на изображение</v>
      </c>
      <c r="EN96" s="3" t="s">
        <v>502</v>
      </c>
      <c r="EO96" t="s">
        <v>503</v>
      </c>
      <c r="EP96" t="s">
        <v>503</v>
      </c>
      <c r="EQ96" t="s">
        <v>504</v>
      </c>
      <c r="ER96" t="s">
        <v>486</v>
      </c>
      <c r="ES96" t="s">
        <v>487</v>
      </c>
      <c r="ET96" t="s">
        <v>488</v>
      </c>
    </row>
    <row r="97" spans="1:165" ht="15" customHeight="1" x14ac:dyDescent="0.35">
      <c r="A97">
        <v>1130</v>
      </c>
      <c r="B97" t="s">
        <v>505</v>
      </c>
      <c r="C97">
        <v>1</v>
      </c>
      <c r="D97" t="str">
        <f>VLOOKUP(source[[#This Row],[Приоритет]],тПриоритеты[],2,0)</f>
        <v>КРИТИЧЕСКОЕ</v>
      </c>
      <c r="E97" t="str">
        <f>IF(ISBLANK(source[[#This Row],[Проверенные]]),IF(ISBLANK(source[[#This Row],[Завершенные]]),source[[#This Row],[Приоритет_]],"Завершено"),"Проверено")</f>
        <v>КРИТИЧЕСКОЕ</v>
      </c>
      <c r="F97" t="s">
        <v>477</v>
      </c>
      <c r="G97" t="s">
        <v>478</v>
      </c>
      <c r="H97" t="e">
        <f>VLOOKUP(source[[#This Row],[Отвественный]],тОтветственные[],2,0)</f>
        <v>#N/A</v>
      </c>
      <c r="I97" s="2">
        <v>43861</v>
      </c>
      <c r="J97" s="2">
        <v>43865</v>
      </c>
      <c r="N97" t="s">
        <v>506</v>
      </c>
      <c r="S97" s="1">
        <v>43861.732395833336</v>
      </c>
      <c r="W97" s="1">
        <v>43862.628842592596</v>
      </c>
      <c r="EC97" t="s">
        <v>507</v>
      </c>
      <c r="ED97" t="s">
        <v>481</v>
      </c>
      <c r="EE97" t="str">
        <f>HYPERLINK("https://d33htgqikc2pj4.cloudfront.net/qvHDimMUqxZcQnsj/19b42f10-1716-436a-8f71-48bb1319b3d6.jpeg", "Владимир Собченко: Ссылка на изображение")</f>
        <v>Владимир Собченко: Ссылка на изображение</v>
      </c>
      <c r="EF97" t="s">
        <v>508</v>
      </c>
      <c r="EG97" t="str">
        <f>HYPERLINK("https://d33htgqikc2pj4.cloudfront.net/ba6fa8135dbc80e16f279df1542c455f/9996e3cdba0d24933b6a1551216f390b-flattened.jpeg", "Владимир Собченко: Ссылка на изображение")</f>
        <v>Владимир Собченко: Ссылка на изображение</v>
      </c>
      <c r="EH97" t="s">
        <v>509</v>
      </c>
      <c r="EI97" t="str">
        <f>HYPERLINK("https://d33htgqikc2pj4.cloudfront.net/qvHDimMUqxZcQnsj/80166f7f-7551-4105-9c2a-da7502093920.jpeg", "Владимир Собченко: Ссылка на изображение")</f>
        <v>Владимир Собченко: Ссылка на изображение</v>
      </c>
      <c r="EJ97" t="s">
        <v>510</v>
      </c>
      <c r="EK97" t="str">
        <f>HYPERLINK("https://d33htgqikc2pj4.cloudfront.net/qvHDimMUqxZcQnsj/0c433d4d-ce54-4495-9a36-7f17c2a31a71.jpeg", "Владимир Собченко: Ссылка на изображение")</f>
        <v>Владимир Собченко: Ссылка на изображение</v>
      </c>
      <c r="EL97" t="s">
        <v>511</v>
      </c>
      <c r="EM97" t="str">
        <f>HYPERLINK("https://d33htgqikc2pj4.cloudfront.net/qvHDimMUqxZcQnsj/80f8333c-b9c8-4ab3-98e5-b3c86a55eba7.jpeg", "Владимир Собченко: Ссылка на изображение")</f>
        <v>Владимир Собченко: Ссылка на изображение</v>
      </c>
      <c r="EN97" t="s">
        <v>512</v>
      </c>
      <c r="EO97" t="str">
        <f>HYPERLINK("https://d33htgqikc2pj4.cloudfront.net/qvHDimMUqxZcQnsj/698d7671-adee-47b2-acf9-520c7abb5949.jpeg", "Владимир Собченко: Ссылка на изображение")</f>
        <v>Владимир Собченко: Ссылка на изображение</v>
      </c>
      <c r="EP97" t="s">
        <v>513</v>
      </c>
      <c r="EQ97" t="str">
        <f>HYPERLINK("https://d33htgqikc2pj4.cloudfront.net/qvHDimMUqxZcQnsj/e669f538-863a-4a36-9b62-62816608c4ab.jpeg", "Владимир Собченко: Ссылка на изображение")</f>
        <v>Владимир Собченко: Ссылка на изображение</v>
      </c>
      <c r="ER97" t="s">
        <v>514</v>
      </c>
      <c r="ES97" t="str">
        <f>HYPERLINK("https://d33htgqikc2pj4.cloudfront.net/qvHDimMUqxZcQnsj/5a3e8cf2-6c67-4704-9eb9-c47056e52a3e.jpeg", "Владимир Собченко: Ссылка на изображение")</f>
        <v>Владимир Собченко: Ссылка на изображение</v>
      </c>
      <c r="ET97" t="s">
        <v>515</v>
      </c>
      <c r="EU97" t="s">
        <v>486</v>
      </c>
      <c r="EV97" t="s">
        <v>487</v>
      </c>
      <c r="EW97" t="s">
        <v>488</v>
      </c>
    </row>
    <row r="98" spans="1:165" ht="15" customHeight="1" x14ac:dyDescent="0.35">
      <c r="A98">
        <v>1146</v>
      </c>
      <c r="B98" t="s">
        <v>516</v>
      </c>
      <c r="C98">
        <v>1</v>
      </c>
      <c r="D98" t="str">
        <f>VLOOKUP(source[[#This Row],[Приоритет]],тПриоритеты[],2,0)</f>
        <v>КРИТИЧЕСКОЕ</v>
      </c>
      <c r="E98" t="str">
        <f>IF(ISBLANK(source[[#This Row],[Проверенные]]),IF(ISBLANK(source[[#This Row],[Завершенные]]),source[[#This Row],[Приоритет_]],"Завершено"),"Проверено")</f>
        <v>КРИТИЧЕСКОЕ</v>
      </c>
      <c r="F98" t="s">
        <v>477</v>
      </c>
      <c r="G98" t="s">
        <v>478</v>
      </c>
      <c r="H98" t="e">
        <f>VLOOKUP(source[[#This Row],[Отвественный]],тОтветственные[],2,0)</f>
        <v>#N/A</v>
      </c>
      <c r="I98" s="2">
        <v>43861</v>
      </c>
      <c r="J98" s="2">
        <v>43865</v>
      </c>
      <c r="N98" t="s">
        <v>517</v>
      </c>
      <c r="S98" s="1">
        <v>43861.732418981483</v>
      </c>
      <c r="W98" s="1">
        <v>43862.630729166667</v>
      </c>
      <c r="EC98" t="s">
        <v>518</v>
      </c>
      <c r="ED98" t="s">
        <v>481</v>
      </c>
      <c r="EE98" t="str">
        <f>HYPERLINK("https://d33htgqikc2pj4.cloudfront.net/qvHDimMUqxZcQnsj/bf4befe3-fc10-4839-a37f-2ef0b3e9bb95.jpeg", "Владимир Собченко: Ссылка на изображение")</f>
        <v>Владимир Собченко: Ссылка на изображение</v>
      </c>
      <c r="EF98" t="s">
        <v>519</v>
      </c>
      <c r="EG98" t="str">
        <f>HYPERLINK("https://d33htgqikc2pj4.cloudfront.net/6d9632620ace3fad864aa73025f11db9/41b89e20c32df291e17a32e63c4c0394-flattened.jpeg", "Владимир Собченко: Ссылка на изображение")</f>
        <v>Владимир Собченко: Ссылка на изображение</v>
      </c>
      <c r="EH98" t="s">
        <v>520</v>
      </c>
      <c r="EI98" t="str">
        <f>HYPERLINK("https://d33htgqikc2pj4.cloudfront.net/d98283653f66033958fb59686a98b495/ecf19594db570a12f388fc990fb39360-flattened.jpeg", "Владимир Собченко: Ссылка на изображение")</f>
        <v>Владимир Собченко: Ссылка на изображение</v>
      </c>
      <c r="EJ98" t="s">
        <v>521</v>
      </c>
      <c r="EK98" t="str">
        <f>HYPERLINK("https://d33htgqikc2pj4.cloudfront.net/qvHDimMUqxZcQnsj/f2a9d8f2-d534-467b-8f33-8d706c6193e6.jpeg", "Владимир Собченко: Ссылка на изображение")</f>
        <v>Владимир Собченко: Ссылка на изображение</v>
      </c>
      <c r="EL98" t="s">
        <v>522</v>
      </c>
      <c r="EM98" t="str">
        <f>HYPERLINK("https://d33htgqikc2pj4.cloudfront.net/71702bfe233a0ff00274fc83c54ef14b/0e5e5645b92e9a616f01f63d62745f7a-flattened.jpeg", "Владимир Собченко: Ссылка на изображение")</f>
        <v>Владимир Собченко: Ссылка на изображение</v>
      </c>
      <c r="EN98" t="s">
        <v>523</v>
      </c>
      <c r="EO98" t="str">
        <f>HYPERLINK("https://d33htgqikc2pj4.cloudfront.net/a2ec94a26f020c92d94e1888d556d4e5/8edcaf104e7598b52da33dc22202329d-flattened.jpeg", "Владимир Собченко: Ссылка на изображение")</f>
        <v>Владимир Собченко: Ссылка на изображение</v>
      </c>
      <c r="EP98" t="s">
        <v>524</v>
      </c>
      <c r="EQ98" t="s">
        <v>525</v>
      </c>
      <c r="ER98" t="s">
        <v>526</v>
      </c>
      <c r="ES98" t="s">
        <v>486</v>
      </c>
      <c r="ET98" t="s">
        <v>487</v>
      </c>
      <c r="EU98" t="s">
        <v>488</v>
      </c>
    </row>
    <row r="99" spans="1:165" ht="15" customHeight="1" x14ac:dyDescent="0.35">
      <c r="A99">
        <v>1139</v>
      </c>
      <c r="B99" t="s">
        <v>527</v>
      </c>
      <c r="C99">
        <v>1</v>
      </c>
      <c r="D99" t="str">
        <f>VLOOKUP(source[[#This Row],[Приоритет]],тПриоритеты[],2,0)</f>
        <v>КРИТИЧЕСКОЕ</v>
      </c>
      <c r="E99" t="str">
        <f>IF(ISBLANK(source[[#This Row],[Проверенные]]),IF(ISBLANK(source[[#This Row],[Завершенные]]),source[[#This Row],[Приоритет_]],"Завершено"),"Проверено")</f>
        <v>КРИТИЧЕСКОЕ</v>
      </c>
      <c r="F99" t="s">
        <v>477</v>
      </c>
      <c r="G99" t="s">
        <v>478</v>
      </c>
      <c r="H99" t="e">
        <f>VLOOKUP(source[[#This Row],[Отвественный]],тОтветственные[],2,0)</f>
        <v>#N/A</v>
      </c>
      <c r="I99" s="2">
        <v>43861</v>
      </c>
      <c r="J99" s="2">
        <v>43865</v>
      </c>
      <c r="N99" t="s">
        <v>528</v>
      </c>
      <c r="S99" s="1">
        <v>43861.732407407406</v>
      </c>
      <c r="W99" s="1">
        <v>43862.63008101852</v>
      </c>
      <c r="EC99" t="s">
        <v>529</v>
      </c>
      <c r="ED99" t="s">
        <v>481</v>
      </c>
      <c r="EE99" t="str">
        <f>HYPERLINK("https://d33htgqikc2pj4.cloudfront.net/31a6aa42d852140848c9591f66db59e6/5a5eac1a2b6e908965231ae6940312e2-flattened.jpeg", "Владимир Собченко: Ссылка на изображение")</f>
        <v>Владимир Собченко: Ссылка на изображение</v>
      </c>
      <c r="EF99" t="s">
        <v>530</v>
      </c>
      <c r="EG99" t="str">
        <f>HYPERLINK("https://d33htgqikc2pj4.cloudfront.net/884a194eec2887da25418311a454ce70/d647702ee95284d0236defbea1d3b54e-flattened.jpeg", "Владимир Собченко: Ссылка на изображение")</f>
        <v>Владимир Собченко: Ссылка на изображение</v>
      </c>
      <c r="EH99" t="s">
        <v>531</v>
      </c>
      <c r="EI99" t="str">
        <f>HYPERLINK("https://d33htgqikc2pj4.cloudfront.net/qvHDimMUqxZcQnsj/add8d2f8-ef91-49d0-95a2-77eed29ab6c1.jpeg", "Владимир Собченко: Ссылка на изображение")</f>
        <v>Владимир Собченко: Ссылка на изображение</v>
      </c>
      <c r="EJ99" t="s">
        <v>532</v>
      </c>
      <c r="EK99" t="str">
        <f>HYPERLINK("https://d33htgqikc2pj4.cloudfront.net/qvHDimMUqxZcQnsj/7c9f81ec-a717-4344-82ec-330ed68b539b.jpeg", "Владимир Собченко: Ссылка на изображение")</f>
        <v>Владимир Собченко: Ссылка на изображение</v>
      </c>
      <c r="EL99" t="s">
        <v>533</v>
      </c>
      <c r="EM99" t="str">
        <f>HYPERLINK("https://d33htgqikc2pj4.cloudfront.net/deb7c776298e468cbbe0a56620388f20/7d3e5b7adf7203a7dcf90c0bb144c32e-flattened.jpeg", "Владимир Собченко: Ссылка на изображение")</f>
        <v>Владимир Собченко: Ссылка на изображение</v>
      </c>
      <c r="EN99" t="s">
        <v>534</v>
      </c>
      <c r="EO99" t="str">
        <f>HYPERLINK("https://d33htgqikc2pj4.cloudfront.net/a2683dbbad1cc5b980bc0b3fe593d90f/30b170bf1021d168323c3a1769cca4db-flattened.jpeg", "Владимир Собченко: Ссылка на изображение")</f>
        <v>Владимир Собченко: Ссылка на изображение</v>
      </c>
      <c r="EP99" t="s">
        <v>535</v>
      </c>
      <c r="EQ99" t="s">
        <v>486</v>
      </c>
      <c r="ER99" t="s">
        <v>487</v>
      </c>
      <c r="ES99" t="s">
        <v>488</v>
      </c>
    </row>
    <row r="100" spans="1:165" ht="15" customHeight="1" x14ac:dyDescent="0.35">
      <c r="A100">
        <v>1144</v>
      </c>
      <c r="B100" t="s">
        <v>536</v>
      </c>
      <c r="C100">
        <v>1</v>
      </c>
      <c r="D100" t="str">
        <f>VLOOKUP(source[[#This Row],[Приоритет]],тПриоритеты[],2,0)</f>
        <v>КРИТИЧЕСКОЕ</v>
      </c>
      <c r="E100" t="str">
        <f>IF(ISBLANK(source[[#This Row],[Проверенные]]),IF(ISBLANK(source[[#This Row],[Завершенные]]),source[[#This Row],[Приоритет_]],"Завершено"),"Проверено")</f>
        <v>КРИТИЧЕСКОЕ</v>
      </c>
      <c r="F100" t="s">
        <v>477</v>
      </c>
      <c r="G100" t="s">
        <v>478</v>
      </c>
      <c r="H100" t="e">
        <f>VLOOKUP(source[[#This Row],[Отвественный]],тОтветственные[],2,0)</f>
        <v>#N/A</v>
      </c>
      <c r="I100" s="2">
        <v>43861</v>
      </c>
      <c r="J100" s="2">
        <v>43865</v>
      </c>
      <c r="N100" t="s">
        <v>537</v>
      </c>
      <c r="S100" s="1">
        <v>43861.732418981483</v>
      </c>
      <c r="W100" s="1">
        <v>43862.630497685182</v>
      </c>
      <c r="EC100" t="s">
        <v>538</v>
      </c>
      <c r="ED100" t="s">
        <v>481</v>
      </c>
      <c r="EE100" t="str">
        <f>HYPERLINK("https://d33htgqikc2pj4.cloudfront.net/qvHDimMUqxZcQnsj/2fff5d36-6125-4922-a30b-9bc879f7a346.jpeg", "Владимир Собченко: Ссылка на изображение")</f>
        <v>Владимир Собченко: Ссылка на изображение</v>
      </c>
      <c r="EF100" t="s">
        <v>539</v>
      </c>
      <c r="EG100" t="str">
        <f>HYPERLINK("https://d33htgqikc2pj4.cloudfront.net/qvHDimMUqxZcQnsj/e1590e7b-9bbb-4893-9c52-c62bb3d82cde.jpeg", "Владимир Собченко: Ссылка на изображение")</f>
        <v>Владимир Собченко: Ссылка на изображение</v>
      </c>
      <c r="EH100" t="s">
        <v>540</v>
      </c>
      <c r="EI100" t="str">
        <f>HYPERLINK("https://d33htgqikc2pj4.cloudfront.net/qvHDimMUqxZcQnsj/f4edd9ab-7eb5-4d0c-8e97-65687cd7a5dc.jpeg", "Владимир Собченко: Ссылка на изображение")</f>
        <v>Владимир Собченко: Ссылка на изображение</v>
      </c>
      <c r="EJ100" t="s">
        <v>541</v>
      </c>
      <c r="EK100" t="str">
        <f>HYPERLINK("https://d33htgqikc2pj4.cloudfront.net/qvHDimMUqxZcQnsj/09c33584-f2a6-4179-bb35-5e157e5c1d2e.jpeg", "Владимир Собченко: Ссылка на изображение")</f>
        <v>Владимир Собченко: Ссылка на изображение</v>
      </c>
      <c r="EL100" t="s">
        <v>542</v>
      </c>
      <c r="EM100" t="str">
        <f>HYPERLINK("https://d33htgqikc2pj4.cloudfront.net/qvHDimMUqxZcQnsj/b9bea2b4-d3bf-452b-bcf4-df3b071316fd.jpeg", "Владимир Собченко: Ссылка на изображение")</f>
        <v>Владимир Собченко: Ссылка на изображение</v>
      </c>
      <c r="EN100" t="s">
        <v>543</v>
      </c>
      <c r="EO100" t="str">
        <f>HYPERLINK("https://d33htgqikc2pj4.cloudfront.net/qvHDimMUqxZcQnsj/596d7a80-4c76-4aaa-8ff1-d8e257c0388a.jpeg", "Владимир Собченко: Ссылка на изображение")</f>
        <v>Владимир Собченко: Ссылка на изображение</v>
      </c>
      <c r="EP100" t="str">
        <f>HYPERLINK("https://d33htgqikc2pj4.cloudfront.net/qvHDimMUqxZcQnsj/80ac4101-8841-44ef-8f21-f29514507d4a.jpeg", "Владимир Собченко: Ссылка на изображение")</f>
        <v>Владимир Собченко: Ссылка на изображение</v>
      </c>
      <c r="EQ100" t="str">
        <f>HYPERLINK("https://d33htgqikc2pj4.cloudfront.net/qvHDimMUqxZcQnsj/12e38d5b-88e5-442c-8c84-8b787fb707f0.jpeg", "Владимир Собченко: Ссылка на изображение")</f>
        <v>Владимир Собченко: Ссылка на изображение</v>
      </c>
      <c r="ER100" t="s">
        <v>544</v>
      </c>
      <c r="ES100" t="str">
        <f>HYPERLINK("https://d33htgqikc2pj4.cloudfront.net/qvHDimMUqxZcQnsj/a7adf73a-8868-414e-bb7e-424079f822db.jpeg", "Владимир Собченко: Ссылка на изображение")</f>
        <v>Владимир Собченко: Ссылка на изображение</v>
      </c>
      <c r="ET100" t="s">
        <v>545</v>
      </c>
      <c r="EU100" t="s">
        <v>486</v>
      </c>
      <c r="EV100" t="s">
        <v>487</v>
      </c>
      <c r="EW100" t="s">
        <v>546</v>
      </c>
      <c r="EX100" t="s">
        <v>525</v>
      </c>
      <c r="EY100" t="s">
        <v>547</v>
      </c>
      <c r="EZ100" t="s">
        <v>548</v>
      </c>
      <c r="FA100" t="s">
        <v>549</v>
      </c>
      <c r="FB100" t="s">
        <v>488</v>
      </c>
    </row>
    <row r="101" spans="1:165" ht="15" customHeight="1" x14ac:dyDescent="0.35">
      <c r="A101">
        <v>1127</v>
      </c>
      <c r="B101" t="s">
        <v>550</v>
      </c>
      <c r="C101">
        <v>1</v>
      </c>
      <c r="D101" t="str">
        <f>VLOOKUP(source[[#This Row],[Приоритет]],тПриоритеты[],2,0)</f>
        <v>КРИТИЧЕСКОЕ</v>
      </c>
      <c r="E101" t="str">
        <f>IF(ISBLANK(source[[#This Row],[Проверенные]]),IF(ISBLANK(source[[#This Row],[Завершенные]]),source[[#This Row],[Приоритет_]],"Завершено"),"Проверено")</f>
        <v>КРИТИЧЕСКОЕ</v>
      </c>
      <c r="F101" t="s">
        <v>477</v>
      </c>
      <c r="G101" t="s">
        <v>478</v>
      </c>
      <c r="H101" t="e">
        <f>VLOOKUP(source[[#This Row],[Отвественный]],тОтветственные[],2,0)</f>
        <v>#N/A</v>
      </c>
      <c r="I101" s="2">
        <v>43861</v>
      </c>
      <c r="J101" s="2">
        <v>43865</v>
      </c>
      <c r="K101" t="s">
        <v>551</v>
      </c>
      <c r="L101">
        <v>13.08</v>
      </c>
      <c r="M101">
        <v>49.11</v>
      </c>
      <c r="N101" t="s">
        <v>552</v>
      </c>
      <c r="Q101" t="s">
        <v>553</v>
      </c>
      <c r="R101" t="str">
        <f>HYPERLINK("https://d28ji4sm1vmprj.cloudfront.net/47cb6f02068fc3e07c53bc8f5f14784f/658e908f68c4c8f517a24198c7f73efe.jpeg", "Ссылка на план")</f>
        <v>Ссылка на план</v>
      </c>
      <c r="S101" s="1">
        <v>43861.732395833336</v>
      </c>
      <c r="W101" s="1">
        <v>43866.723356481481</v>
      </c>
      <c r="EC101" t="s">
        <v>554</v>
      </c>
      <c r="ED101" t="s">
        <v>555</v>
      </c>
      <c r="EE101" t="s">
        <v>481</v>
      </c>
      <c r="EF101" t="str">
        <f>HYPERLINK("https://d33htgqikc2pj4.cloudfront.net/qvHDimMUqxZcQnsj/cabc62e3-9a31-434c-bc07-72a237783218.jpeg", "Владимир Собченко: Ссылка на изображение")</f>
        <v>Владимир Собченко: Ссылка на изображение</v>
      </c>
      <c r="EG101" t="str">
        <f>HYPERLINK("https://d33htgqikc2pj4.cloudfront.net/qvHDimMUqxZcQnsj/93e3ec00-e323-4b9c-a7db-23e86d317cb9.jpeg", "Владимир Собченко: Ссылка на изображение")</f>
        <v>Владимир Собченко: Ссылка на изображение</v>
      </c>
      <c r="EH101" t="str">
        <f>HYPERLINK("https://d33htgqikc2pj4.cloudfront.net/qvHDimMUqxZcQnsj/1d86064f-1ab0-450d-8ac0-01009262507d.jpeg", "Владимир Собченко: Ссылка на изображение")</f>
        <v>Владимир Собченко: Ссылка на изображение</v>
      </c>
      <c r="EI101" t="str">
        <f>HYPERLINK("https://d33htgqikc2pj4.cloudfront.net/qvHDimMUqxZcQnsj/8b428ec6-accb-4d61-be3a-c107aa9c5ce0.jpeg", "Владимир Собченко: Ссылка на изображение")</f>
        <v>Владимир Собченко: Ссылка на изображение</v>
      </c>
      <c r="EJ101" t="str">
        <f>HYPERLINK("https://d33htgqikc2pj4.cloudfront.net/qvHDimMUqxZcQnsj/79c8cb0d-420a-4c80-b527-ecce2f65f9b5.jpeg", "Владимир Собченко: Ссылка на изображение")</f>
        <v>Владимир Собченко: Ссылка на изображение</v>
      </c>
      <c r="EK101" t="str">
        <f>HYPERLINK("https://d33htgqikc2pj4.cloudfront.net/qvHDimMUqxZcQnsj/e7cbfbd8-ced4-4b5c-b172-c8093a4b9c0d.jpeg", "Владимир Собченко: Ссылка на изображение")</f>
        <v>Владимир Собченко: Ссылка на изображение</v>
      </c>
      <c r="EL101" t="str">
        <f>HYPERLINK("https://d33htgqikc2pj4.cloudfront.net/qvHDimMUqxZcQnsj/ec41bf9a-5470-4d52-b550-0f1fcb2b03a0.jpeg", "Владимир Собченко: Ссылка на изображение")</f>
        <v>Владимир Собченко: Ссылка на изображение</v>
      </c>
      <c r="EM101" t="str">
        <f>HYPERLINK("https://d33htgqikc2pj4.cloudfront.net/qvHDimMUqxZcQnsj/6d6c26b6-e5bd-4da6-ad6c-8e0ba43ed072.jpeg", "Владимир Собченко: Ссылка на изображение")</f>
        <v>Владимир Собченко: Ссылка на изображение</v>
      </c>
      <c r="EN101" t="str">
        <f>HYPERLINK("https://d33htgqikc2pj4.cloudfront.net/qvHDimMUqxZcQnsj/aad32175-14bf-447d-acb0-9996cc1fa6b9.jpeg", "Владимир Собченко: Ссылка на изображение")</f>
        <v>Владимир Собченко: Ссылка на изображение</v>
      </c>
      <c r="EO101" t="str">
        <f>HYPERLINK("https://d33htgqikc2pj4.cloudfront.net/qvHDimMUqxZcQnsj/09385070-0986-46f9-9ae4-ce2e6a697ae1.jpeg", "Владимир Собченко: Ссылка на изображение")</f>
        <v>Владимир Собченко: Ссылка на изображение</v>
      </c>
      <c r="EP101" t="str">
        <f>HYPERLINK("https://d33htgqikc2pj4.cloudfront.net/qvHDimMUqxZcQnsj/78bd702a-3cdd-43af-8cde-c40d8f6000d0.jpeg", "Владимир Собченко: Ссылка на изображение")</f>
        <v>Владимир Собченко: Ссылка на изображение</v>
      </c>
      <c r="EQ101" t="str">
        <f>HYPERLINK("https://d33htgqikc2pj4.cloudfront.net/qvHDimMUqxZcQnsj/d579bb85-7c4b-4520-961f-fbc40149e79f.jpeg", "Владимир Собченко: Ссылка на изображение")</f>
        <v>Владимир Собченко: Ссылка на изображение</v>
      </c>
      <c r="ER101" t="str">
        <f>HYPERLINK("https://d33htgqikc2pj4.cloudfront.net/6b39ce54963cc36a729e17e5a8cde116/0452ee56495034ef69f85ea3ffc959ff-flattened.jpeg", "Владимир Собченко: Ссылка на изображение")</f>
        <v>Владимир Собченко: Ссылка на изображение</v>
      </c>
      <c r="ES101" t="s">
        <v>556</v>
      </c>
      <c r="ET101" t="s">
        <v>557</v>
      </c>
      <c r="EU101" t="s">
        <v>558</v>
      </c>
      <c r="EV101" t="s">
        <v>559</v>
      </c>
      <c r="EW101" t="s">
        <v>525</v>
      </c>
      <c r="EX101" t="s">
        <v>560</v>
      </c>
      <c r="EY101" t="s">
        <v>561</v>
      </c>
      <c r="EZ101" t="s">
        <v>562</v>
      </c>
      <c r="FA101" t="s">
        <v>563</v>
      </c>
      <c r="FB101" t="s">
        <v>564</v>
      </c>
      <c r="FC101" t="s">
        <v>565</v>
      </c>
      <c r="FD101" t="s">
        <v>566</v>
      </c>
      <c r="FE101" t="s">
        <v>567</v>
      </c>
      <c r="FF101" t="s">
        <v>486</v>
      </c>
      <c r="FG101" t="s">
        <v>487</v>
      </c>
      <c r="FH101" t="s">
        <v>488</v>
      </c>
      <c r="FI101" t="s">
        <v>568</v>
      </c>
    </row>
    <row r="102" spans="1:165" ht="15" customHeight="1" x14ac:dyDescent="0.35">
      <c r="A102">
        <v>1131</v>
      </c>
      <c r="B102" t="s">
        <v>569</v>
      </c>
      <c r="C102">
        <v>1</v>
      </c>
      <c r="D102" t="str">
        <f>VLOOKUP(source[[#This Row],[Приоритет]],тПриоритеты[],2,0)</f>
        <v>КРИТИЧЕСКОЕ</v>
      </c>
      <c r="E102" t="str">
        <f>IF(ISBLANK(source[[#This Row],[Проверенные]]),IF(ISBLANK(source[[#This Row],[Завершенные]]),source[[#This Row],[Приоритет_]],"Завершено"),"Проверено")</f>
        <v>КРИТИЧЕСКОЕ</v>
      </c>
      <c r="F102" t="s">
        <v>477</v>
      </c>
      <c r="G102" t="s">
        <v>478</v>
      </c>
      <c r="H102" t="e">
        <f>VLOOKUP(source[[#This Row],[Отвественный]],тОтветственные[],2,0)</f>
        <v>#N/A</v>
      </c>
      <c r="I102" s="2">
        <v>43861</v>
      </c>
      <c r="J102" s="2">
        <v>43865</v>
      </c>
      <c r="N102" t="s">
        <v>570</v>
      </c>
      <c r="S102" s="1">
        <v>43861.732395833336</v>
      </c>
      <c r="W102" s="1">
        <v>43862.628912037035</v>
      </c>
      <c r="EC102" t="s">
        <v>481</v>
      </c>
      <c r="ED102" t="str">
        <f>HYPERLINK("https://d33htgqikc2pj4.cloudfront.net/qvHDimMUqxZcQnsj/858f4189-c5b4-4546-9e38-8bd2d471b385.jpeg", "Владимир Собченко: Ссылка на изображение")</f>
        <v>Владимир Собченко: Ссылка на изображение</v>
      </c>
      <c r="EE102" t="s">
        <v>571</v>
      </c>
      <c r="EF102" t="str">
        <f>HYPERLINK("https://d33htgqikc2pj4.cloudfront.net/qvHDimMUqxZcQnsj/c78053fb-29a3-4c15-b1f9-6f9c3b4330aa.jpeg", "Владимир Собченко: Ссылка на изображение")</f>
        <v>Владимир Собченко: Ссылка на изображение</v>
      </c>
      <c r="EG102" t="s">
        <v>572</v>
      </c>
      <c r="EH102" t="s">
        <v>573</v>
      </c>
      <c r="EI102" t="str">
        <f>HYPERLINK("https://d33htgqikc2pj4.cloudfront.net/qvHDimMUqxZcQnsj/80b29460-ea2c-4006-ae36-560bcbd12caa.jpeg", "Владимир Собченко: Ссылка на изображение")</f>
        <v>Владимир Собченко: Ссылка на изображение</v>
      </c>
      <c r="EJ102" t="s">
        <v>574</v>
      </c>
      <c r="EK102" t="str">
        <f>HYPERLINK("https://d33htgqikc2pj4.cloudfront.net/qvHDimMUqxZcQnsj/e8ec2fcb-cff4-4548-a86b-805606c7596f.jpeg", "Владимир Собченко: Ссылка на изображение")</f>
        <v>Владимир Собченко: Ссылка на изображение</v>
      </c>
      <c r="EL102" t="s">
        <v>575</v>
      </c>
      <c r="EM102" t="str">
        <f>HYPERLINK("https://d33htgqikc2pj4.cloudfront.net/qvHDimMUqxZcQnsj/78bc4e95-42b0-48b6-bd64-595bec6a5e55.jpeg", "Владимир Собченко: Ссылка на изображение")</f>
        <v>Владимир Собченко: Ссылка на изображение</v>
      </c>
      <c r="EN102" t="s">
        <v>576</v>
      </c>
      <c r="EO102" t="str">
        <f>HYPERLINK("https://d33htgqikc2pj4.cloudfront.net/qvHDimMUqxZcQnsj/cb778fb1-af7f-4ec2-8824-5f79f9e0cdf3.jpeg", "Владимир Собченко: Ссылка на изображение")</f>
        <v>Владимир Собченко: Ссылка на изображение</v>
      </c>
      <c r="EP102" t="s">
        <v>577</v>
      </c>
      <c r="EQ102" t="str">
        <f>HYPERLINK("https://d33htgqikc2pj4.cloudfront.net/qvHDimMUqxZcQnsj/ff8e8633-080c-4740-a422-bb78f951ef7c.jpeg", "Владимир Собченко: Ссылка на изображение")</f>
        <v>Владимир Собченко: Ссылка на изображение</v>
      </c>
      <c r="ER102" t="s">
        <v>578</v>
      </c>
      <c r="ES102" t="str">
        <f>HYPERLINK("https://d33htgqikc2pj4.cloudfront.net/qvHDimMUqxZcQnsj/b7737727-9cee-4bf7-befa-1f6cff9bdda7.jpeg", "Владимир Собченко: Ссылка на изображение")</f>
        <v>Владимир Собченко: Ссылка на изображение</v>
      </c>
      <c r="ET102" t="s">
        <v>579</v>
      </c>
      <c r="EU102" t="str">
        <f>HYPERLINK("https://d33htgqikc2pj4.cloudfront.net/qvHDimMUqxZcQnsj/cccc5661-c646-4f4a-bda3-ae6bb2e83404.jpeg", "Владимир Собченко: Ссылка на изображение")</f>
        <v>Владимир Собченко: Ссылка на изображение</v>
      </c>
      <c r="EV102" t="s">
        <v>580</v>
      </c>
      <c r="EW102" t="s">
        <v>581</v>
      </c>
      <c r="EX102" t="s">
        <v>582</v>
      </c>
      <c r="EY102" t="s">
        <v>486</v>
      </c>
      <c r="EZ102" t="s">
        <v>487</v>
      </c>
      <c r="FA102" t="s">
        <v>488</v>
      </c>
    </row>
    <row r="103" spans="1:165" ht="15" customHeight="1" x14ac:dyDescent="0.35">
      <c r="A103">
        <v>1133</v>
      </c>
      <c r="B103" t="s">
        <v>583</v>
      </c>
      <c r="C103">
        <v>1</v>
      </c>
      <c r="D103" t="str">
        <f>VLOOKUP(source[[#This Row],[Приоритет]],тПриоритеты[],2,0)</f>
        <v>КРИТИЧЕСКОЕ</v>
      </c>
      <c r="E103" t="str">
        <f>IF(ISBLANK(source[[#This Row],[Проверенные]]),IF(ISBLANK(source[[#This Row],[Завершенные]]),source[[#This Row],[Приоритет_]],"Завершено"),"Проверено")</f>
        <v>КРИТИЧЕСКОЕ</v>
      </c>
      <c r="F103" t="s">
        <v>477</v>
      </c>
      <c r="G103" t="s">
        <v>478</v>
      </c>
      <c r="H103" t="e">
        <f>VLOOKUP(source[[#This Row],[Отвественный]],тОтветственные[],2,0)</f>
        <v>#N/A</v>
      </c>
      <c r="I103" s="2">
        <v>43861</v>
      </c>
      <c r="J103" s="2">
        <v>43865</v>
      </c>
      <c r="N103" t="s">
        <v>584</v>
      </c>
      <c r="S103" s="1">
        <v>43861.732395833336</v>
      </c>
      <c r="W103" s="1">
        <v>43862.628564814811</v>
      </c>
      <c r="EC103" t="s">
        <v>585</v>
      </c>
      <c r="ED103" t="s">
        <v>481</v>
      </c>
      <c r="EE103" t="str">
        <f>HYPERLINK("https://d33htgqikc2pj4.cloudfront.net/529f489210bb24056ab26875adbafda3/74311cad63809b5354ba62b646c0d59f-flattened.jpeg", "Владимир Собченко: Ссылка на изображение")</f>
        <v>Владимир Собченко: Ссылка на изображение</v>
      </c>
      <c r="EF103" t="s">
        <v>586</v>
      </c>
      <c r="EG103" t="str">
        <f>HYPERLINK("https://d33htgqikc2pj4.cloudfront.net/qvHDimMUqxZcQnsj/39c4926b-e973-40b5-a3ad-b6db008dc6c3.jpeg", "Владимир Собченко: Ссылка на изображение")</f>
        <v>Владимир Собченко: Ссылка на изображение</v>
      </c>
      <c r="EH103" t="s">
        <v>587</v>
      </c>
      <c r="EI103" t="str">
        <f>HYPERLINK("https://d33htgqikc2pj4.cloudfront.net/qvHDimMUqxZcQnsj/105282ee-bdd3-4d0d-bab9-4d7aad0c0f3f.jpeg", "Владимир Собченко: Ссылка на изображение")</f>
        <v>Владимир Собченко: Ссылка на изображение</v>
      </c>
      <c r="EJ103" t="s">
        <v>588</v>
      </c>
      <c r="EK103" t="str">
        <f>HYPERLINK("https://d33htgqikc2pj4.cloudfront.net/qvHDimMUqxZcQnsj/3b534f57-8e7c-4acb-a13a-a0c413ba4d1a.jpeg", "Владимир Собченко: Ссылка на изображение")</f>
        <v>Владимир Собченко: Ссылка на изображение</v>
      </c>
      <c r="EL103" t="s">
        <v>589</v>
      </c>
      <c r="EM103" t="str">
        <f>HYPERLINK("https://d33htgqikc2pj4.cloudfront.net/226753f6b19fecc2cc502d8aec795e7b/84e8e37740497f791e8f1022f349be50-flattened.jpeg", "Владимир Собченко: Ссылка на изображение")</f>
        <v>Владимир Собченко: Ссылка на изображение</v>
      </c>
      <c r="EN103" t="s">
        <v>590</v>
      </c>
      <c r="EO103" t="str">
        <f>HYPERLINK("https://d33htgqikc2pj4.cloudfront.net/qvHDimMUqxZcQnsj/95478945-db28-45ba-85c3-0affb68c9d06.jpeg", "Владимир Собченко: Ссылка на изображение")</f>
        <v>Владимир Собченко: Ссылка на изображение</v>
      </c>
      <c r="EP103" t="s">
        <v>591</v>
      </c>
      <c r="EQ103" t="s">
        <v>525</v>
      </c>
      <c r="ER103" t="s">
        <v>592</v>
      </c>
      <c r="ES103" t="s">
        <v>486</v>
      </c>
      <c r="ET103" t="s">
        <v>487</v>
      </c>
      <c r="EU103" t="s">
        <v>488</v>
      </c>
    </row>
    <row r="104" spans="1:165" ht="15" customHeight="1" x14ac:dyDescent="0.35">
      <c r="A104">
        <v>1134</v>
      </c>
      <c r="B104" t="s">
        <v>593</v>
      </c>
      <c r="C104">
        <v>1</v>
      </c>
      <c r="D104" t="str">
        <f>VLOOKUP(source[[#This Row],[Приоритет]],тПриоритеты[],2,0)</f>
        <v>КРИТИЧЕСКОЕ</v>
      </c>
      <c r="E104" t="str">
        <f>IF(ISBLANK(source[[#This Row],[Проверенные]]),IF(ISBLANK(source[[#This Row],[Завершенные]]),source[[#This Row],[Приоритет_]],"Завершено"),"Проверено")</f>
        <v>КРИТИЧЕСКОЕ</v>
      </c>
      <c r="F104" t="s">
        <v>477</v>
      </c>
      <c r="G104" t="s">
        <v>478</v>
      </c>
      <c r="H104" t="e">
        <f>VLOOKUP(source[[#This Row],[Отвественный]],тОтветственные[],2,0)</f>
        <v>#N/A</v>
      </c>
      <c r="I104" s="2">
        <v>43861</v>
      </c>
      <c r="J104" s="2">
        <v>43865</v>
      </c>
      <c r="N104" t="s">
        <v>594</v>
      </c>
      <c r="S104" s="1">
        <v>43861.732407407406</v>
      </c>
      <c r="W104" s="1">
        <v>43862.629189814812</v>
      </c>
      <c r="EC104" t="s">
        <v>595</v>
      </c>
      <c r="ED104" t="s">
        <v>481</v>
      </c>
      <c r="EE104" t="str">
        <f>HYPERLINK("https://d33htgqikc2pj4.cloudfront.net/qvHDimMUqxZcQnsj/7ab92d62-cbd6-491a-bcc1-af0fde4864bd.jpeg", "Владимир Собченко: Ссылка на изображение")</f>
        <v>Владимир Собченко: Ссылка на изображение</v>
      </c>
      <c r="EF104" t="s">
        <v>596</v>
      </c>
      <c r="EG104" t="str">
        <f>HYPERLINK("https://d33htgqikc2pj4.cloudfront.net/qvHDimMUqxZcQnsj/66d95ed8-b34c-4d0f-86b1-16bc2d4919e5.jpeg", "Владимир Собченко: Ссылка на изображение")</f>
        <v>Владимир Собченко: Ссылка на изображение</v>
      </c>
      <c r="EH104" t="s">
        <v>597</v>
      </c>
      <c r="EI104" t="str">
        <f>HYPERLINK("https://d33htgqikc2pj4.cloudfront.net/qvHDimMUqxZcQnsj/e10512ff-84bb-4465-aaf3-c4f574666b65.jpeg", "Владимир Собченко: Ссылка на изображение")</f>
        <v>Владимир Собченко: Ссылка на изображение</v>
      </c>
      <c r="EJ104" t="s">
        <v>598</v>
      </c>
      <c r="EK104" t="str">
        <f>HYPERLINK("https://d33htgqikc2pj4.cloudfront.net/10740e096dd248fedd36caa20dccf249/fe72f57dac3217366fddd9f12896d774-flattened.jpeg", "Владимир Собченко: Ссылка на изображение")</f>
        <v>Владимир Собченко: Ссылка на изображение</v>
      </c>
      <c r="EL104" t="s">
        <v>599</v>
      </c>
      <c r="EM104" t="str">
        <f>HYPERLINK("https://d33htgqikc2pj4.cloudfront.net/qvHDimMUqxZcQnsj/ac98d1c2-d2f0-48b7-9c80-55eef9c390e4.jpeg", "Владимир Собченко: Ссылка на изображение")</f>
        <v>Владимир Собченко: Ссылка на изображение</v>
      </c>
      <c r="EN104" t="str">
        <f>HYPERLINK("https://d33htgqikc2pj4.cloudfront.net/qvHDimMUqxZcQnsj/60851c1a-4268-4808-b2e3-879e413e79c6.jpeg", "Владимир Собченко: Ссылка на изображение")</f>
        <v>Владимир Собченко: Ссылка на изображение</v>
      </c>
      <c r="EO104" t="s">
        <v>600</v>
      </c>
      <c r="EP104" t="str">
        <f>HYPERLINK("https://d33htgqikc2pj4.cloudfront.net/9431911990a0fcd5f1b87768830f31e2/3bf1e85f11b84ee90b5cee115dce4862-flattened.jpeg", "Владимир Собченко: Ссылка на изображение")</f>
        <v>Владимир Собченко: Ссылка на изображение</v>
      </c>
      <c r="EQ104" t="s">
        <v>601</v>
      </c>
      <c r="ER104" t="s">
        <v>486</v>
      </c>
      <c r="ES104" t="s">
        <v>487</v>
      </c>
      <c r="ET104" t="s">
        <v>488</v>
      </c>
    </row>
    <row r="105" spans="1:165" ht="15" customHeight="1" x14ac:dyDescent="0.35">
      <c r="A105">
        <v>1135</v>
      </c>
      <c r="B105" t="s">
        <v>602</v>
      </c>
      <c r="C105">
        <v>1</v>
      </c>
      <c r="D105" t="str">
        <f>VLOOKUP(source[[#This Row],[Приоритет]],тПриоритеты[],2,0)</f>
        <v>КРИТИЧЕСКОЕ</v>
      </c>
      <c r="E105" t="str">
        <f>IF(ISBLANK(source[[#This Row],[Проверенные]]),IF(ISBLANK(source[[#This Row],[Завершенные]]),source[[#This Row],[Приоритет_]],"Завершено"),"Проверено")</f>
        <v>КРИТИЧЕСКОЕ</v>
      </c>
      <c r="F105" t="s">
        <v>477</v>
      </c>
      <c r="G105" t="s">
        <v>478</v>
      </c>
      <c r="H105" t="e">
        <f>VLOOKUP(source[[#This Row],[Отвественный]],тОтветственные[],2,0)</f>
        <v>#N/A</v>
      </c>
      <c r="I105" s="2">
        <v>43861</v>
      </c>
      <c r="J105" s="2">
        <v>43865</v>
      </c>
      <c r="N105" t="s">
        <v>603</v>
      </c>
      <c r="S105" s="1">
        <v>43861.732407407406</v>
      </c>
      <c r="W105" s="1">
        <v>43862.629317129627</v>
      </c>
      <c r="EC105" t="s">
        <v>604</v>
      </c>
      <c r="ED105" t="s">
        <v>481</v>
      </c>
      <c r="EE105" t="str">
        <f>HYPERLINK("https://d33htgqikc2pj4.cloudfront.net/005e03af3cfadef983db87cf403acad7/b1a7b49eaf3274694d71246c191fb1ad-flattened.jpeg", "Владимир Собченко: Ссылка на изображение")</f>
        <v>Владимир Собченко: Ссылка на изображение</v>
      </c>
      <c r="EF105" t="s">
        <v>605</v>
      </c>
      <c r="EG105" t="str">
        <f>HYPERLINK("https://d33htgqikc2pj4.cloudfront.net/56fd13d408a4ed37bd0064ca05fa8292/603e47855c8b17a2c7c7bb1b0a56cdb1-flattened.jpeg", "Владимир Собченко: Ссылка на изображение")</f>
        <v>Владимир Собченко: Ссылка на изображение</v>
      </c>
      <c r="EH105" t="s">
        <v>606</v>
      </c>
      <c r="EI105" t="str">
        <f>HYPERLINK("https://d33htgqikc2pj4.cloudfront.net/d8625365dee2c1fd16e70169c7d97fd8/f33ea0914d06fcb12abc115b71ff63e6-flattened.jpeg", "Владимир Собченко: Ссылка на изображение")</f>
        <v>Владимир Собченко: Ссылка на изображение</v>
      </c>
      <c r="EJ105" t="s">
        <v>607</v>
      </c>
      <c r="EK105" t="s">
        <v>486</v>
      </c>
      <c r="EL105" t="s">
        <v>487</v>
      </c>
      <c r="EM105" t="s">
        <v>488</v>
      </c>
    </row>
    <row r="106" spans="1:165" ht="15" customHeight="1" x14ac:dyDescent="0.35">
      <c r="A106">
        <v>1145</v>
      </c>
      <c r="B106" t="s">
        <v>608</v>
      </c>
      <c r="C106">
        <v>1</v>
      </c>
      <c r="D106" t="str">
        <f>VLOOKUP(source[[#This Row],[Приоритет]],тПриоритеты[],2,0)</f>
        <v>КРИТИЧЕСКОЕ</v>
      </c>
      <c r="E106" t="str">
        <f>IF(ISBLANK(source[[#This Row],[Проверенные]]),IF(ISBLANK(source[[#This Row],[Завершенные]]),source[[#This Row],[Приоритет_]],"Завершено"),"Проверено")</f>
        <v>КРИТИЧЕСКОЕ</v>
      </c>
      <c r="F106" t="s">
        <v>477</v>
      </c>
      <c r="G106" t="s">
        <v>478</v>
      </c>
      <c r="H106" t="e">
        <f>VLOOKUP(source[[#This Row],[Отвественный]],тОтветственные[],2,0)</f>
        <v>#N/A</v>
      </c>
      <c r="I106" s="2">
        <v>43861</v>
      </c>
      <c r="J106" s="2">
        <v>43865</v>
      </c>
      <c r="N106" t="s">
        <v>609</v>
      </c>
      <c r="S106" s="1">
        <v>43861.732418981483</v>
      </c>
      <c r="W106" s="1">
        <v>43862.630648148152</v>
      </c>
      <c r="EC106" t="s">
        <v>610</v>
      </c>
      <c r="ED106" t="s">
        <v>481</v>
      </c>
      <c r="EE106" t="str">
        <f>HYPERLINK("https://d33htgqikc2pj4.cloudfront.net/qvHDimMUqxZcQnsj/7c651d16-829c-4de2-a0c5-e877f69da85a.jpeg", "Владимир Собченко: Ссылка на изображение")</f>
        <v>Владимир Собченко: Ссылка на изображение</v>
      </c>
      <c r="EF106" t="s">
        <v>611</v>
      </c>
      <c r="EG106" t="str">
        <f>HYPERLINK("https://d33htgqikc2pj4.cloudfront.net/c76205a00933fa6c8bdac5d78d8a51b3/3e1c8e09d06d752ecb874f22f712bcb5-flattened.jpeg", "Владимир Собченко: Ссылка на изображение")</f>
        <v>Владимир Собченко: Ссылка на изображение</v>
      </c>
      <c r="EH106" t="s">
        <v>612</v>
      </c>
      <c r="EI106" t="str">
        <f>HYPERLINK("https://d33htgqikc2pj4.cloudfront.net/qvHDimMUqxZcQnsj/aaf48f55-e5dd-40c3-af7d-669ae216d74c.jpeg", "Владимир Собченко: Ссылка на изображение")</f>
        <v>Владимир Собченко: Ссылка на изображение</v>
      </c>
      <c r="EJ106" t="str">
        <f>HYPERLINK("https://d33htgqikc2pj4.cloudfront.net/f6787551097068e86b6e285f6e92284e/c7db1a98079eac15426a4098c62b7d6c-flattened.jpeg", "Владимир Собченко: Ссылка на изображение")</f>
        <v>Владимир Собченко: Ссылка на изображение</v>
      </c>
      <c r="EK106" t="s">
        <v>613</v>
      </c>
      <c r="EL106" t="str">
        <f>HYPERLINK("https://d33htgqikc2pj4.cloudfront.net/qvHDimMUqxZcQnsj/d0841e88-bce4-4a20-9af9-f8c91c1d09b2.jpeg", "Владимир Собченко: Ссылка на изображение")</f>
        <v>Владимир Собченко: Ссылка на изображение</v>
      </c>
      <c r="EM106" t="s">
        <v>614</v>
      </c>
      <c r="EN106" t="str">
        <f>HYPERLINK("https://d33htgqikc2pj4.cloudfront.net/qvHDimMUqxZcQnsj/00201954-48e1-4441-a92a-22fb24ba675d.jpeg", "Владимир Собченко: Ссылка на изображение")</f>
        <v>Владимир Собченко: Ссылка на изображение</v>
      </c>
      <c r="EO106" t="s">
        <v>615</v>
      </c>
      <c r="EP106" t="str">
        <f>HYPERLINK("https://d33htgqikc2pj4.cloudfront.net/6de2bb116efce76a286a90317fb3e90c/da08177c823e54bc83365bacf2b9f435-flattened.jpeg", "Владимир Собченко: Ссылка на изображение")</f>
        <v>Владимир Собченко: Ссылка на изображение</v>
      </c>
      <c r="EQ106" t="s">
        <v>616</v>
      </c>
      <c r="ER106" t="str">
        <f>HYPERLINK("https://d33htgqikc2pj4.cloudfront.net/qvHDimMUqxZcQnsj/380d9e08-8ce0-461c-ab4d-6fedf848d767.jpeg", "Владимир Собченко: Ссылка на изображение")</f>
        <v>Владимир Собченко: Ссылка на изображение</v>
      </c>
      <c r="ES106" t="s">
        <v>617</v>
      </c>
      <c r="ET106" t="s">
        <v>618</v>
      </c>
      <c r="EU106" t="s">
        <v>486</v>
      </c>
      <c r="EV106" t="s">
        <v>487</v>
      </c>
      <c r="EW106" t="s">
        <v>488</v>
      </c>
    </row>
    <row r="107" spans="1:165" ht="15" customHeight="1" x14ac:dyDescent="0.35">
      <c r="A107">
        <v>1129</v>
      </c>
      <c r="B107" t="s">
        <v>619</v>
      </c>
      <c r="C107">
        <v>1</v>
      </c>
      <c r="D107" t="str">
        <f>VLOOKUP(source[[#This Row],[Приоритет]],тПриоритеты[],2,0)</f>
        <v>КРИТИЧЕСКОЕ</v>
      </c>
      <c r="E107" t="str">
        <f>IF(ISBLANK(source[[#This Row],[Проверенные]]),IF(ISBLANK(source[[#This Row],[Завершенные]]),source[[#This Row],[Приоритет_]],"Завершено"),"Проверено")</f>
        <v>КРИТИЧЕСКОЕ</v>
      </c>
      <c r="F107" t="s">
        <v>477</v>
      </c>
      <c r="G107" t="s">
        <v>478</v>
      </c>
      <c r="H107" t="e">
        <f>VLOOKUP(source[[#This Row],[Отвественный]],тОтветственные[],2,0)</f>
        <v>#N/A</v>
      </c>
      <c r="I107" s="2">
        <v>43861</v>
      </c>
      <c r="J107" s="2">
        <v>43865</v>
      </c>
      <c r="N107" t="s">
        <v>620</v>
      </c>
      <c r="S107" s="1">
        <v>43861.732395833336</v>
      </c>
      <c r="W107" s="1">
        <v>43862.62877314815</v>
      </c>
      <c r="EC107" t="s">
        <v>621</v>
      </c>
      <c r="ED107" t="s">
        <v>481</v>
      </c>
      <c r="EE107" t="str">
        <f>HYPERLINK("https://d33htgqikc2pj4.cloudfront.net/qvHDimMUqxZcQnsj/c6eae4c1-a71a-44d8-9b95-dbe94c8b2995.jpeg", "Владимир Собченко: Ссылка на изображение")</f>
        <v>Владимир Собченко: Ссылка на изображение</v>
      </c>
      <c r="EF107" t="s">
        <v>622</v>
      </c>
      <c r="EG107" t="str">
        <f>HYPERLINK("https://d33htgqikc2pj4.cloudfront.net/qvHDimMUqxZcQnsj/31cdb3da-c878-40df-b835-878ddfa495fb.jpeg", "Владимир Собченко: Ссылка на изображение")</f>
        <v>Владимир Собченко: Ссылка на изображение</v>
      </c>
      <c r="EH107" t="s">
        <v>623</v>
      </c>
      <c r="EI107" t="str">
        <f>HYPERLINK("https://d33htgqikc2pj4.cloudfront.net/qvHDimMUqxZcQnsj/cc7d3a2a-2e8f-4563-9058-c2eee1af3a88.jpeg", "Владимир Собченко: Ссылка на изображение")</f>
        <v>Владимир Собченко: Ссылка на изображение</v>
      </c>
      <c r="EJ107" t="s">
        <v>624</v>
      </c>
      <c r="EK107" t="str">
        <f>HYPERLINK("https://d33htgqikc2pj4.cloudfront.net/qvHDimMUqxZcQnsj/3d05e09f-ae6b-4864-a598-abb2c3a76398.jpeg", "Владимир Собченко: Ссылка на изображение")</f>
        <v>Владимир Собченко: Ссылка на изображение</v>
      </c>
      <c r="EL107" t="s">
        <v>625</v>
      </c>
      <c r="EM107" t="str">
        <f>HYPERLINK("https://d33htgqikc2pj4.cloudfront.net/qvHDimMUqxZcQnsj/a014b885-127e-4dbe-b660-95c612daca03.jpeg", "Владимир Собченко: Ссылка на изображение")</f>
        <v>Владимир Собченко: Ссылка на изображение</v>
      </c>
      <c r="EN107" t="s">
        <v>626</v>
      </c>
      <c r="EO107" t="str">
        <f>HYPERLINK("https://d33htgqikc2pj4.cloudfront.net/qvHDimMUqxZcQnsj/630f34a2-e8df-421d-990a-3425dd221f28.jpeg", "Владимир Собченко: Ссылка на изображение")</f>
        <v>Владимир Собченко: Ссылка на изображение</v>
      </c>
      <c r="EP107" t="s">
        <v>627</v>
      </c>
      <c r="EQ107" t="str">
        <f>HYPERLINK("https://d33htgqikc2pj4.cloudfront.net/qvHDimMUqxZcQnsj/7f94c0b3-3140-4245-92de-048b4eac34ce.jpeg", "Владимир Собченко: Ссылка на изображение")</f>
        <v>Владимир Собченко: Ссылка на изображение</v>
      </c>
      <c r="ER107" t="s">
        <v>628</v>
      </c>
      <c r="ES107" t="s">
        <v>486</v>
      </c>
      <c r="ET107" t="s">
        <v>487</v>
      </c>
      <c r="EU107" t="s">
        <v>488</v>
      </c>
    </row>
    <row r="108" spans="1:165" ht="15" customHeight="1" x14ac:dyDescent="0.35">
      <c r="A108">
        <v>1138</v>
      </c>
      <c r="B108" t="s">
        <v>629</v>
      </c>
      <c r="C108">
        <v>1</v>
      </c>
      <c r="D108" t="str">
        <f>VLOOKUP(source[[#This Row],[Приоритет]],тПриоритеты[],2,0)</f>
        <v>КРИТИЧЕСКОЕ</v>
      </c>
      <c r="E108" t="str">
        <f>IF(ISBLANK(source[[#This Row],[Проверенные]]),IF(ISBLANK(source[[#This Row],[Завершенные]]),source[[#This Row],[Приоритет_]],"Завершено"),"Проверено")</f>
        <v>КРИТИЧЕСКОЕ</v>
      </c>
      <c r="F108" t="s">
        <v>477</v>
      </c>
      <c r="G108" t="s">
        <v>478</v>
      </c>
      <c r="H108" t="e">
        <f>VLOOKUP(source[[#This Row],[Отвественный]],тОтветственные[],2,0)</f>
        <v>#N/A</v>
      </c>
      <c r="I108" s="2">
        <v>43861</v>
      </c>
      <c r="J108" s="2">
        <v>43865</v>
      </c>
      <c r="N108" t="s">
        <v>630</v>
      </c>
      <c r="S108" s="1">
        <v>43861.732407407406</v>
      </c>
      <c r="W108" s="1">
        <v>43862.629861111112</v>
      </c>
      <c r="EC108" t="s">
        <v>631</v>
      </c>
      <c r="ED108" t="s">
        <v>481</v>
      </c>
      <c r="EE108" t="str">
        <f>HYPERLINK("https://d33htgqikc2pj4.cloudfront.net/qvHDimMUqxZcQnsj/b11004fb-678c-4e93-a7a0-3e3878aa502b.jpeg", "Владимир Собченко: Ссылка на изображение")</f>
        <v>Владимир Собченко: Ссылка на изображение</v>
      </c>
      <c r="EF108" t="s">
        <v>492</v>
      </c>
      <c r="EG108" t="str">
        <f>HYPERLINK("https://d33htgqikc2pj4.cloudfront.net/32bea2c7d135bc45cddc15415139a328/ca6bc43db830cdb041439cfe871ebbce-flattened.jpeg", "Владимир Собченко: Ссылка на изображение")</f>
        <v>Владимир Собченко: Ссылка на изображение</v>
      </c>
      <c r="EH108" t="s">
        <v>632</v>
      </c>
      <c r="EI108" t="str">
        <f>HYPERLINK("https://d33htgqikc2pj4.cloudfront.net/807d7c4eb89ba02c641d99bc00e32df8/7897b7356178318597e644122036eb0a-flattened.jpeg", "Владимир Собченко: Ссылка на изображение")</f>
        <v>Владимир Собченко: Ссылка на изображение</v>
      </c>
      <c r="EJ108" t="s">
        <v>633</v>
      </c>
      <c r="EK108" t="s">
        <v>486</v>
      </c>
      <c r="EL108" t="s">
        <v>487</v>
      </c>
      <c r="EM108" t="s">
        <v>488</v>
      </c>
    </row>
    <row r="109" spans="1:165" ht="15" customHeight="1" x14ac:dyDescent="0.35">
      <c r="A109">
        <v>1143</v>
      </c>
      <c r="B109" t="s">
        <v>634</v>
      </c>
      <c r="C109">
        <v>1</v>
      </c>
      <c r="D109" t="str">
        <f>VLOOKUP(source[[#This Row],[Приоритет]],тПриоритеты[],2,0)</f>
        <v>КРИТИЧЕСКОЕ</v>
      </c>
      <c r="E109" t="str">
        <f>IF(ISBLANK(source[[#This Row],[Проверенные]]),IF(ISBLANK(source[[#This Row],[Завершенные]]),source[[#This Row],[Приоритет_]],"Завершено"),"Проверено")</f>
        <v>КРИТИЧЕСКОЕ</v>
      </c>
      <c r="F109" t="s">
        <v>477</v>
      </c>
      <c r="G109" t="s">
        <v>478</v>
      </c>
      <c r="H109" t="e">
        <f>VLOOKUP(source[[#This Row],[Отвественный]],тОтветственные[],2,0)</f>
        <v>#N/A</v>
      </c>
      <c r="I109" s="2">
        <v>43861</v>
      </c>
      <c r="J109" s="2">
        <v>43865</v>
      </c>
      <c r="N109" t="s">
        <v>635</v>
      </c>
      <c r="S109" s="1">
        <v>43861.732407407406</v>
      </c>
      <c r="W109" s="1">
        <v>43862.630312499998</v>
      </c>
      <c r="EC109" t="s">
        <v>636</v>
      </c>
      <c r="ED109" t="s">
        <v>481</v>
      </c>
      <c r="EE109" t="str">
        <f>HYPERLINK("https://d33htgqikc2pj4.cloudfront.net/qvHDimMUqxZcQnsj/9cb0fc89-dfcb-4ec8-bb2b-a1668b5c35ed.jpeg", "Владимир Собченко: Ссылка на изображение")</f>
        <v>Владимир Собченко: Ссылка на изображение</v>
      </c>
      <c r="EF109" t="s">
        <v>637</v>
      </c>
      <c r="EG109" t="str">
        <f>HYPERLINK("https://d33htgqikc2pj4.cloudfront.net/af9e89df94782f5313b3c57b01e299af/67b043804364e70ed9229d595f9bdd4f-flattened.jpeg", "Владимир Собченко: Ссылка на изображение")</f>
        <v>Владимир Собченко: Ссылка на изображение</v>
      </c>
      <c r="EH109" t="s">
        <v>638</v>
      </c>
      <c r="EI109" t="str">
        <f>HYPERLINK("https://d33htgqikc2pj4.cloudfront.net/qvHDimMUqxZcQnsj/a452cf90-5a16-4321-b7a7-2f7fb9fd2d27.jpeg", "Владимир Собченко: Ссылка на изображение")</f>
        <v>Владимир Собченко: Ссылка на изображение</v>
      </c>
      <c r="EJ109" t="s">
        <v>639</v>
      </c>
      <c r="EK109" t="str">
        <f>HYPERLINK("https://d33htgqikc2pj4.cloudfront.net/qvHDimMUqxZcQnsj/dd454547-d369-425b-9a29-7088be21ed09.jpeg", "Владимир Собченко: Ссылка на изображение")</f>
        <v>Владимир Собченко: Ссылка на изображение</v>
      </c>
      <c r="EL109" t="s">
        <v>640</v>
      </c>
      <c r="EM109" t="s">
        <v>486</v>
      </c>
      <c r="EN109" t="s">
        <v>487</v>
      </c>
      <c r="EO109" t="s">
        <v>641</v>
      </c>
      <c r="EP109" t="s">
        <v>488</v>
      </c>
    </row>
    <row r="110" spans="1:165" ht="15" customHeight="1" x14ac:dyDescent="0.35">
      <c r="A110">
        <v>1140</v>
      </c>
      <c r="B110" t="s">
        <v>642</v>
      </c>
      <c r="C110">
        <v>1</v>
      </c>
      <c r="D110" t="str">
        <f>VLOOKUP(source[[#This Row],[Приоритет]],тПриоритеты[],2,0)</f>
        <v>КРИТИЧЕСКОЕ</v>
      </c>
      <c r="E110" t="str">
        <f>IF(ISBLANK(source[[#This Row],[Проверенные]]),IF(ISBLANK(source[[#This Row],[Завершенные]]),source[[#This Row],[Приоритет_]],"Завершено"),"Проверено")</f>
        <v>КРИТИЧЕСКОЕ</v>
      </c>
      <c r="F110" t="s">
        <v>477</v>
      </c>
      <c r="G110" t="s">
        <v>478</v>
      </c>
      <c r="H110" t="e">
        <f>VLOOKUP(source[[#This Row],[Отвественный]],тОтветственные[],2,0)</f>
        <v>#N/A</v>
      </c>
      <c r="I110" s="2">
        <v>43861</v>
      </c>
      <c r="J110" s="2">
        <v>43865</v>
      </c>
      <c r="N110" t="s">
        <v>643</v>
      </c>
      <c r="S110" s="1">
        <v>43861.732407407406</v>
      </c>
      <c r="W110" s="1">
        <v>43862.632141203707</v>
      </c>
      <c r="EC110" t="s">
        <v>644</v>
      </c>
      <c r="ED110" t="s">
        <v>481</v>
      </c>
      <c r="EE110" t="str">
        <f>HYPERLINK("https://d33htgqikc2pj4.cloudfront.net/qvHDimMUqxZcQnsj/c7cd65c5-f351-4fed-bf1d-aad7640a9e25.jpeg", "Владимир Собченко: Ссылка на изображение")</f>
        <v>Владимир Собченко: Ссылка на изображение</v>
      </c>
      <c r="EF110" t="s">
        <v>645</v>
      </c>
      <c r="EG110" t="str">
        <f>HYPERLINK("https://d33htgqikc2pj4.cloudfront.net/92c19cf1f78f39677b79189870fb5bc9/bf9c517f18b0b3a4714eb1fe7ad0f1cf-flattened.jpeg", "Владимир Собченко: Ссылка на изображение")</f>
        <v>Владимир Собченко: Ссылка на изображение</v>
      </c>
      <c r="EH110" t="s">
        <v>646</v>
      </c>
      <c r="EI110" t="str">
        <f>HYPERLINK("https://d33htgqikc2pj4.cloudfront.net/d55c03033588637b278fc1aa30018135/14fb4911007f757539db60bbf052c642-flattened.jpeg", "Владимир Собченко: Ссылка на изображение")</f>
        <v>Владимир Собченко: Ссылка на изображение</v>
      </c>
      <c r="EJ110" t="str">
        <f>HYPERLINK("https://d33htgqikc2pj4.cloudfront.net/027faafae5a4f3c54da515f168af0428/e88120abc91bbe6a7434323768c5c4d8-flattened.jpeg", "Владимир Собченко: Ссылка на изображение")</f>
        <v>Владимир Собченко: Ссылка на изображение</v>
      </c>
      <c r="EK110" t="s">
        <v>647</v>
      </c>
      <c r="EL110" t="str">
        <f>HYPERLINK("https://d33htgqikc2pj4.cloudfront.net/qvHDimMUqxZcQnsj/e0b3dfb6-8793-4e0c-b1a0-ed9939e1e2f2.jpeg", "Владимир Собченко: Ссылка на изображение")</f>
        <v>Владимир Собченко: Ссылка на изображение</v>
      </c>
      <c r="EM110" t="s">
        <v>648</v>
      </c>
      <c r="EN110" t="str">
        <f>HYPERLINK("https://d33htgqikc2pj4.cloudfront.net/431b305cd14d04d3dab8477669a8680e/c6317f72716d583a2d95679d8982692f-flattened.jpeg", "Владимир Собченко: Ссылка на изображение")</f>
        <v>Владимир Собченко: Ссылка на изображение</v>
      </c>
      <c r="EO110" t="s">
        <v>649</v>
      </c>
      <c r="EP110" t="s">
        <v>650</v>
      </c>
      <c r="EQ110" t="s">
        <v>486</v>
      </c>
      <c r="ER110" t="s">
        <v>487</v>
      </c>
      <c r="ES110" t="s">
        <v>488</v>
      </c>
    </row>
    <row r="111" spans="1:165" ht="15" customHeight="1" x14ac:dyDescent="0.35">
      <c r="A111">
        <v>1132</v>
      </c>
      <c r="B111" t="s">
        <v>651</v>
      </c>
      <c r="C111">
        <v>1</v>
      </c>
      <c r="D111" t="str">
        <f>VLOOKUP(source[[#This Row],[Приоритет]],тПриоритеты[],2,0)</f>
        <v>КРИТИЧЕСКОЕ</v>
      </c>
      <c r="E111" t="str">
        <f>IF(ISBLANK(source[[#This Row],[Проверенные]]),IF(ISBLANK(source[[#This Row],[Завершенные]]),source[[#This Row],[Приоритет_]],"Завершено"),"Проверено")</f>
        <v>КРИТИЧЕСКОЕ</v>
      </c>
      <c r="F111" t="s">
        <v>477</v>
      </c>
      <c r="G111" t="s">
        <v>478</v>
      </c>
      <c r="H111" t="e">
        <f>VLOOKUP(source[[#This Row],[Отвественный]],тОтветственные[],2,0)</f>
        <v>#N/A</v>
      </c>
      <c r="I111" s="2">
        <v>43861</v>
      </c>
      <c r="J111" s="2">
        <v>43865</v>
      </c>
      <c r="N111" t="s">
        <v>652</v>
      </c>
      <c r="S111" s="1">
        <v>43861.732395833336</v>
      </c>
      <c r="W111" s="1">
        <v>43862.629004629627</v>
      </c>
      <c r="EC111" t="s">
        <v>653</v>
      </c>
      <c r="ED111" t="str">
        <f>HYPERLINK("https://d33htgqikc2pj4.cloudfront.net/02bcfec84c86ed1063f9e418352ac64d/0e2840020e31ca6a8989a29ca4622f0a-flattened.jpeg", "Владимир Собченко: Ссылка на изображение")</f>
        <v>Владимир Собченко: Ссылка на изображение</v>
      </c>
      <c r="EE111" t="s">
        <v>654</v>
      </c>
      <c r="EF111" t="str">
        <f>HYPERLINK("https://d33htgqikc2pj4.cloudfront.net/bd9785a1790bb1b64dac3a0489b3d9c8/b1d902a5c5e4871feca4da27263a1199-flattened.jpeg", "Владимир Собченко: Ссылка на изображение")</f>
        <v>Владимир Собченко: Ссылка на изображение</v>
      </c>
      <c r="EG111" t="s">
        <v>655</v>
      </c>
      <c r="EH111" t="str">
        <f>HYPERLINK("https://d33htgqikc2pj4.cloudfront.net/qvHDimMUqxZcQnsj/ce02be6b-5cdf-4baa-b860-82d6cb592795.jpeg", "Владимир Собченко: Ссылка на изображение")</f>
        <v>Владимир Собченко: Ссылка на изображение</v>
      </c>
      <c r="EI111" t="s">
        <v>656</v>
      </c>
      <c r="EJ111" t="str">
        <f>HYPERLINK("https://d33htgqikc2pj4.cloudfront.net/qvHDimMUqxZcQnsj/1e3d30e4-47dd-4112-a880-ad0ee1430a6d.jpeg", "Владимир Собченко: Ссылка на изображение")</f>
        <v>Владимир Собченко: Ссылка на изображение</v>
      </c>
      <c r="EK111" t="s">
        <v>657</v>
      </c>
      <c r="EL111" t="str">
        <f>HYPERLINK("https://d33htgqikc2pj4.cloudfront.net/qvHDimMUqxZcQnsj/5bd96797-f51d-48ed-a8c7-fb2832f1bff7.jpeg", "Владимир Собченко: Ссылка на изображение")</f>
        <v>Владимир Собченко: Ссылка на изображение</v>
      </c>
      <c r="EM111" t="s">
        <v>658</v>
      </c>
      <c r="EN111" t="str">
        <f>HYPERLINK("https://d33htgqikc2pj4.cloudfront.net/qvHDimMUqxZcQnsj/b435c584-a007-4c50-bb74-86e3b4331409.jpeg", "Владимир Собченко: Ссылка на изображение")</f>
        <v>Владимир Собченко: Ссылка на изображение</v>
      </c>
      <c r="EO111" t="s">
        <v>659</v>
      </c>
      <c r="EP111" t="str">
        <f>HYPERLINK("https://d33htgqikc2pj4.cloudfront.net/qvHDimMUqxZcQnsj/fc8b31ee-010f-496d-818f-2569c532b00a.jpeg", "Владимир Собченко: Ссылка на изображение")</f>
        <v>Владимир Собченко: Ссылка на изображение</v>
      </c>
      <c r="EQ111" t="s">
        <v>660</v>
      </c>
      <c r="ER111" t="str">
        <f>HYPERLINK("https://d33htgqikc2pj4.cloudfront.net/qvHDimMUqxZcQnsj/9663f29e-0a75-43af-afa1-f150e3efe611.jpeg", "Владимир Собченко: Ссылка на изображение")</f>
        <v>Владимир Собченко: Ссылка на изображение</v>
      </c>
      <c r="ES111" t="s">
        <v>661</v>
      </c>
      <c r="ET111" t="s">
        <v>481</v>
      </c>
      <c r="EU111" t="s">
        <v>486</v>
      </c>
      <c r="EV111" t="s">
        <v>487</v>
      </c>
      <c r="EW111" t="s">
        <v>488</v>
      </c>
    </row>
    <row r="112" spans="1:165" ht="15" customHeight="1" x14ac:dyDescent="0.35">
      <c r="A112">
        <v>1136</v>
      </c>
      <c r="B112" t="s">
        <v>662</v>
      </c>
      <c r="C112">
        <v>1</v>
      </c>
      <c r="D112" t="str">
        <f>VLOOKUP(source[[#This Row],[Приоритет]],тПриоритеты[],2,0)</f>
        <v>КРИТИЧЕСКОЕ</v>
      </c>
      <c r="E112" t="str">
        <f>IF(ISBLANK(source[[#This Row],[Проверенные]]),IF(ISBLANK(source[[#This Row],[Завершенные]]),source[[#This Row],[Приоритет_]],"Завершено"),"Проверено")</f>
        <v>КРИТИЧЕСКОЕ</v>
      </c>
      <c r="F112" t="s">
        <v>477</v>
      </c>
      <c r="G112" t="s">
        <v>478</v>
      </c>
      <c r="H112" t="e">
        <f>VLOOKUP(source[[#This Row],[Отвественный]],тОтветственные[],2,0)</f>
        <v>#N/A</v>
      </c>
      <c r="I112" s="2">
        <v>43861</v>
      </c>
      <c r="J112" s="2">
        <v>43865</v>
      </c>
      <c r="N112" t="s">
        <v>663</v>
      </c>
      <c r="S112" s="1">
        <v>43861.732407407406</v>
      </c>
      <c r="W112" s="1">
        <v>43862.629421296297</v>
      </c>
      <c r="EC112" t="s">
        <v>664</v>
      </c>
      <c r="ED112" t="s">
        <v>481</v>
      </c>
      <c r="EE112" t="str">
        <f>HYPERLINK("https://d33htgqikc2pj4.cloudfront.net/qvHDimMUqxZcQnsj/f48832b3-c367-4a10-b135-4ff41f747b54.jpeg", "Владимир Собченко: Ссылка на изображение")</f>
        <v>Владимир Собченко: Ссылка на изображение</v>
      </c>
      <c r="EF112" t="s">
        <v>665</v>
      </c>
      <c r="EG112" t="s">
        <v>486</v>
      </c>
      <c r="EH112" t="s">
        <v>487</v>
      </c>
      <c r="EI112" t="s">
        <v>488</v>
      </c>
    </row>
    <row r="113" spans="1:181" ht="15" customHeight="1" x14ac:dyDescent="0.35">
      <c r="A113">
        <v>1142</v>
      </c>
      <c r="B113" t="s">
        <v>666</v>
      </c>
      <c r="C113">
        <v>1</v>
      </c>
      <c r="D113" t="str">
        <f>VLOOKUP(source[[#This Row],[Приоритет]],тПриоритеты[],2,0)</f>
        <v>КРИТИЧЕСКОЕ</v>
      </c>
      <c r="E113" t="str">
        <f>IF(ISBLANK(source[[#This Row],[Проверенные]]),IF(ISBLANK(source[[#This Row],[Завершенные]]),source[[#This Row],[Приоритет_]],"Завершено"),"Проверено")</f>
        <v>КРИТИЧЕСКОЕ</v>
      </c>
      <c r="F113" t="s">
        <v>477</v>
      </c>
      <c r="G113" t="s">
        <v>478</v>
      </c>
      <c r="H113" t="e">
        <f>VLOOKUP(source[[#This Row],[Отвественный]],тОтветственные[],2,0)</f>
        <v>#N/A</v>
      </c>
      <c r="I113" s="2">
        <v>43861</v>
      </c>
      <c r="J113" s="2">
        <v>43865</v>
      </c>
      <c r="N113" t="s">
        <v>667</v>
      </c>
      <c r="S113" s="1">
        <v>43861.732407407406</v>
      </c>
      <c r="W113" s="1">
        <v>43862.630162037036</v>
      </c>
      <c r="EC113" t="s">
        <v>668</v>
      </c>
      <c r="ED113" t="s">
        <v>481</v>
      </c>
      <c r="EE113" t="str">
        <f>HYPERLINK("https://d33htgqikc2pj4.cloudfront.net/qvHDimMUqxZcQnsj/f3d8951c-70af-475d-8de4-28f5dab40dd3.jpeg", "Владимир Собченко: Ссылка на изображение")</f>
        <v>Владимир Собченко: Ссылка на изображение</v>
      </c>
      <c r="EF113" t="s">
        <v>669</v>
      </c>
      <c r="EG113" t="str">
        <f>HYPERLINK("https://d33htgqikc2pj4.cloudfront.net/qvHDimMUqxZcQnsj/865f2496-415b-45da-a80c-edf0cc6bf7e8.jpeg", "Владимир Собченко: Ссылка на изображение")</f>
        <v>Владимир Собченко: Ссылка на изображение</v>
      </c>
      <c r="EH113" t="s">
        <v>632</v>
      </c>
      <c r="EI113" t="str">
        <f>HYPERLINK("https://d33htgqikc2pj4.cloudfront.net/qvHDimMUqxZcQnsj/51baaf27-e815-46e4-88fd-cffb0513de02.jpeg", "Владимир Собченко: Ссылка на изображение")</f>
        <v>Владимир Собченко: Ссылка на изображение</v>
      </c>
      <c r="EJ113" t="s">
        <v>532</v>
      </c>
      <c r="EK113" t="str">
        <f>HYPERLINK("https://d33htgqikc2pj4.cloudfront.net/qvHDimMUqxZcQnsj/bf7922bd-3f7e-4e21-aad0-ef49881f5a78.jpeg", "Владимир Собченко: Ссылка на изображение")</f>
        <v>Владимир Собченко: Ссылка на изображение</v>
      </c>
      <c r="EL113" t="s">
        <v>670</v>
      </c>
      <c r="EM113" t="str">
        <f>HYPERLINK("https://d33htgqikc2pj4.cloudfront.net/qvHDimMUqxZcQnsj/fa5a4ff1-a360-4503-b9bf-d88352431144.jpeg", "Владимир Собченко: Ссылка на изображение")</f>
        <v>Владимир Собченко: Ссылка на изображение</v>
      </c>
      <c r="EN113" t="s">
        <v>671</v>
      </c>
      <c r="EO113" t="s">
        <v>672</v>
      </c>
      <c r="EP113" t="s">
        <v>673</v>
      </c>
      <c r="EQ113" t="s">
        <v>674</v>
      </c>
      <c r="ER113" t="s">
        <v>673</v>
      </c>
      <c r="ES113" t="s">
        <v>486</v>
      </c>
      <c r="ET113" t="s">
        <v>487</v>
      </c>
      <c r="EU113" t="s">
        <v>675</v>
      </c>
      <c r="EV113" t="s">
        <v>488</v>
      </c>
    </row>
    <row r="114" spans="1:181" ht="15" customHeight="1" x14ac:dyDescent="0.35">
      <c r="A114">
        <v>1116</v>
      </c>
      <c r="B114" t="s">
        <v>676</v>
      </c>
      <c r="C114">
        <v>2</v>
      </c>
      <c r="D114" t="str">
        <f>VLOOKUP(source[[#This Row],[Приоритет]],тПриоритеты[],2,0)</f>
        <v>Значительное</v>
      </c>
      <c r="E114" t="str">
        <f>IF(ISBLANK(source[[#This Row],[Проверенные]]),IF(ISBLANK(source[[#This Row],[Завершенные]]),source[[#This Row],[Приоритет_]],"Завершено"),"Проверено")</f>
        <v>Значительное</v>
      </c>
      <c r="F114" t="s">
        <v>477</v>
      </c>
      <c r="G114" t="s">
        <v>478</v>
      </c>
      <c r="H114" t="e">
        <f>VLOOKUP(source[[#This Row],[Отвественный]],тОтветственные[],2,0)</f>
        <v>#N/A</v>
      </c>
      <c r="I114" s="2">
        <v>43860</v>
      </c>
      <c r="J114" s="2">
        <v>43860</v>
      </c>
      <c r="K114" t="s">
        <v>551</v>
      </c>
      <c r="L114">
        <v>12.87</v>
      </c>
      <c r="M114">
        <v>48.69</v>
      </c>
      <c r="Q114" t="s">
        <v>553</v>
      </c>
      <c r="R114" t="str">
        <f>HYPERLINK("https://d28ji4sm1vmprj.cloudfront.net/47cb6f02068fc3e07c53bc8f5f14784f/658e908f68c4c8f517a24198c7f73efe.jpeg", "Ссылка на план")</f>
        <v>Ссылка на план</v>
      </c>
      <c r="S114" s="1">
        <v>43860.493449074071</v>
      </c>
      <c r="W114" s="1">
        <v>43860.511701388888</v>
      </c>
      <c r="EC114" t="s">
        <v>677</v>
      </c>
      <c r="ED114" t="str">
        <f>HYPERLINK("https://d33htgqikc2pj4.cloudfront.net/c46e94c7-b193-4817-8e1b-aaad72b60b5e.jpeg", "Александр Светашов: Ссылка на изображение")</f>
        <v>Александр Светашов: Ссылка на изображение</v>
      </c>
      <c r="EE114" t="s">
        <v>678</v>
      </c>
      <c r="EF114" t="str">
        <f>HYPERLINK("https://d33htgqikc2pj4.cloudfront.net/74c7fd16-f3ee-47e5-8a65-58ff80abe4e6.jpeg", "Александр Светашов: Ссылка на изображение")</f>
        <v>Александр Светашов: Ссылка на изображение</v>
      </c>
      <c r="EG114" t="s">
        <v>679</v>
      </c>
      <c r="EH114" t="str">
        <f>HYPERLINK("https://d33htgqikc2pj4.cloudfront.net/d0e54b41-06d0-46a8-932d-0ac84018a734.jpeg", "Александр Светашов: Ссылка на изображение")</f>
        <v>Александр Светашов: Ссылка на изображение</v>
      </c>
      <c r="EI114" t="s">
        <v>680</v>
      </c>
      <c r="EJ114" t="str">
        <f>HYPERLINK("https://d33htgqikc2pj4.cloudfront.net/eed64ed8-817d-4828-a686-40fc60f811ee.jpeg", "Александр Светашов: Ссылка на изображение")</f>
        <v>Александр Светашов: Ссылка на изображение</v>
      </c>
      <c r="EK114" t="s">
        <v>681</v>
      </c>
      <c r="EL114" t="str">
        <f>HYPERLINK("https://d33htgqikc2pj4.cloudfront.net/f9558f19-0602-43e9-9fa7-09c69365051f.jpeg", "Александр Светашов: Ссылка на изображение")</f>
        <v>Александр Светашов: Ссылка на изображение</v>
      </c>
      <c r="EM114" t="s">
        <v>682</v>
      </c>
      <c r="EN114" t="str">
        <f>HYPERLINK("https://d33htgqikc2pj4.cloudfront.net/b9d543a8-f16c-4e07-989b-1ff570244444.jpeg", "Александр Светашов: Ссылка на изображение")</f>
        <v>Александр Светашов: Ссылка на изображение</v>
      </c>
      <c r="EO114" t="s">
        <v>683</v>
      </c>
      <c r="EP114" t="str">
        <f>HYPERLINK("https://d33htgqikc2pj4.cloudfront.net/442a91d8-f711-46ce-89b4-02230e890da3.jpeg", "Александр Светашов: Ссылка на изображение")</f>
        <v>Александр Светашов: Ссылка на изображение</v>
      </c>
      <c r="EQ114" t="str">
        <f>HYPERLINK("https://d33htgqikc2pj4.cloudfront.net/8cff51a0-ed4f-40b3-a9fb-9ba3c7fc0013.jpeg", "Александр Светашов: Ссылка на изображение")</f>
        <v>Александр Светашов: Ссылка на изображение</v>
      </c>
      <c r="ER114" t="str">
        <f>HYPERLINK("https://d33htgqikc2pj4.cloudfront.net/cdaa192e-a9c8-4915-8497-f8275b3eb683.jpeg", "Александр Светашов: Ссылка на изображение")</f>
        <v>Александр Светашов: Ссылка на изображение</v>
      </c>
      <c r="ES114" t="s">
        <v>684</v>
      </c>
      <c r="ET114" t="str">
        <f>HYPERLINK("https://d33htgqikc2pj4.cloudfront.net/88910a52-8a12-4a69-a65e-ed56d4c727e5.jpeg", "Александр Светашов: Ссылка на изображение")</f>
        <v>Александр Светашов: Ссылка на изображение</v>
      </c>
      <c r="EU114" t="s">
        <v>685</v>
      </c>
      <c r="EV114" t="str">
        <f>HYPERLINK("https://d33htgqikc2pj4.cloudfront.net/fa628750-a4c2-4378-985c-397390dcb675.jpeg", "Александр Светашов: Ссылка на изображение")</f>
        <v>Александр Светашов: Ссылка на изображение</v>
      </c>
      <c r="EW114" t="str">
        <f>HYPERLINK("https://d33htgqikc2pj4.cloudfront.net/300589f6-2866-4da4-92bf-e7b343457dcf.jpeg", "Александр Светашов: Ссылка на изображение")</f>
        <v>Александр Светашов: Ссылка на изображение</v>
      </c>
      <c r="EX114" t="s">
        <v>686</v>
      </c>
      <c r="EY114" t="str">
        <f>HYPERLINK("https://d33htgqikc2pj4.cloudfront.net/18a08a13-7cac-4de9-960e-7702cffb40cf.jpeg", "Александр Светашов: Ссылка на изображение")</f>
        <v>Александр Светашов: Ссылка на изображение</v>
      </c>
      <c r="EZ114" t="str">
        <f>HYPERLINK("https://d33htgqikc2pj4.cloudfront.net/50fab299-57ab-41cb-9a23-00d23a957f71.jpeg", "Александр Светашов: Ссылка на изображение")</f>
        <v>Александр Светашов: Ссылка на изображение</v>
      </c>
      <c r="FA114" t="s">
        <v>687</v>
      </c>
      <c r="FB114" t="str">
        <f>HYPERLINK("https://d33htgqikc2pj4.cloudfront.net/150fba5f-749b-46b4-a94a-90d0f397bcf8.jpeg", "Александр Светашов: Ссылка на изображение")</f>
        <v>Александр Светашов: Ссылка на изображение</v>
      </c>
      <c r="FC114" t="s">
        <v>688</v>
      </c>
      <c r="FD114" t="str">
        <f>HYPERLINK("https://d33htgqikc2pj4.cloudfront.net/6cbdcabf-c00d-451e-95b6-438df4b0c780.jpeg", "Александр Светашов: Ссылка на изображение")</f>
        <v>Александр Светашов: Ссылка на изображение</v>
      </c>
      <c r="FE114" t="s">
        <v>689</v>
      </c>
      <c r="FF114" t="str">
        <f>HYPERLINK("https://d33htgqikc2pj4.cloudfront.net/6dad8807-bcb7-4b6e-b2e5-61f34085cff8.jpeg", "Александр Светашов: Ссылка на изображение")</f>
        <v>Александр Светашов: Ссылка на изображение</v>
      </c>
      <c r="FG114" t="s">
        <v>690</v>
      </c>
      <c r="FH114" t="str">
        <f>HYPERLINK("https://d33htgqikc2pj4.cloudfront.net/00221112-2762-4968-8e73-a7743eacbdfa.jpeg", "Александр Светашов: Ссылка на изображение")</f>
        <v>Александр Светашов: Ссылка на изображение</v>
      </c>
      <c r="FI114" t="s">
        <v>691</v>
      </c>
      <c r="FJ114" t="str">
        <f>HYPERLINK("https://d33htgqikc2pj4.cloudfront.net/d12241bc-79c9-45a6-a8a6-507e9fa5beb7.jpeg", "Александр Светашов: Ссылка на изображение")</f>
        <v>Александр Светашов: Ссылка на изображение</v>
      </c>
      <c r="FK114" t="s">
        <v>692</v>
      </c>
      <c r="FL114" t="str">
        <f>HYPERLINK("https://d33htgqikc2pj4.cloudfront.net/b7d8b0b6-739a-43ab-a382-3f836cd998ac.jpeg", "Александр Светашов: Ссылка на изображение")</f>
        <v>Александр Светашов: Ссылка на изображение</v>
      </c>
      <c r="FM114" t="s">
        <v>693</v>
      </c>
      <c r="FN114" t="str">
        <f>HYPERLINK("https://d33htgqikc2pj4.cloudfront.net/c22d6d8a-b774-4415-b63a-39bb32f0f4bb.jpeg", "Александр Светашов: Ссылка на изображение")</f>
        <v>Александр Светашов: Ссылка на изображение</v>
      </c>
      <c r="FO114" t="str">
        <f>HYPERLINK("https://d33htgqikc2pj4.cloudfront.net/78b15786-43f5-4943-9663-993aa94fa62c.jpeg", "Александр Светашов: Ссылка на изображение")</f>
        <v>Александр Светашов: Ссылка на изображение</v>
      </c>
      <c r="FP114" t="s">
        <v>694</v>
      </c>
      <c r="FQ114" t="str">
        <f>HYPERLINK("https://d33htgqikc2pj4.cloudfront.net/42369c88-a89f-4512-a74b-36c11bdc9b8a.jpeg", "Александр Светашов: Ссылка на изображение")</f>
        <v>Александр Светашов: Ссылка на изображение</v>
      </c>
      <c r="FR114" t="s">
        <v>695</v>
      </c>
      <c r="FS114" t="str">
        <f>HYPERLINK("https://d33htgqikc2pj4.cloudfront.net/d2b729c6-1fba-4c38-8ac5-6c3d31d5b321.jpeg", "Александр Светашов: Ссылка на изображение")</f>
        <v>Александр Светашов: Ссылка на изображение</v>
      </c>
      <c r="FT114" t="s">
        <v>696</v>
      </c>
      <c r="FU114" t="str">
        <f>HYPERLINK("https://d33htgqikc2pj4.cloudfront.net/68bb6e1c-53ab-4845-ac95-77d33c4d8ee6.jpeg", "Александр Светашов: Ссылка на изображение")</f>
        <v>Александр Светашов: Ссылка на изображение</v>
      </c>
      <c r="FV114" t="str">
        <f>HYPERLINK("https://d33htgqikc2pj4.cloudfront.net/b5ac8a78-28f7-45f7-8bde-5d2ac606b693.jpeg", "Александр Светашов: Ссылка на изображение")</f>
        <v>Александр Светашов: Ссылка на изображение</v>
      </c>
      <c r="FW114" t="s">
        <v>697</v>
      </c>
      <c r="FX114" t="s">
        <v>698</v>
      </c>
      <c r="FY114" t="s">
        <v>699</v>
      </c>
    </row>
    <row r="115" spans="1:181" ht="15" customHeight="1" x14ac:dyDescent="0.35">
      <c r="A115">
        <v>1118</v>
      </c>
      <c r="B115" t="s">
        <v>700</v>
      </c>
      <c r="C115">
        <v>2</v>
      </c>
      <c r="D115" t="str">
        <f>VLOOKUP(source[[#This Row],[Приоритет]],тПриоритеты[],2,0)</f>
        <v>Значительное</v>
      </c>
      <c r="E115" t="str">
        <f>IF(ISBLANK(source[[#This Row],[Проверенные]]),IF(ISBLANK(source[[#This Row],[Завершенные]]),source[[#This Row],[Приоритет_]],"Завершено"),"Проверено")</f>
        <v>Значительное</v>
      </c>
      <c r="F115" t="s">
        <v>477</v>
      </c>
      <c r="G115" t="s">
        <v>478</v>
      </c>
      <c r="H115" t="e">
        <f>VLOOKUP(source[[#This Row],[Отвественный]],тОтветственные[],2,0)</f>
        <v>#N/A</v>
      </c>
      <c r="I115" s="2">
        <v>43860</v>
      </c>
      <c r="J115" s="2">
        <v>43860</v>
      </c>
      <c r="K115" t="s">
        <v>551</v>
      </c>
      <c r="L115">
        <v>11.94</v>
      </c>
      <c r="M115">
        <v>48.51</v>
      </c>
      <c r="Q115" t="s">
        <v>553</v>
      </c>
      <c r="R115" t="str">
        <f>HYPERLINK("https://d28ji4sm1vmprj.cloudfront.net/47cb6f02068fc3e07c53bc8f5f14784f/658e908f68c4c8f517a24198c7f73efe.jpeg", "Ссылка на план")</f>
        <v>Ссылка на план</v>
      </c>
      <c r="S115" s="1">
        <v>43860.493518518517</v>
      </c>
      <c r="W115" s="1">
        <v>43860.51190972222</v>
      </c>
      <c r="EC115" t="s">
        <v>701</v>
      </c>
      <c r="ED115" t="s">
        <v>697</v>
      </c>
      <c r="EE115" t="s">
        <v>702</v>
      </c>
      <c r="EF115" t="str">
        <f>HYPERLINK("https://d33htgqikc2pj4.cloudfront.net/273dde92-ff86-43e9-a9cd-3b23679c1e9a.jpeg", "Александр Светашов: Ссылка на изображение")</f>
        <v>Александр Светашов: Ссылка на изображение</v>
      </c>
      <c r="EG115" t="str">
        <f>HYPERLINK("https://d33htgqikc2pj4.cloudfront.net/3e29115f-badb-47ba-8c82-23dbf956ee53.jpeg", "Александр Светашов: Ссылка на изображение")</f>
        <v>Александр Светашов: Ссылка на изображение</v>
      </c>
      <c r="EH115" t="s">
        <v>703</v>
      </c>
      <c r="EI115" t="str">
        <f>HYPERLINK("https://d33htgqikc2pj4.cloudfront.net/00a089d1-62f9-43c0-bf0a-914f3a80a275.jpeg", "Александр Светашов: Ссылка на изображение")</f>
        <v>Александр Светашов: Ссылка на изображение</v>
      </c>
      <c r="EJ115" t="str">
        <f>HYPERLINK("https://d33htgqikc2pj4.cloudfront.net/bcd0f59e-e092-4c98-9e93-e5e76eceb584.jpeg", "Александр Светашов: Ссылка на изображение")</f>
        <v>Александр Светашов: Ссылка на изображение</v>
      </c>
      <c r="EK115" t="str">
        <f>HYPERLINK("https://d33htgqikc2pj4.cloudfront.net/a593c212-41c3-40ff-993f-2dc481c294a3.jpeg", "Александр Светашов: Ссылка на изображение")</f>
        <v>Александр Светашов: Ссылка на изображение</v>
      </c>
      <c r="EL115" t="str">
        <f>HYPERLINK("https://d33htgqikc2pj4.cloudfront.net/1777801f-728d-48ee-bac8-8035c74bca9d.jpeg", "Александр Светашов: Ссылка на изображение")</f>
        <v>Александр Светашов: Ссылка на изображение</v>
      </c>
      <c r="EM115" t="s">
        <v>704</v>
      </c>
      <c r="EN115" t="s">
        <v>705</v>
      </c>
      <c r="EO115" t="str">
        <f>HYPERLINK("https://d33htgqikc2pj4.cloudfront.net/266c7dff-4d81-4138-817c-6c2c04324b26.jpeg", "Александр Светашов: Ссылка на изображение")</f>
        <v>Александр Светашов: Ссылка на изображение</v>
      </c>
      <c r="EP115" t="str">
        <f>HYPERLINK("https://d33htgqikc2pj4.cloudfront.net/9c0b77a6-8be1-4257-b35d-84c52a72cb0a.jpeg", "Александр Светашов: Ссылка на изображение")</f>
        <v>Александр Светашов: Ссылка на изображение</v>
      </c>
      <c r="EQ115" t="s">
        <v>706</v>
      </c>
      <c r="ER115" t="str">
        <f>HYPERLINK("https://d33htgqikc2pj4.cloudfront.net/f0eafd4f-abd2-4702-822e-9cc87e756edd.jpeg", "Александр Светашов: Ссылка на изображение")</f>
        <v>Александр Светашов: Ссылка на изображение</v>
      </c>
      <c r="ES115" t="s">
        <v>693</v>
      </c>
      <c r="ET115" t="str">
        <f>HYPERLINK("https://d33htgqikc2pj4.cloudfront.net/c0cb62bb-d723-4111-9863-b4c40a86d167.jpeg", "Александр Светашов: Ссылка на изображение")</f>
        <v>Александр Светашов: Ссылка на изображение</v>
      </c>
      <c r="EU115" t="s">
        <v>707</v>
      </c>
      <c r="EV115" t="str">
        <f>HYPERLINK("https://d33htgqikc2pj4.cloudfront.net/af284f5b-dc19-4f9e-9d9a-82ced0c9fe32.jpeg", "Александр Светашов: Ссылка на изображение")</f>
        <v>Александр Светашов: Ссылка на изображение</v>
      </c>
      <c r="EW115" t="str">
        <f>HYPERLINK("https://d33htgqikc2pj4.cloudfront.net/13b433cf-5f1b-4e5a-8279-f0d28bb54d99.jpeg", "Александр Светашов: Ссылка на изображение")</f>
        <v>Александр Светашов: Ссылка на изображение</v>
      </c>
      <c r="EX115" t="str">
        <f>HYPERLINK("https://d33htgqikc2pj4.cloudfront.net/2ce71e3d-701f-4fa5-b0ea-c03f9eacb273.jpeg", "Александр Светашов: Ссылка на изображение")</f>
        <v>Александр Светашов: Ссылка на изображение</v>
      </c>
      <c r="EY115" t="s">
        <v>708</v>
      </c>
      <c r="EZ115" t="str">
        <f>HYPERLINK("https://d33htgqikc2pj4.cloudfront.net/17bad6a0-52e3-49ff-9794-98df23c6062d.jpeg", "Александр Светашов: Ссылка на изображение")</f>
        <v>Александр Светашов: Ссылка на изображение</v>
      </c>
      <c r="FA115" t="s">
        <v>709</v>
      </c>
      <c r="FB115" t="str">
        <f>HYPERLINK("https://d33htgqikc2pj4.cloudfront.net/7731d319-5c2a-4eeb-a55b-bd9972b8aa8e.jpeg", "Александр Светашов: Ссылка на изображение")</f>
        <v>Александр Светашов: Ссылка на изображение</v>
      </c>
      <c r="FC115" t="str">
        <f>HYPERLINK("https://d33htgqikc2pj4.cloudfront.net/a971ad3a-ddf1-468e-9de2-c31a42a177f1.jpeg", "Александр Светашов: Ссылка на изображение")</f>
        <v>Александр Светашов: Ссылка на изображение</v>
      </c>
      <c r="FD115" t="s">
        <v>710</v>
      </c>
      <c r="FE115" t="str">
        <f>HYPERLINK("https://d33htgqikc2pj4.cloudfront.net/d1132345-c91a-4817-a870-1eb00d8d1d24.jpeg", "Александр Светашов: Ссылка на изображение")</f>
        <v>Александр Светашов: Ссылка на изображение</v>
      </c>
      <c r="FF115" t="s">
        <v>711</v>
      </c>
      <c r="FG115" t="str">
        <f>HYPERLINK("https://d33htgqikc2pj4.cloudfront.net/f617e3e6-6f3e-414d-b5d6-86b6aa12245b.jpeg", "Александр Светашов: Ссылка на изображение")</f>
        <v>Александр Светашов: Ссылка на изображение</v>
      </c>
      <c r="FH115" t="s">
        <v>712</v>
      </c>
      <c r="FI115" t="str">
        <f>HYPERLINK("https://d33htgqikc2pj4.cloudfront.net/6de591cd-a0bc-42d6-832b-ff84f2cb1c4b.jpeg", "Александр Светашов: Ссылка на изображение")</f>
        <v>Александр Светашов: Ссылка на изображение</v>
      </c>
      <c r="FJ115" t="str">
        <f>HYPERLINK("https://d33htgqikc2pj4.cloudfront.net/e614112e-e22e-4a10-8bee-a2a9d79e848c.jpeg", "Александр Светашов: Ссылка на изображение")</f>
        <v>Александр Светашов: Ссылка на изображение</v>
      </c>
      <c r="FK115" t="s">
        <v>713</v>
      </c>
      <c r="FL115" t="str">
        <f>HYPERLINK("https://d33htgqikc2pj4.cloudfront.net/eca93c41-e409-4820-bae8-7ab38c5b293b.jpeg", "Александр Светашов: Ссылка на изображение")</f>
        <v>Александр Светашов: Ссылка на изображение</v>
      </c>
      <c r="FM115" t="s">
        <v>714</v>
      </c>
      <c r="FN115" t="str">
        <f>HYPERLINK("https://d33htgqikc2pj4.cloudfront.net/8c494203-e128-47b2-ada6-7b9091240773.jpeg", "Александр Светашов: Ссылка на изображение")</f>
        <v>Александр Светашов: Ссылка на изображение</v>
      </c>
      <c r="FO115" t="s">
        <v>715</v>
      </c>
      <c r="FP115" t="str">
        <f>HYPERLINK("https://d33htgqikc2pj4.cloudfront.net/9a1e1ce3-5056-4bfb-a554-a8d45c4dd40f.jpeg", "Александр Светашов: Ссылка на изображение")</f>
        <v>Александр Светашов: Ссылка на изображение</v>
      </c>
      <c r="FQ115" t="s">
        <v>716</v>
      </c>
      <c r="FR115" t="str">
        <f>HYPERLINK("https://d33htgqikc2pj4.cloudfront.net/9b59d634-f037-4db1-b730-6ecad4143e70.jpeg", "Александр Светашов: Ссылка на изображение")</f>
        <v>Александр Светашов: Ссылка на изображение</v>
      </c>
      <c r="FS115" t="s">
        <v>717</v>
      </c>
      <c r="FT115" t="str">
        <f>HYPERLINK("https://d33htgqikc2pj4.cloudfront.net/15a38a09-21c1-4ec2-afeb-0c11b68529cc.jpeg", "Александр Светашов: Ссылка на изображение")</f>
        <v>Александр Светашов: Ссылка на изображение</v>
      </c>
      <c r="FU115" t="str">
        <f>HYPERLINK("https://d33htgqikc2pj4.cloudfront.net/7ffcb4ae-8b7a-45e6-863d-3f586e7e9159.jpeg", "Александр Светашов: Ссылка на изображение")</f>
        <v>Александр Светашов: Ссылка на изображение</v>
      </c>
      <c r="FV115" t="str">
        <f>HYPERLINK("https://d33htgqikc2pj4.cloudfront.net/587679c0-eeb1-40f0-9bbc-58bd57b7ba22.jpeg", "Александр Светашов: Ссылка на изображение")</f>
        <v>Александр Светашов: Ссылка на изображение</v>
      </c>
      <c r="FW115" t="s">
        <v>718</v>
      </c>
      <c r="FX115" t="s">
        <v>719</v>
      </c>
      <c r="FY115" t="s">
        <v>699</v>
      </c>
    </row>
    <row r="116" spans="1:181" ht="15" customHeight="1" x14ac:dyDescent="0.35">
      <c r="A116">
        <v>1117</v>
      </c>
      <c r="B116" t="s">
        <v>720</v>
      </c>
      <c r="C116">
        <v>2</v>
      </c>
      <c r="D116" t="str">
        <f>VLOOKUP(source[[#This Row],[Приоритет]],тПриоритеты[],2,0)</f>
        <v>Значительное</v>
      </c>
      <c r="E116" t="str">
        <f>IF(ISBLANK(source[[#This Row],[Проверенные]]),IF(ISBLANK(source[[#This Row],[Завершенные]]),source[[#This Row],[Приоритет_]],"Завершено"),"Проверено")</f>
        <v>Значительное</v>
      </c>
      <c r="F116" t="s">
        <v>477</v>
      </c>
      <c r="G116" t="s">
        <v>478</v>
      </c>
      <c r="H116" t="e">
        <f>VLOOKUP(source[[#This Row],[Отвественный]],тОтветственные[],2,0)</f>
        <v>#N/A</v>
      </c>
      <c r="I116" s="2">
        <v>43860</v>
      </c>
      <c r="J116" s="2">
        <v>43860</v>
      </c>
      <c r="K116" t="s">
        <v>551</v>
      </c>
      <c r="L116">
        <v>12.57</v>
      </c>
      <c r="M116">
        <v>48.69</v>
      </c>
      <c r="Q116" t="s">
        <v>553</v>
      </c>
      <c r="R116" t="str">
        <f>HYPERLINK("https://d28ji4sm1vmprj.cloudfront.net/47cb6f02068fc3e07c53bc8f5f14784f/658e908f68c4c8f517a24198c7f73efe.jpeg", "Ссылка на план")</f>
        <v>Ссылка на план</v>
      </c>
      <c r="S116" s="1">
        <v>43860.493460648147</v>
      </c>
      <c r="W116" s="1">
        <v>43860.511805555558</v>
      </c>
      <c r="EC116" t="s">
        <v>721</v>
      </c>
      <c r="ED116" t="str">
        <f>HYPERLINK("https://d33htgqikc2pj4.cloudfront.net/19a7e483-8e03-4399-82ee-1e5c9c859cd4.jpeg", "Александр Светашов: Ссылка на изображение")</f>
        <v>Александр Светашов: Ссылка на изображение</v>
      </c>
      <c r="EE116" t="s">
        <v>722</v>
      </c>
      <c r="EF116" t="str">
        <f>HYPERLINK("https://d33htgqikc2pj4.cloudfront.net/cfd8987c-210c-4a0a-a712-93145f7944bf.jpeg", "Александр Светашов: Ссылка на изображение")</f>
        <v>Александр Светашов: Ссылка на изображение</v>
      </c>
      <c r="EG116" t="str">
        <f>HYPERLINK("https://d33htgqikc2pj4.cloudfront.net/e7586179-9c18-4529-bd8d-965120ea4f91.jpeg", "Александр Светашов: Ссылка на изображение")</f>
        <v>Александр Светашов: Ссылка на изображение</v>
      </c>
      <c r="EH116" t="str">
        <f>HYPERLINK("https://d33htgqikc2pj4.cloudfront.net/e7187fb2-6502-4f80-81e3-b1eb89f37de3.jpeg", "Александр Светашов: Ссылка на изображение")</f>
        <v>Александр Светашов: Ссылка на изображение</v>
      </c>
      <c r="EI116" t="str">
        <f>HYPERLINK("https://d33htgqikc2pj4.cloudfront.net/3daadd7a-74db-470f-86e5-494879b01556.jpeg", "Александр Светашов: Ссылка на изображение")</f>
        <v>Александр Светашов: Ссылка на изображение</v>
      </c>
      <c r="EJ116" t="str">
        <f>HYPERLINK("https://d33htgqikc2pj4.cloudfront.net/86ea7d1e-396b-4ed0-bb29-8c3ea5546eb6.jpeg", "Александр Светашов: Ссылка на изображение")</f>
        <v>Александр Светашов: Ссылка на изображение</v>
      </c>
      <c r="EK116" t="str">
        <f>HYPERLINK("https://d33htgqikc2pj4.cloudfront.net/f003fe3b-701b-4e16-a396-aee19c704152.jpeg", "Александр Светашов: Ссылка на изображение")</f>
        <v>Александр Светашов: Ссылка на изображение</v>
      </c>
      <c r="EL116" t="s">
        <v>723</v>
      </c>
      <c r="EM116" t="str">
        <f>HYPERLINK("https://d33htgqikc2pj4.cloudfront.net/5cca24c1-697a-4263-8958-016ff492ed6b.jpeg", "Александр Светашов: Ссылка на изображение")</f>
        <v>Александр Светашов: Ссылка на изображение</v>
      </c>
      <c r="EN116" t="str">
        <f>HYPERLINK("https://d33htgqikc2pj4.cloudfront.net/c3c6bf8c-99a1-47d3-a4de-e9ed68d87c64.jpeg", "Александр Светашов: Ссылка на изображение")</f>
        <v>Александр Светашов: Ссылка на изображение</v>
      </c>
      <c r="EO116" t="s">
        <v>724</v>
      </c>
      <c r="EP116" t="str">
        <f>HYPERLINK("https://d33htgqikc2pj4.cloudfront.net/b01805f0-7a47-4683-a263-9f280c28da1e.jpeg", "Александр Светашов: Ссылка на изображение")</f>
        <v>Александр Светашов: Ссылка на изображение</v>
      </c>
      <c r="EQ116" t="s">
        <v>687</v>
      </c>
      <c r="ER116" t="str">
        <f>HYPERLINK("https://d33htgqikc2pj4.cloudfront.net/16db70d1-e025-48d1-8cc8-51436e52fde6.jpeg", "Александр Светашов: Ссылка на изображение")</f>
        <v>Александр Светашов: Ссылка на изображение</v>
      </c>
      <c r="ES116" t="s">
        <v>725</v>
      </c>
      <c r="ET116" t="str">
        <f>HYPERLINK("https://d33htgqikc2pj4.cloudfront.net/88b6e3e5-e67d-46fc-a5ea-660b37feccd1.jpeg", "Александр Светашов: Ссылка на изображение")</f>
        <v>Александр Светашов: Ссылка на изображение</v>
      </c>
      <c r="EU116" t="str">
        <f>HYPERLINK("https://d33htgqikc2pj4.cloudfront.net/211a864a-5dc5-44df-b74d-1e399e60ea69.jpeg", "Александр Светашов: Ссылка на изображение")</f>
        <v>Александр Светашов: Ссылка на изображение</v>
      </c>
      <c r="EV116" t="str">
        <f>HYPERLINK("https://d33htgqikc2pj4.cloudfront.net/82c84558-46db-48ec-84b1-60e9a4d8442e.jpeg", "Александр Светашов: Ссылка на изображение")</f>
        <v>Александр Светашов: Ссылка на изображение</v>
      </c>
      <c r="EW116" t="s">
        <v>726</v>
      </c>
      <c r="EX116" t="s">
        <v>727</v>
      </c>
      <c r="EY116" t="str">
        <f>HYPERLINK("https://d33htgqikc2pj4.cloudfront.net/7e222820-a4a4-4931-b2ed-4e6df5e60dfc.jpeg", "Александр Светашов: Ссылка на изображение")</f>
        <v>Александр Светашов: Ссылка на изображение</v>
      </c>
      <c r="EZ116" t="str">
        <f>HYPERLINK("https://d33htgqikc2pj4.cloudfront.net/919df359-53e2-4d8f-9610-bb5aded489c2.jpeg", "Александр Светашов: Ссылка на изображение")</f>
        <v>Александр Светашов: Ссылка на изображение</v>
      </c>
      <c r="FA116" t="s">
        <v>728</v>
      </c>
      <c r="FB116" t="str">
        <f>HYPERLINK("https://d33htgqikc2pj4.cloudfront.net/bcba9fcf-4b79-45f0-9610-a78ef4bcd02f.jpeg", "Александр Светашов: Ссылка на изображение")</f>
        <v>Александр Светашов: Ссылка на изображение</v>
      </c>
      <c r="FC116" t="str">
        <f>HYPERLINK("https://d33htgqikc2pj4.cloudfront.net/0bbc1f7d-a60e-431d-b8c6-c32121879844.jpeg", "Александр Светашов: Ссылка на изображение")</f>
        <v>Александр Светашов: Ссылка на изображение</v>
      </c>
      <c r="FD116" t="s">
        <v>729</v>
      </c>
      <c r="FE116" t="str">
        <f>HYPERLINK("https://d33htgqikc2pj4.cloudfront.net/7cbc42b2-4083-4433-b781-e156cdd387e9.jpeg", "Александр Светашов: Ссылка на изображение")</f>
        <v>Александр Светашов: Ссылка на изображение</v>
      </c>
      <c r="FF116" t="s">
        <v>730</v>
      </c>
      <c r="FG116" t="str">
        <f>HYPERLINK("https://d33htgqikc2pj4.cloudfront.net/0a381526-68ea-44a4-9cd0-7e38d92f0f1a.jpeg", "Александр Светашов: Ссылка на изображение")</f>
        <v>Александр Светашов: Ссылка на изображение</v>
      </c>
      <c r="FH116" t="s">
        <v>731</v>
      </c>
      <c r="FI116" t="str">
        <f>HYPERLINK("https://d33htgqikc2pj4.cloudfront.net/39cd09e3-bd97-46a7-9213-640f354e4036.jpeg", "Александр Светашов: Ссылка на изображение")</f>
        <v>Александр Светашов: Ссылка на изображение</v>
      </c>
      <c r="FJ116" t="str">
        <f>HYPERLINK("https://d33htgqikc2pj4.cloudfront.net/86802993-e327-4ef4-9823-bc3dfae4e1d3.jpeg", "Александр Светашов: Ссылка на изображение")</f>
        <v>Александр Светашов: Ссылка на изображение</v>
      </c>
      <c r="FK116" t="s">
        <v>732</v>
      </c>
      <c r="FL116" t="str">
        <f>HYPERLINK("https://d33htgqikc2pj4.cloudfront.net/dbae4309-ac0e-4b98-855d-78153cd6045f.jpeg", "Александр Светашов: Ссылка на изображение")</f>
        <v>Александр Светашов: Ссылка на изображение</v>
      </c>
      <c r="FM116" t="str">
        <f>HYPERLINK("https://d33htgqikc2pj4.cloudfront.net/9402246a-82ab-443a-9a4a-63d9ddee44c0.jpeg", "Александр Светашов: Ссылка на изображение")</f>
        <v>Александр Светашов: Ссылка на изображение</v>
      </c>
      <c r="FN116" t="s">
        <v>733</v>
      </c>
      <c r="FO116" t="str">
        <f>HYPERLINK("https://d33htgqikc2pj4.cloudfront.net/41a85c04-7cd3-422b-a078-a1718d8a0975.jpeg", "Александр Светашов: Ссылка на изображение")</f>
        <v>Александр Светашов: Ссылка на изображение</v>
      </c>
      <c r="FP116" t="s">
        <v>734</v>
      </c>
      <c r="FQ116" t="str">
        <f>HYPERLINK("https://d33htgqikc2pj4.cloudfront.net/e097de2c-7bbf-440d-865a-3b8560542f35.jpeg", "Александр Светашов: Ссылка на изображение")</f>
        <v>Александр Светашов: Ссылка на изображение</v>
      </c>
      <c r="FR116" t="s">
        <v>735</v>
      </c>
      <c r="FS116" t="s">
        <v>702</v>
      </c>
      <c r="FT116" t="s">
        <v>697</v>
      </c>
      <c r="FU116" t="s">
        <v>736</v>
      </c>
      <c r="FV116" t="s">
        <v>699</v>
      </c>
    </row>
    <row r="117" spans="1:181" ht="15" customHeight="1" x14ac:dyDescent="0.35">
      <c r="A117">
        <v>422</v>
      </c>
      <c r="B117" t="s">
        <v>737</v>
      </c>
      <c r="C117">
        <v>2</v>
      </c>
      <c r="D117" t="str">
        <f>VLOOKUP(source[[#This Row],[Приоритет]],тПриоритеты[],2,0)</f>
        <v>Значительное</v>
      </c>
      <c r="E117" t="str">
        <f>IF(ISBLANK(source[[#This Row],[Проверенные]]),IF(ISBLANK(source[[#This Row],[Завершенные]]),source[[#This Row],[Приоритет_]],"Завершено"),"Проверено")</f>
        <v>Проверено</v>
      </c>
      <c r="F117" t="s">
        <v>738</v>
      </c>
      <c r="G117" t="s">
        <v>189</v>
      </c>
      <c r="H117" t="str">
        <f>VLOOKUP(source[[#This Row],[Отвественный]],тОтветственные[],2,0)</f>
        <v>Отв7</v>
      </c>
      <c r="I117" s="2">
        <v>43793</v>
      </c>
      <c r="J117" s="2">
        <v>43793</v>
      </c>
      <c r="S117" s="1">
        <v>43794.384398148148</v>
      </c>
      <c r="T117" s="1">
        <v>43794.385625000003</v>
      </c>
      <c r="U117" s="1">
        <v>43794.385625000003</v>
      </c>
      <c r="W117" s="1">
        <v>43794.388842592591</v>
      </c>
      <c r="X117" t="s">
        <v>739</v>
      </c>
      <c r="AH117" t="s">
        <v>740</v>
      </c>
      <c r="AI117" t="s">
        <v>741</v>
      </c>
      <c r="AJ117" t="s">
        <v>742</v>
      </c>
      <c r="AK117" t="s">
        <v>743</v>
      </c>
      <c r="AL117" t="s">
        <v>744</v>
      </c>
      <c r="AM117" t="s">
        <v>745</v>
      </c>
      <c r="AN117" t="s">
        <v>746</v>
      </c>
      <c r="AO117" t="s">
        <v>747</v>
      </c>
      <c r="AP117" t="s">
        <v>748</v>
      </c>
      <c r="AQ117" t="s">
        <v>749</v>
      </c>
      <c r="EC117" t="str">
        <f>HYPERLINK("https://d33htgqikc2pj4.cloudfront.net/79a9c798289f037732e2ed537e83d6f4/6e5cee375136ce740b9db37e64f1b6da-file.jpeg", "Александр Олуферов: Ссылка на изображение")</f>
        <v>Александр Олуферов: Ссылка на изображение</v>
      </c>
      <c r="ED117" t="s">
        <v>212</v>
      </c>
      <c r="EE117" t="s">
        <v>750</v>
      </c>
      <c r="EF117" t="s">
        <v>751</v>
      </c>
      <c r="EG117" t="s">
        <v>752</v>
      </c>
      <c r="EH117" t="s">
        <v>753</v>
      </c>
      <c r="EI117" t="s">
        <v>754</v>
      </c>
      <c r="EJ117" t="s">
        <v>755</v>
      </c>
      <c r="EK117" t="s">
        <v>756</v>
      </c>
    </row>
    <row r="118" spans="1:181" ht="15" customHeight="1" x14ac:dyDescent="0.35">
      <c r="A118">
        <v>497</v>
      </c>
      <c r="B118" t="s">
        <v>757</v>
      </c>
      <c r="C118">
        <v>2</v>
      </c>
      <c r="D118" t="str">
        <f>VLOOKUP(source[[#This Row],[Приоритет]],тПриоритеты[],2,0)</f>
        <v>Значительное</v>
      </c>
      <c r="E118" t="str">
        <f>IF(ISBLANK(source[[#This Row],[Проверенные]]),IF(ISBLANK(source[[#This Row],[Завершенные]]),source[[#This Row],[Приоритет_]],"Завершено"),"Проверено")</f>
        <v>Проверено</v>
      </c>
      <c r="F118" t="s">
        <v>738</v>
      </c>
      <c r="G118" t="s">
        <v>189</v>
      </c>
      <c r="H118" t="str">
        <f>VLOOKUP(source[[#This Row],[Отвественный]],тОтветственные[],2,0)</f>
        <v>Отв7</v>
      </c>
      <c r="I118" s="2">
        <v>43799</v>
      </c>
      <c r="J118" s="2">
        <v>43799</v>
      </c>
      <c r="S118" s="1">
        <v>43800.460578703707</v>
      </c>
      <c r="T118" s="1">
        <v>43800.463333333333</v>
      </c>
      <c r="U118" s="1">
        <v>43800.463333333333</v>
      </c>
      <c r="W118" s="1">
        <v>43800.463437500002</v>
      </c>
      <c r="X118" t="s">
        <v>739</v>
      </c>
      <c r="AH118" t="s">
        <v>758</v>
      </c>
      <c r="AI118" t="s">
        <v>759</v>
      </c>
      <c r="AJ118" t="s">
        <v>760</v>
      </c>
      <c r="AK118" t="s">
        <v>761</v>
      </c>
      <c r="AL118" t="s">
        <v>762</v>
      </c>
      <c r="AM118" t="s">
        <v>763</v>
      </c>
      <c r="AN118" t="s">
        <v>764</v>
      </c>
      <c r="AO118" t="s">
        <v>765</v>
      </c>
      <c r="AP118" t="s">
        <v>766</v>
      </c>
      <c r="AQ118" t="s">
        <v>767</v>
      </c>
      <c r="EC118" t="s">
        <v>768</v>
      </c>
      <c r="ED118" t="s">
        <v>769</v>
      </c>
      <c r="EE118" t="s">
        <v>212</v>
      </c>
      <c r="EF118" t="s">
        <v>770</v>
      </c>
    </row>
    <row r="119" spans="1:181" ht="15" customHeight="1" x14ac:dyDescent="0.35">
      <c r="A119">
        <v>562</v>
      </c>
      <c r="B119" t="s">
        <v>771</v>
      </c>
      <c r="C119">
        <v>2</v>
      </c>
      <c r="D119" t="str">
        <f>VLOOKUP(source[[#This Row],[Приоритет]],тПриоритеты[],2,0)</f>
        <v>Значительное</v>
      </c>
      <c r="E119" t="str">
        <f>IF(ISBLANK(source[[#This Row],[Проверенные]]),IF(ISBLANK(source[[#This Row],[Завершенные]]),source[[#This Row],[Приоритет_]],"Завершено"),"Проверено")</f>
        <v>Проверено</v>
      </c>
      <c r="F119" t="s">
        <v>738</v>
      </c>
      <c r="G119" t="s">
        <v>189</v>
      </c>
      <c r="H119" t="str">
        <f>VLOOKUP(source[[#This Row],[Отвественный]],тОтветственные[],2,0)</f>
        <v>Отв7</v>
      </c>
      <c r="I119" s="2">
        <v>43806</v>
      </c>
      <c r="J119" s="2">
        <v>43807</v>
      </c>
      <c r="S119" s="1">
        <v>43807.378125000003</v>
      </c>
      <c r="T119" s="1">
        <v>43807.379513888889</v>
      </c>
      <c r="U119" s="1">
        <v>43807.379513888889</v>
      </c>
      <c r="W119" s="1">
        <v>43807.390902777777</v>
      </c>
      <c r="X119" t="s">
        <v>739</v>
      </c>
      <c r="AH119" t="s">
        <v>772</v>
      </c>
      <c r="AI119" t="s">
        <v>773</v>
      </c>
      <c r="AJ119" t="s">
        <v>774</v>
      </c>
      <c r="AK119" t="s">
        <v>775</v>
      </c>
      <c r="AL119" t="s">
        <v>776</v>
      </c>
      <c r="AM119" t="s">
        <v>777</v>
      </c>
      <c r="AN119" t="s">
        <v>778</v>
      </c>
      <c r="AO119" t="s">
        <v>779</v>
      </c>
      <c r="AP119" t="s">
        <v>780</v>
      </c>
      <c r="AQ119" t="s">
        <v>781</v>
      </c>
      <c r="EC119" t="s">
        <v>768</v>
      </c>
      <c r="ED119" t="s">
        <v>212</v>
      </c>
      <c r="EE119" t="s">
        <v>782</v>
      </c>
      <c r="EF119" t="str">
        <f>HYPERLINK("https://d33htgqikc2pj4.cloudfront.net/b5566daa5823fb135b70397306c8c982/2c584e7bb10e36b599fd7eef17420036-file.jpeg", "Александр Олуферов: Ссылка на изображение")</f>
        <v>Александр Олуферов: Ссылка на изображение</v>
      </c>
      <c r="EG119" t="str">
        <f>HYPERLINK("https://d33htgqikc2pj4.cloudfront.net/199e5e9435c01b3dcd01cedf7bdd0b4e/4837b9b231335e9e945fb219b386c8dd-file.jpeg", "Александр Олуферов: Ссылка на изображение")</f>
        <v>Александр Олуферов: Ссылка на изображение</v>
      </c>
      <c r="EH119" t="str">
        <f>HYPERLINK("https://d33htgqikc2pj4.cloudfront.net/06b0b71ae292859b6e2ea2b9aa158049/8a5a431bc773ce4b6f9f785f1d27ddec-file.jpeg", "Александр Олуферов: Ссылка на изображение")</f>
        <v>Александр Олуферов: Ссылка на изображение</v>
      </c>
      <c r="EI119" t="str">
        <f>HYPERLINK("https://d33htgqikc2pj4.cloudfront.net/828919aa15dec01d918a428d6dfa740d/1d7650cd0badeec66a13e6048cd6b40a-file.jpeg", "Александр Олуферов: Ссылка на изображение")</f>
        <v>Александр Олуферов: Ссылка на изображение</v>
      </c>
      <c r="EJ119" t="str">
        <f>HYPERLINK("https://d33htgqikc2pj4.cloudfront.net/74c5d10574bbd3bab3c362530167b89a/c9897a3d1712d925790864bc4225ce69-file.jpeg", "Александр Олуферов: Ссылка на изображение")</f>
        <v>Александр Олуферов: Ссылка на изображение</v>
      </c>
      <c r="EK119" t="str">
        <f>HYPERLINK("https://d33htgqikc2pj4.cloudfront.net/d4e2c28482de344ef4e4ea439b07fdd4/546b5f01f52853e5fd4366b076072f01-file.jpeg", "Александр Олуферов: Ссылка на изображение")</f>
        <v>Александр Олуферов: Ссылка на изображение</v>
      </c>
      <c r="EL119" t="str">
        <f>HYPERLINK("https://d33htgqikc2pj4.cloudfront.net/67a9a37a07ae7aacb679d7b759653996/555e48466e0696e9d20e7bcbc8978a22-file.jpeg", "Александр Олуферов: Ссылка на изображение")</f>
        <v>Александр Олуферов: Ссылка на изображение</v>
      </c>
      <c r="EM119" t="str">
        <f>HYPERLINK("https://d33htgqikc2pj4.cloudfront.net/8e620b19247eee5cfc201e0a53c74b70/b9a47c5419a01cc0dee39d9f2f41673a-file.jpeg", "Александр Олуферов: Ссылка на изображение")</f>
        <v>Александр Олуферов: Ссылка на изображение</v>
      </c>
      <c r="EN119" t="str">
        <f>HYPERLINK("https://d33htgqikc2pj4.cloudfront.net/c4a57a98ee57f415aec4fff1c1add9e5/e6b51eb7c37ea28ca067e48a12673dd1-file.jpeg", "Александр Олуферов: Ссылка на изображение")</f>
        <v>Александр Олуферов: Ссылка на изображение</v>
      </c>
      <c r="EO119" t="s">
        <v>783</v>
      </c>
      <c r="EP119" t="s">
        <v>784</v>
      </c>
      <c r="EQ119" t="s">
        <v>785</v>
      </c>
    </row>
    <row r="120" spans="1:181" ht="15" customHeight="1" x14ac:dyDescent="0.35">
      <c r="A120">
        <v>691</v>
      </c>
      <c r="B120" t="s">
        <v>786</v>
      </c>
      <c r="C120">
        <v>2</v>
      </c>
      <c r="D120" t="str">
        <f>VLOOKUP(source[[#This Row],[Приоритет]],тПриоритеты[],2,0)</f>
        <v>Значительное</v>
      </c>
      <c r="E120" t="str">
        <f>IF(ISBLANK(source[[#This Row],[Проверенные]]),IF(ISBLANK(source[[#This Row],[Завершенные]]),source[[#This Row],[Приоритет_]],"Завершено"),"Проверено")</f>
        <v>Проверено</v>
      </c>
      <c r="F120" t="s">
        <v>738</v>
      </c>
      <c r="G120" t="s">
        <v>787</v>
      </c>
      <c r="H120" t="e">
        <f>VLOOKUP(source[[#This Row],[Отвественный]],тОтветственные[],2,0)</f>
        <v>#N/A</v>
      </c>
      <c r="I120" s="2">
        <v>43819</v>
      </c>
      <c r="J120" s="2">
        <v>43819</v>
      </c>
      <c r="K120" t="s">
        <v>788</v>
      </c>
      <c r="L120">
        <v>42.67</v>
      </c>
      <c r="M120">
        <v>40.67</v>
      </c>
      <c r="Q120" t="s">
        <v>789</v>
      </c>
      <c r="R120" t="str">
        <f>HYPERLINK("https://d28ji4sm1vmprj.cloudfront.net/26de85bafe7c23f70cb88c56be016d87/3e17f1a1b4b7b77b7e9e8d2d30fe0863.jpeg", "Ссылка на план")</f>
        <v>Ссылка на план</v>
      </c>
      <c r="S120" s="1">
        <v>43819.463750000003</v>
      </c>
      <c r="T120" s="1">
        <v>43821.760868055557</v>
      </c>
      <c r="U120" s="1">
        <v>43821.760868055557</v>
      </c>
      <c r="W120" s="1">
        <v>43821.760891203703</v>
      </c>
      <c r="EC120" t="s">
        <v>790</v>
      </c>
      <c r="ED120" t="s">
        <v>791</v>
      </c>
      <c r="EE120" t="str">
        <f>HYPERLINK("https://d33htgqikc2pj4.cloudfront.net/9bda08b8-7292-4d3e-a58a-1e5cf6ed3506.jpeg", "Александр Светашов: Ссылка на изображение")</f>
        <v>Александр Светашов: Ссылка на изображение</v>
      </c>
      <c r="EF120" t="str">
        <f>HYPERLINK("https://d33htgqikc2pj4.cloudfront.net/a349d035-77c9-4e0b-9ced-b5a65ef8326d.jpeg", "Александр Светашов: Ссылка на изображение")</f>
        <v>Александр Светашов: Ссылка на изображение</v>
      </c>
      <c r="EG120" t="str">
        <f>HYPERLINK("https://d33htgqikc2pj4.cloudfront.net/57e70967-b384-4d2b-bf0e-2e22726aecc7.jpeg", "Александр Светашов: Ссылка на изображение")</f>
        <v>Александр Светашов: Ссылка на изображение</v>
      </c>
      <c r="EH120" t="str">
        <f>HYPERLINK("https://d33htgqikc2pj4.cloudfront.net/ff439e02-7e3b-44b4-ad28-8e37903d6c03.jpeg", "Александр Светашов: Ссылка на изображение")</f>
        <v>Александр Светашов: Ссылка на изображение</v>
      </c>
      <c r="EI120" t="str">
        <f>HYPERLINK("https://d33htgqikc2pj4.cloudfront.net/0746c71e-7319-4842-81f4-ebee934099e3.jpeg", "Александр Светашов: Ссылка на изображение")</f>
        <v>Александр Светашов: Ссылка на изображение</v>
      </c>
      <c r="EJ120" t="str">
        <f>HYPERLINK("https://d33htgqikc2pj4.cloudfront.net/e936e414-9e81-4553-8912-bd5e70a94c22.jpeg", "Александр Светашов: Ссылка на изображение")</f>
        <v>Александр Светашов: Ссылка на изображение</v>
      </c>
      <c r="EK120" t="str">
        <f>HYPERLINK("https://d33htgqikc2pj4.cloudfront.net/eac11cb0-302c-4553-90f8-73820ce3736d.jpeg", "Александр Светашов: Ссылка на изображение")</f>
        <v>Александр Светашов: Ссылка на изображение</v>
      </c>
      <c r="EL120" t="s">
        <v>792</v>
      </c>
      <c r="EM120" t="s">
        <v>793</v>
      </c>
      <c r="EN120" t="s">
        <v>794</v>
      </c>
    </row>
    <row r="121" spans="1:181" ht="15" customHeight="1" x14ac:dyDescent="0.35">
      <c r="A121">
        <v>358</v>
      </c>
      <c r="B121" t="s">
        <v>795</v>
      </c>
      <c r="C121">
        <v>2</v>
      </c>
      <c r="D121" t="str">
        <f>VLOOKUP(source[[#This Row],[Приоритет]],тПриоритеты[],2,0)</f>
        <v>Значительное</v>
      </c>
      <c r="E121" t="str">
        <f>IF(ISBLANK(source[[#This Row],[Проверенные]]),IF(ISBLANK(source[[#This Row],[Завершенные]]),source[[#This Row],[Приоритет_]],"Завершено"),"Проверено")</f>
        <v>Проверено</v>
      </c>
      <c r="F121" t="s">
        <v>738</v>
      </c>
      <c r="G121" t="s">
        <v>260</v>
      </c>
      <c r="H121" t="e">
        <f>VLOOKUP(source[[#This Row],[Отвественный]],тОтветственные[],2,0)</f>
        <v>#N/A</v>
      </c>
      <c r="I121" s="2">
        <v>43788</v>
      </c>
      <c r="J121" s="2">
        <v>43788</v>
      </c>
      <c r="K121" t="s">
        <v>796</v>
      </c>
      <c r="L121">
        <v>50.36</v>
      </c>
      <c r="M121">
        <v>44.23</v>
      </c>
      <c r="Q121" t="s">
        <v>797</v>
      </c>
      <c r="R121" t="str">
        <f>HYPERLINK("https://d28ji4sm1vmprj.cloudfront.net/99baca22b529c6a7d4869c5356266a0d/0c8d8a31315bc9e3b1815c40a733289f.jpeg", "Ссылка на план")</f>
        <v>Ссылка на план</v>
      </c>
      <c r="S121" s="1">
        <v>43788.720416666663</v>
      </c>
      <c r="T121" s="1">
        <v>43788.726655092592</v>
      </c>
      <c r="U121" s="1">
        <v>43797.480428240742</v>
      </c>
      <c r="W121" s="1">
        <v>43797.480428240742</v>
      </c>
      <c r="EC121" t="s">
        <v>798</v>
      </c>
      <c r="ED121" t="s">
        <v>799</v>
      </c>
      <c r="EE121" t="s">
        <v>800</v>
      </c>
      <c r="EF121" t="s">
        <v>794</v>
      </c>
    </row>
    <row r="122" spans="1:181" ht="15" customHeight="1" x14ac:dyDescent="0.35">
      <c r="A122">
        <v>344</v>
      </c>
      <c r="B122" t="s">
        <v>801</v>
      </c>
      <c r="C122">
        <v>2</v>
      </c>
      <c r="D122" t="str">
        <f>VLOOKUP(source[[#This Row],[Приоритет]],тПриоритеты[],2,0)</f>
        <v>Значительное</v>
      </c>
      <c r="E122" t="str">
        <f>IF(ISBLANK(source[[#This Row],[Проверенные]]),IF(ISBLANK(source[[#This Row],[Завершенные]]),source[[#This Row],[Приоритет_]],"Завершено"),"Проверено")</f>
        <v>Проверено</v>
      </c>
      <c r="F122" t="s">
        <v>738</v>
      </c>
      <c r="G122" t="s">
        <v>269</v>
      </c>
      <c r="H122" t="e">
        <f>VLOOKUP(source[[#This Row],[Отвественный]],тОтветственные[],2,0)</f>
        <v>#N/A</v>
      </c>
      <c r="I122" s="2">
        <v>43788</v>
      </c>
      <c r="J122" s="2">
        <v>43788</v>
      </c>
      <c r="K122" t="s">
        <v>802</v>
      </c>
      <c r="L122">
        <v>36.15</v>
      </c>
      <c r="M122">
        <v>36.99</v>
      </c>
      <c r="Q122" t="s">
        <v>797</v>
      </c>
      <c r="R122" t="str">
        <f>HYPERLINK("https://d28ji4sm1vmprj.cloudfront.net/9aa69784384d0fbbeab9165bf9cdc356/4d2f456504ce807ea52b6c5d68efa367.jpeg", "Ссылка на план")</f>
        <v>Ссылка на план</v>
      </c>
      <c r="S122" s="1">
        <v>43788.431597222225</v>
      </c>
      <c r="T122" s="1">
        <v>43788.715497685182</v>
      </c>
      <c r="U122" s="1">
        <v>43788.715497685182</v>
      </c>
      <c r="W122" s="1">
        <v>43788.715509259258</v>
      </c>
      <c r="EC122" t="s">
        <v>798</v>
      </c>
      <c r="ED122" t="s">
        <v>803</v>
      </c>
      <c r="EE122" t="s">
        <v>799</v>
      </c>
      <c r="EF122" t="s">
        <v>800</v>
      </c>
      <c r="EG122" t="s">
        <v>804</v>
      </c>
      <c r="EH122" t="s">
        <v>265</v>
      </c>
    </row>
    <row r="123" spans="1:181" ht="15" customHeight="1" x14ac:dyDescent="0.35">
      <c r="A123">
        <v>1028</v>
      </c>
      <c r="B123" t="s">
        <v>805</v>
      </c>
      <c r="C123">
        <v>2</v>
      </c>
      <c r="D123" t="str">
        <f>VLOOKUP(source[[#This Row],[Приоритет]],тПриоритеты[],2,0)</f>
        <v>Значительное</v>
      </c>
      <c r="E123" t="str">
        <f>IF(ISBLANK(source[[#This Row],[Проверенные]]),IF(ISBLANK(source[[#This Row],[Завершенные]]),source[[#This Row],[Приоритет_]],"Завершено"),"Проверено")</f>
        <v>Проверено</v>
      </c>
      <c r="F123" t="s">
        <v>738</v>
      </c>
      <c r="G123" t="s">
        <v>806</v>
      </c>
      <c r="H123" t="e">
        <f>VLOOKUP(source[[#This Row],[Отвественный]],тОтветственные[],2,0)</f>
        <v>#N/A</v>
      </c>
      <c r="I123" s="2">
        <v>43853</v>
      </c>
      <c r="J123" s="2">
        <v>43854</v>
      </c>
      <c r="S123" s="1">
        <v>43854.30704861111</v>
      </c>
      <c r="T123" s="1">
        <v>43854.307106481479</v>
      </c>
      <c r="U123" s="1">
        <v>43854.307106481479</v>
      </c>
      <c r="W123" s="1">
        <v>43854.307800925926</v>
      </c>
      <c r="EC123" t="s">
        <v>807</v>
      </c>
      <c r="ED123" t="s">
        <v>808</v>
      </c>
      <c r="EE123" t="s">
        <v>809</v>
      </c>
      <c r="EF123" t="s">
        <v>810</v>
      </c>
      <c r="EG123" t="s">
        <v>811</v>
      </c>
      <c r="EH123" t="s">
        <v>812</v>
      </c>
      <c r="EI123" t="str">
        <f>HYPERLINK("https://d33htgqikc2pj4.cloudfront.net/7126228d-4fca-4c35-9b81-c803caf245aa.jpeg", "Святослав Грохольский: Ссылка на изображение")</f>
        <v>Святослав Грохольский: Ссылка на изображение</v>
      </c>
      <c r="EJ123" t="str">
        <f>HYPERLINK("https://d33htgqikc2pj4.cloudfront.net/f6e5e950-63e0-4b76-bce2-c043d433f6b9.jpeg", "Святослав Грохольский: Ссылка на изображение")</f>
        <v>Святослав Грохольский: Ссылка на изображение</v>
      </c>
    </row>
    <row r="124" spans="1:181" ht="15" customHeight="1" x14ac:dyDescent="0.35">
      <c r="A124">
        <v>897</v>
      </c>
      <c r="B124" t="s">
        <v>805</v>
      </c>
      <c r="C124">
        <v>2</v>
      </c>
      <c r="D124" t="str">
        <f>VLOOKUP(source[[#This Row],[Приоритет]],тПриоритеты[],2,0)</f>
        <v>Значительное</v>
      </c>
      <c r="E124" t="str">
        <f>IF(ISBLANK(source[[#This Row],[Проверенные]]),IF(ISBLANK(source[[#This Row],[Завершенные]]),source[[#This Row],[Приоритет_]],"Завершено"),"Проверено")</f>
        <v>Проверено</v>
      </c>
      <c r="F124" t="s">
        <v>738</v>
      </c>
      <c r="G124" t="s">
        <v>806</v>
      </c>
      <c r="H124" t="e">
        <f>VLOOKUP(source[[#This Row],[Отвественный]],тОтветственные[],2,0)</f>
        <v>#N/A</v>
      </c>
      <c r="I124" s="2">
        <v>43841</v>
      </c>
      <c r="J124" s="2">
        <v>43841</v>
      </c>
      <c r="S124" s="1">
        <v>43841.796423611115</v>
      </c>
      <c r="T124" s="1">
        <v>43841.798495370371</v>
      </c>
      <c r="U124" s="1">
        <v>43841.798495370371</v>
      </c>
      <c r="W124" s="1">
        <v>43841.798564814817</v>
      </c>
      <c r="EC124" t="s">
        <v>808</v>
      </c>
      <c r="ED124" t="s">
        <v>811</v>
      </c>
      <c r="EE124" t="str">
        <f>HYPERLINK("https://d33htgqikc2pj4.cloudfront.net/7e319800-d8f8-4fcd-90de-abd8d688d61f.jpeg", "Святослав Грохольский: Ссылка на изображение")</f>
        <v>Святослав Грохольский: Ссылка на изображение</v>
      </c>
      <c r="EF124" t="str">
        <f>HYPERLINK("https://d33htgqikc2pj4.cloudfront.net/9add09d1-9947-4382-9d90-7e4b15638812.jpeg", "Святослав Грохольский: Ссылка на изображение")</f>
        <v>Святослав Грохольский: Ссылка на изображение</v>
      </c>
      <c r="EG124" t="str">
        <f>HYPERLINK("https://d33htgqikc2pj4.cloudfront.net/28ff75c4-fdf5-4a0b-a446-2d5f5c3d922b.jpeg", "Святослав Грохольский: Ссылка на изображение")</f>
        <v>Святослав Грохольский: Ссылка на изображение</v>
      </c>
      <c r="EH124" t="str">
        <f>HYPERLINK("https://d33htgqikc2pj4.cloudfront.net/41d080ee-cc8e-4fde-8e87-2c21363bffb7.jpeg", "Святослав Грохольский: Ссылка на изображение")</f>
        <v>Святослав Грохольский: Ссылка на изображение</v>
      </c>
      <c r="EI124" t="s">
        <v>807</v>
      </c>
      <c r="EJ124" t="s">
        <v>813</v>
      </c>
    </row>
    <row r="125" spans="1:181" ht="15" customHeight="1" x14ac:dyDescent="0.35">
      <c r="A125">
        <v>460</v>
      </c>
      <c r="B125" t="s">
        <v>805</v>
      </c>
      <c r="C125">
        <v>2</v>
      </c>
      <c r="D125" t="str">
        <f>VLOOKUP(source[[#This Row],[Приоритет]],тПриоритеты[],2,0)</f>
        <v>Значительное</v>
      </c>
      <c r="E125" t="str">
        <f>IF(ISBLANK(source[[#This Row],[Проверенные]]),IF(ISBLANK(source[[#This Row],[Завершенные]]),source[[#This Row],[Приоритет_]],"Завершено"),"Проверено")</f>
        <v>Проверено</v>
      </c>
      <c r="F125" t="s">
        <v>738</v>
      </c>
      <c r="G125" t="s">
        <v>806</v>
      </c>
      <c r="H125" t="e">
        <f>VLOOKUP(source[[#This Row],[Отвественный]],тОтветственные[],2,0)</f>
        <v>#N/A</v>
      </c>
      <c r="I125" s="2">
        <v>43797</v>
      </c>
      <c r="J125" s="2">
        <v>43797</v>
      </c>
      <c r="S125" s="1">
        <v>43797.273831018516</v>
      </c>
      <c r="T125" s="1">
        <v>43797.275891203702</v>
      </c>
      <c r="U125" s="1">
        <v>43797.276030092595</v>
      </c>
      <c r="W125" s="1">
        <v>43797.276446759257</v>
      </c>
      <c r="EC125" t="s">
        <v>811</v>
      </c>
      <c r="ED125" t="s">
        <v>808</v>
      </c>
      <c r="EE125" t="s">
        <v>814</v>
      </c>
      <c r="EF125" t="str">
        <f>HYPERLINK("https://d33htgqikc2pj4.cloudfront.net/69e6a058-82f8-4328-b615-8713807360ba.jpeg", "Святослав Грохольский: Ссылка на изображение")</f>
        <v>Святослав Грохольский: Ссылка на изображение</v>
      </c>
      <c r="EG125" t="s">
        <v>815</v>
      </c>
      <c r="EH125" t="s">
        <v>816</v>
      </c>
      <c r="EI125" t="s">
        <v>807</v>
      </c>
      <c r="EJ125" t="s">
        <v>817</v>
      </c>
    </row>
    <row r="126" spans="1:181" ht="15" customHeight="1" x14ac:dyDescent="0.35">
      <c r="A126">
        <v>109</v>
      </c>
      <c r="B126" t="s">
        <v>818</v>
      </c>
      <c r="C126">
        <v>3</v>
      </c>
      <c r="D126" t="str">
        <f>VLOOKUP(source[[#This Row],[Приоритет]],тПриоритеты[],2,0)</f>
        <v>Малозначительное</v>
      </c>
      <c r="E126" t="str">
        <f>IF(ISBLANK(source[[#This Row],[Проверенные]]),IF(ISBLANK(source[[#This Row],[Завершенные]]),source[[#This Row],[Приоритет_]],"Завершено"),"Проверено")</f>
        <v>Проверено</v>
      </c>
      <c r="F126" t="s">
        <v>738</v>
      </c>
      <c r="G126" t="s">
        <v>806</v>
      </c>
      <c r="H126" t="e">
        <f>VLOOKUP(source[[#This Row],[Отвественный]],тОтветственные[],2,0)</f>
        <v>#N/A</v>
      </c>
      <c r="S126" s="1">
        <v>43771.660914351851</v>
      </c>
      <c r="T126" s="1">
        <v>43809.421122685184</v>
      </c>
      <c r="U126" s="1">
        <v>43809.421122685184</v>
      </c>
      <c r="W126" s="1">
        <v>43809.421122685184</v>
      </c>
      <c r="X126" t="s">
        <v>739</v>
      </c>
      <c r="AA126" t="s">
        <v>819</v>
      </c>
      <c r="AH126" t="s">
        <v>820</v>
      </c>
      <c r="AI126" t="s">
        <v>821</v>
      </c>
      <c r="AJ126" t="s">
        <v>822</v>
      </c>
      <c r="AK126" t="s">
        <v>823</v>
      </c>
      <c r="AL126" t="s">
        <v>824</v>
      </c>
      <c r="AM126" t="s">
        <v>825</v>
      </c>
      <c r="AN126" t="s">
        <v>826</v>
      </c>
      <c r="AO126" t="s">
        <v>827</v>
      </c>
      <c r="AP126" t="s">
        <v>828</v>
      </c>
      <c r="AQ126" t="s">
        <v>829</v>
      </c>
      <c r="EC126" t="s">
        <v>808</v>
      </c>
      <c r="ED126" t="s">
        <v>830</v>
      </c>
      <c r="EE126" t="s">
        <v>816</v>
      </c>
      <c r="EF126" t="s">
        <v>831</v>
      </c>
      <c r="EG126" t="s">
        <v>832</v>
      </c>
      <c r="EH126" t="str">
        <f>HYPERLINK("https://d33htgqikc2pj4.cloudfront.net/8610936c3a354716d1d288ff8aa9f8ed/49e12f18080bac29ed467b602f9b0099-file.jpeg", "Святослав Грохольский: Ссылка на изображение")</f>
        <v>Святослав Грохольский: Ссылка на изображение</v>
      </c>
      <c r="EI126" t="str">
        <f>HYPERLINK("https://d33htgqikc2pj4.cloudfront.net/f479ff2b2916c8633a98275a921e19a5/16dcff79c893ba6658c7edd8da240d89-file.jpeg", "Святослав Грохольский: Ссылка на изображение")</f>
        <v>Святослав Грохольский: Ссылка на изображение</v>
      </c>
      <c r="EJ126" t="str">
        <f>HYPERLINK("https://d33htgqikc2pj4.cloudfront.net/4f7fdff81c1b540328c6b173a14b7983/35c1cdf6c770bfd9653b56b9912f7efb-file.jpeg", "Святослав Грохольский: Ссылка на изображение")</f>
        <v>Святослав Грохольский: Ссылка на изображение</v>
      </c>
      <c r="EK126" t="str">
        <f>HYPERLINK("https://d33htgqikc2pj4.cloudfront.net/41121cf4ac6899824508969a2b9102d4/aba10d5991b8363572b9d18275061d0f-file.jpeg", "Святослав Грохольский: Ссылка на изображение")</f>
        <v>Святослав Грохольский: Ссылка на изображение</v>
      </c>
      <c r="EL126" t="str">
        <f>HYPERLINK("https://d33htgqikc2pj4.cloudfront.net/57b501ea8d5c5c462b6b550d07b336b3/bcdcc0b270573098110f1c6111667a31-file.jpeg", "Святослав Грохольский: Ссылка на изображение")</f>
        <v>Святослав Грохольский: Ссылка на изображение</v>
      </c>
      <c r="EM126" t="str">
        <f>HYPERLINK("https://d33htgqikc2pj4.cloudfront.net/e6bf933ca3aa84b6729b46ba4275c3f3/592d3561470b967e344bef45d9a04612-file.jpeg", "Святослав Грохольский: Ссылка на изображение")</f>
        <v>Святослав Грохольский: Ссылка на изображение</v>
      </c>
      <c r="EN126" t="str">
        <f>HYPERLINK("https://d33htgqikc2pj4.cloudfront.net/1dc3d289c6963aec6877a8cac5e3241c/822bdd2cf75322b9aca1047f90fb8316-file.jpeg", "Святослав Грохольский: Ссылка на изображение")</f>
        <v>Святослав Грохольский: Ссылка на изображение</v>
      </c>
      <c r="EO126" t="str">
        <f>HYPERLINK("https://d33htgqikc2pj4.cloudfront.net/1265dea5fa1b0fff17c6bf6cafd3875a/9ba1d78d8ac21c19d53df4aefda9d4b6-file.jpeg", "Святослав Грохольский: Ссылка на изображение")</f>
        <v>Святослав Грохольский: Ссылка на изображение</v>
      </c>
      <c r="EP126" t="str">
        <f>HYPERLINK("https://d33htgqikc2pj4.cloudfront.net/685cb7596237cd2e2cbaa4d00989aa97/88044010ae4fd0265213fe83b72d32fe-file.jpeg", "Святослав Грохольский: Ссылка на изображение")</f>
        <v>Святослав Грохольский: Ссылка на изображение</v>
      </c>
      <c r="EQ126" t="str">
        <f>HYPERLINK("https://d33htgqikc2pj4.cloudfront.net/bd0a825c40e3600be467d036ce2af6bc/06d786c63761407e93a65858d6b66257-file.jpeg", "Святослав Грохольский: Ссылка на изображение")</f>
        <v>Святослав Грохольский: Ссылка на изображение</v>
      </c>
      <c r="ER126" t="str">
        <f>HYPERLINK("https://d33htgqikc2pj4.cloudfront.net/582c06e15cdcec6053d43ad7aaf12bf8/3f9bd19c87a69e3c9773ed7e7696fbdf-file.jpeg", "Святослав Грохольский: Ссылка на изображение")</f>
        <v>Святослав Грохольский: Ссылка на изображение</v>
      </c>
      <c r="ES126" t="str">
        <f>HYPERLINK("https://d33htgqikc2pj4.cloudfront.net/6ac28cfd606f5bdfcdbb0674f254b820/40e9c3484973c8c13614b4820de86a62-file.jpeg", "Святослав Грохольский: Ссылка на изображение")</f>
        <v>Святослав Грохольский: Ссылка на изображение</v>
      </c>
      <c r="ET126" t="str">
        <f>HYPERLINK("https://d33htgqikc2pj4.cloudfront.net/bc73b8d9d699c119553243bf088abb44/ae78248d5d843ba7204226c0f9495cb8-file.jpeg", "Святослав Грохольский: Ссылка на изображение")</f>
        <v>Святослав Грохольский: Ссылка на изображение</v>
      </c>
      <c r="EU126" t="str">
        <f>HYPERLINK("https://d33htgqikc2pj4.cloudfront.net/dc0f6ac368d183eb11d56350c01155c7/a9d79ccbb8bcbc139587769ee3e0415f-file.jpeg", "Святослав Грохольский: Ссылка на изображение")</f>
        <v>Святослав Грохольский: Ссылка на изображение</v>
      </c>
      <c r="EV126" t="str">
        <f>HYPERLINK("https://d33htgqikc2pj4.cloudfront.net/867a609d4ff21c66c9a4432af197f323/a266f164ecbe78cec6b9ceab53142a3b-file.jpeg", "Святослав Грохольский: Ссылка на изображение")</f>
        <v>Святослав Грохольский: Ссылка на изображение</v>
      </c>
      <c r="EW126" t="str">
        <f>HYPERLINK("https://d33htgqikc2pj4.cloudfront.net/0e694494e6f59d7966fabe8d4f9dd197/977bc46c679e1221ff2b7d2c08582663-file.jpeg", "Святослав Грохольский: Ссылка на изображение")</f>
        <v>Святослав Грохольский: Ссылка на изображение</v>
      </c>
      <c r="EX126" t="str">
        <f>HYPERLINK("https://d33htgqikc2pj4.cloudfront.net/d9083eec73c0369b3485ed6041cc968b/8dc160f635f754476b4bf16bcb1eaab5-file.jpeg", "Святослав Грохольский: Ссылка на изображение")</f>
        <v>Святослав Грохольский: Ссылка на изображение</v>
      </c>
      <c r="EY126" t="str">
        <f>HYPERLINK("https://d33htgqikc2pj4.cloudfront.net/19f1e428c0df50618ee835b97554c39c/96e7035e32fcd4caf860b24c165a7200-file.jpeg", "Святослав Грохольский: Ссылка на изображение")</f>
        <v>Святослав Грохольский: Ссылка на изображение</v>
      </c>
      <c r="EZ126" t="str">
        <f>HYPERLINK("https://d33htgqikc2pj4.cloudfront.net/b94a1071a9647e171c56864ad4e784d6/e689d005f439af3d214f6ab493e61e2e-file.jpeg", "Святослав Грохольский: Ссылка на изображение")</f>
        <v>Святослав Грохольский: Ссылка на изображение</v>
      </c>
      <c r="FA126" t="s">
        <v>817</v>
      </c>
      <c r="FB126" t="s">
        <v>817</v>
      </c>
      <c r="FC126" t="s">
        <v>833</v>
      </c>
      <c r="FD126" t="s">
        <v>834</v>
      </c>
      <c r="FE126" t="s">
        <v>833</v>
      </c>
      <c r="FF126" t="s">
        <v>835</v>
      </c>
      <c r="FG126" t="s">
        <v>836</v>
      </c>
    </row>
    <row r="127" spans="1:181" ht="15" customHeight="1" x14ac:dyDescent="0.35">
      <c r="A127">
        <v>825</v>
      </c>
      <c r="B127" t="s">
        <v>805</v>
      </c>
      <c r="C127">
        <v>2</v>
      </c>
      <c r="D127" t="str">
        <f>VLOOKUP(source[[#This Row],[Приоритет]],тПриоритеты[],2,0)</f>
        <v>Значительное</v>
      </c>
      <c r="E127" t="str">
        <f>IF(ISBLANK(source[[#This Row],[Проверенные]]),IF(ISBLANK(source[[#This Row],[Завершенные]]),source[[#This Row],[Приоритет_]],"Завершено"),"Проверено")</f>
        <v>Проверено</v>
      </c>
      <c r="F127" t="s">
        <v>738</v>
      </c>
      <c r="G127" t="s">
        <v>806</v>
      </c>
      <c r="H127" t="e">
        <f>VLOOKUP(source[[#This Row],[Отвественный]],тОтветственные[],2,0)</f>
        <v>#N/A</v>
      </c>
      <c r="I127" s="2">
        <v>43829</v>
      </c>
      <c r="J127" s="2">
        <v>43829</v>
      </c>
      <c r="S127" s="1">
        <v>43829.704745370371</v>
      </c>
      <c r="T127" s="1">
        <v>43829.70484953704</v>
      </c>
      <c r="U127" s="1">
        <v>43829.70484953704</v>
      </c>
      <c r="W127" s="1">
        <v>43829.705474537041</v>
      </c>
      <c r="EC127" t="s">
        <v>807</v>
      </c>
      <c r="ED127" t="s">
        <v>808</v>
      </c>
      <c r="EE127" t="s">
        <v>837</v>
      </c>
      <c r="EF127" t="s">
        <v>811</v>
      </c>
      <c r="EG127" t="s">
        <v>838</v>
      </c>
      <c r="EH127" t="str">
        <f>HYPERLINK("https://d33htgqikc2pj4.cloudfront.net/422a38e0-9ba1-44a2-9e6d-a66a298d850a.jpeg", "Святослав Грохольский: Ссылка на изображение")</f>
        <v>Святослав Грохольский: Ссылка на изображение</v>
      </c>
    </row>
    <row r="128" spans="1:181" ht="15" customHeight="1" x14ac:dyDescent="0.35">
      <c r="A128">
        <v>235</v>
      </c>
      <c r="B128" t="s">
        <v>839</v>
      </c>
      <c r="C128">
        <v>2</v>
      </c>
      <c r="D128" t="str">
        <f>VLOOKUP(source[[#This Row],[Приоритет]],тПриоритеты[],2,0)</f>
        <v>Значительное</v>
      </c>
      <c r="E128" t="str">
        <f>IF(ISBLANK(source[[#This Row],[Проверенные]]),IF(ISBLANK(source[[#This Row],[Завершенные]]),source[[#This Row],[Приоритет_]],"Завершено"),"Проверено")</f>
        <v>Проверено</v>
      </c>
      <c r="F128" t="s">
        <v>738</v>
      </c>
      <c r="G128" t="s">
        <v>806</v>
      </c>
      <c r="H128" t="e">
        <f>VLOOKUP(source[[#This Row],[Отвественный]],тОтветственные[],2,0)</f>
        <v>#N/A</v>
      </c>
      <c r="I128" s="2">
        <v>43782</v>
      </c>
      <c r="J128" s="2">
        <v>43782</v>
      </c>
      <c r="S128" s="1">
        <v>43782.205358796295</v>
      </c>
      <c r="T128" s="1">
        <v>43782.205497685187</v>
      </c>
      <c r="U128" s="1">
        <v>43782.205497685187</v>
      </c>
      <c r="W128" s="1">
        <v>43782.211423611108</v>
      </c>
      <c r="EC128" t="s">
        <v>807</v>
      </c>
      <c r="ED128" t="s">
        <v>808</v>
      </c>
      <c r="EE128" t="s">
        <v>840</v>
      </c>
      <c r="EF128" t="s">
        <v>811</v>
      </c>
      <c r="EG128" t="s">
        <v>841</v>
      </c>
      <c r="EH128" t="s">
        <v>842</v>
      </c>
      <c r="EI128" t="str">
        <f>HYPERLINK("https://d33htgqikc2pj4.cloudfront.net/8bb566fc-ccde-4e04-9e45-a26d402c81ad.jpeg", "Святослав Грохольский: Ссылка на изображение")</f>
        <v>Святослав Грохольский: Ссылка на изображение</v>
      </c>
      <c r="EJ128" t="str">
        <f>HYPERLINK("https://d33htgqikc2pj4.cloudfront.net/22b13e89-bdbe-4de7-a925-3108b7ce1c4a.jpeg", "Святослав Грохольский: Ссылка на изображение")</f>
        <v>Святослав Грохольский: Ссылка на изображение</v>
      </c>
      <c r="EK128" t="str">
        <f>HYPERLINK("https://d33htgqikc2pj4.cloudfront.net/a900c3d8-a974-4321-8b1c-a0abd966e89c.jpeg", "Святослав Грохольский: Ссылка на изображение")</f>
        <v>Святослав Грохольский: Ссылка на изображение</v>
      </c>
      <c r="EL128" t="str">
        <f>HYPERLINK("https://d33htgqikc2pj4.cloudfront.net/9a2282e2-518d-4c9f-b304-247098489d44.jpeg", "Святослав Грохольский: Ссылка на изображение")</f>
        <v>Святослав Грохольский: Ссылка на изображение</v>
      </c>
      <c r="EM128" t="str">
        <f>HYPERLINK("https://d33htgqikc2pj4.cloudfront.net/3233ef54-d5f7-4ed4-bcdd-71f1de81696c.jpeg", "Святослав Грохольский: Ссылка на изображение")</f>
        <v>Святослав Грохольский: Ссылка на изображение</v>
      </c>
    </row>
    <row r="129" spans="1:158" ht="15" customHeight="1" x14ac:dyDescent="0.35">
      <c r="A129">
        <v>842</v>
      </c>
      <c r="B129" t="s">
        <v>843</v>
      </c>
      <c r="C129">
        <v>3</v>
      </c>
      <c r="D129" t="str">
        <f>VLOOKUP(source[[#This Row],[Приоритет]],тПриоритеты[],2,0)</f>
        <v>Малозначительное</v>
      </c>
      <c r="E129" t="str">
        <f>IF(ISBLANK(source[[#This Row],[Проверенные]]),IF(ISBLANK(source[[#This Row],[Завершенные]]),source[[#This Row],[Приоритет_]],"Завершено"),"Проверено")</f>
        <v>Проверено</v>
      </c>
      <c r="F129" t="s">
        <v>738</v>
      </c>
      <c r="G129" t="s">
        <v>806</v>
      </c>
      <c r="H129" t="e">
        <f>VLOOKUP(source[[#This Row],[Отвественный]],тОтветственные[],2,0)</f>
        <v>#N/A</v>
      </c>
      <c r="I129" s="2">
        <v>43834</v>
      </c>
      <c r="J129" s="2">
        <v>43834</v>
      </c>
      <c r="S129" s="1">
        <v>43834.605590277781</v>
      </c>
      <c r="T129" s="1">
        <v>43837.451967592591</v>
      </c>
      <c r="U129" s="1">
        <v>43837.451967592591</v>
      </c>
      <c r="W129" s="1">
        <v>43837.451967592591</v>
      </c>
      <c r="EC129" t="s">
        <v>844</v>
      </c>
      <c r="ED129" t="s">
        <v>808</v>
      </c>
      <c r="EE129" t="s">
        <v>845</v>
      </c>
      <c r="EF129" t="str">
        <f>HYPERLINK("https://d33htgqikc2pj4.cloudfront.net/c4659bb6-2088-4939-b6e0-abedfca518de.jpeg", "Святослав Грохольский: Ссылка на изображение")</f>
        <v>Святослав Грохольский: Ссылка на изображение</v>
      </c>
      <c r="EG129" t="str">
        <f>HYPERLINK("https://d33htgqikc2pj4.cloudfront.net/eb29332e-5f27-4f59-85bc-1e5164d21d9a.jpeg", "Святослав Грохольский: Ссылка на изображение")</f>
        <v>Святослав Грохольский: Ссылка на изображение</v>
      </c>
      <c r="EH129" t="str">
        <f>HYPERLINK("https://d33htgqikc2pj4.cloudfront.net/ba622573-d9dd-4b2f-91c7-b6a4b595ce19.jpeg", "Святослав Грохольский: Ссылка на изображение")</f>
        <v>Святослав Грохольский: Ссылка на изображение</v>
      </c>
      <c r="EI129" t="str">
        <f>HYPERLINK("https://d33htgqikc2pj4.cloudfront.net/ab11bcb7-34b0-41bc-a5e0-916b823c22a8.jpeg", "Святослав Грохольский: Ссылка на изображение")</f>
        <v>Святослав Грохольский: Ссылка на изображение</v>
      </c>
      <c r="EJ129" t="str">
        <f>HYPERLINK("https://d33htgqikc2pj4.cloudfront.net/20098cfb-918a-4865-8d46-e5c410e2bb4f.jpeg", "Святослав Грохольский: Ссылка на изображение")</f>
        <v>Святослав Грохольский: Ссылка на изображение</v>
      </c>
      <c r="EK129" t="str">
        <f>HYPERLINK("https://d33htgqikc2pj4.cloudfront.net/b542368a-2377-4039-862c-94167e5de073.jpeg", "Святослав Грохольский: Ссылка на изображение")</f>
        <v>Святослав Грохольский: Ссылка на изображение</v>
      </c>
      <c r="EL129" t="s">
        <v>846</v>
      </c>
      <c r="EM129" t="s">
        <v>833</v>
      </c>
      <c r="EN129" t="s">
        <v>847</v>
      </c>
      <c r="EO129" t="s">
        <v>807</v>
      </c>
    </row>
    <row r="130" spans="1:158" ht="15" customHeight="1" x14ac:dyDescent="0.35">
      <c r="A130">
        <v>1243</v>
      </c>
      <c r="B130" t="s">
        <v>843</v>
      </c>
      <c r="C130">
        <v>2</v>
      </c>
      <c r="D130" t="str">
        <f>VLOOKUP(source[[#This Row],[Приоритет]],тПриоритеты[],2,0)</f>
        <v>Значительное</v>
      </c>
      <c r="E130" t="str">
        <f>IF(ISBLANK(source[[#This Row],[Проверенные]]),IF(ISBLANK(source[[#This Row],[Завершенные]]),source[[#This Row],[Приоритет_]],"Завершено"),"Проверено")</f>
        <v>Проверено</v>
      </c>
      <c r="F130" t="s">
        <v>738</v>
      </c>
      <c r="G130" t="s">
        <v>806</v>
      </c>
      <c r="H130" t="e">
        <f>VLOOKUP(source[[#This Row],[Отвественный]],тОтветственные[],2,0)</f>
        <v>#N/A</v>
      </c>
      <c r="I130" s="2">
        <v>43868</v>
      </c>
      <c r="J130" s="2">
        <v>43869</v>
      </c>
      <c r="S130" s="1">
        <v>43869.280324074076</v>
      </c>
      <c r="T130" s="1">
        <v>43869.280590277776</v>
      </c>
      <c r="U130" s="1">
        <v>43869.280590277776</v>
      </c>
      <c r="W130" s="1">
        <v>43869.280763888892</v>
      </c>
      <c r="EC130" t="s">
        <v>844</v>
      </c>
      <c r="ED130" t="s">
        <v>807</v>
      </c>
      <c r="EE130" t="s">
        <v>808</v>
      </c>
      <c r="EF130" t="s">
        <v>848</v>
      </c>
      <c r="EG130" t="s">
        <v>849</v>
      </c>
      <c r="EH130" t="s">
        <v>850</v>
      </c>
      <c r="EI130" t="str">
        <f>HYPERLINK("https://d33htgqikc2pj4.cloudfront.net/40668473-fb09-4df9-bb78-5e2cfa0bb13e.jpeg", "Святослав Грохольский: Ссылка на изображение")</f>
        <v>Святослав Грохольский: Ссылка на изображение</v>
      </c>
    </row>
    <row r="131" spans="1:158" ht="15" customHeight="1" x14ac:dyDescent="0.35">
      <c r="A131">
        <v>1017</v>
      </c>
      <c r="B131" t="s">
        <v>851</v>
      </c>
      <c r="C131">
        <v>2</v>
      </c>
      <c r="D131" t="str">
        <f>VLOOKUP(source[[#This Row],[Приоритет]],тПриоритеты[],2,0)</f>
        <v>Значительное</v>
      </c>
      <c r="E131" t="str">
        <f>IF(ISBLANK(source[[#This Row],[Проверенные]]),IF(ISBLANK(source[[#This Row],[Завершенные]]),source[[#This Row],[Приоритет_]],"Завершено"),"Проверено")</f>
        <v>Проверено</v>
      </c>
      <c r="F131" t="s">
        <v>738</v>
      </c>
      <c r="G131" t="s">
        <v>806</v>
      </c>
      <c r="H131" t="e">
        <f>VLOOKUP(source[[#This Row],[Отвественный]],тОтветственные[],2,0)</f>
        <v>#N/A</v>
      </c>
      <c r="I131" s="2">
        <v>43852</v>
      </c>
      <c r="J131" s="2">
        <v>43853</v>
      </c>
      <c r="S131" s="1">
        <v>43853.269247685188</v>
      </c>
      <c r="T131" s="1">
        <v>43853.269317129627</v>
      </c>
      <c r="U131" s="1">
        <v>43853.269317129627</v>
      </c>
      <c r="W131" s="1">
        <v>43853.270069444443</v>
      </c>
      <c r="EC131" t="s">
        <v>807</v>
      </c>
      <c r="ED131" t="s">
        <v>808</v>
      </c>
      <c r="EE131" t="s">
        <v>852</v>
      </c>
      <c r="EF131" t="s">
        <v>853</v>
      </c>
      <c r="EG131" t="s">
        <v>854</v>
      </c>
      <c r="EH131" t="str">
        <f>HYPERLINK("https://d33htgqikc2pj4.cloudfront.net/f8f88192-92b6-4049-9c1d-ecdd6ef5f2fe.jpeg", "Святослав Грохольский: Ссылка на изображение")</f>
        <v>Святослав Грохольский: Ссылка на изображение</v>
      </c>
    </row>
    <row r="132" spans="1:158" ht="15" customHeight="1" x14ac:dyDescent="0.35">
      <c r="A132">
        <v>417</v>
      </c>
      <c r="B132" t="s">
        <v>855</v>
      </c>
      <c r="C132">
        <v>2</v>
      </c>
      <c r="D132" t="str">
        <f>VLOOKUP(source[[#This Row],[Приоритет]],тПриоритеты[],2,0)</f>
        <v>Значительное</v>
      </c>
      <c r="E132" t="str">
        <f>IF(ISBLANK(source[[#This Row],[Проверенные]]),IF(ISBLANK(source[[#This Row],[Завершенные]]),source[[#This Row],[Приоритет_]],"Завершено"),"Проверено")</f>
        <v>Проверено</v>
      </c>
      <c r="F132" t="s">
        <v>738</v>
      </c>
      <c r="G132" t="s">
        <v>856</v>
      </c>
      <c r="H132" t="e">
        <f>VLOOKUP(source[[#This Row],[Отвественный]],тОтветственные[],2,0)</f>
        <v>#N/A</v>
      </c>
      <c r="I132" s="2">
        <v>43793</v>
      </c>
      <c r="J132" s="2">
        <v>43793</v>
      </c>
      <c r="K132" t="s">
        <v>857</v>
      </c>
      <c r="L132">
        <v>0</v>
      </c>
      <c r="M132">
        <v>0</v>
      </c>
      <c r="Q132" t="s">
        <v>858</v>
      </c>
      <c r="R132" t="str">
        <f>HYPERLINK("https://d28ji4sm1vmprj.cloudfront.net/8eebbf7ea37f9890bba2b6658f1b7508/d4bda9818e0514824ff17bf1c3596771.jpeg", "Ссылка на план")</f>
        <v>Ссылка на план</v>
      </c>
      <c r="S132" s="1">
        <v>43793.620844907404</v>
      </c>
      <c r="T132" s="1">
        <v>43793.659363425926</v>
      </c>
      <c r="U132" s="1">
        <v>43797.480451388888</v>
      </c>
      <c r="W132" s="1">
        <v>43797.480451388888</v>
      </c>
      <c r="EC132" t="s">
        <v>798</v>
      </c>
      <c r="ED132" t="s">
        <v>859</v>
      </c>
      <c r="EE132" t="str">
        <f>HYPERLINK("https://d33htgqikc2pj4.cloudfront.net/qvHDimMUqxZcQnsj/c5428a27-8630-4f21-9cc1-b6338ebe02ce.jpeg", "Вячеслав Сорокин: Ссылка на изображение")</f>
        <v>Вячеслав Сорокин: Ссылка на изображение</v>
      </c>
      <c r="EF132" t="str">
        <f>HYPERLINK("https://d33htgqikc2pj4.cloudfront.net/qvHDimMUqxZcQnsj/4c260c20-29d9-4124-9e68-1b76f3f787c5.jpeg", "Вячеслав Сорокин: Ссылка на изображение")</f>
        <v>Вячеслав Сорокин: Ссылка на изображение</v>
      </c>
      <c r="EG132" t="str">
        <f>HYPERLINK("https://d33htgqikc2pj4.cloudfront.net/qvHDimMUqxZcQnsj/403efbc7-f301-477f-86b3-d52fefc465b5.jpeg", "Вячеслав Сорокин: Ссылка на изображение")</f>
        <v>Вячеслав Сорокин: Ссылка на изображение</v>
      </c>
      <c r="EH132" t="s">
        <v>860</v>
      </c>
      <c r="EI132" t="s">
        <v>861</v>
      </c>
      <c r="EJ132" t="s">
        <v>862</v>
      </c>
      <c r="EK132" t="s">
        <v>863</v>
      </c>
      <c r="EL132" t="s">
        <v>800</v>
      </c>
      <c r="EM132" t="s">
        <v>864</v>
      </c>
      <c r="EN132" t="s">
        <v>794</v>
      </c>
    </row>
    <row r="133" spans="1:158" ht="15" customHeight="1" x14ac:dyDescent="0.35">
      <c r="A133">
        <v>904</v>
      </c>
      <c r="B133" t="s">
        <v>865</v>
      </c>
      <c r="C133">
        <v>1</v>
      </c>
      <c r="D133" t="str">
        <f>VLOOKUP(source[[#This Row],[Приоритет]],тПриоритеты[],2,0)</f>
        <v>КРИТИЧЕСКОЕ</v>
      </c>
      <c r="E133" t="str">
        <f>IF(ISBLANK(source[[#This Row],[Проверенные]]),IF(ISBLANK(source[[#This Row],[Завершенные]]),source[[#This Row],[Приоритет_]],"Завершено"),"Проверено")</f>
        <v>КРИТИЧЕСКОЕ</v>
      </c>
      <c r="F133" t="s">
        <v>866</v>
      </c>
      <c r="G133" t="s">
        <v>867</v>
      </c>
      <c r="H133" t="e">
        <f>VLOOKUP(source[[#This Row],[Отвественный]],тОтветственные[],2,0)</f>
        <v>#N/A</v>
      </c>
      <c r="I133" s="2">
        <v>43840</v>
      </c>
      <c r="J133" s="2">
        <v>43854</v>
      </c>
      <c r="K133" t="s">
        <v>868</v>
      </c>
      <c r="L133">
        <v>46.32</v>
      </c>
      <c r="M133">
        <v>20</v>
      </c>
      <c r="Q133" t="s">
        <v>869</v>
      </c>
      <c r="R133" t="str">
        <f>HYPERLINK("https://d28ji4sm1vmprj.cloudfront.net/9b5e86ed66d865c81ef865866762bf75/d72a959dd54fc3724ae76835e23b3c53.jpeg", "Ссылка на план")</f>
        <v>Ссылка на план</v>
      </c>
      <c r="S133" s="1">
        <v>43844.394849537035</v>
      </c>
      <c r="W133" s="1">
        <v>43851.438402777778</v>
      </c>
      <c r="X133" t="s">
        <v>870</v>
      </c>
      <c r="EC133" t="s">
        <v>871</v>
      </c>
      <c r="ED133" t="s">
        <v>872</v>
      </c>
      <c r="EE133" t="str">
        <f>HYPERLINK("https://d33htgqikc2pj4.cloudfront.net/16b4b0dd-592e-4e8d-a31d-7a5bf1a34cb0.jpeg", "Stanislav Veresov: Ссылка на изображение")</f>
        <v>Stanislav Veresov: Ссылка на изображение</v>
      </c>
      <c r="EF133" t="str">
        <f>HYPERLINK("https://d33htgqikc2pj4.cloudfront.net/d5e36e04-4b3d-4df4-a1bf-ef4fad0b33e6.jpeg", "Stanislav Veresov: Ссылка на изображение")</f>
        <v>Stanislav Veresov: Ссылка на изображение</v>
      </c>
      <c r="EG133" t="str">
        <f>HYPERLINK("https://d33htgqikc2pj4.cloudfront.net/d52312eb-5fa4-4f7e-9e42-40cc9bf8daf1.jpeg", "Stanislav Veresov: Ссылка на изображение")</f>
        <v>Stanislav Veresov: Ссылка на изображение</v>
      </c>
      <c r="EH133" t="str">
        <f>HYPERLINK("https://d33htgqikc2pj4.cloudfront.net/d3a93130-131c-43f2-ace9-369e0c41eabb.jpeg", "Stanislav Veresov: Ссылка на изображение")</f>
        <v>Stanislav Veresov: Ссылка на изображение</v>
      </c>
      <c r="EI133" t="str">
        <f>HYPERLINK("https://d33htgqikc2pj4.cloudfront.net/f662292f-5e2c-4f8c-903f-5de9b6cfe1bb.jpeg", "Stanislav Veresov: Ссылка на изображение")</f>
        <v>Stanislav Veresov: Ссылка на изображение</v>
      </c>
      <c r="EJ133" t="s">
        <v>873</v>
      </c>
      <c r="EK133" t="s">
        <v>874</v>
      </c>
      <c r="EL133" t="s">
        <v>875</v>
      </c>
      <c r="EM133" t="s">
        <v>876</v>
      </c>
      <c r="EN133" t="s">
        <v>877</v>
      </c>
      <c r="EO133" t="s">
        <v>878</v>
      </c>
      <c r="EP133" t="s">
        <v>879</v>
      </c>
      <c r="EQ133" t="s">
        <v>880</v>
      </c>
    </row>
    <row r="134" spans="1:158" ht="15" customHeight="1" x14ac:dyDescent="0.35">
      <c r="A134">
        <v>297</v>
      </c>
      <c r="B134" t="s">
        <v>881</v>
      </c>
      <c r="C134">
        <v>2</v>
      </c>
      <c r="D134" t="str">
        <f>VLOOKUP(source[[#This Row],[Приоритет]],тПриоритеты[],2,0)</f>
        <v>Значительное</v>
      </c>
      <c r="E134" t="str">
        <f>IF(ISBLANK(source[[#This Row],[Проверенные]]),IF(ISBLANK(source[[#This Row],[Завершенные]]),source[[#This Row],[Приоритет_]],"Завершено"),"Проверено")</f>
        <v>Проверено</v>
      </c>
      <c r="F134" t="s">
        <v>866</v>
      </c>
      <c r="G134" t="s">
        <v>867</v>
      </c>
      <c r="H134" t="e">
        <f>VLOOKUP(source[[#This Row],[Отвественный]],тОтветственные[],2,0)</f>
        <v>#N/A</v>
      </c>
      <c r="K134" t="s">
        <v>882</v>
      </c>
      <c r="L134">
        <v>44.47</v>
      </c>
      <c r="M134">
        <v>31.88</v>
      </c>
      <c r="Q134" t="s">
        <v>869</v>
      </c>
      <c r="R134" t="str">
        <f>HYPERLINK("https://d28ji4sm1vmprj.cloudfront.net/6d9458bb4d1cbc1fe6a38b6bc5aa12cc/94760d0487c0ef1e62d7ade93508a71c.jpeg", "Ссылка на план")</f>
        <v>Ссылка на план</v>
      </c>
      <c r="S134" s="1">
        <v>43784.759571759256</v>
      </c>
      <c r="T134" s="1">
        <v>43790.350844907407</v>
      </c>
      <c r="U134" s="1">
        <v>43791.368692129632</v>
      </c>
      <c r="W134" s="1">
        <v>43791.368692129632</v>
      </c>
      <c r="X134" t="s">
        <v>883</v>
      </c>
      <c r="EC134" t="s">
        <v>884</v>
      </c>
      <c r="ED134" t="str">
        <f>HYPERLINK("https://d33htgqikc2pj4.cloudfront.net/a948a4ba-6b00-4bdc-bc19-c2840e87e530.jpeg", "Stanislav Veresov: Ссылка на изображение")</f>
        <v>Stanislav Veresov: Ссылка на изображение</v>
      </c>
      <c r="EE134" t="str">
        <f>HYPERLINK("https://d33htgqikc2pj4.cloudfront.net/2c992747-bbea-48f3-852c-86c8f1c7fbf3.jpeg", "Stanislav Veresov: Ссылка на изображение")</f>
        <v>Stanislav Veresov: Ссылка на изображение</v>
      </c>
      <c r="EF134" t="s">
        <v>885</v>
      </c>
      <c r="EG134" t="s">
        <v>886</v>
      </c>
      <c r="EH134" t="s">
        <v>887</v>
      </c>
      <c r="EI134" t="s">
        <v>888</v>
      </c>
    </row>
    <row r="135" spans="1:158" ht="15" customHeight="1" x14ac:dyDescent="0.35">
      <c r="A135">
        <v>295</v>
      </c>
      <c r="B135" t="s">
        <v>889</v>
      </c>
      <c r="C135">
        <v>2</v>
      </c>
      <c r="D135" t="str">
        <f>VLOOKUP(source[[#This Row],[Приоритет]],тПриоритеты[],2,0)</f>
        <v>Значительное</v>
      </c>
      <c r="E135" t="str">
        <f>IF(ISBLANK(source[[#This Row],[Проверенные]]),IF(ISBLANK(source[[#This Row],[Завершенные]]),source[[#This Row],[Приоритет_]],"Завершено"),"Проверено")</f>
        <v>Проверено</v>
      </c>
      <c r="F135" t="s">
        <v>866</v>
      </c>
      <c r="G135" t="s">
        <v>867</v>
      </c>
      <c r="H135" t="e">
        <f>VLOOKUP(source[[#This Row],[Отвественный]],тОтветственные[],2,0)</f>
        <v>#N/A</v>
      </c>
      <c r="K135" t="s">
        <v>890</v>
      </c>
      <c r="L135">
        <v>29.52</v>
      </c>
      <c r="M135">
        <v>69.760000000000005</v>
      </c>
      <c r="Q135" t="s">
        <v>869</v>
      </c>
      <c r="R135" t="str">
        <f>HYPERLINK("https://d28ji4sm1vmprj.cloudfront.net/d181de7cbe2b5a034e774684e107b894/f8e02e305ba3718e1b04d6521dd50c1c.jpeg", "Ссылка на план")</f>
        <v>Ссылка на план</v>
      </c>
      <c r="S135" s="1">
        <v>43784.75949074074</v>
      </c>
      <c r="T135" s="1">
        <v>43790.35229166667</v>
      </c>
      <c r="U135" s="1">
        <v>43794.468530092592</v>
      </c>
      <c r="W135" s="1">
        <v>43794.468541666669</v>
      </c>
      <c r="X135" t="s">
        <v>883</v>
      </c>
      <c r="EC135" t="s">
        <v>891</v>
      </c>
      <c r="ED135" t="str">
        <f>HYPERLINK("https://d33htgqikc2pj4.cloudfront.net/9933d866-0ed1-40c7-82b7-97a3c1a6b7e8.jpeg", "Stanislav Veresov: Ссылка на изображение")</f>
        <v>Stanislav Veresov: Ссылка на изображение</v>
      </c>
      <c r="EE135" t="str">
        <f>HYPERLINK("https://d33htgqikc2pj4.cloudfront.net/99829b42-5d2d-472c-89ab-1f538857f0d7.jpeg", "Stanislav Veresov: Ссылка на изображение")</f>
        <v>Stanislav Veresov: Ссылка на изображение</v>
      </c>
      <c r="EF135" t="s">
        <v>885</v>
      </c>
      <c r="EG135" t="s">
        <v>886</v>
      </c>
      <c r="EH135" t="s">
        <v>887</v>
      </c>
      <c r="EI135" t="s">
        <v>888</v>
      </c>
    </row>
    <row r="136" spans="1:158" ht="15" customHeight="1" x14ac:dyDescent="0.35">
      <c r="A136">
        <v>423</v>
      </c>
      <c r="B136" t="s">
        <v>892</v>
      </c>
      <c r="C136">
        <v>2</v>
      </c>
      <c r="D136" t="str">
        <f>VLOOKUP(source[[#This Row],[Приоритет]],тПриоритеты[],2,0)</f>
        <v>Значительное</v>
      </c>
      <c r="E136" t="str">
        <f>IF(ISBLANK(source[[#This Row],[Проверенные]]),IF(ISBLANK(source[[#This Row],[Завершенные]]),source[[#This Row],[Приоритет_]],"Завершено"),"Проверено")</f>
        <v>Проверено</v>
      </c>
      <c r="F136" t="s">
        <v>866</v>
      </c>
      <c r="G136" t="s">
        <v>867</v>
      </c>
      <c r="H136" t="e">
        <f>VLOOKUP(source[[#This Row],[Отвественный]],тОтветственные[],2,0)</f>
        <v>#N/A</v>
      </c>
      <c r="K136" t="s">
        <v>868</v>
      </c>
      <c r="L136">
        <v>29.56</v>
      </c>
      <c r="M136">
        <v>45.24</v>
      </c>
      <c r="Q136" t="s">
        <v>869</v>
      </c>
      <c r="R136" t="str">
        <f>HYPERLINK("https://d28ji4sm1vmprj.cloudfront.net/9b5e86ed66d865c81ef865866762bf75/d72a959dd54fc3724ae76835e23b3c53.jpeg", "Ссылка на план")</f>
        <v>Ссылка на план</v>
      </c>
      <c r="S136" s="1">
        <v>43794.405370370368</v>
      </c>
      <c r="T136" s="1">
        <v>43798.362870370373</v>
      </c>
      <c r="U136" s="1">
        <v>43805.748483796298</v>
      </c>
      <c r="W136" s="1">
        <v>43805.748495370368</v>
      </c>
      <c r="EC136" t="s">
        <v>893</v>
      </c>
      <c r="ED136" t="s">
        <v>894</v>
      </c>
      <c r="EE136" t="s">
        <v>875</v>
      </c>
      <c r="EF136" t="s">
        <v>895</v>
      </c>
      <c r="EG136" t="s">
        <v>896</v>
      </c>
      <c r="EH136" t="s">
        <v>897</v>
      </c>
      <c r="EI136" t="s">
        <v>887</v>
      </c>
      <c r="EJ136" t="s">
        <v>888</v>
      </c>
    </row>
    <row r="137" spans="1:158" ht="15" customHeight="1" x14ac:dyDescent="0.35">
      <c r="A137">
        <v>401</v>
      </c>
      <c r="B137" t="s">
        <v>898</v>
      </c>
      <c r="C137">
        <v>2</v>
      </c>
      <c r="D137" t="str">
        <f>VLOOKUP(source[[#This Row],[Приоритет]],тПриоритеты[],2,0)</f>
        <v>Значительное</v>
      </c>
      <c r="E137" t="str">
        <f>IF(ISBLANK(source[[#This Row],[Проверенные]]),IF(ISBLANK(source[[#This Row],[Завершенные]]),source[[#This Row],[Приоритет_]],"Завершено"),"Проверено")</f>
        <v>Проверено</v>
      </c>
      <c r="F137" t="s">
        <v>866</v>
      </c>
      <c r="G137" t="s">
        <v>867</v>
      </c>
      <c r="H137" t="e">
        <f>VLOOKUP(source[[#This Row],[Отвественный]],тОтветственные[],2,0)</f>
        <v>#N/A</v>
      </c>
      <c r="K137" t="s">
        <v>899</v>
      </c>
      <c r="L137">
        <v>27.79</v>
      </c>
      <c r="M137">
        <v>79.290000000000006</v>
      </c>
      <c r="Q137" t="s">
        <v>869</v>
      </c>
      <c r="R137" t="str">
        <f>HYPERLINK("https://d28ji4sm1vmprj.cloudfront.net/e9bb46f93f883e1528e9d55c0c0faa24/ea5b3488f2e3d1b190d32ef01cf46c45.jpeg", "Ссылка на план")</f>
        <v>Ссылка на план</v>
      </c>
      <c r="S137" s="1">
        <v>43791.707476851851</v>
      </c>
      <c r="T137" s="1">
        <v>43798.36142361111</v>
      </c>
      <c r="U137" s="1">
        <v>43798.361446759256</v>
      </c>
      <c r="W137" s="1">
        <v>43798.361458333333</v>
      </c>
      <c r="X137" t="s">
        <v>870</v>
      </c>
      <c r="Y137" t="s">
        <v>900</v>
      </c>
      <c r="EC137" t="s">
        <v>901</v>
      </c>
      <c r="ED137" t="str">
        <f>HYPERLINK("https://d33htgqikc2pj4.cloudfront.net/fae5a6b0-4d48-47c8-870f-175ed1abbb57.jpeg", "Stanislav Veresov: Ссылка на изображение")</f>
        <v>Stanislav Veresov: Ссылка на изображение</v>
      </c>
      <c r="EE137" t="s">
        <v>875</v>
      </c>
      <c r="EF137" t="s">
        <v>902</v>
      </c>
      <c r="EG137" t="s">
        <v>903</v>
      </c>
      <c r="EH137" t="s">
        <v>904</v>
      </c>
      <c r="EI137" t="s">
        <v>905</v>
      </c>
      <c r="EJ137" t="s">
        <v>888</v>
      </c>
    </row>
    <row r="138" spans="1:158" ht="15" customHeight="1" x14ac:dyDescent="0.35">
      <c r="A138">
        <v>477</v>
      </c>
      <c r="B138" t="s">
        <v>906</v>
      </c>
      <c r="C138">
        <v>1</v>
      </c>
      <c r="D138" t="str">
        <f>VLOOKUP(source[[#This Row],[Приоритет]],тПриоритеты[],2,0)</f>
        <v>КРИТИЧЕСКОЕ</v>
      </c>
      <c r="E138" t="str">
        <f>IF(ISBLANK(source[[#This Row],[Проверенные]]),IF(ISBLANK(source[[#This Row],[Завершенные]]),source[[#This Row],[Приоритет_]],"Завершено"),"Проверено")</f>
        <v>Проверено</v>
      </c>
      <c r="F138" t="s">
        <v>866</v>
      </c>
      <c r="G138" t="s">
        <v>867</v>
      </c>
      <c r="H138" t="e">
        <f>VLOOKUP(source[[#This Row],[Отвественный]],тОтветственные[],2,0)</f>
        <v>#N/A</v>
      </c>
      <c r="I138" s="2">
        <v>43798</v>
      </c>
      <c r="J138" s="2">
        <v>43829</v>
      </c>
      <c r="K138" t="s">
        <v>907</v>
      </c>
      <c r="L138">
        <v>23.65</v>
      </c>
      <c r="M138">
        <v>36.78</v>
      </c>
      <c r="Q138" t="s">
        <v>869</v>
      </c>
      <c r="R138" t="str">
        <f>HYPERLINK("https://d28ji4sm1vmprj.cloudfront.net/c0f23c6c54015bc24483c721f03582a1/9683d3a1a32f20f5b4df00410a3b23ef.jpeg", "Ссылка на план")</f>
        <v>Ссылка на план</v>
      </c>
      <c r="S138" s="1">
        <v>43798.547534722224</v>
      </c>
      <c r="T138" s="1">
        <v>43816.683553240742</v>
      </c>
      <c r="U138" s="1">
        <v>43816.683553240742</v>
      </c>
      <c r="W138" s="1">
        <v>43816.683564814812</v>
      </c>
      <c r="X138" t="s">
        <v>883</v>
      </c>
      <c r="AA138" t="s">
        <v>908</v>
      </c>
      <c r="EC138" t="s">
        <v>909</v>
      </c>
      <c r="ED138" t="str">
        <f>HYPERLINK("https://d33htgqikc2pj4.cloudfront.net/6518f23a-f446-4411-9c3a-b087f3368438.jpeg", "Stanislav Veresov: Ссылка на изображение")</f>
        <v>Stanislav Veresov: Ссылка на изображение</v>
      </c>
      <c r="EE138" t="str">
        <f>HYPERLINK("https://d33htgqikc2pj4.cloudfront.net/50b830cb-6505-49c1-9091-ceff47e6234f.jpeg", "Stanislav Veresov: Ссылка на изображение")</f>
        <v>Stanislav Veresov: Ссылка на изображение</v>
      </c>
      <c r="EF138" t="str">
        <f>HYPERLINK("https://d33htgqikc2pj4.cloudfront.net/86413506-4cf1-4a03-892c-a47d23ff0b76.jpeg", "Stanislav Veresov: Ссылка на изображение")</f>
        <v>Stanislav Veresov: Ссылка на изображение</v>
      </c>
      <c r="EG138" t="str">
        <f>HYPERLINK("https://d33htgqikc2pj4.cloudfront.net/ec88f208-8693-4b67-afc3-d43e3a2ee3e7.jpeg", "Stanislav Veresov: Ссылка на изображение")</f>
        <v>Stanislav Veresov: Ссылка на изображение</v>
      </c>
      <c r="EH138" t="str">
        <f>HYPERLINK("https://d33htgqikc2pj4.cloudfront.net/bc7d89b6-a52b-45f2-aa3c-64b757e2c18a.jpeg", "Stanislav Veresov: Ссылка на изображение")</f>
        <v>Stanislav Veresov: Ссылка на изображение</v>
      </c>
      <c r="EI138" t="str">
        <f>HYPERLINK("https://d33htgqikc2pj4.cloudfront.net/50399a8a-4462-407f-8583-dee8d3512099.jpeg", "Stanislav Veresov: Ссылка на изображение")</f>
        <v>Stanislav Veresov: Ссылка на изображение</v>
      </c>
      <c r="EJ138" t="str">
        <f>HYPERLINK("https://d33htgqikc2pj4.cloudfront.net/e7fb173f-f8a8-43b1-8294-ca489cceae39.jpeg", "Stanislav Veresov: Ссылка на изображение")</f>
        <v>Stanislav Veresov: Ссылка на изображение</v>
      </c>
      <c r="EK138" t="str">
        <f>HYPERLINK("https://d33htgqikc2pj4.cloudfront.net/826168de-d7f8-4388-ac38-2f786044dd0f.jpeg", "Stanislav Veresov: Ссылка на изображение")</f>
        <v>Stanislav Veresov: Ссылка на изображение</v>
      </c>
      <c r="EL138" t="str">
        <f>HYPERLINK("https://d33htgqikc2pj4.cloudfront.net/da39dca1-b5f1-4341-b5aa-54a0e42351f6.jpeg", "Stanislav Veresov: Ссылка на изображение")</f>
        <v>Stanislav Veresov: Ссылка на изображение</v>
      </c>
      <c r="EM138" t="str">
        <f>HYPERLINK("https://d33htgqikc2pj4.cloudfront.net/c9a9501c-30c4-4382-ba0b-39e81271fdd8.jpeg", "Stanislav Veresov: Ссылка на изображение")</f>
        <v>Stanislav Veresov: Ссылка на изображение</v>
      </c>
      <c r="EN138" t="str">
        <f>HYPERLINK("https://d33htgqikc2pj4.cloudfront.net/4b08e2da-8b48-4964-a048-8248e5cab07c.jpeg", "Stanislav Veresov: Ссылка на изображение")</f>
        <v>Stanislav Veresov: Ссылка на изображение</v>
      </c>
      <c r="EO138" t="str">
        <f>HYPERLINK("https://d33htgqikc2pj4.cloudfront.net/276d71ca-0ec0-4e4c-8c9d-ee7d722e072f.jpeg", "Stanislav Veresov: Ссылка на изображение")</f>
        <v>Stanislav Veresov: Ссылка на изображение</v>
      </c>
      <c r="EP138" t="str">
        <f>HYPERLINK("https://d33htgqikc2pj4.cloudfront.net/80690a44-03a0-44ed-85bc-97f671188c58.jpeg", "Stanislav Veresov: Ссылка на изображение")</f>
        <v>Stanislav Veresov: Ссылка на изображение</v>
      </c>
      <c r="EQ138" t="s">
        <v>873</v>
      </c>
      <c r="ER138" t="s">
        <v>875</v>
      </c>
      <c r="ES138" t="s">
        <v>910</v>
      </c>
      <c r="ET138" t="str">
        <f>HYPERLINK("https://d33htgqikc2pj4.cloudfront.net/06dfcfdc-d4c9-4582-892c-6b937b7b692a.jpeg", "Stanislav Veresov: Ссылка на изображение")</f>
        <v>Stanislav Veresov: Ссылка на изображение</v>
      </c>
      <c r="EU138" t="s">
        <v>911</v>
      </c>
      <c r="EV138" t="s">
        <v>895</v>
      </c>
      <c r="EW138" t="s">
        <v>912</v>
      </c>
      <c r="EX138" t="s">
        <v>913</v>
      </c>
      <c r="EY138" t="s">
        <v>887</v>
      </c>
      <c r="EZ138" t="s">
        <v>914</v>
      </c>
      <c r="FA138" t="s">
        <v>915</v>
      </c>
      <c r="FB138" t="s">
        <v>888</v>
      </c>
    </row>
    <row r="139" spans="1:158" ht="15" customHeight="1" x14ac:dyDescent="0.35">
      <c r="A139">
        <v>600</v>
      </c>
      <c r="B139" t="s">
        <v>916</v>
      </c>
      <c r="C139">
        <v>1</v>
      </c>
      <c r="D139" t="str">
        <f>VLOOKUP(source[[#This Row],[Приоритет]],тПриоритеты[],2,0)</f>
        <v>КРИТИЧЕСКОЕ</v>
      </c>
      <c r="E139" t="str">
        <f>IF(ISBLANK(source[[#This Row],[Проверенные]]),IF(ISBLANK(source[[#This Row],[Завершенные]]),source[[#This Row],[Приоритет_]],"Завершено"),"Проверено")</f>
        <v>Проверено</v>
      </c>
      <c r="F139" t="s">
        <v>866</v>
      </c>
      <c r="G139" t="s">
        <v>867</v>
      </c>
      <c r="H139" t="e">
        <f>VLOOKUP(source[[#This Row],[Отвественный]],тОтветственные[],2,0)</f>
        <v>#N/A</v>
      </c>
      <c r="I139" s="2">
        <v>43810</v>
      </c>
      <c r="J139" s="2">
        <v>43819</v>
      </c>
      <c r="K139" t="s">
        <v>917</v>
      </c>
      <c r="L139">
        <v>19.45</v>
      </c>
      <c r="M139">
        <v>24.35</v>
      </c>
      <c r="Q139" t="s">
        <v>869</v>
      </c>
      <c r="R139" t="str">
        <f>HYPERLINK("https://d28ji4sm1vmprj.cloudfront.net/4f7b609cb96a5ff34f9abd44af2ddbae/c638fb5a4406991e9b735a3ee5137baf.jpeg", "Ссылка на план")</f>
        <v>Ссылка на план</v>
      </c>
      <c r="S139" s="1">
        <v>43810.535995370374</v>
      </c>
      <c r="T139" s="1">
        <v>43812.479803240742</v>
      </c>
      <c r="U139" s="1">
        <v>43818.56322916667</v>
      </c>
      <c r="W139" s="1">
        <v>43818.563240740739</v>
      </c>
      <c r="EC139" t="s">
        <v>918</v>
      </c>
      <c r="ED139" t="s">
        <v>919</v>
      </c>
      <c r="EE139" t="s">
        <v>875</v>
      </c>
      <c r="EF139" t="s">
        <v>920</v>
      </c>
      <c r="EG139" t="s">
        <v>921</v>
      </c>
      <c r="EH139" t="s">
        <v>922</v>
      </c>
      <c r="EI139" t="s">
        <v>923</v>
      </c>
      <c r="EJ139" t="s">
        <v>924</v>
      </c>
      <c r="EK139" t="s">
        <v>925</v>
      </c>
      <c r="EL139" t="s">
        <v>887</v>
      </c>
      <c r="EM139" t="s">
        <v>394</v>
      </c>
    </row>
    <row r="140" spans="1:158" ht="15" customHeight="1" x14ac:dyDescent="0.35">
      <c r="A140">
        <v>190</v>
      </c>
      <c r="B140" t="s">
        <v>926</v>
      </c>
      <c r="C140">
        <v>2</v>
      </c>
      <c r="D140" t="str">
        <f>VLOOKUP(source[[#This Row],[Приоритет]],тПриоритеты[],2,0)</f>
        <v>Значительное</v>
      </c>
      <c r="E140" t="str">
        <f>IF(ISBLANK(source[[#This Row],[Проверенные]]),IF(ISBLANK(source[[#This Row],[Завершенные]]),source[[#This Row],[Приоритет_]],"Завершено"),"Проверено")</f>
        <v>Проверено</v>
      </c>
      <c r="F140" t="s">
        <v>866</v>
      </c>
      <c r="G140" t="s">
        <v>867</v>
      </c>
      <c r="H140" t="e">
        <f>VLOOKUP(source[[#This Row],[Отвественный]],тОтветственные[],2,0)</f>
        <v>#N/A</v>
      </c>
      <c r="I140" s="2">
        <v>43777</v>
      </c>
      <c r="J140" s="2">
        <v>43829</v>
      </c>
      <c r="K140" t="s">
        <v>927</v>
      </c>
      <c r="L140">
        <v>57.65</v>
      </c>
      <c r="M140">
        <v>29.64</v>
      </c>
      <c r="Q140" t="s">
        <v>869</v>
      </c>
      <c r="R140" t="str">
        <f>HYPERLINK("https://d28ji4sm1vmprj.cloudfront.net/84877ae00d252a331f20d261e482d24a/3ac8e5d686f8af046321d1a593e3f07f.jpeg", "Ссылка на план")</f>
        <v>Ссылка на план</v>
      </c>
      <c r="S140" s="1">
        <v>43777.508738425924</v>
      </c>
      <c r="T140" s="1">
        <v>43826.674872685187</v>
      </c>
      <c r="U140" s="1">
        <v>43847.567453703705</v>
      </c>
      <c r="W140" s="1">
        <v>43847.567465277774</v>
      </c>
      <c r="X140" t="s">
        <v>900</v>
      </c>
      <c r="EC140" t="str">
        <f>HYPERLINK("https://d33htgqikc2pj4.cloudfront.net/5439e394-2eb9-4b91-918e-51a6bc8a4081.jpeg", "Кирилл Васенков: Ссылка на изображение")</f>
        <v>Кирилл Васенков: Ссылка на изображение</v>
      </c>
      <c r="ED140" t="s">
        <v>928</v>
      </c>
      <c r="EE140" t="s">
        <v>929</v>
      </c>
      <c r="EF140" t="s">
        <v>930</v>
      </c>
      <c r="EG140" t="s">
        <v>931</v>
      </c>
      <c r="EH140" t="s">
        <v>932</v>
      </c>
      <c r="EI140" t="s">
        <v>425</v>
      </c>
      <c r="EJ140" t="s">
        <v>933</v>
      </c>
      <c r="EK140" t="s">
        <v>915</v>
      </c>
      <c r="EL140" t="s">
        <v>934</v>
      </c>
      <c r="EM140" t="s">
        <v>887</v>
      </c>
      <c r="EN140" t="str">
        <f>HYPERLINK("https://d33htgqikc2pj4.cloudfront.net/950810cf-7d23-4fee-ac92-12fb6157a752.jpeg", "RC VK: Ссылка на изображение")</f>
        <v>RC VK: Ссылка на изображение</v>
      </c>
      <c r="EO140" t="s">
        <v>935</v>
      </c>
      <c r="EP140" t="s">
        <v>394</v>
      </c>
    </row>
    <row r="141" spans="1:158" ht="15" customHeight="1" x14ac:dyDescent="0.35">
      <c r="A141">
        <v>294</v>
      </c>
      <c r="B141" t="s">
        <v>936</v>
      </c>
      <c r="C141">
        <v>2</v>
      </c>
      <c r="D141" t="str">
        <f>VLOOKUP(source[[#This Row],[Приоритет]],тПриоритеты[],2,0)</f>
        <v>Значительное</v>
      </c>
      <c r="E141" t="str">
        <f>IF(ISBLANK(source[[#This Row],[Проверенные]]),IF(ISBLANK(source[[#This Row],[Завершенные]]),source[[#This Row],[Приоритет_]],"Завершено"),"Проверено")</f>
        <v>Проверено</v>
      </c>
      <c r="F141" t="s">
        <v>866</v>
      </c>
      <c r="G141" t="s">
        <v>867</v>
      </c>
      <c r="H141" t="e">
        <f>VLOOKUP(source[[#This Row],[Отвественный]],тОтветственные[],2,0)</f>
        <v>#N/A</v>
      </c>
      <c r="K141" t="s">
        <v>937</v>
      </c>
      <c r="L141">
        <v>0</v>
      </c>
      <c r="M141">
        <v>0</v>
      </c>
      <c r="N141" t="s">
        <v>938</v>
      </c>
      <c r="Q141" t="s">
        <v>939</v>
      </c>
      <c r="R141" t="str">
        <f>HYPERLINK("https://d28ji4sm1vmprj.cloudfront.net/dd0b700754a2833bb00d84e3ec3867b8/c3372cf3e3068e988ed7dd2666e55b1d.jpeg", "Ссылка на план")</f>
        <v>Ссылка на план</v>
      </c>
      <c r="S141" s="1">
        <v>43784.759479166663</v>
      </c>
      <c r="T141" s="1">
        <v>43790.357499999998</v>
      </c>
      <c r="U141" s="1">
        <v>43791.368344907409</v>
      </c>
      <c r="W141" s="1">
        <v>43791.368344907409</v>
      </c>
      <c r="X141" t="s">
        <v>883</v>
      </c>
      <c r="EC141" t="s">
        <v>940</v>
      </c>
      <c r="ED141" t="str">
        <f>HYPERLINK("https://d33htgqikc2pj4.cloudfront.net/63be47ce-14f5-48ab-aa6a-ae8aa1579443.jpeg", "Stanislav Veresov: Ссылка на изображение")</f>
        <v>Stanislav Veresov: Ссылка на изображение</v>
      </c>
      <c r="EE141" t="str">
        <f>HYPERLINK("https://d33htgqikc2pj4.cloudfront.net/4a9a3a0f-723a-4453-8eab-d98ca725d713.jpeg", "Stanislav Veresov: Ссылка на изображение")</f>
        <v>Stanislav Veresov: Ссылка на изображение</v>
      </c>
      <c r="EF141" t="str">
        <f>HYPERLINK("https://d33htgqikc2pj4.cloudfront.net/2895552a-2f61-42f4-bfad-6278ef5424e9.jpeg", "Stanislav Veresov: Ссылка на изображение")</f>
        <v>Stanislav Veresov: Ссылка на изображение</v>
      </c>
      <c r="EG141" t="s">
        <v>941</v>
      </c>
      <c r="EH141" t="s">
        <v>875</v>
      </c>
      <c r="EI141" t="s">
        <v>902</v>
      </c>
      <c r="EJ141" t="s">
        <v>942</v>
      </c>
      <c r="EK141" t="s">
        <v>943</v>
      </c>
      <c r="EL141" t="s">
        <v>944</v>
      </c>
      <c r="EM141" t="s">
        <v>945</v>
      </c>
      <c r="EN141" t="s">
        <v>946</v>
      </c>
      <c r="EO141" t="s">
        <v>947</v>
      </c>
      <c r="EP141" t="s">
        <v>948</v>
      </c>
      <c r="EQ141" t="s">
        <v>886</v>
      </c>
      <c r="ER141" t="s">
        <v>887</v>
      </c>
      <c r="ES141" t="s">
        <v>888</v>
      </c>
    </row>
    <row r="142" spans="1:158" ht="15" customHeight="1" x14ac:dyDescent="0.35">
      <c r="A142">
        <v>298</v>
      </c>
      <c r="B142" t="s">
        <v>949</v>
      </c>
      <c r="C142">
        <v>2</v>
      </c>
      <c r="D142" t="str">
        <f>VLOOKUP(source[[#This Row],[Приоритет]],тПриоритеты[],2,0)</f>
        <v>Значительное</v>
      </c>
      <c r="E142" t="str">
        <f>IF(ISBLANK(source[[#This Row],[Проверенные]]),IF(ISBLANK(source[[#This Row],[Завершенные]]),source[[#This Row],[Приоритет_]],"Завершено"),"Проверено")</f>
        <v>Проверено</v>
      </c>
      <c r="F142" t="s">
        <v>866</v>
      </c>
      <c r="G142" t="s">
        <v>867</v>
      </c>
      <c r="H142" t="e">
        <f>VLOOKUP(source[[#This Row],[Отвественный]],тОтветственные[],2,0)</f>
        <v>#N/A</v>
      </c>
      <c r="K142" t="s">
        <v>882</v>
      </c>
      <c r="L142">
        <v>18.39</v>
      </c>
      <c r="M142">
        <v>59.7</v>
      </c>
      <c r="Q142" t="s">
        <v>869</v>
      </c>
      <c r="R142" t="str">
        <f>HYPERLINK("https://d28ji4sm1vmprj.cloudfront.net/6d9458bb4d1cbc1fe6a38b6bc5aa12cc/94760d0487c0ef1e62d7ade93508a71c.jpeg", "Ссылка на план")</f>
        <v>Ссылка на план</v>
      </c>
      <c r="S142" s="1">
        <v>43784.759965277779</v>
      </c>
      <c r="T142" s="1">
        <v>43790.350173611114</v>
      </c>
      <c r="U142" s="1">
        <v>43791.368726851855</v>
      </c>
      <c r="W142" s="1">
        <v>43791.368738425925</v>
      </c>
      <c r="X142" t="s">
        <v>883</v>
      </c>
      <c r="EC142" t="s">
        <v>950</v>
      </c>
      <c r="ED142" t="str">
        <f>HYPERLINK("https://d33htgqikc2pj4.cloudfront.net/785a0dc3-442d-427b-a675-b07ab46bab80.jpeg", "Stanislav Veresov: Ссылка на изображение")</f>
        <v>Stanislav Veresov: Ссылка на изображение</v>
      </c>
      <c r="EE142" t="str">
        <f>HYPERLINK("https://d33htgqikc2pj4.cloudfront.net/992e36c4-d917-455c-84f5-0a9157216ae9.jpeg", "Stanislav Veresov: Ссылка на изображение")</f>
        <v>Stanislav Veresov: Ссылка на изображение</v>
      </c>
      <c r="EF142" t="s">
        <v>885</v>
      </c>
      <c r="EG142" t="s">
        <v>951</v>
      </c>
      <c r="EH142" t="s">
        <v>887</v>
      </c>
      <c r="EI142" t="s">
        <v>886</v>
      </c>
      <c r="EJ142" t="s">
        <v>888</v>
      </c>
    </row>
    <row r="143" spans="1:158" ht="15" customHeight="1" x14ac:dyDescent="0.35">
      <c r="A143">
        <v>296</v>
      </c>
      <c r="B143" t="s">
        <v>952</v>
      </c>
      <c r="C143">
        <v>2</v>
      </c>
      <c r="D143" t="str">
        <f>VLOOKUP(source[[#This Row],[Приоритет]],тПриоритеты[],2,0)</f>
        <v>Значительное</v>
      </c>
      <c r="E143" t="str">
        <f>IF(ISBLANK(source[[#This Row],[Проверенные]]),IF(ISBLANK(source[[#This Row],[Завершенные]]),source[[#This Row],[Приоритет_]],"Завершено"),"Проверено")</f>
        <v>Проверено</v>
      </c>
      <c r="F143" t="s">
        <v>866</v>
      </c>
      <c r="G143" t="s">
        <v>867</v>
      </c>
      <c r="H143" t="e">
        <f>VLOOKUP(source[[#This Row],[Отвественный]],тОтветственные[],2,0)</f>
        <v>#N/A</v>
      </c>
      <c r="K143" t="s">
        <v>953</v>
      </c>
      <c r="L143">
        <v>27.71</v>
      </c>
      <c r="M143">
        <v>41.07</v>
      </c>
      <c r="Q143" t="s">
        <v>869</v>
      </c>
      <c r="R143" t="str">
        <f>HYPERLINK("https://d28ji4sm1vmprj.cloudfront.net/ad475450fe662a3f993b242bfbdb42bb/4b1b9219d436c2f8f0dd50f2b09338f1.jpeg", "Ссылка на план")</f>
        <v>Ссылка на план</v>
      </c>
      <c r="S143" s="1">
        <v>43784.759525462963</v>
      </c>
      <c r="T143" s="1">
        <v>43790.353159722225</v>
      </c>
      <c r="U143" s="1">
        <v>43794.468368055554</v>
      </c>
      <c r="W143" s="1">
        <v>43794.468368055554</v>
      </c>
      <c r="X143" t="s">
        <v>883</v>
      </c>
      <c r="EC143" t="s">
        <v>954</v>
      </c>
      <c r="ED143" t="s">
        <v>955</v>
      </c>
      <c r="EE143" t="str">
        <f>HYPERLINK("https://d33htgqikc2pj4.cloudfront.net/8cc28e8f-2478-4a92-8a68-a82c67d852b2.jpeg", "Stanislav Veresov: Ссылка на изображение")</f>
        <v>Stanislav Veresov: Ссылка на изображение</v>
      </c>
      <c r="EF143" t="s">
        <v>885</v>
      </c>
      <c r="EG143" t="s">
        <v>956</v>
      </c>
      <c r="EH143" t="s">
        <v>886</v>
      </c>
      <c r="EI143" t="s">
        <v>887</v>
      </c>
      <c r="EJ143" t="s">
        <v>888</v>
      </c>
    </row>
    <row r="144" spans="1:158" ht="15" customHeight="1" x14ac:dyDescent="0.35">
      <c r="A144">
        <v>478</v>
      </c>
      <c r="B144" t="s">
        <v>908</v>
      </c>
      <c r="C144">
        <v>1</v>
      </c>
      <c r="D144" t="str">
        <f>VLOOKUP(source[[#This Row],[Приоритет]],тПриоритеты[],2,0)</f>
        <v>КРИТИЧЕСКОЕ</v>
      </c>
      <c r="E144" t="str">
        <f>IF(ISBLANK(source[[#This Row],[Проверенные]]),IF(ISBLANK(source[[#This Row],[Завершенные]]),source[[#This Row],[Приоритет_]],"Завершено"),"Проверено")</f>
        <v>Проверено</v>
      </c>
      <c r="F144" t="s">
        <v>866</v>
      </c>
      <c r="G144" t="s">
        <v>957</v>
      </c>
      <c r="H144" t="e">
        <f>VLOOKUP(source[[#This Row],[Отвественный]],тОтветственные[],2,0)</f>
        <v>#N/A</v>
      </c>
      <c r="I144" s="2">
        <v>43798</v>
      </c>
      <c r="J144" s="2">
        <v>43829</v>
      </c>
      <c r="K144" t="s">
        <v>907</v>
      </c>
      <c r="L144">
        <v>30.11</v>
      </c>
      <c r="M144">
        <v>37.89</v>
      </c>
      <c r="Q144" t="s">
        <v>869</v>
      </c>
      <c r="R144" t="str">
        <f>HYPERLINK("https://d28ji4sm1vmprj.cloudfront.net/c0f23c6c54015bc24483c721f03582a1/9683d3a1a32f20f5b4df00410a3b23ef.jpeg", "Ссылка на план")</f>
        <v>Ссылка на план</v>
      </c>
      <c r="S144" s="1">
        <v>43798.549201388887</v>
      </c>
      <c r="T144" s="1">
        <v>43816.683449074073</v>
      </c>
      <c r="U144" s="1">
        <v>43818.561331018522</v>
      </c>
      <c r="W144" s="1">
        <v>43818.561342592591</v>
      </c>
      <c r="AA144" t="s">
        <v>906</v>
      </c>
      <c r="EC144" t="s">
        <v>919</v>
      </c>
      <c r="ED144" t="s">
        <v>875</v>
      </c>
      <c r="EE144" t="s">
        <v>958</v>
      </c>
      <c r="EF144" t="s">
        <v>959</v>
      </c>
      <c r="EG144" t="s">
        <v>960</v>
      </c>
      <c r="EH144" t="s">
        <v>961</v>
      </c>
      <c r="EI144" t="s">
        <v>915</v>
      </c>
      <c r="EJ144" t="s">
        <v>905</v>
      </c>
      <c r="EK144" t="s">
        <v>394</v>
      </c>
    </row>
    <row r="145" spans="1:149" ht="15" customHeight="1" x14ac:dyDescent="0.35">
      <c r="A145">
        <v>480</v>
      </c>
      <c r="C145">
        <v>1</v>
      </c>
      <c r="D145" t="str">
        <f>VLOOKUP(source[[#This Row],[Приоритет]],тПриоритеты[],2,0)</f>
        <v>КРИТИЧЕСКОЕ</v>
      </c>
      <c r="E145" t="str">
        <f>IF(ISBLANK(source[[#This Row],[Проверенные]]),IF(ISBLANK(source[[#This Row],[Завершенные]]),source[[#This Row],[Приоритет_]],"Завершено"),"Проверено")</f>
        <v>Проверено</v>
      </c>
      <c r="F145" t="s">
        <v>866</v>
      </c>
      <c r="G145" t="s">
        <v>957</v>
      </c>
      <c r="H145" t="e">
        <f>VLOOKUP(source[[#This Row],[Отвественный]],тОтветственные[],2,0)</f>
        <v>#N/A</v>
      </c>
      <c r="I145" s="2">
        <v>43798</v>
      </c>
      <c r="J145" s="2">
        <v>43829</v>
      </c>
      <c r="K145" t="s">
        <v>907</v>
      </c>
      <c r="L145">
        <v>32.5</v>
      </c>
      <c r="M145">
        <v>50.86</v>
      </c>
      <c r="Q145" t="s">
        <v>869</v>
      </c>
      <c r="R145" t="str">
        <f>HYPERLINK("https://d28ji4sm1vmprj.cloudfront.net/c0f23c6c54015bc24483c721f03582a1/9683d3a1a32f20f5b4df00410a3b23ef.jpeg", "Ссылка на план")</f>
        <v>Ссылка на план</v>
      </c>
      <c r="S145" s="1">
        <v>43798.555381944447</v>
      </c>
      <c r="T145" s="1">
        <v>43816.683449074073</v>
      </c>
      <c r="U145" s="1">
        <v>43818.561898148146</v>
      </c>
      <c r="W145" s="1">
        <v>43818.561898148146</v>
      </c>
      <c r="AA145" t="s">
        <v>906</v>
      </c>
      <c r="EC145" t="s">
        <v>919</v>
      </c>
      <c r="ED145" t="s">
        <v>875</v>
      </c>
      <c r="EE145" t="s">
        <v>961</v>
      </c>
      <c r="EF145" t="s">
        <v>962</v>
      </c>
      <c r="EG145" t="s">
        <v>915</v>
      </c>
      <c r="EH145" t="s">
        <v>905</v>
      </c>
      <c r="EI145" t="s">
        <v>394</v>
      </c>
    </row>
    <row r="146" spans="1:149" ht="15" customHeight="1" x14ac:dyDescent="0.35">
      <c r="A146">
        <v>81</v>
      </c>
      <c r="B146" t="s">
        <v>963</v>
      </c>
      <c r="C146">
        <v>2</v>
      </c>
      <c r="D146" t="str">
        <f>VLOOKUP(source[[#This Row],[Приоритет]],тПриоритеты[],2,0)</f>
        <v>Значительное</v>
      </c>
      <c r="E146" t="str">
        <f>IF(ISBLANK(source[[#This Row],[Проверенные]]),IF(ISBLANK(source[[#This Row],[Завершенные]]),source[[#This Row],[Приоритет_]],"Завершено"),"Проверено")</f>
        <v>Проверено</v>
      </c>
      <c r="F146" t="s">
        <v>866</v>
      </c>
      <c r="G146" t="s">
        <v>957</v>
      </c>
      <c r="H146" t="e">
        <f>VLOOKUP(source[[#This Row],[Отвественный]],тОтветственные[],2,0)</f>
        <v>#N/A</v>
      </c>
      <c r="K146" t="s">
        <v>964</v>
      </c>
      <c r="Q146" t="s">
        <v>965</v>
      </c>
      <c r="R146" t="str">
        <f>HYPERLINK("", "Ссылка на план")</f>
        <v>Ссылка на план</v>
      </c>
      <c r="S146" s="1">
        <v>43770.530497685184</v>
      </c>
      <c r="T146" s="1">
        <v>43787.384293981479</v>
      </c>
      <c r="U146" s="1">
        <v>43787.384293981479</v>
      </c>
      <c r="W146" s="1">
        <v>43787.675752314812</v>
      </c>
      <c r="X146" t="s">
        <v>966</v>
      </c>
      <c r="EC146" t="s">
        <v>967</v>
      </c>
      <c r="ED146" t="str">
        <f>HYPERLINK("https://d33htgqikc2pj4.cloudfront.net/1e912c41-cbaf-4e90-aff9-e0de0c9ceaba.jpeg", "Stanislav Veresov: Ссылка на изображение")</f>
        <v>Stanislav Veresov: Ссылка на изображение</v>
      </c>
      <c r="EE146" t="s">
        <v>968</v>
      </c>
      <c r="EF146" t="s">
        <v>875</v>
      </c>
      <c r="EG146" t="s">
        <v>888</v>
      </c>
      <c r="EH146" t="s">
        <v>969</v>
      </c>
    </row>
    <row r="147" spans="1:149" ht="15" customHeight="1" x14ac:dyDescent="0.35">
      <c r="A147">
        <v>80</v>
      </c>
      <c r="B147" t="s">
        <v>970</v>
      </c>
      <c r="C147">
        <v>2</v>
      </c>
      <c r="D147" t="str">
        <f>VLOOKUP(source[[#This Row],[Приоритет]],тПриоритеты[],2,0)</f>
        <v>Значительное</v>
      </c>
      <c r="E147" t="str">
        <f>IF(ISBLANK(source[[#This Row],[Проверенные]]),IF(ISBLANK(source[[#This Row],[Завершенные]]),source[[#This Row],[Приоритет_]],"Завершено"),"Проверено")</f>
        <v>Проверено</v>
      </c>
      <c r="F147" t="s">
        <v>866</v>
      </c>
      <c r="G147" t="s">
        <v>957</v>
      </c>
      <c r="H147" t="e">
        <f>VLOOKUP(source[[#This Row],[Отвественный]],тОтветственные[],2,0)</f>
        <v>#N/A</v>
      </c>
      <c r="K147" t="s">
        <v>964</v>
      </c>
      <c r="Q147" t="s">
        <v>965</v>
      </c>
      <c r="R147" t="str">
        <f>HYPERLINK("", "Ссылка на план")</f>
        <v>Ссылка на план</v>
      </c>
      <c r="S147" s="1">
        <v>43770.530335648145</v>
      </c>
      <c r="T147" s="1">
        <v>43787.384155092594</v>
      </c>
      <c r="U147" s="1">
        <v>43787.384155092594</v>
      </c>
      <c r="W147" s="1">
        <v>43787.384155092594</v>
      </c>
      <c r="X147" t="s">
        <v>966</v>
      </c>
      <c r="EC147" t="str">
        <f>HYPERLINK("https://d33htgqikc2pj4.cloudfront.net/90ce1b1ed0f74c3a28989698eae3a56f/7a0aaacbf4589ecd9e9c2f5e8017e70e-flattened.jpeg", "Stanislav Veresov: Ссылка на изображение")</f>
        <v>Stanislav Veresov: Ссылка на изображение</v>
      </c>
      <c r="ED147" t="s">
        <v>971</v>
      </c>
      <c r="EE147" t="s">
        <v>968</v>
      </c>
      <c r="EF147" t="s">
        <v>875</v>
      </c>
      <c r="EG147" t="s">
        <v>888</v>
      </c>
    </row>
    <row r="148" spans="1:149" ht="15" customHeight="1" x14ac:dyDescent="0.35">
      <c r="A148">
        <v>84</v>
      </c>
      <c r="B148" t="s">
        <v>972</v>
      </c>
      <c r="C148">
        <v>2</v>
      </c>
      <c r="D148" t="str">
        <f>VLOOKUP(source[[#This Row],[Приоритет]],тПриоритеты[],2,0)</f>
        <v>Значительное</v>
      </c>
      <c r="E148" t="str">
        <f>IF(ISBLANK(source[[#This Row],[Проверенные]]),IF(ISBLANK(source[[#This Row],[Завершенные]]),source[[#This Row],[Приоритет_]],"Завершено"),"Проверено")</f>
        <v>Проверено</v>
      </c>
      <c r="F148" t="s">
        <v>866</v>
      </c>
      <c r="G148" t="s">
        <v>957</v>
      </c>
      <c r="H148" t="e">
        <f>VLOOKUP(source[[#This Row],[Отвественный]],тОтветственные[],2,0)</f>
        <v>#N/A</v>
      </c>
      <c r="K148" t="s">
        <v>964</v>
      </c>
      <c r="Q148" t="s">
        <v>965</v>
      </c>
      <c r="R148" t="str">
        <f>HYPERLINK("", "Ссылка на план")</f>
        <v>Ссылка на план</v>
      </c>
      <c r="S148" s="1">
        <v>43770.530729166669</v>
      </c>
      <c r="T148" s="1">
        <v>43787.385405092595</v>
      </c>
      <c r="U148" s="1">
        <v>43787.385405092595</v>
      </c>
      <c r="W148" s="1">
        <v>43787.385405092595</v>
      </c>
      <c r="X148" t="s">
        <v>966</v>
      </c>
      <c r="EC148" t="s">
        <v>973</v>
      </c>
      <c r="ED148" t="str">
        <f>HYPERLINK("https://d33htgqikc2pj4.cloudfront.net/f0cbdf80-e606-4ec7-8393-bf299884c839.jpeg", "Stanislav Veresov: Ссылка на изображение")</f>
        <v>Stanislav Veresov: Ссылка на изображение</v>
      </c>
      <c r="EE148" t="str">
        <f>HYPERLINK("https://d33htgqikc2pj4.cloudfront.net/590a8438-1453-4bd1-9287-c6b5d18c8a9d.jpeg", "Stanislav Veresov: Ссылка на изображение")</f>
        <v>Stanislav Veresov: Ссылка на изображение</v>
      </c>
      <c r="EF148" t="str">
        <f>HYPERLINK("https://d33htgqikc2pj4.cloudfront.net/cbb15b6b-a93f-4672-88d3-59c422247ec4.jpeg", "Stanislav Veresov: Ссылка на изображение")</f>
        <v>Stanislav Veresov: Ссылка на изображение</v>
      </c>
      <c r="EG148" t="str">
        <f>HYPERLINK("https://d33htgqikc2pj4.cloudfront.net/697c7a92-47e7-4f6a-88a4-e6bfdbe05d71.jpeg", "Stanislav Veresov: Ссылка на изображение")</f>
        <v>Stanislav Veresov: Ссылка на изображение</v>
      </c>
      <c r="EH148" t="s">
        <v>968</v>
      </c>
      <c r="EI148" t="s">
        <v>875</v>
      </c>
      <c r="EJ148" t="s">
        <v>888</v>
      </c>
    </row>
    <row r="149" spans="1:149" ht="15" customHeight="1" x14ac:dyDescent="0.35">
      <c r="A149">
        <v>79</v>
      </c>
      <c r="B149" t="s">
        <v>974</v>
      </c>
      <c r="C149">
        <v>2</v>
      </c>
      <c r="D149" t="str">
        <f>VLOOKUP(source[[#This Row],[Приоритет]],тПриоритеты[],2,0)</f>
        <v>Значительное</v>
      </c>
      <c r="E149" t="str">
        <f>IF(ISBLANK(source[[#This Row],[Проверенные]]),IF(ISBLANK(source[[#This Row],[Завершенные]]),source[[#This Row],[Приоритет_]],"Завершено"),"Проверено")</f>
        <v>Проверено</v>
      </c>
      <c r="F149" t="s">
        <v>866</v>
      </c>
      <c r="G149" t="s">
        <v>957</v>
      </c>
      <c r="H149" t="e">
        <f>VLOOKUP(source[[#This Row],[Отвественный]],тОтветственные[],2,0)</f>
        <v>#N/A</v>
      </c>
      <c r="I149" s="2">
        <v>43770</v>
      </c>
      <c r="J149" s="2">
        <v>43784</v>
      </c>
      <c r="K149" t="s">
        <v>964</v>
      </c>
      <c r="Q149" t="s">
        <v>965</v>
      </c>
      <c r="R149" t="str">
        <f>HYPERLINK("", "Ссылка на план")</f>
        <v>Ссылка на план</v>
      </c>
      <c r="S149" s="1">
        <v>43770.53025462963</v>
      </c>
      <c r="T149" s="1">
        <v>43791.367094907408</v>
      </c>
      <c r="U149" s="1">
        <v>43791.3675</v>
      </c>
      <c r="W149" s="1">
        <v>43791.3675</v>
      </c>
      <c r="X149" t="s">
        <v>966</v>
      </c>
      <c r="EC149" t="str">
        <f>HYPERLINK("https://d33htgqikc2pj4.cloudfront.net/7afbd502-a076-41dc-90fd-12d3253dcf24.jpeg", "Stanislav Veresov: Ссылка на изображение")</f>
        <v>Stanislav Veresov: Ссылка на изображение</v>
      </c>
      <c r="ED149" t="s">
        <v>975</v>
      </c>
      <c r="EE149" t="s">
        <v>968</v>
      </c>
      <c r="EF149" t="s">
        <v>976</v>
      </c>
      <c r="EG149" t="s">
        <v>977</v>
      </c>
      <c r="EH149" t="s">
        <v>929</v>
      </c>
      <c r="EI149" t="s">
        <v>978</v>
      </c>
      <c r="EJ149" t="s">
        <v>932</v>
      </c>
      <c r="EK149" t="s">
        <v>905</v>
      </c>
      <c r="EL149" t="s">
        <v>888</v>
      </c>
    </row>
    <row r="150" spans="1:149" ht="15" customHeight="1" x14ac:dyDescent="0.35">
      <c r="A150">
        <v>82</v>
      </c>
      <c r="B150" t="s">
        <v>979</v>
      </c>
      <c r="C150">
        <v>2</v>
      </c>
      <c r="D150" t="str">
        <f>VLOOKUP(source[[#This Row],[Приоритет]],тПриоритеты[],2,0)</f>
        <v>Значительное</v>
      </c>
      <c r="E150" t="str">
        <f>IF(ISBLANK(source[[#This Row],[Проверенные]]),IF(ISBLANK(source[[#This Row],[Завершенные]]),source[[#This Row],[Приоритет_]],"Завершено"),"Проверено")</f>
        <v>Проверено</v>
      </c>
      <c r="F150" t="s">
        <v>866</v>
      </c>
      <c r="G150" t="s">
        <v>957</v>
      </c>
      <c r="H150" t="e">
        <f>VLOOKUP(source[[#This Row],[Отвественный]],тОтветственные[],2,0)</f>
        <v>#N/A</v>
      </c>
      <c r="K150" t="s">
        <v>964</v>
      </c>
      <c r="Q150" t="s">
        <v>965</v>
      </c>
      <c r="R150" t="str">
        <f>HYPERLINK("", "Ссылка на план")</f>
        <v>Ссылка на план</v>
      </c>
      <c r="S150" s="1">
        <v>43770.530624999999</v>
      </c>
      <c r="T150" s="1">
        <v>43787.385439814818</v>
      </c>
      <c r="U150" s="1">
        <v>43787.385439814818</v>
      </c>
      <c r="W150" s="1">
        <v>43787.385439814818</v>
      </c>
      <c r="X150" t="s">
        <v>966</v>
      </c>
      <c r="EC150" t="s">
        <v>980</v>
      </c>
      <c r="ED150" t="str">
        <f>HYPERLINK("https://d33htgqikc2pj4.cloudfront.net/ecb86470-114c-4d9b-bbf6-815e042fb84f.jpeg", "Stanislav Veresov: Ссылка на изображение")</f>
        <v>Stanislav Veresov: Ссылка на изображение</v>
      </c>
      <c r="EE150" t="s">
        <v>968</v>
      </c>
      <c r="EF150" t="s">
        <v>875</v>
      </c>
      <c r="EG150" t="s">
        <v>888</v>
      </c>
    </row>
    <row r="151" spans="1:149" ht="15" customHeight="1" x14ac:dyDescent="0.35">
      <c r="A151">
        <v>568</v>
      </c>
      <c r="B151" t="s">
        <v>981</v>
      </c>
      <c r="C151">
        <v>3</v>
      </c>
      <c r="D151" t="str">
        <f>VLOOKUP(source[[#This Row],[Приоритет]],тПриоритеты[],2,0)</f>
        <v>Малозначительное</v>
      </c>
      <c r="E151" t="str">
        <f>IF(ISBLANK(source[[#This Row],[Проверенные]]),IF(ISBLANK(source[[#This Row],[Завершенные]]),source[[#This Row],[Приоритет_]],"Завершено"),"Проверено")</f>
        <v>Проверено</v>
      </c>
      <c r="F151" t="s">
        <v>866</v>
      </c>
      <c r="G151" t="s">
        <v>957</v>
      </c>
      <c r="H151" t="e">
        <f>VLOOKUP(source[[#This Row],[Отвественный]],тОтветственные[],2,0)</f>
        <v>#N/A</v>
      </c>
      <c r="K151" t="s">
        <v>982</v>
      </c>
      <c r="L151">
        <v>35.200000000000003</v>
      </c>
      <c r="M151">
        <v>34.229999999999997</v>
      </c>
      <c r="Q151" t="s">
        <v>371</v>
      </c>
      <c r="R151" t="str">
        <f>HYPERLINK("https://d28ji4sm1vmprj.cloudfront.net/7c0169865287e39401d2468ae683304c/2868dff61e19af4fb7c661f1fd0b3091.jpeg", "Ссылка на план")</f>
        <v>Ссылка на план</v>
      </c>
      <c r="S151" s="1">
        <v>43808.481307870374</v>
      </c>
      <c r="T151" s="1">
        <v>43825.579814814817</v>
      </c>
      <c r="U151" s="1">
        <v>43825.579814814817</v>
      </c>
      <c r="W151" s="1">
        <v>43825.579814814817</v>
      </c>
      <c r="X151" t="s">
        <v>966</v>
      </c>
      <c r="EC151" t="s">
        <v>983</v>
      </c>
      <c r="ED151" t="str">
        <f>HYPERLINK("https://d33htgqikc2pj4.cloudfront.net/a28c0c8f-05a9-4536-8386-5f8a6aacbbd5.jpeg", "Stanislav Veresov: Ссылка на изображение")</f>
        <v>Stanislav Veresov: Ссылка на изображение</v>
      </c>
      <c r="EE151" t="str">
        <f>HYPERLINK("https://d33htgqikc2pj4.cloudfront.net/f590883f-f20a-48d9-af55-7fe27105d07f.jpeg", "Stanislav Veresov: Ссылка на изображение")</f>
        <v>Stanislav Veresov: Ссылка на изображение</v>
      </c>
      <c r="EF151" t="str">
        <f>HYPERLINK("https://d33htgqikc2pj4.cloudfront.net/5056ef92-9ff4-4c80-be61-e4167c496b2f.jpeg", "Stanislav Veresov: Ссылка на изображение")</f>
        <v>Stanislav Veresov: Ссылка на изображение</v>
      </c>
      <c r="EG151" t="s">
        <v>875</v>
      </c>
      <c r="EH151" t="s">
        <v>984</v>
      </c>
      <c r="EI151" t="s">
        <v>985</v>
      </c>
      <c r="EJ151" t="s">
        <v>962</v>
      </c>
      <c r="EK151" t="str">
        <f>HYPERLINK("https://cdn.filestackcontent.com/XE0HpJASQ4OS6u57uXfy", "Вентиляция Renaissance: Ссылка на файл")</f>
        <v>Вентиляция Renaissance: Ссылка на файл</v>
      </c>
      <c r="EL151" t="s">
        <v>986</v>
      </c>
      <c r="EM151" t="s">
        <v>987</v>
      </c>
      <c r="EN151" t="s">
        <v>988</v>
      </c>
      <c r="EO151" t="s">
        <v>989</v>
      </c>
      <c r="EP151" t="s">
        <v>990</v>
      </c>
      <c r="EQ151" t="s">
        <v>888</v>
      </c>
    </row>
    <row r="152" spans="1:149" ht="15" customHeight="1" x14ac:dyDescent="0.35">
      <c r="A152">
        <v>479</v>
      </c>
      <c r="C152">
        <v>1</v>
      </c>
      <c r="D152" t="str">
        <f>VLOOKUP(source[[#This Row],[Приоритет]],тПриоритеты[],2,0)</f>
        <v>КРИТИЧЕСКОЕ</v>
      </c>
      <c r="E152" t="str">
        <f>IF(ISBLANK(source[[#This Row],[Проверенные]]),IF(ISBLANK(source[[#This Row],[Завершенные]]),source[[#This Row],[Приоритет_]],"Завершено"),"Проверено")</f>
        <v>Проверено</v>
      </c>
      <c r="F152" t="s">
        <v>866</v>
      </c>
      <c r="G152" t="s">
        <v>957</v>
      </c>
      <c r="H152" t="e">
        <f>VLOOKUP(source[[#This Row],[Отвественный]],тОтветственные[],2,0)</f>
        <v>#N/A</v>
      </c>
      <c r="I152" s="2">
        <v>43798</v>
      </c>
      <c r="J152" s="2">
        <v>43829</v>
      </c>
      <c r="K152" t="s">
        <v>907</v>
      </c>
      <c r="L152">
        <v>30.21</v>
      </c>
      <c r="M152">
        <v>44.58</v>
      </c>
      <c r="Q152" t="s">
        <v>869</v>
      </c>
      <c r="R152" t="str">
        <f>HYPERLINK("https://d28ji4sm1vmprj.cloudfront.net/c0f23c6c54015bc24483c721f03582a1/9683d3a1a32f20f5b4df00410a3b23ef.jpeg", "Ссылка на план")</f>
        <v>Ссылка на план</v>
      </c>
      <c r="S152" s="1">
        <v>43798.550370370373</v>
      </c>
      <c r="T152" s="1">
        <v>43816.683449074073</v>
      </c>
      <c r="U152" s="1">
        <v>43818.561736111114</v>
      </c>
      <c r="W152" s="1">
        <v>43818.561736111114</v>
      </c>
      <c r="AA152" t="s">
        <v>906</v>
      </c>
      <c r="EC152" t="s">
        <v>919</v>
      </c>
      <c r="ED152" t="s">
        <v>875</v>
      </c>
      <c r="EE152" t="s">
        <v>961</v>
      </c>
      <c r="EF152" t="s">
        <v>962</v>
      </c>
      <c r="EG152" t="s">
        <v>915</v>
      </c>
      <c r="EH152" t="s">
        <v>905</v>
      </c>
      <c r="EI152" t="s">
        <v>394</v>
      </c>
    </row>
    <row r="153" spans="1:149" ht="15" customHeight="1" x14ac:dyDescent="0.35">
      <c r="A153">
        <v>178</v>
      </c>
      <c r="B153" t="s">
        <v>991</v>
      </c>
      <c r="C153">
        <v>2</v>
      </c>
      <c r="D153" t="str">
        <f>VLOOKUP(source[[#This Row],[Приоритет]],тПриоритеты[],2,0)</f>
        <v>Значительное</v>
      </c>
      <c r="E153" t="str">
        <f>IF(ISBLANK(source[[#This Row],[Проверенные]]),IF(ISBLANK(source[[#This Row],[Завершенные]]),source[[#This Row],[Приоритет_]],"Завершено"),"Проверено")</f>
        <v>Проверено</v>
      </c>
      <c r="F153" t="s">
        <v>866</v>
      </c>
      <c r="G153" t="s">
        <v>957</v>
      </c>
      <c r="H153" t="e">
        <f>VLOOKUP(source[[#This Row],[Отвественный]],тОтветственные[],2,0)</f>
        <v>#N/A</v>
      </c>
      <c r="I153" s="2">
        <v>43776</v>
      </c>
      <c r="J153" s="2">
        <v>43784</v>
      </c>
      <c r="K153" t="s">
        <v>992</v>
      </c>
      <c r="L153">
        <v>23.36</v>
      </c>
      <c r="M153">
        <v>11.39</v>
      </c>
      <c r="Q153" t="s">
        <v>371</v>
      </c>
      <c r="R153" t="str">
        <f>HYPERLINK("https://d28ji4sm1vmprj.cloudfront.net/85c8a227182647dd7c6e3dbbd4e62152/5e8bfbd689f340254e4b61ad821ec6a9.jpeg", "Ссылка на план")</f>
        <v>Ссылка на план</v>
      </c>
      <c r="S153" s="1">
        <v>43776.462106481478</v>
      </c>
      <c r="T153" s="1">
        <v>43791.367511574077</v>
      </c>
      <c r="U153" s="1">
        <v>43791.367511574077</v>
      </c>
      <c r="W153" s="1">
        <v>43851.408842592595</v>
      </c>
      <c r="X153" t="s">
        <v>966</v>
      </c>
      <c r="EC153" t="s">
        <v>993</v>
      </c>
      <c r="ED153" t="str">
        <f>HYPERLINK("https://d33htgqikc2pj4.cloudfront.net/c1f6c7d0-ec8c-41db-806e-d06b6dfb35d3.jpeg", "Stanislav Veresov: Ссылка на изображение")</f>
        <v>Stanislav Veresov: Ссылка на изображение</v>
      </c>
      <c r="EE153" t="s">
        <v>929</v>
      </c>
      <c r="EF153" t="s">
        <v>994</v>
      </c>
      <c r="EG153" t="s">
        <v>932</v>
      </c>
      <c r="EH153" t="s">
        <v>905</v>
      </c>
      <c r="EI153" t="s">
        <v>888</v>
      </c>
      <c r="EJ153" t="s">
        <v>995</v>
      </c>
      <c r="EK153" t="s">
        <v>996</v>
      </c>
    </row>
    <row r="154" spans="1:149" ht="15" customHeight="1" x14ac:dyDescent="0.35">
      <c r="A154">
        <v>1126</v>
      </c>
      <c r="B154" t="s">
        <v>997</v>
      </c>
      <c r="C154">
        <v>2</v>
      </c>
      <c r="D154" t="str">
        <f>VLOOKUP(source[[#This Row],[Приоритет]],тПриоритеты[],2,0)</f>
        <v>Значительное</v>
      </c>
      <c r="E154" t="str">
        <f>IF(ISBLANK(source[[#This Row],[Проверенные]]),IF(ISBLANK(source[[#This Row],[Завершенные]]),source[[#This Row],[Приоритет_]],"Завершено"),"Проверено")</f>
        <v>Значительное</v>
      </c>
      <c r="F154" t="s">
        <v>866</v>
      </c>
      <c r="G154" t="s">
        <v>998</v>
      </c>
      <c r="H154" t="e">
        <f>VLOOKUP(source[[#This Row],[Отвественный]],тОтветственные[],2,0)</f>
        <v>#N/A</v>
      </c>
      <c r="I154" s="2">
        <v>43837</v>
      </c>
      <c r="J154" s="2">
        <v>43867</v>
      </c>
      <c r="K154" t="s">
        <v>999</v>
      </c>
      <c r="L154">
        <v>14.95</v>
      </c>
      <c r="M154">
        <v>62.02</v>
      </c>
      <c r="Q154" t="s">
        <v>1000</v>
      </c>
      <c r="R154" t="str">
        <f>HYPERLINK("https://d28ji4sm1vmprj.cloudfront.net/e7a494e5e3847668c349f6cf7a450e81/fd933e4be86a7429a2a55096d82ca2e2.jpeg", "Ссылка на план")</f>
        <v>Ссылка на план</v>
      </c>
      <c r="S154" s="1">
        <v>43861.667650462965</v>
      </c>
      <c r="W154" s="1">
        <v>43864.347222222219</v>
      </c>
      <c r="X154" t="s">
        <v>966</v>
      </c>
      <c r="Y154" t="s">
        <v>1001</v>
      </c>
      <c r="EC154" t="s">
        <v>1002</v>
      </c>
      <c r="ED154" t="str">
        <f>HYPERLINK("https://d33htgqikc2pj4.cloudfront.net/qvHDimMUqxZcQnsj/nHfP9ooFQ1mZfVBNyIaC_31.01.2020.pdf", "Кирилл Васенков: Ссылка на файл")</f>
        <v>Кирилл Васенков: Ссылка на файл</v>
      </c>
      <c r="EE154" t="str">
        <f>HYPERLINK("https://d33htgqikc2pj4.cloudfront.net/6dcfb4e1ec596dda91002b15a9f9fda4/6193354fa2b1820620702912775af8b1-file.jpeg", "Кирилл Васенков: Ссылка на изображение")</f>
        <v>Кирилл Васенков: Ссылка на изображение</v>
      </c>
      <c r="EF154" t="s">
        <v>1003</v>
      </c>
      <c r="EG154" t="s">
        <v>1004</v>
      </c>
      <c r="EH154" t="s">
        <v>930</v>
      </c>
      <c r="EI154" t="s">
        <v>1005</v>
      </c>
      <c r="EJ154" t="s">
        <v>1006</v>
      </c>
      <c r="EK154" t="s">
        <v>1007</v>
      </c>
      <c r="EL154" t="s">
        <v>1008</v>
      </c>
    </row>
    <row r="155" spans="1:149" ht="15" customHeight="1" x14ac:dyDescent="0.35">
      <c r="A155">
        <v>1235</v>
      </c>
      <c r="B155" t="s">
        <v>1009</v>
      </c>
      <c r="C155">
        <v>2</v>
      </c>
      <c r="D155" t="str">
        <f>VLOOKUP(source[[#This Row],[Приоритет]],тПриоритеты[],2,0)</f>
        <v>Значительное</v>
      </c>
      <c r="E155" t="str">
        <f>IF(ISBLANK(source[[#This Row],[Проверенные]]),IF(ISBLANK(source[[#This Row],[Завершенные]]),source[[#This Row],[Приоритет_]],"Завершено"),"Проверено")</f>
        <v>Значительное</v>
      </c>
      <c r="F155" t="s">
        <v>866</v>
      </c>
      <c r="G155" t="s">
        <v>998</v>
      </c>
      <c r="H155" t="e">
        <f>VLOOKUP(source[[#This Row],[Отвественный]],тОтветственные[],2,0)</f>
        <v>#N/A</v>
      </c>
      <c r="I155" s="2">
        <v>43868</v>
      </c>
      <c r="J155" s="2">
        <v>43875</v>
      </c>
      <c r="K155" t="s">
        <v>1010</v>
      </c>
      <c r="L155">
        <v>36.51</v>
      </c>
      <c r="M155">
        <v>81.37</v>
      </c>
      <c r="Q155" t="s">
        <v>371</v>
      </c>
      <c r="R155" t="str">
        <f>HYPERLINK("https://d28ji4sm1vmprj.cloudfront.net/d509d8ccb6cc013a171a57eb2e320727/077e7ba1020090b28fdcb44a156f45bd.jpeg", "Ссылка на план")</f>
        <v>Ссылка на план</v>
      </c>
      <c r="S155" s="1">
        <v>43868.530914351853</v>
      </c>
      <c r="W155" s="1">
        <v>43871.356111111112</v>
      </c>
      <c r="X155" t="s">
        <v>966</v>
      </c>
      <c r="Y155" t="s">
        <v>1001</v>
      </c>
      <c r="EC155" t="str">
        <f>HYPERLINK("https://d33htgqikc2pj4.cloudfront.net/0baaf3e9efbeac1fea924eabf08dfd2b/77567c712b0b9af80fe2d396400db98b-file.jpeg", "Кирилл Васенков: Ссылка на изображение")</f>
        <v>Кирилл Васенков: Ссылка на изображение</v>
      </c>
      <c r="ED155" t="str">
        <f>HYPERLINK("https://d33htgqikc2pj4.cloudfront.net/dcec5e67488319511bef97af165bf666/b40edb79fab7435b4b55eeae517c689f-file.jpeg", "Кирилл Васенков: Ссылка на изображение")</f>
        <v>Кирилл Васенков: Ссылка на изображение</v>
      </c>
      <c r="EE155" t="s">
        <v>1011</v>
      </c>
      <c r="EF155" t="s">
        <v>1012</v>
      </c>
      <c r="EG155" s="3" t="s">
        <v>1013</v>
      </c>
      <c r="EH155" t="s">
        <v>1004</v>
      </c>
      <c r="EI155" t="s">
        <v>930</v>
      </c>
      <c r="EJ155" t="s">
        <v>1014</v>
      </c>
      <c r="EK155" t="s">
        <v>1015</v>
      </c>
      <c r="EL155" t="s">
        <v>1008</v>
      </c>
    </row>
    <row r="156" spans="1:149" ht="15" customHeight="1" x14ac:dyDescent="0.35">
      <c r="A156">
        <v>1226</v>
      </c>
      <c r="B156" t="s">
        <v>1016</v>
      </c>
      <c r="C156">
        <v>2</v>
      </c>
      <c r="D156" t="str">
        <f>VLOOKUP(source[[#This Row],[Приоритет]],тПриоритеты[],2,0)</f>
        <v>Значительное</v>
      </c>
      <c r="E156" t="str">
        <f>IF(ISBLANK(source[[#This Row],[Проверенные]]),IF(ISBLANK(source[[#This Row],[Завершенные]]),source[[#This Row],[Приоритет_]],"Завершено"),"Проверено")</f>
        <v>Значительное</v>
      </c>
      <c r="F156" t="s">
        <v>866</v>
      </c>
      <c r="G156" t="s">
        <v>998</v>
      </c>
      <c r="H156" t="e">
        <f>VLOOKUP(source[[#This Row],[Отвественный]],тОтветственные[],2,0)</f>
        <v>#N/A</v>
      </c>
      <c r="I156" s="2">
        <v>43868</v>
      </c>
      <c r="J156" s="2">
        <v>43868</v>
      </c>
      <c r="K156" t="s">
        <v>1017</v>
      </c>
      <c r="L156">
        <v>37.85</v>
      </c>
      <c r="M156">
        <v>52.44</v>
      </c>
      <c r="Q156" t="s">
        <v>371</v>
      </c>
      <c r="R156" t="str">
        <f>HYPERLINK("https://d28ji4sm1vmprj.cloudfront.net/e293a61e55cdcc4bcbed171aa62c97b6/74a4e8a1275f7f8e6c4f89090c6e4710.jpeg", "Ссылка на план")</f>
        <v>Ссылка на план</v>
      </c>
      <c r="S156" s="1">
        <v>43868.444548611114</v>
      </c>
      <c r="W156" s="1">
        <v>43871.35429398148</v>
      </c>
      <c r="EC156" t="s">
        <v>1018</v>
      </c>
      <c r="ED156" t="str">
        <f>HYPERLINK("https://d33htgqikc2pj4.cloudfront.net/25b923e2-3d36-4a55-8ee8-aa22585efe1b.jpeg", "Кирилл Васенков: Ссылка на изображение")</f>
        <v>Кирилл Васенков: Ссылка на изображение</v>
      </c>
      <c r="EE156" t="str">
        <f>HYPERLINK("https://d33htgqikc2pj4.cloudfront.net/9cf8fc16-bec8-4e89-890a-6f1081dd574c.jpeg", "Кирилл Васенков: Ссылка на изображение")</f>
        <v>Кирилл Васенков: Ссылка на изображение</v>
      </c>
      <c r="EF156" t="s">
        <v>1019</v>
      </c>
      <c r="EG156" t="s">
        <v>1004</v>
      </c>
      <c r="EH156" t="s">
        <v>424</v>
      </c>
      <c r="EI156" t="s">
        <v>1020</v>
      </c>
      <c r="EJ156" t="s">
        <v>1008</v>
      </c>
    </row>
    <row r="157" spans="1:149" ht="15" customHeight="1" x14ac:dyDescent="0.35">
      <c r="A157">
        <v>428</v>
      </c>
      <c r="B157" t="s">
        <v>1021</v>
      </c>
      <c r="C157">
        <v>2</v>
      </c>
      <c r="D157" t="str">
        <f>VLOOKUP(source[[#This Row],[Приоритет]],тПриоритеты[],2,0)</f>
        <v>Значительное</v>
      </c>
      <c r="E157" t="str">
        <f>IF(ISBLANK(source[[#This Row],[Проверенные]]),IF(ISBLANK(source[[#This Row],[Завершенные]]),source[[#This Row],[Приоритет_]],"Завершено"),"Проверено")</f>
        <v>Проверено</v>
      </c>
      <c r="F157" t="s">
        <v>866</v>
      </c>
      <c r="G157" t="s">
        <v>998</v>
      </c>
      <c r="H157" t="e">
        <f>VLOOKUP(source[[#This Row],[Отвественный]],тОтветственные[],2,0)</f>
        <v>#N/A</v>
      </c>
      <c r="I157" s="2">
        <v>43794</v>
      </c>
      <c r="J157" s="2">
        <v>43798</v>
      </c>
      <c r="K157" t="s">
        <v>1022</v>
      </c>
      <c r="L157">
        <v>63.22</v>
      </c>
      <c r="M157">
        <v>56.66</v>
      </c>
      <c r="Q157" t="s">
        <v>371</v>
      </c>
      <c r="R157" t="str">
        <f>HYPERLINK("https://d28ji4sm1vmprj.cloudfront.net/e57b9519d27caf27d56362f5c7b47f9c/7b573aebcca9672c3089842235edd2bd.jpeg", "Ссылка на план")</f>
        <v>Ссылка на план</v>
      </c>
      <c r="S157" s="1">
        <v>43794.601944444446</v>
      </c>
      <c r="T157" s="1">
        <v>43804.779444444444</v>
      </c>
      <c r="U157" s="1">
        <v>43804.779444444444</v>
      </c>
      <c r="W157" s="1">
        <v>43804.779456018521</v>
      </c>
      <c r="X157" t="s">
        <v>966</v>
      </c>
      <c r="EC157" t="s">
        <v>1023</v>
      </c>
      <c r="ED157" t="str">
        <f>HYPERLINK("https://d33htgqikc2pj4.cloudfront.net/ecd88db97842c102d5e55febce78333c/f19ff70305c66f0e1ad4c680433c520c-file.jpeg", "Кирилл Васенков: Ссылка на изображение")</f>
        <v>Кирилл Васенков: Ссылка на изображение</v>
      </c>
      <c r="EE157" t="s">
        <v>1024</v>
      </c>
      <c r="EF157" t="s">
        <v>1025</v>
      </c>
      <c r="EG157" t="s">
        <v>1026</v>
      </c>
      <c r="EH157" t="s">
        <v>1027</v>
      </c>
      <c r="EI157" t="str">
        <f>HYPERLINK("https://d33htgqikc2pj4.cloudfront.net/9c6ed90b-8b1c-4718-9ba8-7949dc656375.jpeg", "Вентиляция Renaissance: Ссылка на изображение")</f>
        <v>Вентиляция Renaissance: Ссылка на изображение</v>
      </c>
      <c r="EJ157" t="s">
        <v>394</v>
      </c>
    </row>
    <row r="158" spans="1:149" ht="15" customHeight="1" x14ac:dyDescent="0.35">
      <c r="A158">
        <v>503</v>
      </c>
      <c r="B158" t="s">
        <v>1028</v>
      </c>
      <c r="C158">
        <v>2</v>
      </c>
      <c r="D158" t="str">
        <f>VLOOKUP(source[[#This Row],[Приоритет]],тПриоритеты[],2,0)</f>
        <v>Значительное</v>
      </c>
      <c r="E158" t="str">
        <f>IF(ISBLANK(source[[#This Row],[Проверенные]]),IF(ISBLANK(source[[#This Row],[Завершенные]]),source[[#This Row],[Приоритет_]],"Завершено"),"Проверено")</f>
        <v>Проверено</v>
      </c>
      <c r="F158" t="s">
        <v>866</v>
      </c>
      <c r="G158" t="s">
        <v>998</v>
      </c>
      <c r="H158" t="e">
        <f>VLOOKUP(source[[#This Row],[Отвественный]],тОтветственные[],2,0)</f>
        <v>#N/A</v>
      </c>
      <c r="K158" t="s">
        <v>1029</v>
      </c>
      <c r="L158">
        <v>21.94</v>
      </c>
      <c r="M158">
        <v>57.98</v>
      </c>
      <c r="Q158" t="s">
        <v>371</v>
      </c>
      <c r="R158" t="str">
        <f>HYPERLINK("https://d28ji4sm1vmprj.cloudfront.net/1d7ce70dac186fe526ca00e214751381/99a7432e2cce8f8eccee7bb73abe3f80.jpeg", "Ссылка на план")</f>
        <v>Ссылка на план</v>
      </c>
      <c r="S158" s="1">
        <v>43801.473263888889</v>
      </c>
      <c r="T158" s="1">
        <v>43804.780057870368</v>
      </c>
      <c r="U158" s="1">
        <v>43805.748472222222</v>
      </c>
      <c r="W158" s="1">
        <v>43805.748472222222</v>
      </c>
      <c r="X158" t="s">
        <v>966</v>
      </c>
      <c r="EC158" t="str">
        <f>HYPERLINK("https://d33htgqikc2pj4.cloudfront.net/16501583-501d-46b2-9920-803f190f5a37.jpeg", "Stanislav Veresov: Ссылка на изображение")</f>
        <v>Stanislav Veresov: Ссылка на изображение</v>
      </c>
      <c r="ED158" t="s">
        <v>1030</v>
      </c>
      <c r="EE158" t="s">
        <v>1031</v>
      </c>
      <c r="EF158" t="s">
        <v>1032</v>
      </c>
      <c r="EG158" t="s">
        <v>875</v>
      </c>
      <c r="EH158" t="s">
        <v>984</v>
      </c>
      <c r="EI158" t="str">
        <f>HYPERLINK("https://d33htgqikc2pj4.cloudfront.net/cab97d51-82d2-4143-af43-2d482ab7ea33.jpeg", "Вентиляция Renaissance: Ссылка на изображение")</f>
        <v>Вентиляция Renaissance: Ссылка на изображение</v>
      </c>
      <c r="EJ158" t="s">
        <v>1033</v>
      </c>
      <c r="EK158" t="s">
        <v>987</v>
      </c>
      <c r="EL158" t="s">
        <v>1034</v>
      </c>
      <c r="EM158" t="s">
        <v>888</v>
      </c>
    </row>
    <row r="159" spans="1:149" ht="15" customHeight="1" x14ac:dyDescent="0.35">
      <c r="A159">
        <v>83</v>
      </c>
      <c r="B159" t="s">
        <v>1035</v>
      </c>
      <c r="C159">
        <v>2</v>
      </c>
      <c r="D159" t="str">
        <f>VLOOKUP(source[[#This Row],[Приоритет]],тПриоритеты[],2,0)</f>
        <v>Значительное</v>
      </c>
      <c r="E159" t="str">
        <f>IF(ISBLANK(source[[#This Row],[Проверенные]]),IF(ISBLANK(source[[#This Row],[Завершенные]]),source[[#This Row],[Приоритет_]],"Завершено"),"Проверено")</f>
        <v>Проверено</v>
      </c>
      <c r="F159" t="s">
        <v>866</v>
      </c>
      <c r="G159" t="s">
        <v>998</v>
      </c>
      <c r="H159" t="e">
        <f>VLOOKUP(source[[#This Row],[Отвественный]],тОтветственные[],2,0)</f>
        <v>#N/A</v>
      </c>
      <c r="I159" s="2">
        <v>43770</v>
      </c>
      <c r="J159" s="2">
        <v>43787</v>
      </c>
      <c r="K159" t="s">
        <v>964</v>
      </c>
      <c r="O159">
        <v>0</v>
      </c>
      <c r="P159">
        <v>0</v>
      </c>
      <c r="Q159" t="s">
        <v>965</v>
      </c>
      <c r="R159" t="str">
        <f>HYPERLINK("", "Ссылка на план")</f>
        <v>Ссылка на план</v>
      </c>
      <c r="S159" s="1">
        <v>43770.530682870369</v>
      </c>
      <c r="T159" s="1">
        <v>43787.707557870373</v>
      </c>
      <c r="U159" s="1">
        <v>43788.445590277777</v>
      </c>
      <c r="W159" s="1">
        <v>43788.445601851854</v>
      </c>
      <c r="X159" t="s">
        <v>966</v>
      </c>
      <c r="EC159" t="s">
        <v>1036</v>
      </c>
      <c r="ED159" t="str">
        <f>HYPERLINK("https://d33htgqikc2pj4.cloudfront.net/f7dfe136-e181-48f7-b911-cb6cd2dc4ae0.jpeg", "Stanislav Veresov: Ссылка на изображение")</f>
        <v>Stanislav Veresov: Ссылка на изображение</v>
      </c>
      <c r="EE159" t="s">
        <v>1037</v>
      </c>
      <c r="EF159" t="s">
        <v>1038</v>
      </c>
      <c r="EG159" t="s">
        <v>1039</v>
      </c>
      <c r="EH159" t="s">
        <v>1040</v>
      </c>
      <c r="EI159" t="s">
        <v>1041</v>
      </c>
      <c r="EJ159" t="s">
        <v>929</v>
      </c>
      <c r="EK159" t="s">
        <v>978</v>
      </c>
      <c r="EL159" t="s">
        <v>932</v>
      </c>
      <c r="EM159" t="s">
        <v>1042</v>
      </c>
      <c r="EN159" t="s">
        <v>1043</v>
      </c>
      <c r="EO159" t="s">
        <v>1044</v>
      </c>
      <c r="EP159" t="s">
        <v>1045</v>
      </c>
      <c r="EQ159" t="s">
        <v>1034</v>
      </c>
      <c r="ER159" t="s">
        <v>888</v>
      </c>
      <c r="ES159" t="str">
        <f>HYPERLINK("https://d33htgqikc2pj4.cloudfront.net/74645a4d-8eb3-4662-9e22-4d8063791225.jpeg", "Вентиляция Renaissance: Ссылка на изображение")</f>
        <v>Вентиляция Renaissance: Ссылка на изображение</v>
      </c>
    </row>
    <row r="160" spans="1:149" ht="15" customHeight="1" x14ac:dyDescent="0.35">
      <c r="A160">
        <v>95</v>
      </c>
      <c r="B160" t="s">
        <v>1046</v>
      </c>
      <c r="C160">
        <v>2</v>
      </c>
      <c r="D160" t="str">
        <f>VLOOKUP(source[[#This Row],[Приоритет]],тПриоритеты[],2,0)</f>
        <v>Значительное</v>
      </c>
      <c r="E160" t="str">
        <f>IF(ISBLANK(source[[#This Row],[Проверенные]]),IF(ISBLANK(source[[#This Row],[Завершенные]]),source[[#This Row],[Приоритет_]],"Завершено"),"Проверено")</f>
        <v>Проверено</v>
      </c>
      <c r="F160" t="s">
        <v>866</v>
      </c>
      <c r="G160" t="s">
        <v>998</v>
      </c>
      <c r="H160" t="e">
        <f>VLOOKUP(source[[#This Row],[Отвественный]],тОтветственные[],2,0)</f>
        <v>#N/A</v>
      </c>
      <c r="I160" s="2">
        <v>43770</v>
      </c>
      <c r="J160" s="2">
        <v>43784</v>
      </c>
      <c r="K160" t="s">
        <v>1047</v>
      </c>
      <c r="L160">
        <v>44.12</v>
      </c>
      <c r="M160">
        <v>58.46</v>
      </c>
      <c r="Q160" t="s">
        <v>1000</v>
      </c>
      <c r="R160" t="str">
        <f>HYPERLINK("https://d28ji4sm1vmprj.cloudfront.net/218cc534e5b73ea5cc9d0f88de50ed55/6629cac50540d595b98b803917213bfb.jpeg", "Ссылка на план")</f>
        <v>Ссылка на план</v>
      </c>
      <c r="S160" s="1">
        <v>43770.698796296296</v>
      </c>
      <c r="T160" s="1">
        <v>43788.56449074074</v>
      </c>
      <c r="U160" s="1">
        <v>43791.367824074077</v>
      </c>
      <c r="W160" s="1">
        <v>43791.367835648147</v>
      </c>
      <c r="X160" t="s">
        <v>966</v>
      </c>
      <c r="EC160" t="s">
        <v>1048</v>
      </c>
      <c r="ED160" t="str">
        <f>HYPERLINK("https://d33htgqikc2pj4.cloudfront.net/8d3fc1e0-77cf-49f6-b060-1bd94304dae4.jpeg", "Stanislav Veresov: Ссылка на изображение")</f>
        <v>Stanislav Veresov: Ссылка на изображение</v>
      </c>
      <c r="EE160" t="s">
        <v>885</v>
      </c>
      <c r="EF160" t="s">
        <v>929</v>
      </c>
      <c r="EG160" t="s">
        <v>978</v>
      </c>
      <c r="EH160" t="s">
        <v>932</v>
      </c>
      <c r="EI160" s="3" t="s">
        <v>1049</v>
      </c>
      <c r="EJ160" t="s">
        <v>1034</v>
      </c>
      <c r="EK160" t="str">
        <f>HYPERLINK("https://d33htgqikc2pj4.cloudfront.net/b7d0ec8d-6deb-4fd9-bde4-4137985403d6.jpeg", "Вентиляция Renaissance: Ссылка на изображение")</f>
        <v>Вентиляция Renaissance: Ссылка на изображение</v>
      </c>
      <c r="EL160" t="s">
        <v>888</v>
      </c>
    </row>
    <row r="161" spans="1:156" ht="15" customHeight="1" x14ac:dyDescent="0.35">
      <c r="A161">
        <v>106</v>
      </c>
      <c r="B161" t="s">
        <v>1050</v>
      </c>
      <c r="C161">
        <v>2</v>
      </c>
      <c r="D161" t="str">
        <f>VLOOKUP(source[[#This Row],[Приоритет]],тПриоритеты[],2,0)</f>
        <v>Значительное</v>
      </c>
      <c r="E161" t="str">
        <f>IF(ISBLANK(source[[#This Row],[Проверенные]]),IF(ISBLANK(source[[#This Row],[Завершенные]]),source[[#This Row],[Приоритет_]],"Завершено"),"Проверено")</f>
        <v>Проверено</v>
      </c>
      <c r="F161" t="s">
        <v>866</v>
      </c>
      <c r="G161" t="s">
        <v>998</v>
      </c>
      <c r="H161" t="e">
        <f>VLOOKUP(source[[#This Row],[Отвественный]],тОтветственные[],2,0)</f>
        <v>#N/A</v>
      </c>
      <c r="I161" s="2">
        <v>43770</v>
      </c>
      <c r="J161" s="2">
        <v>43815</v>
      </c>
      <c r="K161" t="s">
        <v>1051</v>
      </c>
      <c r="L161">
        <v>45.29</v>
      </c>
      <c r="M161">
        <v>52.44</v>
      </c>
      <c r="Q161" t="s">
        <v>1000</v>
      </c>
      <c r="R161" t="str">
        <f>HYPERLINK("https://d28ji4sm1vmprj.cloudfront.net/6ed97a6d61203645a96ab2248fb0dff8/7bc36e297cc113f953b0525b45e96f5e.jpeg", "Ссылка на план")</f>
        <v>Ссылка на план</v>
      </c>
      <c r="S161" s="1">
        <v>43771.411828703705</v>
      </c>
      <c r="T161" s="1">
        <v>43851.36074074074</v>
      </c>
      <c r="U161" s="1">
        <v>43851.404907407406</v>
      </c>
      <c r="W161" s="1">
        <v>43851.404907407406</v>
      </c>
      <c r="X161" t="s">
        <v>966</v>
      </c>
      <c r="EC161" t="s">
        <v>1052</v>
      </c>
      <c r="ED161" t="str">
        <f>HYPERLINK("https://d33htgqikc2pj4.cloudfront.net/0454e218-fb1e-4689-a62b-efcba579e040.jpeg", "Stanislav Veresov: Ссылка на изображение")</f>
        <v>Stanislav Veresov: Ссылка на изображение</v>
      </c>
      <c r="EE161" t="str">
        <f>HYPERLINK("https://d33htgqikc2pj4.cloudfront.net/9e0d38bc-fb95-4896-ac1b-51e6ac35fdd4.jpeg", "Stanislav Veresov: Ссылка на изображение")</f>
        <v>Stanislav Veresov: Ссылка на изображение</v>
      </c>
      <c r="EF161" t="str">
        <f>HYPERLINK("https://d33htgqikc2pj4.cloudfront.net/ef5e66f8-55ac-449b-8b8e-c5c5fb9c8a03.jpeg", "Stanislav Veresov: Ссылка на изображение")</f>
        <v>Stanislav Veresov: Ссылка на изображение</v>
      </c>
      <c r="EG161" t="s">
        <v>885</v>
      </c>
      <c r="EH161" t="s">
        <v>929</v>
      </c>
      <c r="EI161" t="s">
        <v>978</v>
      </c>
      <c r="EJ161" t="s">
        <v>932</v>
      </c>
      <c r="EK161" s="3" t="s">
        <v>1049</v>
      </c>
      <c r="EL161" t="s">
        <v>1034</v>
      </c>
      <c r="EM161" t="s">
        <v>1053</v>
      </c>
      <c r="EN161" t="s">
        <v>1054</v>
      </c>
      <c r="EO161" t="s">
        <v>1055</v>
      </c>
      <c r="EP161" t="s">
        <v>1056</v>
      </c>
      <c r="EQ161" t="s">
        <v>1057</v>
      </c>
      <c r="ER161" t="str">
        <f>HYPERLINK("https://d33htgqikc2pj4.cloudfront.net/3841297b-d26f-4084-9fce-8e3c49828546.jpeg", "Вентиляция Renaissance: Ссылка на изображение")</f>
        <v>Вентиляция Renaissance: Ссылка на изображение</v>
      </c>
      <c r="ES161" t="str">
        <f>HYPERLINK("https://d33htgqikc2pj4.cloudfront.net/c00f27ea-f317-419e-8fb2-13b86aec9fa3.jpeg", "Вентиляция Renaissance: Ссылка на изображение")</f>
        <v>Вентиляция Renaissance: Ссылка на изображение</v>
      </c>
      <c r="ET161" t="str">
        <f>HYPERLINK("https://d33htgqikc2pj4.cloudfront.net/ff3d3575-0709-4e41-8437-f806b3288407.jpeg", "Вентиляция Renaissance: Ссылка на изображение")</f>
        <v>Вентиляция Renaissance: Ссылка на изображение</v>
      </c>
      <c r="EU161" t="str">
        <f>HYPERLINK("https://d33htgqikc2pj4.cloudfront.net/2b54c4ae-7a16-4baf-a8d3-9c87c9c2296f.jpeg", "Вентиляция Renaissance: Ссылка на изображение")</f>
        <v>Вентиляция Renaissance: Ссылка на изображение</v>
      </c>
      <c r="EV161" t="s">
        <v>1042</v>
      </c>
      <c r="EW161" t="s">
        <v>987</v>
      </c>
      <c r="EX161" t="s">
        <v>888</v>
      </c>
    </row>
    <row r="162" spans="1:156" ht="15" customHeight="1" x14ac:dyDescent="0.35">
      <c r="A162">
        <v>104</v>
      </c>
      <c r="B162" s="3" t="s">
        <v>1058</v>
      </c>
      <c r="C162">
        <v>2</v>
      </c>
      <c r="D162" t="str">
        <f>VLOOKUP(source[[#This Row],[Приоритет]],тПриоритеты[],2,0)</f>
        <v>Значительное</v>
      </c>
      <c r="E162" t="str">
        <f>IF(ISBLANK(source[[#This Row],[Проверенные]]),IF(ISBLANK(source[[#This Row],[Завершенные]]),source[[#This Row],[Приоритет_]],"Завершено"),"Проверено")</f>
        <v>Проверено</v>
      </c>
      <c r="F162" t="s">
        <v>866</v>
      </c>
      <c r="G162" t="s">
        <v>998</v>
      </c>
      <c r="H162" t="e">
        <f>VLOOKUP(source[[#This Row],[Отвественный]],тОтветственные[],2,0)</f>
        <v>#N/A</v>
      </c>
      <c r="I162" s="2">
        <v>43770</v>
      </c>
      <c r="J162" s="2">
        <v>43784</v>
      </c>
      <c r="K162" t="s">
        <v>1047</v>
      </c>
      <c r="L162">
        <v>39.78</v>
      </c>
      <c r="M162">
        <v>64.41</v>
      </c>
      <c r="Q162" t="s">
        <v>1000</v>
      </c>
      <c r="R162" t="str">
        <f>HYPERLINK("https://d28ji4sm1vmprj.cloudfront.net/218cc534e5b73ea5cc9d0f88de50ed55/6629cac50540d595b98b803917213bfb.jpeg", "Ссылка на план")</f>
        <v>Ссылка на план</v>
      </c>
      <c r="S162" s="1">
        <v>43771.411793981482</v>
      </c>
      <c r="T162" s="1">
        <v>43788.564583333333</v>
      </c>
      <c r="U162" s="1">
        <v>43791.367881944447</v>
      </c>
      <c r="W162" s="1">
        <v>43791.367881944447</v>
      </c>
      <c r="X162" t="s">
        <v>966</v>
      </c>
      <c r="EC162" s="3" t="s">
        <v>1059</v>
      </c>
      <c r="ED162" t="str">
        <f>HYPERLINK("https://d33htgqikc2pj4.cloudfront.net/31974e07-0377-4ed6-9edd-9fb94023e68d.jpeg", "Stanislav Veresov: Ссылка на изображение")</f>
        <v>Stanislav Veresov: Ссылка на изображение</v>
      </c>
      <c r="EE162" t="str">
        <f>HYPERLINK("https://d33htgqikc2pj4.cloudfront.net/956f4d7d-585b-4d3a-8942-1a5e69a8e46c.jpeg", "Stanislav Veresov: Ссылка на изображение")</f>
        <v>Stanislav Veresov: Ссылка на изображение</v>
      </c>
      <c r="EF162" t="s">
        <v>885</v>
      </c>
      <c r="EG162" t="s">
        <v>929</v>
      </c>
      <c r="EH162" t="s">
        <v>978</v>
      </c>
      <c r="EI162" t="s">
        <v>932</v>
      </c>
      <c r="EJ162" t="s">
        <v>1034</v>
      </c>
      <c r="EK162" s="3" t="s">
        <v>1049</v>
      </c>
      <c r="EL162" t="str">
        <f>HYPERLINK("https://d33htgqikc2pj4.cloudfront.net/69d870a6-c56d-480a-98e5-984c4323032d.jpeg", "Вентиляция Renaissance: Ссылка на изображение")</f>
        <v>Вентиляция Renaissance: Ссылка на изображение</v>
      </c>
      <c r="EM162" t="s">
        <v>888</v>
      </c>
    </row>
    <row r="163" spans="1:156" ht="15" customHeight="1" x14ac:dyDescent="0.35">
      <c r="A163">
        <v>107</v>
      </c>
      <c r="B163" t="s">
        <v>1060</v>
      </c>
      <c r="C163">
        <v>2</v>
      </c>
      <c r="D163" t="str">
        <f>VLOOKUP(source[[#This Row],[Приоритет]],тПриоритеты[],2,0)</f>
        <v>Значительное</v>
      </c>
      <c r="E163" t="str">
        <f>IF(ISBLANK(source[[#This Row],[Проверенные]]),IF(ISBLANK(source[[#This Row],[Завершенные]]),source[[#This Row],[Приоритет_]],"Завершено"),"Проверено")</f>
        <v>Проверено</v>
      </c>
      <c r="F163" t="s">
        <v>866</v>
      </c>
      <c r="G163" t="s">
        <v>998</v>
      </c>
      <c r="H163" t="e">
        <f>VLOOKUP(source[[#This Row],[Отвественный]],тОтветственные[],2,0)</f>
        <v>#N/A</v>
      </c>
      <c r="I163" s="2">
        <v>43770</v>
      </c>
      <c r="J163" s="2">
        <v>43774</v>
      </c>
      <c r="K163" t="s">
        <v>1051</v>
      </c>
      <c r="L163">
        <v>33.770000000000003</v>
      </c>
      <c r="M163">
        <v>25.65</v>
      </c>
      <c r="Q163" t="s">
        <v>1000</v>
      </c>
      <c r="R163" t="str">
        <f>HYPERLINK("https://d28ji4sm1vmprj.cloudfront.net/6ed97a6d61203645a96ab2248fb0dff8/7bc36e297cc113f953b0525b45e96f5e.jpeg", "Ссылка на план")</f>
        <v>Ссылка на план</v>
      </c>
      <c r="S163" s="1">
        <v>43771.411851851852</v>
      </c>
      <c r="T163" s="1">
        <v>43774.400381944448</v>
      </c>
      <c r="U163" s="1">
        <v>43774.40898148148</v>
      </c>
      <c r="W163" s="1">
        <v>43780.766469907408</v>
      </c>
      <c r="X163" t="s">
        <v>966</v>
      </c>
      <c r="EC163" t="s">
        <v>1061</v>
      </c>
      <c r="ED163" t="str">
        <f>HYPERLINK("https://d33htgqikc2pj4.cloudfront.net/e3353396-fae9-4e53-b86f-0cc12da9ba5d.jpeg", "Stanislav Veresov: Ссылка на изображение")</f>
        <v>Stanislav Veresov: Ссылка на изображение</v>
      </c>
      <c r="EE163" t="str">
        <f>HYPERLINK("https://d33htgqikc2pj4.cloudfront.net/838a1829-5166-40cb-a0b7-2d3be3380aa3.jpeg", "Stanislav Veresov: Ссылка на изображение")</f>
        <v>Stanislav Veresov: Ссылка на изображение</v>
      </c>
      <c r="EF163" t="s">
        <v>885</v>
      </c>
      <c r="EG163" t="s">
        <v>905</v>
      </c>
      <c r="EH163" t="s">
        <v>888</v>
      </c>
      <c r="EI163" t="s">
        <v>929</v>
      </c>
      <c r="EJ163" t="str">
        <f>HYPERLINK("https://d33htgqikc2pj4.cloudfront.net/9b4403c7-d57a-44ae-9247-e81d7455ccca.jpeg", "Вентиляция Renaissance: Ссылка на изображение")</f>
        <v>Вентиляция Renaissance: Ссылка на изображение</v>
      </c>
      <c r="EK163" t="s">
        <v>1062</v>
      </c>
    </row>
    <row r="164" spans="1:156" ht="15" customHeight="1" x14ac:dyDescent="0.35">
      <c r="A164">
        <v>105</v>
      </c>
      <c r="B164" t="s">
        <v>1063</v>
      </c>
      <c r="C164">
        <v>2</v>
      </c>
      <c r="D164" t="str">
        <f>VLOOKUP(source[[#This Row],[Приоритет]],тПриоритеты[],2,0)</f>
        <v>Значительное</v>
      </c>
      <c r="E164" t="str">
        <f>IF(ISBLANK(source[[#This Row],[Проверенные]]),IF(ISBLANK(source[[#This Row],[Завершенные]]),source[[#This Row],[Приоритет_]],"Завершено"),"Проверено")</f>
        <v>Проверено</v>
      </c>
      <c r="F164" t="s">
        <v>866</v>
      </c>
      <c r="G164" t="s">
        <v>998</v>
      </c>
      <c r="H164" t="e">
        <f>VLOOKUP(source[[#This Row],[Отвественный]],тОтветственные[],2,0)</f>
        <v>#N/A</v>
      </c>
      <c r="I164" s="2">
        <v>43770</v>
      </c>
      <c r="J164" s="2">
        <v>43784</v>
      </c>
      <c r="K164" t="s">
        <v>1047</v>
      </c>
      <c r="L164">
        <v>44.79</v>
      </c>
      <c r="M164">
        <v>48.92</v>
      </c>
      <c r="Q164" t="s">
        <v>1000</v>
      </c>
      <c r="R164" t="str">
        <f>HYPERLINK("https://d28ji4sm1vmprj.cloudfront.net/218cc534e5b73ea5cc9d0f88de50ed55/6629cac50540d595b98b803917213bfb.jpeg", "Ссылка на план")</f>
        <v>Ссылка на план</v>
      </c>
      <c r="S164" s="1">
        <v>43771.411805555559</v>
      </c>
      <c r="T164" s="1">
        <v>43788.564733796295</v>
      </c>
      <c r="U164" s="1">
        <v>43791.367939814816</v>
      </c>
      <c r="W164" s="1">
        <v>43791.367939814816</v>
      </c>
      <c r="X164" t="s">
        <v>966</v>
      </c>
      <c r="EC164" t="s">
        <v>1064</v>
      </c>
      <c r="ED164" t="str">
        <f>HYPERLINK("https://d33htgqikc2pj4.cloudfront.net/f4812d5e-0c2b-4da0-894e-48ee5e4495f8.jpeg", "Stanislav Veresov: Ссылка на изображение")</f>
        <v>Stanislav Veresov: Ссылка на изображение</v>
      </c>
      <c r="EE164" t="s">
        <v>885</v>
      </c>
      <c r="EF164" t="s">
        <v>929</v>
      </c>
      <c r="EG164" t="s">
        <v>978</v>
      </c>
      <c r="EH164" t="s">
        <v>932</v>
      </c>
      <c r="EI164" s="3" t="s">
        <v>1049</v>
      </c>
      <c r="EJ164" t="s">
        <v>1034</v>
      </c>
      <c r="EK164" t="str">
        <f>HYPERLINK("https://d33htgqikc2pj4.cloudfront.net/0925d634-d5f5-4d1e-a291-940d3015e012.jpeg", "Вентиляция Renaissance: Ссылка на изображение")</f>
        <v>Вентиляция Renaissance: Ссылка на изображение</v>
      </c>
      <c r="EL164" t="str">
        <f>HYPERLINK("https://d33htgqikc2pj4.cloudfront.net/24c4e52c-0260-4723-90b5-d20491f9d708.jpeg", "Вентиляция Renaissance: Ссылка на изображение")</f>
        <v>Вентиляция Renaissance: Ссылка на изображение</v>
      </c>
      <c r="EM164" t="s">
        <v>888</v>
      </c>
    </row>
    <row r="165" spans="1:156" ht="15" customHeight="1" x14ac:dyDescent="0.35">
      <c r="A165">
        <v>94</v>
      </c>
      <c r="B165" t="s">
        <v>1065</v>
      </c>
      <c r="C165">
        <v>2</v>
      </c>
      <c r="D165" t="str">
        <f>VLOOKUP(source[[#This Row],[Приоритет]],тПриоритеты[],2,0)</f>
        <v>Значительное</v>
      </c>
      <c r="E165" t="str">
        <f>IF(ISBLANK(source[[#This Row],[Проверенные]]),IF(ISBLANK(source[[#This Row],[Завершенные]]),source[[#This Row],[Приоритет_]],"Завершено"),"Проверено")</f>
        <v>Проверено</v>
      </c>
      <c r="F165" t="s">
        <v>866</v>
      </c>
      <c r="G165" t="s">
        <v>998</v>
      </c>
      <c r="H165" t="e">
        <f>VLOOKUP(source[[#This Row],[Отвественный]],тОтветственные[],2,0)</f>
        <v>#N/A</v>
      </c>
      <c r="I165" s="2">
        <v>43770</v>
      </c>
      <c r="J165" s="2">
        <v>43784</v>
      </c>
      <c r="K165" t="s">
        <v>1047</v>
      </c>
      <c r="L165">
        <v>60.26</v>
      </c>
      <c r="M165">
        <v>29.11</v>
      </c>
      <c r="Q165" t="s">
        <v>1000</v>
      </c>
      <c r="R165" t="str">
        <f>HYPERLINK("https://d28ji4sm1vmprj.cloudfront.net/218cc534e5b73ea5cc9d0f88de50ed55/6629cac50540d595b98b803917213bfb.jpeg", "Ссылка на план")</f>
        <v>Ссылка на план</v>
      </c>
      <c r="S165" s="1">
        <v>43770.698773148149</v>
      </c>
      <c r="T165" s="1">
        <v>43788.563402777778</v>
      </c>
      <c r="U165" s="1">
        <v>43791.367777777778</v>
      </c>
      <c r="W165" s="1">
        <v>43791.367777777778</v>
      </c>
      <c r="X165" t="s">
        <v>966</v>
      </c>
      <c r="EC165" t="s">
        <v>1066</v>
      </c>
      <c r="ED165" t="str">
        <f>HYPERLINK("https://d33htgqikc2pj4.cloudfront.net/5815f757-6630-4241-b643-f20b746b2e40.jpeg", "Stanislav Veresov: Ссылка на изображение")</f>
        <v>Stanislav Veresov: Ссылка на изображение</v>
      </c>
      <c r="EE165" t="str">
        <f>HYPERLINK("https://d33htgqikc2pj4.cloudfront.net/7794c144-cdc3-4874-abf5-22d58c0cd735.jpeg", "Stanislav Veresov: Ссылка на изображение")</f>
        <v>Stanislav Veresov: Ссылка на изображение</v>
      </c>
      <c r="EF165" t="str">
        <f>HYPERLINK("https://d33htgqikc2pj4.cloudfront.net/428ce378-3f2a-41cf-abe1-988978e4bea0.jpeg", "Stanislav Veresov: Ссылка на изображение")</f>
        <v>Stanislav Veresov: Ссылка на изображение</v>
      </c>
      <c r="EG165" t="s">
        <v>885</v>
      </c>
      <c r="EH165" t="s">
        <v>929</v>
      </c>
      <c r="EI165" t="s">
        <v>978</v>
      </c>
      <c r="EJ165" t="s">
        <v>932</v>
      </c>
      <c r="EK165" t="s">
        <v>1042</v>
      </c>
      <c r="EL165" t="s">
        <v>1034</v>
      </c>
      <c r="EM165" t="s">
        <v>1067</v>
      </c>
      <c r="EN165" t="str">
        <f>HYPERLINK("https://d33htgqikc2pj4.cloudfront.net/cd936a53478f048b7c8559384c78bedb/9decc7cc4f67f985ae8be2379fbbbddf-file.jpeg", "Кирилл Васенков: Ссылка на изображение")</f>
        <v>Кирилл Васенков: Ссылка на изображение</v>
      </c>
      <c r="EO165" t="str">
        <f>HYPERLINK("https://d33htgqikc2pj4.cloudfront.net/c3ecad84c623cacfc2efae3da0f672f0/bb1a93ea05ba37b740db51ff62c3db0b-file.jpeg", "Кирилл Васенков: Ссылка на изображение")</f>
        <v>Кирилл Васенков: Ссылка на изображение</v>
      </c>
      <c r="EP165" t="str">
        <f>HYPERLINK("https://d33htgqikc2pj4.cloudfront.net/b83e7ac6-5c4d-4e7c-9aba-2f045fc89f3e.jpeg", "Вентиляция Renaissance: Ссылка на изображение")</f>
        <v>Вентиляция Renaissance: Ссылка на изображение</v>
      </c>
      <c r="EQ165" t="str">
        <f>HYPERLINK("https://d33htgqikc2pj4.cloudfront.net/b15818fb-7d1e-4c9d-8d91-6296bddea66e.jpeg", "Вентиляция Renaissance: Ссылка на изображение")</f>
        <v>Вентиляция Renaissance: Ссылка на изображение</v>
      </c>
      <c r="ER165" t="s">
        <v>888</v>
      </c>
    </row>
    <row r="166" spans="1:156" ht="15" customHeight="1" x14ac:dyDescent="0.35">
      <c r="A166">
        <v>534</v>
      </c>
      <c r="B166" t="s">
        <v>1068</v>
      </c>
      <c r="C166">
        <v>2</v>
      </c>
      <c r="D166" t="str">
        <f>VLOOKUP(source[[#This Row],[Приоритет]],тПриоритеты[],2,0)</f>
        <v>Значительное</v>
      </c>
      <c r="E166" t="str">
        <f>IF(ISBLANK(source[[#This Row],[Проверенные]]),IF(ISBLANK(source[[#This Row],[Завершенные]]),source[[#This Row],[Приоритет_]],"Завершено"),"Проверено")</f>
        <v>Проверено</v>
      </c>
      <c r="F166" t="s">
        <v>866</v>
      </c>
      <c r="G166" t="s">
        <v>998</v>
      </c>
      <c r="H166" t="e">
        <f>VLOOKUP(source[[#This Row],[Отвественный]],тОтветственные[],2,0)</f>
        <v>#N/A</v>
      </c>
      <c r="I166" s="2">
        <v>43804</v>
      </c>
      <c r="J166" s="2">
        <v>43808</v>
      </c>
      <c r="K166" t="s">
        <v>982</v>
      </c>
      <c r="L166">
        <v>35.119999999999997</v>
      </c>
      <c r="M166">
        <v>18.75</v>
      </c>
      <c r="Q166" t="s">
        <v>371</v>
      </c>
      <c r="R166" t="str">
        <f>HYPERLINK("https://d28ji4sm1vmprj.cloudfront.net/7c0169865287e39401d2468ae683304c/2868dff61e19af4fb7c661f1fd0b3091.jpeg", "Ссылка на план")</f>
        <v>Ссылка на план</v>
      </c>
      <c r="S166" s="1">
        <v>43803.646284722221</v>
      </c>
      <c r="T166" s="1">
        <v>43805.766956018517</v>
      </c>
      <c r="U166" s="1">
        <v>43805.769849537035</v>
      </c>
      <c r="W166" s="1">
        <v>43805.769872685189</v>
      </c>
      <c r="X166" t="s">
        <v>1001</v>
      </c>
      <c r="EC166" t="str">
        <f>HYPERLINK("https://d33htgqikc2pj4.cloudfront.net/33dc461a-9f89-4444-9f0b-0c2ef2ecd364.jpeg", "Кирилл Васенков: Ссылка на изображение")</f>
        <v>Кирилл Васенков: Ссылка на изображение</v>
      </c>
      <c r="ED166" t="s">
        <v>1069</v>
      </c>
      <c r="EE166" t="s">
        <v>1024</v>
      </c>
      <c r="EF166" t="s">
        <v>1070</v>
      </c>
      <c r="EG166" t="s">
        <v>1071</v>
      </c>
      <c r="EH166" t="str">
        <f>HYPERLINK("https://d33htgqikc2pj4.cloudfront.net/7c717f35-c572-4077-9037-9cd00b168eba.jpeg", "Вентиляция Renaissance: Ссылка на изображение")</f>
        <v>Вентиляция Renaissance: Ссылка на изображение</v>
      </c>
      <c r="EI166" t="s">
        <v>1072</v>
      </c>
      <c r="EJ166" t="s">
        <v>987</v>
      </c>
      <c r="EK166" t="s">
        <v>394</v>
      </c>
    </row>
    <row r="167" spans="1:156" ht="15" customHeight="1" x14ac:dyDescent="0.35">
      <c r="A167">
        <v>1108</v>
      </c>
      <c r="B167" t="s">
        <v>1073</v>
      </c>
      <c r="C167">
        <v>2</v>
      </c>
      <c r="D167" t="str">
        <f>VLOOKUP(source[[#This Row],[Приоритет]],тПриоритеты[],2,0)</f>
        <v>Значительное</v>
      </c>
      <c r="E167" t="str">
        <f>IF(ISBLANK(source[[#This Row],[Проверенные]]),IF(ISBLANK(source[[#This Row],[Завершенные]]),source[[#This Row],[Приоритет_]],"Завершено"),"Проверено")</f>
        <v>Проверено</v>
      </c>
      <c r="F167" t="s">
        <v>866</v>
      </c>
      <c r="G167" t="s">
        <v>998</v>
      </c>
      <c r="H167" t="e">
        <f>VLOOKUP(source[[#This Row],[Отвественный]],тОтветственные[],2,0)</f>
        <v>#N/A</v>
      </c>
      <c r="I167" s="2">
        <v>43859</v>
      </c>
      <c r="J167" s="2">
        <v>43868</v>
      </c>
      <c r="K167" t="s">
        <v>1074</v>
      </c>
      <c r="L167">
        <v>53.22</v>
      </c>
      <c r="M167">
        <v>38.99</v>
      </c>
      <c r="Q167" t="s">
        <v>1075</v>
      </c>
      <c r="R167" t="str">
        <f>HYPERLINK("https://d28ji4sm1vmprj.cloudfront.net/fe17629590e5e3140977dab4acfe6cc0/f9079158c411f7cba179018a864791c4.jpeg", "Ссылка на план")</f>
        <v>Ссылка на план</v>
      </c>
      <c r="S167" s="1">
        <v>43859.742256944446</v>
      </c>
      <c r="T167" s="1">
        <v>43864.690405092595</v>
      </c>
      <c r="U167" s="1">
        <v>43864.690405092595</v>
      </c>
      <c r="W167" s="1">
        <v>43864.692442129628</v>
      </c>
      <c r="AA167" t="s">
        <v>1076</v>
      </c>
      <c r="EC167" t="s">
        <v>1077</v>
      </c>
      <c r="ED167" t="str">
        <f>HYPERLINK("https://d33htgqikc2pj4.cloudfront.net/e19fe7f66613cc5a135f0dc9054d854c/d3fe4e92eb4417af67eb366d29671efc-file.jpeg", "Кирилл Васенков: Ссылка на изображение")</f>
        <v>Кирилл Васенков: Ссылка на изображение</v>
      </c>
      <c r="EE167" t="s">
        <v>1004</v>
      </c>
      <c r="EF167" t="s">
        <v>1078</v>
      </c>
      <c r="EG167" t="s">
        <v>1079</v>
      </c>
      <c r="EH167" s="3" t="s">
        <v>1080</v>
      </c>
      <c r="EI167" t="s">
        <v>1081</v>
      </c>
      <c r="EJ167" t="s">
        <v>930</v>
      </c>
      <c r="EK167" t="s">
        <v>1008</v>
      </c>
      <c r="EL167" t="s">
        <v>394</v>
      </c>
    </row>
    <row r="168" spans="1:156" ht="15" customHeight="1" x14ac:dyDescent="0.35">
      <c r="A168">
        <v>179</v>
      </c>
      <c r="B168" t="s">
        <v>1082</v>
      </c>
      <c r="C168">
        <v>2</v>
      </c>
      <c r="D168" t="str">
        <f>VLOOKUP(source[[#This Row],[Приоритет]],тПриоритеты[],2,0)</f>
        <v>Значительное</v>
      </c>
      <c r="E168" t="str">
        <f>IF(ISBLANK(source[[#This Row],[Проверенные]]),IF(ISBLANK(source[[#This Row],[Завершенные]]),source[[#This Row],[Приоритет_]],"Завершено"),"Проверено")</f>
        <v>Проверено</v>
      </c>
      <c r="F168" t="s">
        <v>866</v>
      </c>
      <c r="G168" t="s">
        <v>998</v>
      </c>
      <c r="H168" t="e">
        <f>VLOOKUP(source[[#This Row],[Отвественный]],тОтветственные[],2,0)</f>
        <v>#N/A</v>
      </c>
      <c r="I168" s="2">
        <v>43776</v>
      </c>
      <c r="J168" s="2">
        <v>43829</v>
      </c>
      <c r="K168" t="s">
        <v>1083</v>
      </c>
      <c r="L168">
        <v>33.090000000000003</v>
      </c>
      <c r="M168">
        <v>36.19</v>
      </c>
      <c r="Q168" t="s">
        <v>371</v>
      </c>
      <c r="R168" t="str">
        <f>HYPERLINK("https://d28ji4sm1vmprj.cloudfront.net/6738e7452228a8ce5de13387bb03a3b1/1bc351fda4920dec95a4a52f77fa428b.jpeg", "Ссылка на план")</f>
        <v>Ссылка на план</v>
      </c>
      <c r="S168" s="1">
        <v>43776.488877314812</v>
      </c>
      <c r="T168" s="1">
        <v>43818.60460648148</v>
      </c>
      <c r="U168" s="1">
        <v>43823.417071759257</v>
      </c>
      <c r="W168" s="1">
        <v>43823.417083333334</v>
      </c>
      <c r="X168" t="s">
        <v>966</v>
      </c>
      <c r="EC168" t="s">
        <v>1084</v>
      </c>
      <c r="ED168" t="str">
        <f>HYPERLINK("https://d33htgqikc2pj4.cloudfront.net/76aaf7b3-4de6-4552-99d1-516bbb9941c0.jpeg", "Stanislav Veresov: Ссылка на изображение")</f>
        <v>Stanislav Veresov: Ссылка на изображение</v>
      </c>
      <c r="EE168" t="s">
        <v>929</v>
      </c>
      <c r="EF168" t="s">
        <v>994</v>
      </c>
      <c r="EG168" t="s">
        <v>932</v>
      </c>
      <c r="EH168" t="s">
        <v>1085</v>
      </c>
      <c r="EI168" t="s">
        <v>933</v>
      </c>
      <c r="EJ168" t="s">
        <v>915</v>
      </c>
      <c r="EK168" t="s">
        <v>1086</v>
      </c>
      <c r="EL168" t="str">
        <f>HYPERLINK("https://d33htgqikc2pj4.cloudfront.net/b703aec6-df61-43f1-8182-ed9b92571641.jpeg", "Вентиляция Renaissance: Ссылка на изображение")</f>
        <v>Вентиляция Renaissance: Ссылка на изображение</v>
      </c>
      <c r="EM168" t="s">
        <v>987</v>
      </c>
      <c r="EN168" t="s">
        <v>1072</v>
      </c>
      <c r="EO168" t="s">
        <v>888</v>
      </c>
    </row>
    <row r="169" spans="1:156" ht="15" customHeight="1" x14ac:dyDescent="0.35">
      <c r="A169">
        <v>197</v>
      </c>
      <c r="B169" t="s">
        <v>1087</v>
      </c>
      <c r="C169">
        <v>2</v>
      </c>
      <c r="D169" t="str">
        <f>VLOOKUP(source[[#This Row],[Приоритет]],тПриоритеты[],2,0)</f>
        <v>Значительное</v>
      </c>
      <c r="E169" t="str">
        <f>IF(ISBLANK(source[[#This Row],[Проверенные]]),IF(ISBLANK(source[[#This Row],[Завершенные]]),source[[#This Row],[Приоритет_]],"Завершено"),"Проверено")</f>
        <v>Проверено</v>
      </c>
      <c r="F169" t="s">
        <v>866</v>
      </c>
      <c r="G169" t="s">
        <v>998</v>
      </c>
      <c r="H169" t="e">
        <f>VLOOKUP(source[[#This Row],[Отвественный]],тОтветственные[],2,0)</f>
        <v>#N/A</v>
      </c>
      <c r="I169" s="2">
        <v>43776</v>
      </c>
      <c r="J169" s="2">
        <v>43784</v>
      </c>
      <c r="K169" t="s">
        <v>1088</v>
      </c>
      <c r="L169">
        <v>34.68</v>
      </c>
      <c r="M169">
        <v>46.93</v>
      </c>
      <c r="Q169" t="s">
        <v>371</v>
      </c>
      <c r="R169" t="str">
        <f>HYPERLINK("https://d28ji4sm1vmprj.cloudfront.net/aca95810be52db1ff548e977f117d108/c977da29993408ee23a4fd26a11faef4.jpeg", "Ссылка на план")</f>
        <v>Ссылка на план</v>
      </c>
      <c r="S169" s="1">
        <v>43777.946898148148</v>
      </c>
      <c r="T169" s="1">
        <v>43788.565150462964</v>
      </c>
      <c r="U169" s="1">
        <v>43791.368252314816</v>
      </c>
      <c r="W169" s="1">
        <v>43791.368252314816</v>
      </c>
      <c r="X169" t="s">
        <v>966</v>
      </c>
      <c r="EC169" t="s">
        <v>1089</v>
      </c>
      <c r="ED169" t="str">
        <f>HYPERLINK("https://d33htgqikc2pj4.cloudfront.net/0a882f09-4759-4368-b725-6990876f8cc1.jpeg", "Stanislav Veresov: Ссылка на изображение")</f>
        <v>Stanislav Veresov: Ссылка на изображение</v>
      </c>
      <c r="EE169" t="s">
        <v>968</v>
      </c>
      <c r="EF169" t="s">
        <v>1090</v>
      </c>
      <c r="EG169" t="s">
        <v>929</v>
      </c>
      <c r="EH169" t="s">
        <v>994</v>
      </c>
      <c r="EI169" t="s">
        <v>932</v>
      </c>
      <c r="EJ169" s="3" t="s">
        <v>1049</v>
      </c>
      <c r="EK169" t="s">
        <v>1034</v>
      </c>
      <c r="EL169" t="str">
        <f>HYPERLINK("https://d33htgqikc2pj4.cloudfront.net/781e812e-bdf9-48cf-9e24-1ef3725b69ee.jpeg", "Вентиляция Renaissance: Ссылка на изображение")</f>
        <v>Вентиляция Renaissance: Ссылка на изображение</v>
      </c>
      <c r="EM169" t="s">
        <v>888</v>
      </c>
    </row>
    <row r="170" spans="1:156" ht="15" customHeight="1" x14ac:dyDescent="0.35">
      <c r="A170">
        <v>593</v>
      </c>
      <c r="B170" t="s">
        <v>1091</v>
      </c>
      <c r="C170">
        <v>2</v>
      </c>
      <c r="D170" t="str">
        <f>VLOOKUP(source[[#This Row],[Приоритет]],тПриоритеты[],2,0)</f>
        <v>Значительное</v>
      </c>
      <c r="E170" t="str">
        <f>IF(ISBLANK(source[[#This Row],[Проверенные]]),IF(ISBLANK(source[[#This Row],[Завершенные]]),source[[#This Row],[Приоритет_]],"Завершено"),"Проверено")</f>
        <v>Проверено</v>
      </c>
      <c r="F170" t="s">
        <v>866</v>
      </c>
      <c r="G170" t="s">
        <v>998</v>
      </c>
      <c r="H170" t="e">
        <f>VLOOKUP(source[[#This Row],[Отвественный]],тОтветственные[],2,0)</f>
        <v>#N/A</v>
      </c>
      <c r="K170" t="s">
        <v>1092</v>
      </c>
      <c r="L170">
        <v>43.62</v>
      </c>
      <c r="M170">
        <v>71.010000000000005</v>
      </c>
      <c r="Q170" t="s">
        <v>371</v>
      </c>
      <c r="R170" t="str">
        <f>HYPERLINK("https://d28ji4sm1vmprj.cloudfront.net/b98f5de3d5b2dfe644504608b1940478/04ab81627fb2ba9955de1b82f697e98d.jpeg", "Ссылка на план")</f>
        <v>Ссылка на план</v>
      </c>
      <c r="S170" s="1">
        <v>43810.457557870373</v>
      </c>
      <c r="T170" s="1">
        <v>43816.568854166668</v>
      </c>
      <c r="U170" s="1">
        <v>43818.568761574075</v>
      </c>
      <c r="W170" s="1">
        <v>43818.568761574075</v>
      </c>
      <c r="X170" t="s">
        <v>966</v>
      </c>
      <c r="Y170" t="s">
        <v>1001</v>
      </c>
      <c r="EC170" t="s">
        <v>1093</v>
      </c>
      <c r="ED170" t="str">
        <f>HYPERLINK("https://d33htgqikc2pj4.cloudfront.net/7b036243-a225-464b-8ac2-1d030a541767.jpeg", "Stanislav Veresov: Ссылка на изображение")</f>
        <v>Stanislav Veresov: Ссылка на изображение</v>
      </c>
      <c r="EE170" t="str">
        <f>HYPERLINK("https://d33htgqikc2pj4.cloudfront.net/85ceb094-a06a-4e93-988b-250dc71dd4cf.jpeg", "Stanislav Veresov: Ссылка на изображение")</f>
        <v>Stanislav Veresov: Ссылка на изображение</v>
      </c>
      <c r="EF170" t="s">
        <v>1094</v>
      </c>
      <c r="EG170" t="str">
        <f>HYPERLINK("https://d33htgqikc2pj4.cloudfront.net/719b7286-07c7-4685-93de-94b06f074d57.jpeg", "Stanislav Veresov: Ссылка на изображение")</f>
        <v>Stanislav Veresov: Ссылка на изображение</v>
      </c>
      <c r="EH170" t="s">
        <v>1095</v>
      </c>
      <c r="EI170" t="s">
        <v>1096</v>
      </c>
      <c r="EJ170" t="s">
        <v>875</v>
      </c>
      <c r="EK170" t="s">
        <v>984</v>
      </c>
      <c r="EL170" t="s">
        <v>1097</v>
      </c>
      <c r="EM170" t="str">
        <f>HYPERLINK("https://cdn.filestackcontent.com/ae6wy2duSWeoko4lVh5Q", "Вентиляция Renaissance: Ссылка на файл")</f>
        <v>Вентиляция Renaissance: Ссылка на файл</v>
      </c>
      <c r="EN170" t="s">
        <v>1098</v>
      </c>
      <c r="EO170" t="s">
        <v>987</v>
      </c>
      <c r="EP170" t="s">
        <v>394</v>
      </c>
    </row>
    <row r="171" spans="1:156" ht="15" customHeight="1" x14ac:dyDescent="0.35">
      <c r="A171">
        <v>592</v>
      </c>
      <c r="B171" t="s">
        <v>1099</v>
      </c>
      <c r="C171">
        <v>3</v>
      </c>
      <c r="D171" t="str">
        <f>VLOOKUP(source[[#This Row],[Приоритет]],тПриоритеты[],2,0)</f>
        <v>Малозначительное</v>
      </c>
      <c r="E171" t="str">
        <f>IF(ISBLANK(source[[#This Row],[Проверенные]]),IF(ISBLANK(source[[#This Row],[Завершенные]]),source[[#This Row],[Приоритет_]],"Завершено"),"Проверено")</f>
        <v>Проверено</v>
      </c>
      <c r="F171" t="s">
        <v>866</v>
      </c>
      <c r="G171" t="s">
        <v>998</v>
      </c>
      <c r="H171" t="e">
        <f>VLOOKUP(source[[#This Row],[Отвественный]],тОтветственные[],2,0)</f>
        <v>#N/A</v>
      </c>
      <c r="K171" t="s">
        <v>1100</v>
      </c>
      <c r="L171">
        <v>30.53</v>
      </c>
      <c r="M171">
        <v>60.71</v>
      </c>
      <c r="Q171" t="s">
        <v>371</v>
      </c>
      <c r="R171" t="str">
        <f>HYPERLINK("https://d28ji4sm1vmprj.cloudfront.net/28ebefbb3ab6f55b791a56de8a6f70fc/e3f92d02b2ab25e5284aca431fcfa700.jpeg", "Ссылка на план")</f>
        <v>Ссылка на план</v>
      </c>
      <c r="S171" s="1">
        <v>43810.457291666666</v>
      </c>
      <c r="T171" s="1">
        <v>43845.421527777777</v>
      </c>
      <c r="U171" s="1">
        <v>43850.474328703705</v>
      </c>
      <c r="W171" s="1">
        <v>43850.474328703705</v>
      </c>
      <c r="X171" t="s">
        <v>966</v>
      </c>
      <c r="Y171" t="s">
        <v>1001</v>
      </c>
      <c r="EC171" t="s">
        <v>1101</v>
      </c>
      <c r="ED171" t="s">
        <v>875</v>
      </c>
      <c r="EE171" t="s">
        <v>1102</v>
      </c>
      <c r="EF171" t="s">
        <v>1103</v>
      </c>
      <c r="EG171" t="s">
        <v>1090</v>
      </c>
      <c r="EH171" t="s">
        <v>1104</v>
      </c>
      <c r="EI171" t="s">
        <v>1105</v>
      </c>
      <c r="EJ171" t="str">
        <f>HYPERLINK("https://d33htgqikc2pj4.cloudfront.net/3802f17e-b050-40d7-a001-55c99ba5c477.jpeg", "Вентиляция Renaissance: Ссылка на изображение")</f>
        <v>Вентиляция Renaissance: Ссылка на изображение</v>
      </c>
      <c r="EK171" t="s">
        <v>1072</v>
      </c>
      <c r="EL171" t="s">
        <v>987</v>
      </c>
      <c r="EM171" t="s">
        <v>989</v>
      </c>
      <c r="EN171" t="str">
        <f>HYPERLINK("https://cdn.filestackcontent.com/ZYx414ZBQQavSXh6gNNg", "Вентиляция Renaissance: Ссылка на файл")</f>
        <v>Вентиляция Renaissance: Ссылка на файл</v>
      </c>
      <c r="EO171" t="s">
        <v>1106</v>
      </c>
      <c r="EP171" t="s">
        <v>1034</v>
      </c>
      <c r="EQ171" t="s">
        <v>888</v>
      </c>
    </row>
    <row r="172" spans="1:156" ht="15" customHeight="1" x14ac:dyDescent="0.35">
      <c r="A172">
        <v>177</v>
      </c>
      <c r="B172" t="s">
        <v>1107</v>
      </c>
      <c r="C172">
        <v>2</v>
      </c>
      <c r="D172" t="str">
        <f>VLOOKUP(source[[#This Row],[Приоритет]],тПриоритеты[],2,0)</f>
        <v>Значительное</v>
      </c>
      <c r="E172" t="str">
        <f>IF(ISBLANK(source[[#This Row],[Проверенные]]),IF(ISBLANK(source[[#This Row],[Завершенные]]),source[[#This Row],[Приоритет_]],"Завершено"),"Проверено")</f>
        <v>Проверено</v>
      </c>
      <c r="F172" t="s">
        <v>866</v>
      </c>
      <c r="G172" t="s">
        <v>998</v>
      </c>
      <c r="H172" t="e">
        <f>VLOOKUP(source[[#This Row],[Отвественный]],тОтветственные[],2,0)</f>
        <v>#N/A</v>
      </c>
      <c r="I172" s="2">
        <v>43776</v>
      </c>
      <c r="J172" s="2">
        <v>43784</v>
      </c>
      <c r="K172" t="s">
        <v>1108</v>
      </c>
      <c r="L172">
        <v>17.88</v>
      </c>
      <c r="M172">
        <v>70.88</v>
      </c>
      <c r="Q172" t="s">
        <v>371</v>
      </c>
      <c r="R172" t="str">
        <f>HYPERLINK("https://d28ji4sm1vmprj.cloudfront.net/3ed1eda7d5568d1d5a55938ad35722e9/d27affe4b5cb626fefb25c6c9f6a321b.jpeg", "Ссылка на план")</f>
        <v>Ссылка на план</v>
      </c>
      <c r="S172" s="1">
        <v>43776.437615740739</v>
      </c>
      <c r="T172" s="1">
        <v>43788.565011574072</v>
      </c>
      <c r="U172" s="1">
        <v>43791.369050925925</v>
      </c>
      <c r="W172" s="1">
        <v>43791.369062500002</v>
      </c>
      <c r="X172" t="s">
        <v>966</v>
      </c>
      <c r="EC172" t="s">
        <v>1109</v>
      </c>
      <c r="ED172" t="str">
        <f>HYPERLINK("https://d33htgqikc2pj4.cloudfront.net/1206d05d-4632-47e4-9f15-94b4d1d08323.jpeg", "Stanislav Veresov: Ссылка на изображение")</f>
        <v>Stanislav Veresov: Ссылка на изображение</v>
      </c>
      <c r="EE172" t="s">
        <v>968</v>
      </c>
      <c r="EF172" t="s">
        <v>1090</v>
      </c>
      <c r="EG172" t="s">
        <v>929</v>
      </c>
      <c r="EH172" t="s">
        <v>994</v>
      </c>
      <c r="EI172" t="s">
        <v>932</v>
      </c>
      <c r="EJ172" s="3" t="s">
        <v>1049</v>
      </c>
      <c r="EK172" t="s">
        <v>1034</v>
      </c>
      <c r="EL172" t="str">
        <f>HYPERLINK("https://d33htgqikc2pj4.cloudfront.net/e6aadaf3-78be-427b-9c33-14026d96e3ae.jpeg", "Вентиляция Renaissance: Ссылка на изображение")</f>
        <v>Вентиляция Renaissance: Ссылка на изображение</v>
      </c>
      <c r="EM172" t="s">
        <v>888</v>
      </c>
    </row>
    <row r="173" spans="1:156" ht="15" customHeight="1" x14ac:dyDescent="0.35">
      <c r="A173">
        <v>273</v>
      </c>
      <c r="B173" t="s">
        <v>1110</v>
      </c>
      <c r="C173">
        <v>2</v>
      </c>
      <c r="D173" t="str">
        <f>VLOOKUP(source[[#This Row],[Приоритет]],тПриоритеты[],2,0)</f>
        <v>Значительное</v>
      </c>
      <c r="E173" t="str">
        <f>IF(ISBLANK(source[[#This Row],[Проверенные]]),IF(ISBLANK(source[[#This Row],[Завершенные]]),source[[#This Row],[Приоритет_]],"Завершено"),"Проверено")</f>
        <v>Проверено</v>
      </c>
      <c r="F173" t="s">
        <v>866</v>
      </c>
      <c r="G173" t="s">
        <v>998</v>
      </c>
      <c r="H173" t="e">
        <f>VLOOKUP(source[[#This Row],[Отвественный]],тОтветственные[],2,0)</f>
        <v>#N/A</v>
      </c>
      <c r="I173" s="2">
        <v>43794</v>
      </c>
      <c r="J173" s="2">
        <v>43798</v>
      </c>
      <c r="K173" t="s">
        <v>1111</v>
      </c>
      <c r="L173">
        <v>63.26</v>
      </c>
      <c r="M173">
        <v>59.14</v>
      </c>
      <c r="Q173" t="s">
        <v>1112</v>
      </c>
      <c r="R173" t="str">
        <f>HYPERLINK("https://d28ji4sm1vmprj.cloudfront.net/5acfd8af0ef9c32f698ae41a22b459e8/b61e10aef992eb0b3658deae95bc85d3.jpeg", "Ссылка на план")</f>
        <v>Ссылка на план</v>
      </c>
      <c r="S173" s="1">
        <v>43783.648692129631</v>
      </c>
      <c r="T173" s="1">
        <v>43804.779756944445</v>
      </c>
      <c r="U173" s="1">
        <v>43804.779756944445</v>
      </c>
      <c r="W173" s="1">
        <v>43804.779756944445</v>
      </c>
      <c r="X173" t="s">
        <v>966</v>
      </c>
      <c r="EC173" t="str">
        <f>HYPERLINK("https://d33htgqikc2pj4.cloudfront.net/f8b75be4-6b4e-4546-baed-f530b0850c77.jpeg", "Кирилл Васенков: Ссылка на изображение")</f>
        <v>Кирилл Васенков: Ссылка на изображение</v>
      </c>
      <c r="ED173" t="s">
        <v>1004</v>
      </c>
      <c r="EE173" t="s">
        <v>1025</v>
      </c>
      <c r="EF173" t="s">
        <v>1026</v>
      </c>
      <c r="EG173" t="s">
        <v>1024</v>
      </c>
      <c r="EH173" t="s">
        <v>1113</v>
      </c>
      <c r="EI173" t="s">
        <v>1027</v>
      </c>
      <c r="EJ173" t="str">
        <f>HYPERLINK("https://d33htgqikc2pj4.cloudfront.net/8adedeb8-1290-44cb-955c-6d0ea205581f.jpeg", "Вентиляция Renaissance: Ссылка на изображение")</f>
        <v>Вентиляция Renaissance: Ссылка на изображение</v>
      </c>
      <c r="EK173" t="s">
        <v>394</v>
      </c>
    </row>
    <row r="174" spans="1:156" ht="15" customHeight="1" x14ac:dyDescent="0.35">
      <c r="A174">
        <v>875</v>
      </c>
      <c r="B174" t="s">
        <v>1114</v>
      </c>
      <c r="C174">
        <v>2</v>
      </c>
      <c r="D174" t="str">
        <f>VLOOKUP(source[[#This Row],[Приоритет]],тПриоритеты[],2,0)</f>
        <v>Значительное</v>
      </c>
      <c r="E174" t="str">
        <f>IF(ISBLANK(source[[#This Row],[Проверенные]]),IF(ISBLANK(source[[#This Row],[Завершенные]]),source[[#This Row],[Приоритет_]],"Завершено"),"Проверено")</f>
        <v>Проверено</v>
      </c>
      <c r="F174" t="s">
        <v>866</v>
      </c>
      <c r="G174" t="s">
        <v>998</v>
      </c>
      <c r="H174" t="e">
        <f>VLOOKUP(source[[#This Row],[Отвественный]],тОтветственные[],2,0)</f>
        <v>#N/A</v>
      </c>
      <c r="I174" s="2">
        <v>43839</v>
      </c>
      <c r="J174" s="2">
        <v>43858</v>
      </c>
      <c r="K174" t="s">
        <v>1115</v>
      </c>
      <c r="L174">
        <v>16.63</v>
      </c>
      <c r="M174">
        <v>65.650000000000006</v>
      </c>
      <c r="Q174" t="s">
        <v>1000</v>
      </c>
      <c r="R174" t="str">
        <f>HYPERLINK("https://d28ji4sm1vmprj.cloudfront.net/bef2cd318a2893ab2a467f96d3559e2c/9fa7f664de4a99dfee1b3084f7309068.jpeg", "Ссылка на план")</f>
        <v>Ссылка на план</v>
      </c>
      <c r="S174" s="1">
        <v>43840.414675925924</v>
      </c>
      <c r="T174" s="1">
        <v>43867.558912037035</v>
      </c>
      <c r="U174" s="1">
        <v>43867.558912037035</v>
      </c>
      <c r="W174" s="1">
        <v>43867.558912037035</v>
      </c>
      <c r="EC174" t="str">
        <f>HYPERLINK("https://d33htgqikc2pj4.cloudfront.net/73a2ba8f-6cdd-422e-93eb-9241f414956a.jpeg", "Кирилл Васенков: Ссылка на изображение")</f>
        <v>Кирилл Васенков: Ссылка на изображение</v>
      </c>
      <c r="ED174" t="str">
        <f>HYPERLINK("https://d33htgqikc2pj4.cloudfront.net/479baa60-7292-42e6-a264-7a1ff5969310.jpeg", "Кирилл Васенков: Ссылка на изображение")</f>
        <v>Кирилл Васенков: Ссылка на изображение</v>
      </c>
      <c r="EE174" t="str">
        <f>HYPERLINK("https://d33htgqikc2pj4.cloudfront.net/c795b4c4-83b4-4a55-9415-330d01f34515.jpeg", "Кирилл Васенков: Ссылка на изображение")</f>
        <v>Кирилл Васенков: Ссылка на изображение</v>
      </c>
      <c r="EF174" t="s">
        <v>1116</v>
      </c>
      <c r="EG174" t="s">
        <v>1117</v>
      </c>
      <c r="EH174" t="s">
        <v>1118</v>
      </c>
      <c r="EI174" t="s">
        <v>995</v>
      </c>
      <c r="EJ174" t="s">
        <v>1119</v>
      </c>
      <c r="EK174" t="s">
        <v>1120</v>
      </c>
      <c r="EL174" t="s">
        <v>424</v>
      </c>
      <c r="EM174" t="s">
        <v>1121</v>
      </c>
      <c r="EN174" t="s">
        <v>1004</v>
      </c>
      <c r="EO174" t="s">
        <v>1008</v>
      </c>
      <c r="EP174" t="str">
        <f>HYPERLINK("https://d33htgqikc2pj4.cloudfront.net/e56b3306-2aab-4408-822b-44c603265af4.jpeg", "Вентиляция Renaissance: Ссылка на изображение")</f>
        <v>Вентиляция Renaissance: Ссылка на изображение</v>
      </c>
      <c r="EQ174" t="str">
        <f>HYPERLINK("https://d33htgqikc2pj4.cloudfront.net/e44092cb-4326-4f16-8c65-7173c0959bb2.jpeg", "Вентиляция Renaissance: Ссылка на изображение")</f>
        <v>Вентиляция Renaissance: Ссылка на изображение</v>
      </c>
      <c r="ER174" t="s">
        <v>1122</v>
      </c>
      <c r="ES174" t="s">
        <v>987</v>
      </c>
      <c r="ET174" t="s">
        <v>1123</v>
      </c>
      <c r="EU174" t="s">
        <v>995</v>
      </c>
      <c r="EV174" t="s">
        <v>987</v>
      </c>
      <c r="EW174" t="s">
        <v>1124</v>
      </c>
      <c r="EX174" t="s">
        <v>1125</v>
      </c>
      <c r="EY174" t="s">
        <v>1126</v>
      </c>
      <c r="EZ174" t="s">
        <v>394</v>
      </c>
    </row>
    <row r="175" spans="1:156" ht="15" customHeight="1" x14ac:dyDescent="0.35">
      <c r="A175">
        <v>872</v>
      </c>
      <c r="B175" t="s">
        <v>1127</v>
      </c>
      <c r="C175">
        <v>2</v>
      </c>
      <c r="D175" t="str">
        <f>VLOOKUP(source[[#This Row],[Приоритет]],тПриоритеты[],2,0)</f>
        <v>Значительное</v>
      </c>
      <c r="E175" t="str">
        <f>IF(ISBLANK(source[[#This Row],[Проверенные]]),IF(ISBLANK(source[[#This Row],[Завершенные]]),source[[#This Row],[Приоритет_]],"Завершено"),"Проверено")</f>
        <v>Проверено</v>
      </c>
      <c r="F175" t="s">
        <v>866</v>
      </c>
      <c r="G175" t="s">
        <v>277</v>
      </c>
      <c r="H175" t="e">
        <f>VLOOKUP(source[[#This Row],[Отвественный]],тОтветственные[],2,0)</f>
        <v>#N/A</v>
      </c>
      <c r="I175" s="2">
        <v>43850</v>
      </c>
      <c r="J175" s="2">
        <v>43850</v>
      </c>
      <c r="K175" t="s">
        <v>1128</v>
      </c>
      <c r="L175">
        <v>22.96</v>
      </c>
      <c r="M175">
        <v>21.19</v>
      </c>
      <c r="Q175" t="s">
        <v>1129</v>
      </c>
      <c r="R175" t="str">
        <f>HYPERLINK("https://d28ji4sm1vmprj.cloudfront.net/75b0eb01463a997b7c168bb6556eee68/96c7a833fde1b6a46ebd0db63801d901.jpeg", "Ссылка на план")</f>
        <v>Ссылка на план</v>
      </c>
      <c r="S175" s="1">
        <v>43839.765185185184</v>
      </c>
      <c r="T175" s="1">
        <v>43839.768125000002</v>
      </c>
      <c r="U175" s="1">
        <v>43839.768125000002</v>
      </c>
      <c r="W175" s="1">
        <v>43852.653749999998</v>
      </c>
      <c r="AH175" t="s">
        <v>1130</v>
      </c>
      <c r="EC175" t="s">
        <v>1131</v>
      </c>
      <c r="ED175" t="s">
        <v>1132</v>
      </c>
      <c r="EE175" t="s">
        <v>394</v>
      </c>
      <c r="EF175" t="s">
        <v>1133</v>
      </c>
    </row>
    <row r="176" spans="1:156" ht="15" customHeight="1" x14ac:dyDescent="0.35">
      <c r="A176">
        <v>709</v>
      </c>
      <c r="B176" t="s">
        <v>1134</v>
      </c>
      <c r="C176">
        <v>2</v>
      </c>
      <c r="D176" t="str">
        <f>VLOOKUP(source[[#This Row],[Приоритет]],тПриоритеты[],2,0)</f>
        <v>Значительное</v>
      </c>
      <c r="E176" t="str">
        <f>IF(ISBLANK(source[[#This Row],[Проверенные]]),IF(ISBLANK(source[[#This Row],[Завершенные]]),source[[#This Row],[Приоритет_]],"Завершено"),"Проверено")</f>
        <v>Проверено</v>
      </c>
      <c r="F176" t="s">
        <v>866</v>
      </c>
      <c r="G176" t="s">
        <v>277</v>
      </c>
      <c r="H176" t="e">
        <f>VLOOKUP(source[[#This Row],[Отвественный]],тОтветственные[],2,0)</f>
        <v>#N/A</v>
      </c>
      <c r="K176" t="s">
        <v>278</v>
      </c>
      <c r="L176">
        <v>51.28</v>
      </c>
      <c r="M176">
        <v>26.61</v>
      </c>
      <c r="Q176" t="s">
        <v>279</v>
      </c>
      <c r="R176" t="str">
        <f>HYPERLINK("https://d28ji4sm1vmprj.cloudfront.net/6af7544790f117ff0a35caff14b15d5b/fb817d9a3718253be056f0fa144a7721.jpeg", "Ссылка на план")</f>
        <v>Ссылка на план</v>
      </c>
      <c r="S176" s="1">
        <v>43822.628206018519</v>
      </c>
      <c r="T176" s="1">
        <v>43825.60765046296</v>
      </c>
      <c r="U176" s="1">
        <v>43850.473761574074</v>
      </c>
      <c r="W176" s="1">
        <v>43850.47378472222</v>
      </c>
      <c r="EC176" t="s">
        <v>1135</v>
      </c>
      <c r="ED176" t="s">
        <v>1136</v>
      </c>
      <c r="EE176" t="s">
        <v>794</v>
      </c>
    </row>
    <row r="177" spans="1:156" ht="15" customHeight="1" x14ac:dyDescent="0.35">
      <c r="A177">
        <v>288</v>
      </c>
      <c r="B177" t="s">
        <v>1137</v>
      </c>
      <c r="C177">
        <v>1</v>
      </c>
      <c r="D177" t="str">
        <f>VLOOKUP(source[[#This Row],[Приоритет]],тПриоритеты[],2,0)</f>
        <v>КРИТИЧЕСКОЕ</v>
      </c>
      <c r="E177" t="str">
        <f>IF(ISBLANK(source[[#This Row],[Проверенные]]),IF(ISBLANK(source[[#This Row],[Завершенные]]),source[[#This Row],[Приоритет_]],"Завершено"),"Проверено")</f>
        <v>КРИТИЧЕСКОЕ</v>
      </c>
      <c r="F177" t="s">
        <v>866</v>
      </c>
      <c r="G177" t="s">
        <v>420</v>
      </c>
      <c r="H177" t="e">
        <f>VLOOKUP(source[[#This Row],[Отвественный]],тОтветственные[],2,0)</f>
        <v>#N/A</v>
      </c>
      <c r="I177" s="2">
        <v>43784</v>
      </c>
      <c r="J177" s="2">
        <v>43829</v>
      </c>
      <c r="K177" t="s">
        <v>1138</v>
      </c>
      <c r="L177">
        <v>32.46</v>
      </c>
      <c r="M177">
        <v>61.37</v>
      </c>
      <c r="Q177" t="s">
        <v>1139</v>
      </c>
      <c r="R177" t="str">
        <f>HYPERLINK("https://d28ji4sm1vmprj.cloudfront.net/528e04103b411e1177ffc9599dea26fd/6cee4de868e78899927c0ddeef287e29.jpeg", "Ссылка на план")</f>
        <v>Ссылка на план</v>
      </c>
      <c r="S177" s="1">
        <v>43784.614768518521</v>
      </c>
      <c r="W177" s="1">
        <v>43865.73940972222</v>
      </c>
      <c r="X177" t="s">
        <v>1140</v>
      </c>
      <c r="EC177" t="str">
        <f>HYPERLINK("https://d33htgqikc2pj4.cloudfront.net/4310966e-2b97-46e7-b2c4-6c231ca05954.jpeg", "Кирилл Васенков: Ссылка на изображение")</f>
        <v>Кирилл Васенков: Ссылка на изображение</v>
      </c>
      <c r="ED177" t="str">
        <f>HYPERLINK("https://d33htgqikc2pj4.cloudfront.net/e0669f8d-fadd-446a-8ec5-1f884a826e89.jpeg", "Кирилл Васенков: Ссылка на изображение")</f>
        <v>Кирилл Васенков: Ссылка на изображение</v>
      </c>
      <c r="EE177" t="s">
        <v>1141</v>
      </c>
      <c r="EF177" t="s">
        <v>1142</v>
      </c>
      <c r="EG177" t="s">
        <v>1004</v>
      </c>
      <c r="EH177" t="s">
        <v>1143</v>
      </c>
      <c r="EI177" t="s">
        <v>1144</v>
      </c>
      <c r="EJ177" t="s">
        <v>1145</v>
      </c>
      <c r="EK177" t="s">
        <v>933</v>
      </c>
      <c r="EL177" t="s">
        <v>915</v>
      </c>
      <c r="EM177" t="s">
        <v>1146</v>
      </c>
      <c r="EN177" t="s">
        <v>1147</v>
      </c>
      <c r="EO177" t="s">
        <v>1148</v>
      </c>
      <c r="EP177" t="s">
        <v>1149</v>
      </c>
    </row>
    <row r="178" spans="1:156" ht="15" customHeight="1" x14ac:dyDescent="0.35">
      <c r="A178">
        <v>1083</v>
      </c>
      <c r="B178" t="s">
        <v>1150</v>
      </c>
      <c r="C178">
        <v>2</v>
      </c>
      <c r="D178" t="str">
        <f>VLOOKUP(source[[#This Row],[Приоритет]],тПриоритеты[],2,0)</f>
        <v>Значительное</v>
      </c>
      <c r="E178" t="str">
        <f>IF(ISBLANK(source[[#This Row],[Проверенные]]),IF(ISBLANK(source[[#This Row],[Завершенные]]),source[[#This Row],[Приоритет_]],"Завершено"),"Проверено")</f>
        <v>Значительное</v>
      </c>
      <c r="F178" t="s">
        <v>866</v>
      </c>
      <c r="G178" t="s">
        <v>420</v>
      </c>
      <c r="H178" t="e">
        <f>VLOOKUP(source[[#This Row],[Отвественный]],тОтветственные[],2,0)</f>
        <v>#N/A</v>
      </c>
      <c r="I178" s="2">
        <v>43859</v>
      </c>
      <c r="J178" s="2">
        <v>43868</v>
      </c>
      <c r="K178" t="s">
        <v>1151</v>
      </c>
      <c r="L178">
        <v>38.479999999999997</v>
      </c>
      <c r="M178">
        <v>51.55</v>
      </c>
      <c r="Q178" t="s">
        <v>1112</v>
      </c>
      <c r="R178" t="str">
        <f>HYPERLINK("https://d28ji4sm1vmprj.cloudfront.net/e97f0007dc5252a09db37b262aa25bcd/70f7bb23b3236b9cd5ee9fc550c6be9d.jpeg", "Ссылка на план")</f>
        <v>Ссылка на план</v>
      </c>
      <c r="S178" s="1">
        <v>43859.45045138889</v>
      </c>
      <c r="W178" s="1">
        <v>43860.357893518521</v>
      </c>
      <c r="X178" t="s">
        <v>1152</v>
      </c>
      <c r="Y178" t="s">
        <v>1153</v>
      </c>
      <c r="EC178" t="str">
        <f>HYPERLINK("https://d33htgqikc2pj4.cloudfront.net/484b4592-803c-4556-92b1-80e1d902ab25.jpeg", "Кирилл Васенков: Ссылка на изображение")</f>
        <v>Кирилл Васенков: Ссылка на изображение</v>
      </c>
      <c r="ED178" t="s">
        <v>1154</v>
      </c>
      <c r="EE178" t="s">
        <v>1155</v>
      </c>
      <c r="EF178" t="s">
        <v>1156</v>
      </c>
      <c r="EG178" t="s">
        <v>1004</v>
      </c>
      <c r="EH178" t="s">
        <v>930</v>
      </c>
      <c r="EI178" t="s">
        <v>1078</v>
      </c>
      <c r="EJ178" t="s">
        <v>1079</v>
      </c>
      <c r="EK178" t="s">
        <v>425</v>
      </c>
    </row>
    <row r="179" spans="1:156" ht="15" customHeight="1" x14ac:dyDescent="0.35">
      <c r="A179">
        <v>1087</v>
      </c>
      <c r="B179" t="s">
        <v>1150</v>
      </c>
      <c r="C179">
        <v>2</v>
      </c>
      <c r="D179" t="str">
        <f>VLOOKUP(source[[#This Row],[Приоритет]],тПриоритеты[],2,0)</f>
        <v>Значительное</v>
      </c>
      <c r="E179" t="str">
        <f>IF(ISBLANK(source[[#This Row],[Проверенные]]),IF(ISBLANK(source[[#This Row],[Завершенные]]),source[[#This Row],[Приоритет_]],"Завершено"),"Проверено")</f>
        <v>Значительное</v>
      </c>
      <c r="F179" t="s">
        <v>866</v>
      </c>
      <c r="G179" t="s">
        <v>420</v>
      </c>
      <c r="H179" t="e">
        <f>VLOOKUP(source[[#This Row],[Отвественный]],тОтветственные[],2,0)</f>
        <v>#N/A</v>
      </c>
      <c r="I179" s="2">
        <v>43859</v>
      </c>
      <c r="J179" s="2">
        <v>43868</v>
      </c>
      <c r="K179" t="s">
        <v>1157</v>
      </c>
      <c r="L179">
        <v>21.89</v>
      </c>
      <c r="M179">
        <v>38.450000000000003</v>
      </c>
      <c r="Q179" t="s">
        <v>1112</v>
      </c>
      <c r="R179" t="str">
        <f>HYPERLINK("https://d28ji4sm1vmprj.cloudfront.net/998bf6ad6b49c6eb488772dfc215a93d/249c7c640f3e6a6d5ac59420763ffa33.jpeg", "Ссылка на план")</f>
        <v>Ссылка на план</v>
      </c>
      <c r="S179" s="1">
        <v>43859.487766203703</v>
      </c>
      <c r="W179" s="1">
        <v>43860.358159722222</v>
      </c>
      <c r="X179" t="s">
        <v>1152</v>
      </c>
      <c r="Y179" t="s">
        <v>1153</v>
      </c>
      <c r="EC179" t="s">
        <v>1158</v>
      </c>
      <c r="ED179" t="str">
        <f>HYPERLINK("https://d33htgqikc2pj4.cloudfront.net/ba48ebf9-96b0-4b49-b967-9bcc7a59699e.jpeg", "Кирилл Васенков: Ссылка на изображение")</f>
        <v>Кирилл Васенков: Ссылка на изображение</v>
      </c>
      <c r="EE179" t="s">
        <v>1159</v>
      </c>
      <c r="EF179" t="s">
        <v>1156</v>
      </c>
      <c r="EG179" t="s">
        <v>1004</v>
      </c>
      <c r="EH179" t="s">
        <v>930</v>
      </c>
      <c r="EI179" t="s">
        <v>1078</v>
      </c>
      <c r="EJ179" t="s">
        <v>1079</v>
      </c>
      <c r="EK179" t="s">
        <v>1160</v>
      </c>
      <c r="EL179" t="s">
        <v>425</v>
      </c>
    </row>
    <row r="180" spans="1:156" ht="15" customHeight="1" x14ac:dyDescent="0.35">
      <c r="A180">
        <v>78</v>
      </c>
      <c r="B180" t="s">
        <v>1161</v>
      </c>
      <c r="C180">
        <v>2</v>
      </c>
      <c r="D180" t="str">
        <f>VLOOKUP(source[[#This Row],[Приоритет]],тПриоритеты[],2,0)</f>
        <v>Значительное</v>
      </c>
      <c r="E180" t="str">
        <f>IF(ISBLANK(source[[#This Row],[Проверенные]]),IF(ISBLANK(source[[#This Row],[Завершенные]]),source[[#This Row],[Приоритет_]],"Завершено"),"Проверено")</f>
        <v>Значительное</v>
      </c>
      <c r="F180" t="s">
        <v>866</v>
      </c>
      <c r="G180" t="s">
        <v>420</v>
      </c>
      <c r="H180" t="e">
        <f>VLOOKUP(source[[#This Row],[Отвественный]],тОтветственные[],2,0)</f>
        <v>#N/A</v>
      </c>
      <c r="I180" s="2">
        <v>43770</v>
      </c>
      <c r="J180" s="2">
        <v>43815</v>
      </c>
      <c r="S180" s="1">
        <v>43770.459560185183</v>
      </c>
      <c r="W180" s="1">
        <v>43808.787488425929</v>
      </c>
      <c r="EC180" t="s">
        <v>1162</v>
      </c>
      <c r="ED180" t="s">
        <v>1163</v>
      </c>
      <c r="EE180" t="s">
        <v>1164</v>
      </c>
      <c r="EF180" t="s">
        <v>425</v>
      </c>
      <c r="EG180" t="s">
        <v>1165</v>
      </c>
      <c r="EH180" t="s">
        <v>933</v>
      </c>
      <c r="EI180" t="s">
        <v>1147</v>
      </c>
      <c r="EJ180" t="s">
        <v>1166</v>
      </c>
      <c r="EK180" t="s">
        <v>1125</v>
      </c>
      <c r="EL180" t="s">
        <v>1167</v>
      </c>
      <c r="EM180" t="s">
        <v>1057</v>
      </c>
    </row>
    <row r="181" spans="1:156" ht="15" customHeight="1" x14ac:dyDescent="0.35">
      <c r="A181">
        <v>165</v>
      </c>
      <c r="B181" t="s">
        <v>1168</v>
      </c>
      <c r="C181">
        <v>2</v>
      </c>
      <c r="D181" t="str">
        <f>VLOOKUP(source[[#This Row],[Приоритет]],тПриоритеты[],2,0)</f>
        <v>Значительное</v>
      </c>
      <c r="E181" t="str">
        <f>IF(ISBLANK(source[[#This Row],[Проверенные]]),IF(ISBLANK(source[[#This Row],[Завершенные]]),source[[#This Row],[Приоритет_]],"Завершено"),"Проверено")</f>
        <v>Значительное</v>
      </c>
      <c r="F181" t="s">
        <v>866</v>
      </c>
      <c r="G181" t="s">
        <v>420</v>
      </c>
      <c r="H181" t="e">
        <f>VLOOKUP(source[[#This Row],[Отвественный]],тОтветственные[],2,0)</f>
        <v>#N/A</v>
      </c>
      <c r="I181" s="2">
        <v>43775</v>
      </c>
      <c r="J181" s="2">
        <v>43829</v>
      </c>
      <c r="K181" t="s">
        <v>1138</v>
      </c>
      <c r="L181">
        <v>55.85</v>
      </c>
      <c r="M181">
        <v>28.93</v>
      </c>
      <c r="Q181" t="s">
        <v>1139</v>
      </c>
      <c r="R181" t="str">
        <f>HYPERLINK("https://d28ji4sm1vmprj.cloudfront.net/528e04103b411e1177ffc9599dea26fd/6cee4de868e78899927c0ddeef287e29.jpeg", "Ссылка на план")</f>
        <v>Ссылка на план</v>
      </c>
      <c r="S181" s="1">
        <v>43775.603842592594</v>
      </c>
      <c r="W181" s="1">
        <v>43812.674826388888</v>
      </c>
      <c r="X181" t="s">
        <v>1140</v>
      </c>
      <c r="EC181" t="str">
        <f>HYPERLINK("https://d33htgqikc2pj4.cloudfront.net/abae7146-40b6-46bf-a169-307c70b92a87.jpeg", "Кирилл Васенков: Ссылка на изображение")</f>
        <v>Кирилл Васенков: Ссылка на изображение</v>
      </c>
      <c r="ED181" t="str">
        <f>HYPERLINK("https://d33htgqikc2pj4.cloudfront.net/21e5a79d-55aa-4ceb-ab78-90da8e055619.jpeg", "Кирилл Васенков: Ссылка на изображение")</f>
        <v>Кирилл Васенков: Ссылка на изображение</v>
      </c>
      <c r="EE181" t="s">
        <v>1169</v>
      </c>
      <c r="EF181" t="s">
        <v>1170</v>
      </c>
      <c r="EG181" t="s">
        <v>929</v>
      </c>
      <c r="EH181" t="s">
        <v>930</v>
      </c>
      <c r="EI181" t="s">
        <v>1171</v>
      </c>
      <c r="EJ181" t="s">
        <v>932</v>
      </c>
      <c r="EK181" t="s">
        <v>425</v>
      </c>
      <c r="EL181" t="s">
        <v>933</v>
      </c>
      <c r="EM181" t="s">
        <v>915</v>
      </c>
    </row>
    <row r="182" spans="1:156" ht="15" customHeight="1" x14ac:dyDescent="0.35">
      <c r="A182">
        <v>169</v>
      </c>
      <c r="B182" t="s">
        <v>1172</v>
      </c>
      <c r="C182">
        <v>2</v>
      </c>
      <c r="D182" t="str">
        <f>VLOOKUP(source[[#This Row],[Приоритет]],тПриоритеты[],2,0)</f>
        <v>Значительное</v>
      </c>
      <c r="E182" t="str">
        <f>IF(ISBLANK(source[[#This Row],[Проверенные]]),IF(ISBLANK(source[[#This Row],[Завершенные]]),source[[#This Row],[Приоритет_]],"Завершено"),"Проверено")</f>
        <v>Значительное</v>
      </c>
      <c r="F182" t="s">
        <v>866</v>
      </c>
      <c r="G182" t="s">
        <v>420</v>
      </c>
      <c r="H182" t="e">
        <f>VLOOKUP(source[[#This Row],[Отвественный]],тОтветственные[],2,0)</f>
        <v>#N/A</v>
      </c>
      <c r="I182" s="2">
        <v>43775</v>
      </c>
      <c r="J182" s="2">
        <v>43829</v>
      </c>
      <c r="K182" t="s">
        <v>1138</v>
      </c>
      <c r="L182">
        <v>57.74</v>
      </c>
      <c r="M182">
        <v>74.17</v>
      </c>
      <c r="Q182" t="s">
        <v>1139</v>
      </c>
      <c r="R182" t="str">
        <f>HYPERLINK("https://d28ji4sm1vmprj.cloudfront.net/528e04103b411e1177ffc9599dea26fd/6cee4de868e78899927c0ddeef287e29.jpeg", "Ссылка на план")</f>
        <v>Ссылка на план</v>
      </c>
      <c r="S182" s="1">
        <v>43775.651099537034</v>
      </c>
      <c r="W182" s="1">
        <v>43812.674826388888</v>
      </c>
      <c r="X182" t="s">
        <v>1140</v>
      </c>
      <c r="EC182" t="str">
        <f>HYPERLINK("https://d33htgqikc2pj4.cloudfront.net/9160abb0-53e5-4fb2-a2da-fda17601ebf1.jpeg", "Кирилл Васенков: Ссылка на изображение")</f>
        <v>Кирилл Васенков: Ссылка на изображение</v>
      </c>
      <c r="ED182" t="s">
        <v>1173</v>
      </c>
      <c r="EE182" t="s">
        <v>929</v>
      </c>
      <c r="EF182" t="s">
        <v>930</v>
      </c>
      <c r="EG182" t="s">
        <v>1171</v>
      </c>
      <c r="EH182" t="s">
        <v>932</v>
      </c>
      <c r="EI182" t="s">
        <v>425</v>
      </c>
      <c r="EJ182" t="s">
        <v>933</v>
      </c>
      <c r="EK182" t="s">
        <v>915</v>
      </c>
    </row>
    <row r="183" spans="1:156" ht="15" customHeight="1" x14ac:dyDescent="0.35">
      <c r="A183">
        <v>164</v>
      </c>
      <c r="B183" t="s">
        <v>1174</v>
      </c>
      <c r="C183">
        <v>2</v>
      </c>
      <c r="D183" t="str">
        <f>VLOOKUP(source[[#This Row],[Приоритет]],тПриоритеты[],2,0)</f>
        <v>Значительное</v>
      </c>
      <c r="E183" t="str">
        <f>IF(ISBLANK(source[[#This Row],[Проверенные]]),IF(ISBLANK(source[[#This Row],[Завершенные]]),source[[#This Row],[Приоритет_]],"Завершено"),"Проверено")</f>
        <v>Значительное</v>
      </c>
      <c r="F183" t="s">
        <v>866</v>
      </c>
      <c r="G183" t="s">
        <v>420</v>
      </c>
      <c r="H183" t="e">
        <f>VLOOKUP(source[[#This Row],[Отвественный]],тОтветственные[],2,0)</f>
        <v>#N/A</v>
      </c>
      <c r="I183" s="2">
        <v>43774</v>
      </c>
      <c r="J183" s="2">
        <v>43890</v>
      </c>
      <c r="K183" t="s">
        <v>1138</v>
      </c>
      <c r="L183">
        <v>21.61</v>
      </c>
      <c r="M183">
        <v>24.29</v>
      </c>
      <c r="N183" t="s">
        <v>1175</v>
      </c>
      <c r="Q183" t="s">
        <v>1139</v>
      </c>
      <c r="R183" t="str">
        <f>HYPERLINK("https://d28ji4sm1vmprj.cloudfront.net/528e04103b411e1177ffc9599dea26fd/6cee4de868e78899927c0ddeef287e29.jpeg", "Ссылка на план")</f>
        <v>Ссылка на план</v>
      </c>
      <c r="S183" s="1">
        <v>43775.603564814817</v>
      </c>
      <c r="W183" s="1">
        <v>43851.423842592594</v>
      </c>
      <c r="X183" t="s">
        <v>1140</v>
      </c>
      <c r="EC183" t="s">
        <v>1176</v>
      </c>
      <c r="ED183" t="str">
        <f>HYPERLINK("https://d33htgqikc2pj4.cloudfront.net/40e0b82e-3f10-4bc1-9b00-314e7b980a59.jpeg", "Кирилл Васенков: Ссылка на изображение")</f>
        <v>Кирилл Васенков: Ссылка на изображение</v>
      </c>
      <c r="EE183" t="s">
        <v>1177</v>
      </c>
      <c r="EF183" t="s">
        <v>1170</v>
      </c>
      <c r="EG183" t="s">
        <v>1178</v>
      </c>
      <c r="EH183" t="s">
        <v>929</v>
      </c>
      <c r="EI183" t="s">
        <v>930</v>
      </c>
      <c r="EJ183" t="s">
        <v>1179</v>
      </c>
      <c r="EK183" t="s">
        <v>932</v>
      </c>
      <c r="EL183" t="s">
        <v>425</v>
      </c>
      <c r="EM183" t="s">
        <v>1180</v>
      </c>
      <c r="EN183" t="s">
        <v>1181</v>
      </c>
      <c r="EO183" t="s">
        <v>1182</v>
      </c>
    </row>
    <row r="184" spans="1:156" ht="15" customHeight="1" x14ac:dyDescent="0.35">
      <c r="A184">
        <v>168</v>
      </c>
      <c r="B184" t="s">
        <v>1183</v>
      </c>
      <c r="C184">
        <v>2</v>
      </c>
      <c r="D184" t="str">
        <f>VLOOKUP(source[[#This Row],[Приоритет]],тПриоритеты[],2,0)</f>
        <v>Значительное</v>
      </c>
      <c r="E184" t="str">
        <f>IF(ISBLANK(source[[#This Row],[Проверенные]]),IF(ISBLANK(source[[#This Row],[Завершенные]]),source[[#This Row],[Приоритет_]],"Завершено"),"Проверено")</f>
        <v>Значительное</v>
      </c>
      <c r="F184" t="s">
        <v>866</v>
      </c>
      <c r="G184" t="s">
        <v>420</v>
      </c>
      <c r="H184" t="e">
        <f>VLOOKUP(source[[#This Row],[Отвественный]],тОтветственные[],2,0)</f>
        <v>#N/A</v>
      </c>
      <c r="I184" s="2">
        <v>43775</v>
      </c>
      <c r="J184" s="2">
        <v>43829</v>
      </c>
      <c r="K184" t="s">
        <v>1138</v>
      </c>
      <c r="L184">
        <v>66.11</v>
      </c>
      <c r="M184">
        <v>36.67</v>
      </c>
      <c r="Q184" t="s">
        <v>1139</v>
      </c>
      <c r="R184" t="str">
        <f>HYPERLINK("https://d28ji4sm1vmprj.cloudfront.net/528e04103b411e1177ffc9599dea26fd/6cee4de868e78899927c0ddeef287e29.jpeg", "Ссылка на план")</f>
        <v>Ссылка на план</v>
      </c>
      <c r="S184" s="1">
        <v>43775.651099537034</v>
      </c>
      <c r="W184" s="1">
        <v>43812.674826388888</v>
      </c>
      <c r="X184" t="s">
        <v>1140</v>
      </c>
      <c r="EC184" t="str">
        <f>HYPERLINK("https://d33htgqikc2pj4.cloudfront.net/466e1602-5794-4591-8328-703ba679562e.jpeg", "Кирилл Васенков: Ссылка на изображение")</f>
        <v>Кирилл Васенков: Ссылка на изображение</v>
      </c>
      <c r="ED184" t="s">
        <v>1184</v>
      </c>
      <c r="EE184" t="str">
        <f>HYPERLINK("https://d33htgqikc2pj4.cloudfront.net/2b13f955-8d9d-4adb-a51e-eeaed4bdf5bb.jpeg", "Кирилл Васенков: Ссылка на изображение")</f>
        <v>Кирилл Васенков: Ссылка на изображение</v>
      </c>
      <c r="EF184" t="s">
        <v>1185</v>
      </c>
      <c r="EG184" t="s">
        <v>929</v>
      </c>
      <c r="EH184" t="s">
        <v>930</v>
      </c>
      <c r="EI184" t="s">
        <v>1171</v>
      </c>
      <c r="EJ184" t="s">
        <v>932</v>
      </c>
      <c r="EK184" t="s">
        <v>425</v>
      </c>
      <c r="EL184" t="s">
        <v>933</v>
      </c>
      <c r="EM184" t="s">
        <v>915</v>
      </c>
    </row>
    <row r="185" spans="1:156" ht="15" customHeight="1" x14ac:dyDescent="0.35">
      <c r="A185">
        <v>171</v>
      </c>
      <c r="B185" t="s">
        <v>1183</v>
      </c>
      <c r="C185">
        <v>2</v>
      </c>
      <c r="D185" t="str">
        <f>VLOOKUP(source[[#This Row],[Приоритет]],тПриоритеты[],2,0)</f>
        <v>Значительное</v>
      </c>
      <c r="E185" t="str">
        <f>IF(ISBLANK(source[[#This Row],[Проверенные]]),IF(ISBLANK(source[[#This Row],[Завершенные]]),source[[#This Row],[Приоритет_]],"Завершено"),"Проверено")</f>
        <v>Значительное</v>
      </c>
      <c r="F185" t="s">
        <v>866</v>
      </c>
      <c r="G185" t="s">
        <v>420</v>
      </c>
      <c r="H185" t="e">
        <f>VLOOKUP(source[[#This Row],[Отвественный]],тОтветственные[],2,0)</f>
        <v>#N/A</v>
      </c>
      <c r="I185" s="2">
        <v>43775</v>
      </c>
      <c r="J185" s="2">
        <v>43829</v>
      </c>
      <c r="S185" s="1">
        <v>43775.693090277775</v>
      </c>
      <c r="W185" s="1">
        <v>43816.814872685187</v>
      </c>
      <c r="X185" t="s">
        <v>1140</v>
      </c>
      <c r="EC185" t="str">
        <f>HYPERLINK("https://d33htgqikc2pj4.cloudfront.net/a3ad64f9-fd24-4e2a-a2b3-dc9841e169d6.jpeg", "Кирилл Васенков: Ссылка на изображение")</f>
        <v>Кирилл Васенков: Ссылка на изображение</v>
      </c>
      <c r="ED185" t="s">
        <v>1184</v>
      </c>
      <c r="EE185" t="str">
        <f>HYPERLINK("https://d33htgqikc2pj4.cloudfront.net/205f837b-e45f-4786-85c7-096c1b39e449.jpeg", "Кирилл Васенков: Ссылка на изображение")</f>
        <v>Кирилл Васенков: Ссылка на изображение</v>
      </c>
      <c r="EF185" t="s">
        <v>1186</v>
      </c>
      <c r="EG185" t="str">
        <f>HYPERLINK("https://d33htgqikc2pj4.cloudfront.net/3537e7f7-53f3-4f05-bdd7-f78dea99b51b.jpeg", "Кирилл Васенков: Ссылка на изображение")</f>
        <v>Кирилл Васенков: Ссылка на изображение</v>
      </c>
      <c r="EH185" t="str">
        <f>HYPERLINK("https://d33htgqikc2pj4.cloudfront.net/1ccdd494-168d-4eb8-a974-7a10a2197dfe.jpeg", "Кирилл Васенков: Ссылка на изображение")</f>
        <v>Кирилл Васенков: Ссылка на изображение</v>
      </c>
      <c r="EI185" t="s">
        <v>1187</v>
      </c>
      <c r="EJ185" t="str">
        <f>HYPERLINK("https://d33htgqikc2pj4.cloudfront.net/d7222697-12f9-43dd-a5bc-880a0ed6554b.jpeg", "Кирилл Васенков: Ссылка на изображение")</f>
        <v>Кирилл Васенков: Ссылка на изображение</v>
      </c>
      <c r="EK185" t="str">
        <f>HYPERLINK("https://d33htgqikc2pj4.cloudfront.net/10ae124b-7293-4121-8092-708eb3590701.jpeg", "Кирилл Васенков: Ссылка на изображение")</f>
        <v>Кирилл Васенков: Ссылка на изображение</v>
      </c>
      <c r="EL185" t="str">
        <f>HYPERLINK("https://d33htgqikc2pj4.cloudfront.net/a126ed20-8501-4e87-ad15-a35d3d57c8af.jpeg", "Кирилл Васенков: Ссылка на изображение")</f>
        <v>Кирилл Васенков: Ссылка на изображение</v>
      </c>
      <c r="EM185" t="s">
        <v>1188</v>
      </c>
      <c r="EN185" t="s">
        <v>929</v>
      </c>
      <c r="EO185" t="s">
        <v>930</v>
      </c>
      <c r="EP185" t="s">
        <v>1171</v>
      </c>
      <c r="EQ185" t="s">
        <v>932</v>
      </c>
      <c r="ER185" t="s">
        <v>425</v>
      </c>
      <c r="ES185" t="s">
        <v>1149</v>
      </c>
      <c r="ET185" t="s">
        <v>1147</v>
      </c>
      <c r="EU185" t="s">
        <v>1189</v>
      </c>
      <c r="EV185" t="s">
        <v>995</v>
      </c>
      <c r="EW185" t="s">
        <v>933</v>
      </c>
      <c r="EX185" t="s">
        <v>915</v>
      </c>
    </row>
    <row r="186" spans="1:156" ht="15" customHeight="1" x14ac:dyDescent="0.35">
      <c r="A186">
        <v>170</v>
      </c>
      <c r="B186" t="s">
        <v>1190</v>
      </c>
      <c r="C186">
        <v>2</v>
      </c>
      <c r="D186" t="str">
        <f>VLOOKUP(source[[#This Row],[Приоритет]],тПриоритеты[],2,0)</f>
        <v>Значительное</v>
      </c>
      <c r="E186" t="str">
        <f>IF(ISBLANK(source[[#This Row],[Проверенные]]),IF(ISBLANK(source[[#This Row],[Завершенные]]),source[[#This Row],[Приоритет_]],"Завершено"),"Проверено")</f>
        <v>Значительное</v>
      </c>
      <c r="F186" t="s">
        <v>866</v>
      </c>
      <c r="G186" t="s">
        <v>420</v>
      </c>
      <c r="H186" t="e">
        <f>VLOOKUP(source[[#This Row],[Отвественный]],тОтветственные[],2,0)</f>
        <v>#N/A</v>
      </c>
      <c r="I186" s="2">
        <v>43775</v>
      </c>
      <c r="J186" s="2">
        <v>43829</v>
      </c>
      <c r="K186" t="s">
        <v>1191</v>
      </c>
      <c r="L186">
        <v>45.5</v>
      </c>
      <c r="M186">
        <v>69.58</v>
      </c>
      <c r="Q186" t="s">
        <v>1139</v>
      </c>
      <c r="R186" t="str">
        <f>HYPERLINK("https://d28ji4sm1vmprj.cloudfront.net/ba4735090fe6b8f6de3f17db27e7ff1d/1c8ad0dd164df1f26888c689ba793b63.jpeg", "Ссылка на план")</f>
        <v>Ссылка на план</v>
      </c>
      <c r="S186" s="1">
        <v>43775.693078703705</v>
      </c>
      <c r="W186" s="1">
        <v>43812.674826388888</v>
      </c>
      <c r="X186" t="s">
        <v>1140</v>
      </c>
      <c r="EC186" t="str">
        <f>HYPERLINK("https://d33htgqikc2pj4.cloudfront.net/2113a0cd-2365-491e-97d5-52178e9ad7d5.jpeg", "Кирилл Васенков: Ссылка на изображение")</f>
        <v>Кирилл Васенков: Ссылка на изображение</v>
      </c>
      <c r="ED186" t="str">
        <f>HYPERLINK("https://d33htgqikc2pj4.cloudfront.net/699fee0f-de32-43a1-8f91-83a634c8982c.jpeg", "Кирилл Васенков: Ссылка на изображение")</f>
        <v>Кирилл Васенков: Ссылка на изображение</v>
      </c>
      <c r="EE186" t="s">
        <v>1192</v>
      </c>
      <c r="EF186" t="s">
        <v>929</v>
      </c>
      <c r="EG186" t="s">
        <v>930</v>
      </c>
      <c r="EH186" t="s">
        <v>1171</v>
      </c>
      <c r="EI186" t="s">
        <v>932</v>
      </c>
      <c r="EJ186" t="s">
        <v>425</v>
      </c>
      <c r="EK186" t="s">
        <v>933</v>
      </c>
      <c r="EL186" t="s">
        <v>915</v>
      </c>
    </row>
    <row r="187" spans="1:156" ht="15" customHeight="1" x14ac:dyDescent="0.35">
      <c r="A187">
        <v>173</v>
      </c>
      <c r="B187" t="s">
        <v>1193</v>
      </c>
      <c r="C187">
        <v>2</v>
      </c>
      <c r="D187" t="str">
        <f>VLOOKUP(source[[#This Row],[Приоритет]],тПриоритеты[],2,0)</f>
        <v>Значительное</v>
      </c>
      <c r="E187" t="str">
        <f>IF(ISBLANK(source[[#This Row],[Проверенные]]),IF(ISBLANK(source[[#This Row],[Завершенные]]),source[[#This Row],[Приоритет_]],"Завершено"),"Проверено")</f>
        <v>Значительное</v>
      </c>
      <c r="F187" t="s">
        <v>866</v>
      </c>
      <c r="G187" t="s">
        <v>420</v>
      </c>
      <c r="H187" t="e">
        <f>VLOOKUP(source[[#This Row],[Отвественный]],тОтветственные[],2,0)</f>
        <v>#N/A</v>
      </c>
      <c r="I187" s="2">
        <v>43775</v>
      </c>
      <c r="J187" s="2">
        <v>43829</v>
      </c>
      <c r="K187" t="s">
        <v>1194</v>
      </c>
      <c r="L187">
        <v>0</v>
      </c>
      <c r="M187">
        <v>0</v>
      </c>
      <c r="Q187" t="s">
        <v>939</v>
      </c>
      <c r="R187" t="str">
        <f>HYPERLINK("https://d28ji4sm1vmprj.cloudfront.net/af5c38728385314170b8955fc9ead135/dc8ea51d3ce730b0b4952b60f51947f4.jpeg", "Ссылка на план")</f>
        <v>Ссылка на план</v>
      </c>
      <c r="S187" s="1">
        <v>43775.747118055559</v>
      </c>
      <c r="W187" s="1">
        <v>43808.758726851855</v>
      </c>
      <c r="AH187" t="s">
        <v>1195</v>
      </c>
      <c r="EC187" t="s">
        <v>1196</v>
      </c>
      <c r="ED187" t="s">
        <v>1197</v>
      </c>
      <c r="EE187" t="s">
        <v>1198</v>
      </c>
      <c r="EF187" t="s">
        <v>1199</v>
      </c>
      <c r="EG187" t="str">
        <f>HYPERLINK("https://d33htgqikc2pj4.cloudfront.net/e9a3a41d5e0773c745f4d3ab8318c911/498f6f8d36fa1d1b5418e86f2cb6c6c4-file.jpeg", "Сергей Давыдов: Ссылка на изображение")</f>
        <v>Сергей Давыдов: Ссылка на изображение</v>
      </c>
      <c r="EH187" t="str">
        <f>HYPERLINK("https://d33htgqikc2pj4.cloudfront.net/cfcf1af73a48112182bc0fa578f55c4a/f9216b5fd5e86bfbc0ffce17df5af9ad-file.jpeg", "Сергей Давыдов: Ссылка на изображение")</f>
        <v>Сергей Давыдов: Ссылка на изображение</v>
      </c>
      <c r="EI187" t="str">
        <f>HYPERLINK("https://d33htgqikc2pj4.cloudfront.net/8c73fe2d81879f62a84ac5db66defcae/d633fba907993cbe96c1ae86eb13cace-file.jpeg", "Сергей Давыдов: Ссылка на изображение")</f>
        <v>Сергей Давыдов: Ссылка на изображение</v>
      </c>
      <c r="EJ187" t="str">
        <f>HYPERLINK("https://d33htgqikc2pj4.cloudfront.net/5f62f682aa82be9bc491265ed9ec2296/2686100a8e91da02f207922b86264fc1-file.jpeg", "Сергей Давыдов: Ссылка на изображение")</f>
        <v>Сергей Давыдов: Ссылка на изображение</v>
      </c>
      <c r="EK187" t="str">
        <f>HYPERLINK("https://d33htgqikc2pj4.cloudfront.net/ba31f8f63a528e9e584500e9fa621c7a/f399290020749d4ba5a654e2872c88c9-file.jpeg", "Сергей Давыдов: Ссылка на изображение")</f>
        <v>Сергей Давыдов: Ссылка на изображение</v>
      </c>
      <c r="EL187" t="str">
        <f>HYPERLINK("https://d33htgqikc2pj4.cloudfront.net/cf3f54a5b94c7c1e7de8d8be96030552/7b54ee7ace659e04a77c0a2624611fc0-file.jpeg", "Сергей Давыдов: Ссылка на изображение")</f>
        <v>Сергей Давыдов: Ссылка на изображение</v>
      </c>
      <c r="EM187" t="s">
        <v>1200</v>
      </c>
      <c r="EN187" t="s">
        <v>1201</v>
      </c>
      <c r="EO187" t="s">
        <v>1202</v>
      </c>
      <c r="EP187" t="s">
        <v>1203</v>
      </c>
      <c r="EQ187" t="s">
        <v>1204</v>
      </c>
      <c r="ER187" t="s">
        <v>1205</v>
      </c>
      <c r="ES187" t="s">
        <v>1206</v>
      </c>
      <c r="ET187" t="s">
        <v>1207</v>
      </c>
      <c r="EU187" t="s">
        <v>1208</v>
      </c>
      <c r="EV187" t="s">
        <v>1209</v>
      </c>
      <c r="EW187" t="s">
        <v>1210</v>
      </c>
      <c r="EX187" t="s">
        <v>1211</v>
      </c>
      <c r="EY187" t="s">
        <v>1165</v>
      </c>
      <c r="EZ187" t="s">
        <v>1180</v>
      </c>
    </row>
    <row r="188" spans="1:156" ht="15" customHeight="1" x14ac:dyDescent="0.35">
      <c r="A188">
        <v>189</v>
      </c>
      <c r="B188" t="s">
        <v>1212</v>
      </c>
      <c r="C188">
        <v>2</v>
      </c>
      <c r="D188" t="str">
        <f>VLOOKUP(source[[#This Row],[Приоритет]],тПриоритеты[],2,0)</f>
        <v>Значительное</v>
      </c>
      <c r="E188" t="str">
        <f>IF(ISBLANK(source[[#This Row],[Проверенные]]),IF(ISBLANK(source[[#This Row],[Завершенные]]),source[[#This Row],[Приоритет_]],"Завершено"),"Проверено")</f>
        <v>Значительное</v>
      </c>
      <c r="F188" t="s">
        <v>866</v>
      </c>
      <c r="G188" t="s">
        <v>420</v>
      </c>
      <c r="H188" t="e">
        <f>VLOOKUP(source[[#This Row],[Отвественный]],тОтветственные[],2,0)</f>
        <v>#N/A</v>
      </c>
      <c r="I188" s="2">
        <v>43777</v>
      </c>
      <c r="J188" s="2">
        <v>43875</v>
      </c>
      <c r="K188" t="s">
        <v>1191</v>
      </c>
      <c r="L188">
        <v>64.89</v>
      </c>
      <c r="M188">
        <v>33.69</v>
      </c>
      <c r="Q188" t="s">
        <v>1139</v>
      </c>
      <c r="R188" t="str">
        <f>HYPERLINK("https://d28ji4sm1vmprj.cloudfront.net/ba4735090fe6b8f6de3f17db27e7ff1d/1c8ad0dd164df1f26888c689ba793b63.jpeg", "Ссылка на план")</f>
        <v>Ссылка на план</v>
      </c>
      <c r="S188" s="1">
        <v>43777.508726851855</v>
      </c>
      <c r="W188" s="1">
        <v>43871.580138888887</v>
      </c>
      <c r="X188" t="s">
        <v>1140</v>
      </c>
      <c r="EC188" t="str">
        <f>HYPERLINK("https://d33htgqikc2pj4.cloudfront.net/1b6fa090-590b-46c1-b146-12ae7ab4b2b3.jpeg", "Кирилл Васенков: Ссылка на изображение")</f>
        <v>Кирилл Васенков: Ссылка на изображение</v>
      </c>
      <c r="ED188" t="str">
        <f>HYPERLINK("https://d33htgqikc2pj4.cloudfront.net/02987718-8803-4231-a8e6-99a6251dad16.jpeg", "Кирилл Васенков: Ссылка на изображение")</f>
        <v>Кирилл Васенков: Ссылка на изображение</v>
      </c>
      <c r="EE188" t="s">
        <v>1213</v>
      </c>
      <c r="EF188" t="s">
        <v>929</v>
      </c>
      <c r="EG188" t="s">
        <v>1171</v>
      </c>
      <c r="EH188" t="s">
        <v>931</v>
      </c>
      <c r="EI188" t="s">
        <v>932</v>
      </c>
      <c r="EJ188" t="s">
        <v>930</v>
      </c>
      <c r="EK188" t="s">
        <v>425</v>
      </c>
      <c r="EL188" t="s">
        <v>933</v>
      </c>
      <c r="EM188" t="s">
        <v>915</v>
      </c>
      <c r="EN188" t="str">
        <f>HYPERLINK("https://d33htgqikc2pj4.cloudfront.net/qvHDimMUqxZcQnsj/369b54a0-7e28-4509-b5c9-68e49438568e.jpeg", "Отопление и Кондиционирование Renaissance: Ссылка на изображение")</f>
        <v>Отопление и Кондиционирование Renaissance: Ссылка на изображение</v>
      </c>
      <c r="EO188" s="3" t="s">
        <v>1214</v>
      </c>
      <c r="EP188" t="s">
        <v>1147</v>
      </c>
      <c r="EQ188" t="s">
        <v>1125</v>
      </c>
      <c r="ER188" t="s">
        <v>1147</v>
      </c>
      <c r="ES188" t="s">
        <v>1015</v>
      </c>
      <c r="ET188" t="s">
        <v>1125</v>
      </c>
    </row>
    <row r="189" spans="1:156" ht="15" customHeight="1" x14ac:dyDescent="0.35">
      <c r="A189">
        <v>222</v>
      </c>
      <c r="B189" t="s">
        <v>1215</v>
      </c>
      <c r="C189">
        <v>2</v>
      </c>
      <c r="D189" t="str">
        <f>VLOOKUP(source[[#This Row],[Приоритет]],тПриоритеты[],2,0)</f>
        <v>Значительное</v>
      </c>
      <c r="E189" t="str">
        <f>IF(ISBLANK(source[[#This Row],[Проверенные]]),IF(ISBLANK(source[[#This Row],[Завершенные]]),source[[#This Row],[Приоритет_]],"Завершено"),"Проверено")</f>
        <v>Значительное</v>
      </c>
      <c r="F189" t="s">
        <v>866</v>
      </c>
      <c r="G189" t="s">
        <v>420</v>
      </c>
      <c r="H189" t="e">
        <f>VLOOKUP(source[[#This Row],[Отвественный]],тОтветственные[],2,0)</f>
        <v>#N/A</v>
      </c>
      <c r="I189" s="2">
        <v>43781</v>
      </c>
      <c r="J189" s="2">
        <v>43829</v>
      </c>
      <c r="K189" t="s">
        <v>1138</v>
      </c>
      <c r="L189">
        <v>21.15</v>
      </c>
      <c r="M189">
        <v>64.88</v>
      </c>
      <c r="Q189" t="s">
        <v>1139</v>
      </c>
      <c r="R189" t="str">
        <f>HYPERLINK("https://d28ji4sm1vmprj.cloudfront.net/528e04103b411e1177ffc9599dea26fd/6cee4de868e78899927c0ddeef287e29.jpeg", "Ссылка на план")</f>
        <v>Ссылка на план</v>
      </c>
      <c r="S189" s="1">
        <v>43781.449317129627</v>
      </c>
      <c r="W189" s="1">
        <v>43816.700277777774</v>
      </c>
      <c r="X189" t="s">
        <v>1140</v>
      </c>
      <c r="EC189" t="str">
        <f>HYPERLINK("https://d33htgqikc2pj4.cloudfront.net/ac936d1b-8964-4662-b984-34d679457cdf.jpeg", "Кирилл Васенков: Ссылка на изображение")</f>
        <v>Кирилл Васенков: Ссылка на изображение</v>
      </c>
      <c r="ED189" t="str">
        <f>HYPERLINK("https://d33htgqikc2pj4.cloudfront.net/f0008eee-7be7-4a60-b101-99710ab3cc50.jpeg", "Кирилл Васенков: Ссылка на изображение")</f>
        <v>Кирилл Васенков: Ссылка на изображение</v>
      </c>
      <c r="EE189" t="str">
        <f>HYPERLINK("https://d33htgqikc2pj4.cloudfront.net/9db479dc-eee1-4533-a1a6-7c6485b0cea4.jpeg", "Кирилл Васенков: Ссылка на изображение")</f>
        <v>Кирилл Васенков: Ссылка на изображение</v>
      </c>
      <c r="EF189" t="s">
        <v>1216</v>
      </c>
      <c r="EG189" t="s">
        <v>1217</v>
      </c>
      <c r="EH189" t="s">
        <v>933</v>
      </c>
      <c r="EI189" t="s">
        <v>915</v>
      </c>
    </row>
    <row r="190" spans="1:156" ht="15" customHeight="1" x14ac:dyDescent="0.35">
      <c r="A190">
        <v>227</v>
      </c>
      <c r="B190" t="s">
        <v>1218</v>
      </c>
      <c r="C190">
        <v>2</v>
      </c>
      <c r="D190" t="str">
        <f>VLOOKUP(source[[#This Row],[Приоритет]],тПриоритеты[],2,0)</f>
        <v>Значительное</v>
      </c>
      <c r="E190" t="str">
        <f>IF(ISBLANK(source[[#This Row],[Проверенные]]),IF(ISBLANK(source[[#This Row],[Завершенные]]),source[[#This Row],[Приоритет_]],"Завершено"),"Проверено")</f>
        <v>Значительное</v>
      </c>
      <c r="F190" t="s">
        <v>866</v>
      </c>
      <c r="G190" t="s">
        <v>420</v>
      </c>
      <c r="H190" t="e">
        <f>VLOOKUP(source[[#This Row],[Отвественный]],тОтветственные[],2,0)</f>
        <v>#N/A</v>
      </c>
      <c r="I190" s="2">
        <v>43781</v>
      </c>
      <c r="J190" s="2">
        <v>43829</v>
      </c>
      <c r="K190" t="s">
        <v>1138</v>
      </c>
      <c r="L190">
        <v>27.96</v>
      </c>
      <c r="M190">
        <v>38.93</v>
      </c>
      <c r="Q190" t="s">
        <v>1139</v>
      </c>
      <c r="R190" t="str">
        <f>HYPERLINK("https://d28ji4sm1vmprj.cloudfront.net/528e04103b411e1177ffc9599dea26fd/6cee4de868e78899927c0ddeef287e29.jpeg", "Ссылка на план")</f>
        <v>Ссылка на план</v>
      </c>
      <c r="S190" s="1">
        <v>43781.508101851854</v>
      </c>
      <c r="W190" s="1">
        <v>43816.700671296298</v>
      </c>
      <c r="X190" t="s">
        <v>1140</v>
      </c>
      <c r="EC190" t="str">
        <f>HYPERLINK("https://d33htgqikc2pj4.cloudfront.net/baa918c7-2197-4396-830d-5af53a650ab8.jpeg", "Кирилл Васенков: Ссылка на изображение")</f>
        <v>Кирилл Васенков: Ссылка на изображение</v>
      </c>
      <c r="ED190" t="s">
        <v>1219</v>
      </c>
      <c r="EE190" t="s">
        <v>1217</v>
      </c>
      <c r="EF190" t="s">
        <v>933</v>
      </c>
      <c r="EG190" t="s">
        <v>915</v>
      </c>
    </row>
    <row r="191" spans="1:156" ht="15" customHeight="1" x14ac:dyDescent="0.35">
      <c r="A191">
        <v>223</v>
      </c>
      <c r="B191" t="s">
        <v>1220</v>
      </c>
      <c r="C191">
        <v>2</v>
      </c>
      <c r="D191" t="str">
        <f>VLOOKUP(source[[#This Row],[Приоритет]],тПриоритеты[],2,0)</f>
        <v>Значительное</v>
      </c>
      <c r="E191" t="str">
        <f>IF(ISBLANK(source[[#This Row],[Проверенные]]),IF(ISBLANK(source[[#This Row],[Завершенные]]),source[[#This Row],[Приоритет_]],"Завершено"),"Проверено")</f>
        <v>Значительное</v>
      </c>
      <c r="F191" t="s">
        <v>866</v>
      </c>
      <c r="G191" t="s">
        <v>420</v>
      </c>
      <c r="H191" t="e">
        <f>VLOOKUP(source[[#This Row],[Отвественный]],тОтветственные[],2,0)</f>
        <v>#N/A</v>
      </c>
      <c r="I191" s="2">
        <v>43781</v>
      </c>
      <c r="J191" s="2">
        <v>43829</v>
      </c>
      <c r="K191" t="s">
        <v>1138</v>
      </c>
      <c r="L191">
        <v>21.32</v>
      </c>
      <c r="M191">
        <v>56.43</v>
      </c>
      <c r="Q191" t="s">
        <v>1139</v>
      </c>
      <c r="R191" t="str">
        <f>HYPERLINK("https://d28ji4sm1vmprj.cloudfront.net/528e04103b411e1177ffc9599dea26fd/6cee4de868e78899927c0ddeef287e29.jpeg", "Ссылка на план")</f>
        <v>Ссылка на план</v>
      </c>
      <c r="S191" s="1">
        <v>43781.508067129631</v>
      </c>
      <c r="W191" s="1">
        <v>43816.700439814813</v>
      </c>
      <c r="X191" t="s">
        <v>1140</v>
      </c>
      <c r="EC191" t="str">
        <f>HYPERLINK("https://d33htgqikc2pj4.cloudfront.net/2120f218-ba95-452f-a5f9-11048a972440.jpeg", "Кирилл Васенков: Ссылка на изображение")</f>
        <v>Кирилл Васенков: Ссылка на изображение</v>
      </c>
      <c r="ED191" t="s">
        <v>1221</v>
      </c>
      <c r="EE191" t="s">
        <v>1217</v>
      </c>
      <c r="EF191" t="s">
        <v>933</v>
      </c>
      <c r="EG191" t="s">
        <v>915</v>
      </c>
    </row>
    <row r="192" spans="1:156" ht="15" customHeight="1" x14ac:dyDescent="0.35">
      <c r="A192">
        <v>225</v>
      </c>
      <c r="B192" t="s">
        <v>1222</v>
      </c>
      <c r="C192">
        <v>2</v>
      </c>
      <c r="D192" t="str">
        <f>VLOOKUP(source[[#This Row],[Приоритет]],тПриоритеты[],2,0)</f>
        <v>Значительное</v>
      </c>
      <c r="E192" t="str">
        <f>IF(ISBLANK(source[[#This Row],[Проверенные]]),IF(ISBLANK(source[[#This Row],[Завершенные]]),source[[#This Row],[Приоритет_]],"Завершено"),"Проверено")</f>
        <v>Значительное</v>
      </c>
      <c r="F192" t="s">
        <v>866</v>
      </c>
      <c r="G192" t="s">
        <v>420</v>
      </c>
      <c r="H192" t="e">
        <f>VLOOKUP(source[[#This Row],[Отвественный]],тОтветственные[],2,0)</f>
        <v>#N/A</v>
      </c>
      <c r="I192" s="2">
        <v>43781</v>
      </c>
      <c r="J192" s="2">
        <v>43829</v>
      </c>
      <c r="K192" t="s">
        <v>1191</v>
      </c>
      <c r="L192">
        <v>0</v>
      </c>
      <c r="M192">
        <v>0</v>
      </c>
      <c r="Q192" t="s">
        <v>1139</v>
      </c>
      <c r="R192" t="str">
        <f>HYPERLINK("https://d28ji4sm1vmprj.cloudfront.net/ba4735090fe6b8f6de3f17db27e7ff1d/1c8ad0dd164df1f26888c689ba793b63.jpeg", "Ссылка на план")</f>
        <v>Ссылка на план</v>
      </c>
      <c r="S192" s="1">
        <v>43781.5080787037</v>
      </c>
      <c r="W192" s="1">
        <v>43812.674837962964</v>
      </c>
      <c r="X192" t="s">
        <v>1140</v>
      </c>
      <c r="EC192" t="str">
        <f>HYPERLINK("https://d33htgqikc2pj4.cloudfront.net/da259819-af30-420c-9e93-18704fa5da24.jpeg", "Кирилл Васенков: Ссылка на изображение")</f>
        <v>Кирилл Васенков: Ссылка на изображение</v>
      </c>
      <c r="ED192" t="s">
        <v>1223</v>
      </c>
      <c r="EE192" t="s">
        <v>1217</v>
      </c>
      <c r="EF192" t="s">
        <v>933</v>
      </c>
      <c r="EG192" t="s">
        <v>915</v>
      </c>
    </row>
    <row r="193" spans="1:157" ht="15" customHeight="1" x14ac:dyDescent="0.35">
      <c r="A193">
        <v>226</v>
      </c>
      <c r="B193" t="s">
        <v>1224</v>
      </c>
      <c r="C193">
        <v>2</v>
      </c>
      <c r="D193" t="str">
        <f>VLOOKUP(source[[#This Row],[Приоритет]],тПриоритеты[],2,0)</f>
        <v>Значительное</v>
      </c>
      <c r="E193" t="str">
        <f>IF(ISBLANK(source[[#This Row],[Проверенные]]),IF(ISBLANK(source[[#This Row],[Завершенные]]),source[[#This Row],[Приоритет_]],"Завершено"),"Проверено")</f>
        <v>Значительное</v>
      </c>
      <c r="F193" t="s">
        <v>866</v>
      </c>
      <c r="G193" t="s">
        <v>420</v>
      </c>
      <c r="H193" t="e">
        <f>VLOOKUP(source[[#This Row],[Отвественный]],тОтветственные[],2,0)</f>
        <v>#N/A</v>
      </c>
      <c r="I193" s="2">
        <v>43781</v>
      </c>
      <c r="J193" s="2">
        <v>43829</v>
      </c>
      <c r="K193" t="s">
        <v>1138</v>
      </c>
      <c r="L193">
        <v>18.5</v>
      </c>
      <c r="M193">
        <v>38.93</v>
      </c>
      <c r="Q193" t="s">
        <v>1139</v>
      </c>
      <c r="R193" t="str">
        <f>HYPERLINK("https://d28ji4sm1vmprj.cloudfront.net/528e04103b411e1177ffc9599dea26fd/6cee4de868e78899927c0ddeef287e29.jpeg", "Ссылка на план")</f>
        <v>Ссылка на план</v>
      </c>
      <c r="S193" s="1">
        <v>43781.508090277777</v>
      </c>
      <c r="W193" s="1">
        <v>43816.477800925924</v>
      </c>
      <c r="X193" t="s">
        <v>1140</v>
      </c>
      <c r="AA193" t="s">
        <v>1225</v>
      </c>
      <c r="EC193" t="str">
        <f>HYPERLINK("https://d33htgqikc2pj4.cloudfront.net/d1bbf27c-071c-4b26-a4f4-71e2a9956b8d.jpeg", "Кирилл Васенков: Ссылка на изображение")</f>
        <v>Кирилл Васенков: Ссылка на изображение</v>
      </c>
      <c r="ED193" t="s">
        <v>1226</v>
      </c>
      <c r="EE193" t="s">
        <v>1217</v>
      </c>
      <c r="EF193" t="s">
        <v>933</v>
      </c>
      <c r="EG193" t="s">
        <v>915</v>
      </c>
    </row>
    <row r="194" spans="1:157" ht="15" customHeight="1" x14ac:dyDescent="0.35">
      <c r="A194">
        <v>232</v>
      </c>
      <c r="B194" t="s">
        <v>1225</v>
      </c>
      <c r="C194">
        <v>2</v>
      </c>
      <c r="D194" t="str">
        <f>VLOOKUP(source[[#This Row],[Приоритет]],тПриоритеты[],2,0)</f>
        <v>Значительное</v>
      </c>
      <c r="E194" t="str">
        <f>IF(ISBLANK(source[[#This Row],[Проверенные]]),IF(ISBLANK(source[[#This Row],[Завершенные]]),source[[#This Row],[Приоритет_]],"Завершено"),"Проверено")</f>
        <v>Значительное</v>
      </c>
      <c r="F194" t="s">
        <v>866</v>
      </c>
      <c r="G194" t="s">
        <v>420</v>
      </c>
      <c r="H194" t="e">
        <f>VLOOKUP(source[[#This Row],[Отвественный]],тОтветственные[],2,0)</f>
        <v>#N/A</v>
      </c>
      <c r="I194" s="2">
        <v>43781</v>
      </c>
      <c r="J194" s="2">
        <v>43829</v>
      </c>
      <c r="K194" t="s">
        <v>1138</v>
      </c>
      <c r="L194">
        <v>22.08</v>
      </c>
      <c r="M194">
        <v>38.450000000000003</v>
      </c>
      <c r="Q194" t="s">
        <v>1139</v>
      </c>
      <c r="R194" t="str">
        <f>HYPERLINK("https://d28ji4sm1vmprj.cloudfront.net/528e04103b411e1177ffc9599dea26fd/6cee4de868e78899927c0ddeef287e29.jpeg", "Ссылка на план")</f>
        <v>Ссылка на план</v>
      </c>
      <c r="S194" s="1">
        <v>43781.810115740744</v>
      </c>
      <c r="W194" s="1">
        <v>43865.758368055554</v>
      </c>
      <c r="X194" t="s">
        <v>1227</v>
      </c>
      <c r="AA194" t="s">
        <v>1224</v>
      </c>
      <c r="EC194" t="s">
        <v>1004</v>
      </c>
      <c r="ED194" t="s">
        <v>1228</v>
      </c>
      <c r="EE194" t="s">
        <v>1229</v>
      </c>
      <c r="EF194" t="s">
        <v>932</v>
      </c>
      <c r="EG194" t="s">
        <v>1230</v>
      </c>
      <c r="EH194" t="s">
        <v>1226</v>
      </c>
      <c r="EI194" t="s">
        <v>1228</v>
      </c>
      <c r="EJ194" t="s">
        <v>933</v>
      </c>
      <c r="EK194" t="s">
        <v>915</v>
      </c>
      <c r="EL194" t="s">
        <v>1147</v>
      </c>
    </row>
    <row r="195" spans="1:157" ht="15" customHeight="1" x14ac:dyDescent="0.35">
      <c r="A195">
        <v>286</v>
      </c>
      <c r="B195" t="s">
        <v>1231</v>
      </c>
      <c r="C195">
        <v>2</v>
      </c>
      <c r="D195" t="str">
        <f>VLOOKUP(source[[#This Row],[Приоритет]],тПриоритеты[],2,0)</f>
        <v>Значительное</v>
      </c>
      <c r="E195" t="str">
        <f>IF(ISBLANK(source[[#This Row],[Проверенные]]),IF(ISBLANK(source[[#This Row],[Завершенные]]),source[[#This Row],[Приоритет_]],"Завершено"),"Проверено")</f>
        <v>Значительное</v>
      </c>
      <c r="F195" t="s">
        <v>866</v>
      </c>
      <c r="G195" t="s">
        <v>420</v>
      </c>
      <c r="H195" t="e">
        <f>VLOOKUP(source[[#This Row],[Отвественный]],тОтветственные[],2,0)</f>
        <v>#N/A</v>
      </c>
      <c r="I195" s="2">
        <v>43784</v>
      </c>
      <c r="J195" s="2">
        <v>43829</v>
      </c>
      <c r="K195" t="s">
        <v>1138</v>
      </c>
      <c r="L195">
        <v>36.880000000000003</v>
      </c>
      <c r="M195">
        <v>50.54</v>
      </c>
      <c r="Q195" t="s">
        <v>1139</v>
      </c>
      <c r="R195" t="str">
        <f>HYPERLINK("https://d28ji4sm1vmprj.cloudfront.net/528e04103b411e1177ffc9599dea26fd/6cee4de868e78899927c0ddeef287e29.jpeg", "Ссылка на план")</f>
        <v>Ссылка на план</v>
      </c>
      <c r="S195" s="1">
        <v>43784.612812500003</v>
      </c>
      <c r="W195" s="1">
        <v>43865.76353009259</v>
      </c>
      <c r="X195" t="s">
        <v>1140</v>
      </c>
      <c r="EC195" t="str">
        <f>HYPERLINK("https://d33htgqikc2pj4.cloudfront.net/7b2b0868-ddab-4b70-8a23-95c8a43f53d9.jpeg", "Кирилл Васенков: Ссылка на изображение")</f>
        <v>Кирилл Васенков: Ссылка на изображение</v>
      </c>
      <c r="ED195" t="str">
        <f>HYPERLINK("https://d33htgqikc2pj4.cloudfront.net/34f1bf1c-2fdc-4772-9de8-dba4a53abff7.jpeg", "Кирилл Васенков: Ссылка на изображение")</f>
        <v>Кирилл Васенков: Ссылка на изображение</v>
      </c>
      <c r="EE195" t="str">
        <f>HYPERLINK("https://d33htgqikc2pj4.cloudfront.net/1362a61b-18c1-4439-bbb1-7f740ed4ba33.jpeg", "Кирилл Васенков: Ссылка на изображение")</f>
        <v>Кирилл Васенков: Ссылка на изображение</v>
      </c>
      <c r="EF195" t="str">
        <f>HYPERLINK("https://d33htgqikc2pj4.cloudfront.net/b2fbd435-9946-486f-a134-26c5f7ce7393.jpeg", "Кирилл Васенков: Ссылка на изображение")</f>
        <v>Кирилл Васенков: Ссылка на изображение</v>
      </c>
      <c r="EG195" t="s">
        <v>1232</v>
      </c>
      <c r="EH195" t="s">
        <v>1142</v>
      </c>
      <c r="EI195" t="s">
        <v>1143</v>
      </c>
      <c r="EJ195" t="s">
        <v>1144</v>
      </c>
      <c r="EK195" t="s">
        <v>1004</v>
      </c>
      <c r="EL195" t="s">
        <v>1145</v>
      </c>
      <c r="EM195" t="s">
        <v>933</v>
      </c>
      <c r="EN195" t="s">
        <v>915</v>
      </c>
      <c r="EO195" t="s">
        <v>1233</v>
      </c>
      <c r="EP195" t="s">
        <v>1147</v>
      </c>
      <c r="EQ195" t="s">
        <v>1125</v>
      </c>
    </row>
    <row r="196" spans="1:157" ht="15" customHeight="1" x14ac:dyDescent="0.35">
      <c r="A196">
        <v>289</v>
      </c>
      <c r="B196" t="s">
        <v>1234</v>
      </c>
      <c r="C196">
        <v>2</v>
      </c>
      <c r="D196" t="str">
        <f>VLOOKUP(source[[#This Row],[Приоритет]],тПриоритеты[],2,0)</f>
        <v>Значительное</v>
      </c>
      <c r="E196" t="str">
        <f>IF(ISBLANK(source[[#This Row],[Проверенные]]),IF(ISBLANK(source[[#This Row],[Завершенные]]),source[[#This Row],[Приоритет_]],"Завершено"),"Проверено")</f>
        <v>Значительное</v>
      </c>
      <c r="F196" t="s">
        <v>866</v>
      </c>
      <c r="G196" t="s">
        <v>420</v>
      </c>
      <c r="H196" t="e">
        <f>VLOOKUP(source[[#This Row],[Отвественный]],тОтветственные[],2,0)</f>
        <v>#N/A</v>
      </c>
      <c r="I196" s="2">
        <v>43784</v>
      </c>
      <c r="J196" s="2">
        <v>43830</v>
      </c>
      <c r="K196" t="s">
        <v>1138</v>
      </c>
      <c r="L196">
        <v>30.36</v>
      </c>
      <c r="M196">
        <v>61.73</v>
      </c>
      <c r="Q196" t="s">
        <v>1139</v>
      </c>
      <c r="R196" t="str">
        <f>HYPERLINK("https://d28ji4sm1vmprj.cloudfront.net/528e04103b411e1177ffc9599dea26fd/6cee4de868e78899927c0ddeef287e29.jpeg", "Ссылка на план")</f>
        <v>Ссылка на план</v>
      </c>
      <c r="S196" s="1">
        <v>43784.683356481481</v>
      </c>
      <c r="W196" s="1">
        <v>43816.702499999999</v>
      </c>
      <c r="X196" t="s">
        <v>1140</v>
      </c>
      <c r="EC196" t="str">
        <f>HYPERLINK("https://d33htgqikc2pj4.cloudfront.net/e6f4e01a-53ba-42a2-88bc-bcd73fa634f6.jpeg", "Кирилл Васенков: Ссылка на изображение")</f>
        <v>Кирилл Васенков: Ссылка на изображение</v>
      </c>
      <c r="ED196" t="s">
        <v>1235</v>
      </c>
      <c r="EE196" t="s">
        <v>1004</v>
      </c>
      <c r="EF196" t="s">
        <v>1142</v>
      </c>
      <c r="EG196" t="s">
        <v>1143</v>
      </c>
      <c r="EH196" t="s">
        <v>1144</v>
      </c>
      <c r="EI196" t="s">
        <v>1145</v>
      </c>
      <c r="EJ196" t="s">
        <v>1236</v>
      </c>
    </row>
    <row r="197" spans="1:157" ht="15" customHeight="1" x14ac:dyDescent="0.35">
      <c r="A197">
        <v>284</v>
      </c>
      <c r="B197" t="s">
        <v>1237</v>
      </c>
      <c r="C197">
        <v>2</v>
      </c>
      <c r="D197" t="str">
        <f>VLOOKUP(source[[#This Row],[Приоритет]],тПриоритеты[],2,0)</f>
        <v>Значительное</v>
      </c>
      <c r="E197" t="str">
        <f>IF(ISBLANK(source[[#This Row],[Проверенные]]),IF(ISBLANK(source[[#This Row],[Завершенные]]),source[[#This Row],[Приоритет_]],"Завершено"),"Проверено")</f>
        <v>Значительное</v>
      </c>
      <c r="F197" t="s">
        <v>866</v>
      </c>
      <c r="G197" t="s">
        <v>420</v>
      </c>
      <c r="H197" t="e">
        <f>VLOOKUP(source[[#This Row],[Отвественный]],тОтветственные[],2,0)</f>
        <v>#N/A</v>
      </c>
      <c r="I197" s="2">
        <v>43784</v>
      </c>
      <c r="J197" s="2">
        <v>43829</v>
      </c>
      <c r="K197" t="s">
        <v>1138</v>
      </c>
      <c r="L197">
        <v>38.69</v>
      </c>
      <c r="M197">
        <v>48.45</v>
      </c>
      <c r="Q197" t="s">
        <v>1139</v>
      </c>
      <c r="R197" t="str">
        <f>HYPERLINK("https://d28ji4sm1vmprj.cloudfront.net/528e04103b411e1177ffc9599dea26fd/6cee4de868e78899927c0ddeef287e29.jpeg", "Ссылка на план")</f>
        <v>Ссылка на план</v>
      </c>
      <c r="S197" s="1">
        <v>43784.61278935185</v>
      </c>
      <c r="W197" s="1">
        <v>43865.757604166669</v>
      </c>
      <c r="X197" t="s">
        <v>1140</v>
      </c>
      <c r="EC197" t="str">
        <f>HYPERLINK("https://d33htgqikc2pj4.cloudfront.net/dd2c0549-3363-4016-a51a-3475e8be47b1.jpeg", "Кирилл Васенков: Ссылка на изображение")</f>
        <v>Кирилл Васенков: Ссылка на изображение</v>
      </c>
      <c r="ED197" t="str">
        <f>HYPERLINK("https://d33htgqikc2pj4.cloudfront.net/3949c914-7f30-40c3-98ee-cd5ac5606f1a.jpeg", "Кирилл Васенков: Ссылка на изображение")</f>
        <v>Кирилл Васенков: Ссылка на изображение</v>
      </c>
      <c r="EE197" t="str">
        <f>HYPERLINK("https://d33htgqikc2pj4.cloudfront.net/1f114a90-9c85-42bc-af54-281dcaa62ae2.jpeg", "Кирилл Васенков: Ссылка на изображение")</f>
        <v>Кирилл Васенков: Ссылка на изображение</v>
      </c>
      <c r="EF197" t="str">
        <f>HYPERLINK("https://d33htgqikc2pj4.cloudfront.net/e0393a33-27fd-473e-aaf5-09334c227d3e.jpeg", "Кирилл Васенков: Ссылка на изображение")</f>
        <v>Кирилл Васенков: Ссылка на изображение</v>
      </c>
      <c r="EG197" t="s">
        <v>1238</v>
      </c>
      <c r="EH197" t="s">
        <v>1142</v>
      </c>
      <c r="EI197" t="s">
        <v>1143</v>
      </c>
      <c r="EJ197" t="s">
        <v>1144</v>
      </c>
      <c r="EK197" t="s">
        <v>1165</v>
      </c>
      <c r="EL197" t="s">
        <v>933</v>
      </c>
      <c r="EM197" t="s">
        <v>915</v>
      </c>
      <c r="EN197" t="s">
        <v>1147</v>
      </c>
    </row>
    <row r="198" spans="1:157" ht="15" customHeight="1" x14ac:dyDescent="0.35">
      <c r="A198">
        <v>1211</v>
      </c>
      <c r="B198" t="s">
        <v>1239</v>
      </c>
      <c r="C198">
        <v>2</v>
      </c>
      <c r="D198" t="str">
        <f>VLOOKUP(source[[#This Row],[Приоритет]],тПриоритеты[],2,0)</f>
        <v>Значительное</v>
      </c>
      <c r="E198" t="str">
        <f>IF(ISBLANK(source[[#This Row],[Проверенные]]),IF(ISBLANK(source[[#This Row],[Завершенные]]),source[[#This Row],[Приоритет_]],"Завершено"),"Проверено")</f>
        <v>Значительное</v>
      </c>
      <c r="F198" t="s">
        <v>866</v>
      </c>
      <c r="G198" t="s">
        <v>420</v>
      </c>
      <c r="H198" t="e">
        <f>VLOOKUP(source[[#This Row],[Отвественный]],тОтветственные[],2,0)</f>
        <v>#N/A</v>
      </c>
      <c r="I198" s="2">
        <v>43867</v>
      </c>
      <c r="J198" s="2">
        <v>43875</v>
      </c>
      <c r="K198" t="s">
        <v>1240</v>
      </c>
      <c r="L198">
        <v>29.26</v>
      </c>
      <c r="M198">
        <v>25.42</v>
      </c>
      <c r="Q198" t="s">
        <v>1112</v>
      </c>
      <c r="R198" t="str">
        <f>HYPERLINK("https://d28ji4sm1vmprj.cloudfront.net/be9a9beedcbb53f6c58b073df3e816ce/1d3ca2b3bbd01fd74b97bda5325b2142.jpeg", "Ссылка на план")</f>
        <v>Ссылка на план</v>
      </c>
      <c r="S198" s="1">
        <v>43867.45721064815</v>
      </c>
      <c r="W198" s="1">
        <v>43871.355763888889</v>
      </c>
      <c r="X198" t="s">
        <v>1152</v>
      </c>
      <c r="EC198" t="s">
        <v>1241</v>
      </c>
      <c r="ED198" t="str">
        <f>HYPERLINK("https://d33htgqikc2pj4.cloudfront.net/f7d93493-bceb-4546-8101-0cd4cdebcc07.jpeg", "Кирилл Васенков: Ссылка на изображение")</f>
        <v>Кирилл Васенков: Ссылка на изображение</v>
      </c>
      <c r="EE198" t="s">
        <v>1242</v>
      </c>
      <c r="EF198" t="s">
        <v>1243</v>
      </c>
      <c r="EG198" t="s">
        <v>1004</v>
      </c>
      <c r="EH198" t="s">
        <v>930</v>
      </c>
      <c r="EI198" t="s">
        <v>1244</v>
      </c>
      <c r="EJ198" t="s">
        <v>1015</v>
      </c>
      <c r="EK198" t="s">
        <v>425</v>
      </c>
    </row>
    <row r="199" spans="1:157" ht="15" customHeight="1" x14ac:dyDescent="0.35">
      <c r="A199">
        <v>1209</v>
      </c>
      <c r="B199" t="s">
        <v>1239</v>
      </c>
      <c r="C199">
        <v>2</v>
      </c>
      <c r="D199" t="str">
        <f>VLOOKUP(source[[#This Row],[Приоритет]],тПриоритеты[],2,0)</f>
        <v>Значительное</v>
      </c>
      <c r="E199" t="str">
        <f>IF(ISBLANK(source[[#This Row],[Проверенные]]),IF(ISBLANK(source[[#This Row],[Завершенные]]),source[[#This Row],[Приоритет_]],"Завершено"),"Проверено")</f>
        <v>Значительное</v>
      </c>
      <c r="F199" t="s">
        <v>866</v>
      </c>
      <c r="G199" t="s">
        <v>420</v>
      </c>
      <c r="H199" t="e">
        <f>VLOOKUP(source[[#This Row],[Отвественный]],тОтветственные[],2,0)</f>
        <v>#N/A</v>
      </c>
      <c r="I199" s="2">
        <v>43867</v>
      </c>
      <c r="J199" s="2">
        <v>43875</v>
      </c>
      <c r="K199" t="s">
        <v>1240</v>
      </c>
      <c r="L199">
        <v>35.83</v>
      </c>
      <c r="M199">
        <v>14.94</v>
      </c>
      <c r="Q199" t="s">
        <v>1112</v>
      </c>
      <c r="R199" t="str">
        <f>HYPERLINK("https://d28ji4sm1vmprj.cloudfront.net/be9a9beedcbb53f6c58b073df3e816ce/1d3ca2b3bbd01fd74b97bda5325b2142.jpeg", "Ссылка на план")</f>
        <v>Ссылка на план</v>
      </c>
      <c r="S199" s="1">
        <v>43867.45716435185</v>
      </c>
      <c r="W199" s="1">
        <v>43871.355636574073</v>
      </c>
      <c r="X199" t="s">
        <v>1152</v>
      </c>
      <c r="EC199" t="str">
        <f>HYPERLINK("https://d33htgqikc2pj4.cloudfront.net/bc145c21-4577-456d-a840-8d73027e7499.jpeg", "Кирилл Васенков: Ссылка на изображение")</f>
        <v>Кирилл Васенков: Ссылка на изображение</v>
      </c>
      <c r="ED199" t="s">
        <v>1245</v>
      </c>
      <c r="EE199" t="s">
        <v>1246</v>
      </c>
      <c r="EF199" t="s">
        <v>1247</v>
      </c>
      <c r="EG199" t="s">
        <v>1244</v>
      </c>
      <c r="EH199" t="s">
        <v>1015</v>
      </c>
      <c r="EI199" t="s">
        <v>1243</v>
      </c>
      <c r="EJ199" t="s">
        <v>930</v>
      </c>
      <c r="EK199" t="s">
        <v>425</v>
      </c>
    </row>
    <row r="200" spans="1:157" ht="15" customHeight="1" x14ac:dyDescent="0.35">
      <c r="A200">
        <v>1236</v>
      </c>
      <c r="B200" t="s">
        <v>1248</v>
      </c>
      <c r="C200">
        <v>2</v>
      </c>
      <c r="D200" t="str">
        <f>VLOOKUP(source[[#This Row],[Приоритет]],тПриоритеты[],2,0)</f>
        <v>Значительное</v>
      </c>
      <c r="E200" t="str">
        <f>IF(ISBLANK(source[[#This Row],[Проверенные]]),IF(ISBLANK(source[[#This Row],[Завершенные]]),source[[#This Row],[Приоритет_]],"Завершено"),"Проверено")</f>
        <v>Значительное</v>
      </c>
      <c r="F200" t="s">
        <v>866</v>
      </c>
      <c r="G200" t="s">
        <v>420</v>
      </c>
      <c r="H200" t="e">
        <f>VLOOKUP(source[[#This Row],[Отвественный]],тОтветственные[],2,0)</f>
        <v>#N/A</v>
      </c>
      <c r="I200" s="2">
        <v>43866</v>
      </c>
      <c r="J200" s="2">
        <v>43875</v>
      </c>
      <c r="K200" t="s">
        <v>1249</v>
      </c>
      <c r="L200">
        <v>21.17</v>
      </c>
      <c r="M200">
        <v>33.15</v>
      </c>
      <c r="Q200" t="s">
        <v>397</v>
      </c>
      <c r="R200" t="str">
        <f>HYPERLINK("https://d28ji4sm1vmprj.cloudfront.net/8b81ef2b0a30062978386134f36f4f7f/dac1af1f5ebb16f1fef2aabf7a8bd274.jpeg", "Ссылка на план")</f>
        <v>Ссылка на план</v>
      </c>
      <c r="S200" s="1">
        <v>43868.53398148148</v>
      </c>
      <c r="W200" s="1">
        <v>43871.356342592589</v>
      </c>
      <c r="X200" t="s">
        <v>398</v>
      </c>
      <c r="Y200" t="s">
        <v>399</v>
      </c>
      <c r="AA200" t="s">
        <v>1250</v>
      </c>
      <c r="EC200" t="s">
        <v>1251</v>
      </c>
      <c r="ED200" t="str">
        <f>HYPERLINK("https://d33htgqikc2pj4.cloudfront.net/999b2aef73be8ff00c223df76dd09eff/54ad87a29c922921d1e49ea716caa90a-file.jpeg", "Кирилл Васенков: Ссылка на изображение")</f>
        <v>Кирилл Васенков: Ссылка на изображение</v>
      </c>
      <c r="EE200" t="str">
        <f>HYPERLINK("https://d33htgqikc2pj4.cloudfront.net/4dca93d2f1c6d310d9d85cef9713a2e4/0e1be27dad9fe359dfccdf6463c46b2e-file.jpeg", "Кирилл Васенков: Ссылка на изображение")</f>
        <v>Кирилл Васенков: Ссылка на изображение</v>
      </c>
      <c r="EF200" t="s">
        <v>1252</v>
      </c>
      <c r="EG200" t="s">
        <v>1004</v>
      </c>
      <c r="EH200" t="s">
        <v>930</v>
      </c>
      <c r="EI200" t="s">
        <v>1253</v>
      </c>
      <c r="EJ200" t="s">
        <v>1015</v>
      </c>
      <c r="EK200" t="s">
        <v>425</v>
      </c>
    </row>
    <row r="201" spans="1:157" ht="15" customHeight="1" x14ac:dyDescent="0.35">
      <c r="A201">
        <v>1208</v>
      </c>
      <c r="B201" t="s">
        <v>1239</v>
      </c>
      <c r="C201">
        <v>2</v>
      </c>
      <c r="D201" t="str">
        <f>VLOOKUP(source[[#This Row],[Приоритет]],тПриоритеты[],2,0)</f>
        <v>Значительное</v>
      </c>
      <c r="E201" t="str">
        <f>IF(ISBLANK(source[[#This Row],[Проверенные]]),IF(ISBLANK(source[[#This Row],[Завершенные]]),source[[#This Row],[Приоритет_]],"Завершено"),"Проверено")</f>
        <v>Значительное</v>
      </c>
      <c r="F201" t="s">
        <v>866</v>
      </c>
      <c r="G201" t="s">
        <v>420</v>
      </c>
      <c r="H201" t="e">
        <f>VLOOKUP(source[[#This Row],[Отвественный]],тОтветственные[],2,0)</f>
        <v>#N/A</v>
      </c>
      <c r="I201" s="2">
        <v>43867</v>
      </c>
      <c r="J201" s="2">
        <v>43875</v>
      </c>
      <c r="K201" t="s">
        <v>1240</v>
      </c>
      <c r="L201">
        <v>35.450000000000003</v>
      </c>
      <c r="M201">
        <v>19.7</v>
      </c>
      <c r="Q201" t="s">
        <v>1112</v>
      </c>
      <c r="R201" t="str">
        <f>HYPERLINK("https://d28ji4sm1vmprj.cloudfront.net/be9a9beedcbb53f6c58b073df3e816ce/1d3ca2b3bbd01fd74b97bda5325b2142.jpeg", "Ссылка на план")</f>
        <v>Ссылка на план</v>
      </c>
      <c r="S201" s="1">
        <v>43867.457129629627</v>
      </c>
      <c r="W201" s="1">
        <v>43871.355474537035</v>
      </c>
      <c r="X201" t="s">
        <v>1152</v>
      </c>
      <c r="EC201" t="s">
        <v>1254</v>
      </c>
      <c r="ED201" t="str">
        <f>HYPERLINK("https://d33htgqikc2pj4.cloudfront.net/4ba69a48-ba73-4fe7-84e8-9f74980d5d05.jpeg", "Кирилл Васенков: Ссылка на изображение")</f>
        <v>Кирилл Васенков: Ссылка на изображение</v>
      </c>
      <c r="EE201" t="str">
        <f>HYPERLINK("https://d33htgqikc2pj4.cloudfront.net/ed5342cc-4184-443c-898a-ab4a1737b26b.jpeg", "Кирилл Васенков: Ссылка на изображение")</f>
        <v>Кирилл Васенков: Ссылка на изображение</v>
      </c>
      <c r="EF201" t="s">
        <v>1243</v>
      </c>
      <c r="EG201" t="s">
        <v>930</v>
      </c>
      <c r="EH201" t="s">
        <v>1244</v>
      </c>
      <c r="EI201" t="s">
        <v>1015</v>
      </c>
      <c r="EJ201" t="s">
        <v>1255</v>
      </c>
      <c r="EK201" t="s">
        <v>425</v>
      </c>
    </row>
    <row r="202" spans="1:157" ht="15" customHeight="1" x14ac:dyDescent="0.35">
      <c r="A202">
        <v>1190</v>
      </c>
      <c r="B202" t="s">
        <v>1256</v>
      </c>
      <c r="C202">
        <v>2</v>
      </c>
      <c r="D202" t="str">
        <f>VLOOKUP(source[[#This Row],[Приоритет]],тПриоритеты[],2,0)</f>
        <v>Значительное</v>
      </c>
      <c r="E202" t="str">
        <f>IF(ISBLANK(source[[#This Row],[Проверенные]]),IF(ISBLANK(source[[#This Row],[Завершенные]]),source[[#This Row],[Приоритет_]],"Завершено"),"Проверено")</f>
        <v>Значительное</v>
      </c>
      <c r="F202" t="s">
        <v>866</v>
      </c>
      <c r="G202" t="s">
        <v>420</v>
      </c>
      <c r="H202" t="e">
        <f>VLOOKUP(source[[#This Row],[Отвественный]],тОтветственные[],2,0)</f>
        <v>#N/A</v>
      </c>
      <c r="I202" s="2">
        <v>43866</v>
      </c>
      <c r="J202" s="2">
        <v>43875</v>
      </c>
      <c r="S202" s="1">
        <v>43866.526435185187</v>
      </c>
      <c r="W202" s="1">
        <v>43871.355104166665</v>
      </c>
      <c r="EC202" t="str">
        <f>HYPERLINK("https://d33htgqikc2pj4.cloudfront.net/c5394d471cb7aebe6b210a7a885ff7bd/9a98cb8e01d7665aa37cefc44d50fde4-file.jpeg", "Кирилл Васенков: Ссылка на изображение")</f>
        <v>Кирилл Васенков: Ссылка на изображение</v>
      </c>
      <c r="ED202" t="str">
        <f>HYPERLINK("https://d33htgqikc2pj4.cloudfront.net/5b79394f629d8d1fbe22ff051c28db10/97dd0dce6a8eb72bc38f8f2e651e1feb-file.jpeg", "Кирилл Васенков: Ссылка на изображение")</f>
        <v>Кирилл Васенков: Ссылка на изображение</v>
      </c>
      <c r="EE202" t="str">
        <f>HYPERLINK("https://d33htgqikc2pj4.cloudfront.net/ed76063946c8103caf62d06a9473c109/2c32ec2e0d8e8986993d3d77816d1480-file.jpeg", "Кирилл Васенков: Ссылка на изображение")</f>
        <v>Кирилл Васенков: Ссылка на изображение</v>
      </c>
      <c r="EF202" t="str">
        <f>HYPERLINK("https://d33htgqikc2pj4.cloudfront.net/def79326cda6e4fe93c97703ce42a7df/9eb13f1457792c8fa70f3302c6b822b4-file.jpeg", "Кирилл Васенков: Ссылка на изображение")</f>
        <v>Кирилл Васенков: Ссылка на изображение</v>
      </c>
      <c r="EG202" t="str">
        <f>HYPERLINK("https://d33htgqikc2pj4.cloudfront.net/9005170062ee5ceb32dc77f554b12622/10be823ab5d34f569effc55ce5a4f038-file.jpeg", "Кирилл Васенков: Ссылка на изображение")</f>
        <v>Кирилл Васенков: Ссылка на изображение</v>
      </c>
      <c r="EH202" t="str">
        <f>HYPERLINK("https://d33htgqikc2pj4.cloudfront.net/968cf64fd3c7da141a300cdd31cb30c1/71130df6dd8538f6e149939c0d8c272e-file.jpeg", "Кирилл Васенков: Ссылка на изображение")</f>
        <v>Кирилл Васенков: Ссылка на изображение</v>
      </c>
      <c r="EI202" t="str">
        <f>HYPERLINK("https://d33htgqikc2pj4.cloudfront.net/c7b10d22f799f4e362035ead36b529fd/419790e582634c95240de46fe3b41d6d-file.jpeg", "Кирилл Васенков: Ссылка на изображение")</f>
        <v>Кирилл Васенков: Ссылка на изображение</v>
      </c>
      <c r="EJ202" t="str">
        <f>HYPERLINK("https://d33htgqikc2pj4.cloudfront.net/debc8e0b469119b8016fbb11ce00f0f8/a3d2f2b70d303ccff78bc8d8804199e6-file.jpeg", "Кирилл Васенков: Ссылка на изображение")</f>
        <v>Кирилл Васенков: Ссылка на изображение</v>
      </c>
      <c r="EK202" t="s">
        <v>1257</v>
      </c>
      <c r="EL202" t="s">
        <v>930</v>
      </c>
      <c r="EM202" t="s">
        <v>1253</v>
      </c>
      <c r="EN202" t="s">
        <v>1015</v>
      </c>
      <c r="EO202" t="s">
        <v>1258</v>
      </c>
      <c r="EP202" t="s">
        <v>425</v>
      </c>
    </row>
    <row r="203" spans="1:157" ht="15" customHeight="1" x14ac:dyDescent="0.35">
      <c r="A203">
        <v>1213</v>
      </c>
      <c r="B203" t="s">
        <v>1259</v>
      </c>
      <c r="C203">
        <v>2</v>
      </c>
      <c r="D203" t="str">
        <f>VLOOKUP(source[[#This Row],[Приоритет]],тПриоритеты[],2,0)</f>
        <v>Значительное</v>
      </c>
      <c r="E203" t="str">
        <f>IF(ISBLANK(source[[#This Row],[Проверенные]]),IF(ISBLANK(source[[#This Row],[Завершенные]]),source[[#This Row],[Приоритет_]],"Завершено"),"Проверено")</f>
        <v>Значительное</v>
      </c>
      <c r="F203" t="s">
        <v>866</v>
      </c>
      <c r="G203" t="s">
        <v>420</v>
      </c>
      <c r="H203" t="e">
        <f>VLOOKUP(source[[#This Row],[Отвественный]],тОтветственные[],2,0)</f>
        <v>#N/A</v>
      </c>
      <c r="I203" s="2">
        <v>43867</v>
      </c>
      <c r="J203" s="2">
        <v>43875</v>
      </c>
      <c r="K203" t="s">
        <v>1260</v>
      </c>
      <c r="L203">
        <v>22.48</v>
      </c>
      <c r="M203">
        <v>25.89</v>
      </c>
      <c r="Q203" t="s">
        <v>1112</v>
      </c>
      <c r="R203" t="str">
        <f>HYPERLINK("https://d28ji4sm1vmprj.cloudfront.net/ca8075ab3eb1cf18ac938f1549170b2e/07dcaf302e0a3120f984e03da7b43927.jpeg", "Ссылка на план")</f>
        <v>Ссылка на план</v>
      </c>
      <c r="S203" s="1">
        <v>43867.4684837963</v>
      </c>
      <c r="W203" s="1">
        <v>43871.355902777781</v>
      </c>
      <c r="X203" t="s">
        <v>1152</v>
      </c>
      <c r="EC203" t="s">
        <v>1261</v>
      </c>
      <c r="ED203" t="str">
        <f>HYPERLINK("https://d33htgqikc2pj4.cloudfront.net/a4086545-ec90-469b-9a71-eb4ed638ca4d.jpeg", "Кирилл Васенков: Ссылка на изображение")</f>
        <v>Кирилл Васенков: Ссылка на изображение</v>
      </c>
      <c r="EE203" t="str">
        <f>HYPERLINK("https://d33htgqikc2pj4.cloudfront.net/64751d05-a62c-4a71-8059-2851e9dd5cee.jpeg", "Кирилл Васенков: Ссылка на изображение")</f>
        <v>Кирилл Васенков: Ссылка на изображение</v>
      </c>
      <c r="EF203" t="str">
        <f>HYPERLINK("https://d33htgqikc2pj4.cloudfront.net/59d070ef-ce87-4734-85ee-f90f7eb90ea3.jpeg", "Кирилл Васенков: Ссылка на изображение")</f>
        <v>Кирилл Васенков: Ссылка на изображение</v>
      </c>
      <c r="EG203" t="s">
        <v>1262</v>
      </c>
      <c r="EH203" t="s">
        <v>1263</v>
      </c>
      <c r="EI203" t="s">
        <v>1264</v>
      </c>
      <c r="EJ203" t="s">
        <v>1265</v>
      </c>
      <c r="EK203" t="s">
        <v>930</v>
      </c>
      <c r="EL203" t="s">
        <v>1244</v>
      </c>
      <c r="EM203" t="s">
        <v>1015</v>
      </c>
      <c r="EN203" t="s">
        <v>425</v>
      </c>
    </row>
    <row r="204" spans="1:157" ht="15" customHeight="1" x14ac:dyDescent="0.35">
      <c r="A204">
        <v>287</v>
      </c>
      <c r="B204" t="s">
        <v>1266</v>
      </c>
      <c r="C204">
        <v>2</v>
      </c>
      <c r="D204" t="str">
        <f>VLOOKUP(source[[#This Row],[Приоритет]],тПриоритеты[],2,0)</f>
        <v>Значительное</v>
      </c>
      <c r="E204" t="str">
        <f>IF(ISBLANK(source[[#This Row],[Проверенные]]),IF(ISBLANK(source[[#This Row],[Завершенные]]),source[[#This Row],[Приоритет_]],"Завершено"),"Проверено")</f>
        <v>Значительное</v>
      </c>
      <c r="F204" t="s">
        <v>866</v>
      </c>
      <c r="G204" t="s">
        <v>420</v>
      </c>
      <c r="H204" t="e">
        <f>VLOOKUP(source[[#This Row],[Отвественный]],тОтветственные[],2,0)</f>
        <v>#N/A</v>
      </c>
      <c r="I204" s="2">
        <v>43784</v>
      </c>
      <c r="J204" s="2">
        <v>43875</v>
      </c>
      <c r="K204" t="s">
        <v>1138</v>
      </c>
      <c r="L204">
        <v>36.840000000000003</v>
      </c>
      <c r="M204">
        <v>52.98</v>
      </c>
      <c r="Q204" t="s">
        <v>1139</v>
      </c>
      <c r="R204" t="str">
        <f>HYPERLINK("https://d28ji4sm1vmprj.cloudfront.net/528e04103b411e1177ffc9599dea26fd/6cee4de868e78899927c0ddeef287e29.jpeg", "Ссылка на план")</f>
        <v>Ссылка на план</v>
      </c>
      <c r="S204" s="1">
        <v>43784.612824074073</v>
      </c>
      <c r="W204" s="1">
        <v>43871.581192129626</v>
      </c>
      <c r="X204" t="s">
        <v>1140</v>
      </c>
      <c r="EC204" t="str">
        <f>HYPERLINK("https://d33htgqikc2pj4.cloudfront.net/b9aa192f-20d3-4e54-acdd-9088d489d7af.jpeg", "Кирилл Васенков: Ссылка на изображение")</f>
        <v>Кирилл Васенков: Ссылка на изображение</v>
      </c>
      <c r="ED204" t="s">
        <v>1267</v>
      </c>
      <c r="EE204" t="s">
        <v>1142</v>
      </c>
      <c r="EF204" t="s">
        <v>1004</v>
      </c>
      <c r="EG204" t="s">
        <v>1143</v>
      </c>
      <c r="EH204" t="s">
        <v>1144</v>
      </c>
      <c r="EI204" t="s">
        <v>1145</v>
      </c>
      <c r="EJ204" t="s">
        <v>933</v>
      </c>
      <c r="EK204" t="s">
        <v>915</v>
      </c>
      <c r="EL204" t="s">
        <v>1268</v>
      </c>
      <c r="EM204" t="s">
        <v>1147</v>
      </c>
      <c r="EN204" t="s">
        <v>1015</v>
      </c>
      <c r="EO204" t="s">
        <v>1125</v>
      </c>
      <c r="EP204" t="s">
        <v>1269</v>
      </c>
    </row>
    <row r="205" spans="1:157" ht="15" customHeight="1" x14ac:dyDescent="0.35">
      <c r="A205">
        <v>285</v>
      </c>
      <c r="B205" t="s">
        <v>1270</v>
      </c>
      <c r="C205">
        <v>2</v>
      </c>
      <c r="D205" t="str">
        <f>VLOOKUP(source[[#This Row],[Приоритет]],тПриоритеты[],2,0)</f>
        <v>Значительное</v>
      </c>
      <c r="E205" t="str">
        <f>IF(ISBLANK(source[[#This Row],[Проверенные]]),IF(ISBLANK(source[[#This Row],[Завершенные]]),source[[#This Row],[Приоритет_]],"Завершено"),"Проверено")</f>
        <v>Значительное</v>
      </c>
      <c r="F205" t="s">
        <v>866</v>
      </c>
      <c r="G205" t="s">
        <v>420</v>
      </c>
      <c r="H205" t="e">
        <f>VLOOKUP(source[[#This Row],[Отвественный]],тОтветственные[],2,0)</f>
        <v>#N/A</v>
      </c>
      <c r="I205" s="2">
        <v>43784</v>
      </c>
      <c r="J205" s="2">
        <v>43875</v>
      </c>
      <c r="K205" t="s">
        <v>1138</v>
      </c>
      <c r="L205">
        <v>38.35</v>
      </c>
      <c r="M205">
        <v>48.87</v>
      </c>
      <c r="Q205" t="s">
        <v>1139</v>
      </c>
      <c r="R205" t="str">
        <f>HYPERLINK("https://d28ji4sm1vmprj.cloudfront.net/528e04103b411e1177ffc9599dea26fd/6cee4de868e78899927c0ddeef287e29.jpeg", "Ссылка на план")</f>
        <v>Ссылка на план</v>
      </c>
      <c r="S205" s="1">
        <v>43784.612800925926</v>
      </c>
      <c r="W205" s="1">
        <v>43871.580717592595</v>
      </c>
      <c r="X205" t="s">
        <v>1140</v>
      </c>
      <c r="EC205" t="str">
        <f>HYPERLINK("https://d33htgqikc2pj4.cloudfront.net/9b03767a-8a96-4bd3-8b47-1d9e5a491acc.jpeg", "Кирилл Васенков: Ссылка на изображение")</f>
        <v>Кирилл Васенков: Ссылка на изображение</v>
      </c>
      <c r="ED205" t="s">
        <v>1271</v>
      </c>
      <c r="EE205" t="s">
        <v>1143</v>
      </c>
      <c r="EF205" t="s">
        <v>1144</v>
      </c>
      <c r="EG205" t="s">
        <v>1004</v>
      </c>
      <c r="EH205" t="s">
        <v>1142</v>
      </c>
      <c r="EI205" t="s">
        <v>1145</v>
      </c>
      <c r="EJ205" t="s">
        <v>933</v>
      </c>
      <c r="EK205" t="s">
        <v>915</v>
      </c>
      <c r="EL205" t="s">
        <v>1268</v>
      </c>
      <c r="EM205" t="s">
        <v>1147</v>
      </c>
      <c r="EN205" t="s">
        <v>1015</v>
      </c>
      <c r="EO205" t="s">
        <v>1125</v>
      </c>
    </row>
    <row r="206" spans="1:157" ht="15" customHeight="1" x14ac:dyDescent="0.35">
      <c r="A206">
        <v>191</v>
      </c>
      <c r="B206" t="s">
        <v>1272</v>
      </c>
      <c r="C206">
        <v>2</v>
      </c>
      <c r="D206" t="str">
        <f>VLOOKUP(source[[#This Row],[Приоритет]],тПриоритеты[],2,0)</f>
        <v>Значительное</v>
      </c>
      <c r="E206" t="str">
        <f>IF(ISBLANK(source[[#This Row],[Проверенные]]),IF(ISBLANK(source[[#This Row],[Завершенные]]),source[[#This Row],[Приоритет_]],"Завершено"),"Проверено")</f>
        <v>Значительное</v>
      </c>
      <c r="F206" t="s">
        <v>866</v>
      </c>
      <c r="G206" t="s">
        <v>420</v>
      </c>
      <c r="H206" t="e">
        <f>VLOOKUP(source[[#This Row],[Отвественный]],тОтветственные[],2,0)</f>
        <v>#N/A</v>
      </c>
      <c r="I206" s="2">
        <v>43777</v>
      </c>
      <c r="J206" s="2">
        <v>43829</v>
      </c>
      <c r="K206" t="s">
        <v>1138</v>
      </c>
      <c r="L206">
        <v>72.709999999999994</v>
      </c>
      <c r="M206">
        <v>73.75</v>
      </c>
      <c r="Q206" t="s">
        <v>1139</v>
      </c>
      <c r="R206" t="str">
        <f>HYPERLINK("https://d28ji4sm1vmprj.cloudfront.net/528e04103b411e1177ffc9599dea26fd/6cee4de868e78899927c0ddeef287e29.jpeg", "Ссылка на план")</f>
        <v>Ссылка на план</v>
      </c>
      <c r="S206" s="1">
        <v>43777.508738425924</v>
      </c>
      <c r="W206" s="1">
        <v>43851.530601851853</v>
      </c>
      <c r="X206" t="s">
        <v>1140</v>
      </c>
      <c r="EC206" t="str">
        <f>HYPERLINK("https://d33htgqikc2pj4.cloudfront.net/ec9427f9-66db-4962-899a-908de783e2c2.jpeg", "Кирилл Васенков: Ссылка на изображение")</f>
        <v>Кирилл Васенков: Ссылка на изображение</v>
      </c>
      <c r="ED206" t="str">
        <f>HYPERLINK("https://d33htgqikc2pj4.cloudfront.net/ee94de8a-feeb-4871-a7b3-765e92c50898.jpeg", "Кирилл Васенков: Ссылка на изображение")</f>
        <v>Кирилл Васенков: Ссылка на изображение</v>
      </c>
      <c r="EE206" t="str">
        <f>HYPERLINK("https://d33htgqikc2pj4.cloudfront.net/4bad6cad-33e9-4c57-b122-2cbc85651282.jpeg", "Кирилл Васенков: Ссылка на изображение")</f>
        <v>Кирилл Васенков: Ссылка на изображение</v>
      </c>
      <c r="EF206" t="str">
        <f>HYPERLINK("https://d33htgqikc2pj4.cloudfront.net/4daa8912-efb7-4320-813a-e845621a4b52.jpeg", "Кирилл Васенков: Ссылка на изображение")</f>
        <v>Кирилл Васенков: Ссылка на изображение</v>
      </c>
      <c r="EG206" t="s">
        <v>1273</v>
      </c>
      <c r="EH206" t="s">
        <v>1274</v>
      </c>
      <c r="EI206" t="str">
        <f>HYPERLINK("https://d33htgqikc2pj4.cloudfront.net/d58d7a2f-2247-48e0-86b7-d76d42f12c1a.jpeg", "Кирилл Васенков: Ссылка на изображение")</f>
        <v>Кирилл Васенков: Ссылка на изображение</v>
      </c>
      <c r="EJ206" t="str">
        <f>HYPERLINK("https://d33htgqikc2pj4.cloudfront.net/a033b655-831c-4d34-bb56-8c15b83f0d44.jpeg", "Кирилл Васенков: Ссылка на изображение")</f>
        <v>Кирилл Васенков: Ссылка на изображение</v>
      </c>
      <c r="EK206" t="str">
        <f>HYPERLINK("https://d33htgqikc2pj4.cloudfront.net/37f2711e-ff3b-4771-b9c6-b895f7bad13e.jpeg", "Кирилл Васенков: Ссылка на изображение")</f>
        <v>Кирилл Васенков: Ссылка на изображение</v>
      </c>
      <c r="EL206" t="str">
        <f>HYPERLINK("https://d33htgqikc2pj4.cloudfront.net/4d9dabce-7eaa-4057-acc5-5fb9ddda8089.jpeg", "Кирилл Васенков: Ссылка на изображение")</f>
        <v>Кирилл Васенков: Ссылка на изображение</v>
      </c>
      <c r="EM206" t="s">
        <v>1275</v>
      </c>
      <c r="EN206" t="s">
        <v>929</v>
      </c>
      <c r="EO206" t="s">
        <v>930</v>
      </c>
      <c r="EP206" t="s">
        <v>931</v>
      </c>
      <c r="EQ206" t="s">
        <v>932</v>
      </c>
      <c r="ER206" t="s">
        <v>425</v>
      </c>
      <c r="ES206" t="s">
        <v>933</v>
      </c>
      <c r="ET206" t="s">
        <v>915</v>
      </c>
      <c r="EU206" t="s">
        <v>1147</v>
      </c>
      <c r="EV206" t="s">
        <v>1276</v>
      </c>
      <c r="EW206" t="str">
        <f>HYPERLINK("https://d33htgqikc2pj4.cloudfront.net/qvHDimMUqxZcQnsj/0a5edd3d-be82-4f12-8a1c-a2e927b3fd2f.jpeg", "Отопление и Кондиционирование Renaissance: Ссылка на изображение")</f>
        <v>Отопление и Кондиционирование Renaissance: Ссылка на изображение</v>
      </c>
      <c r="EX206" t="str">
        <f>HYPERLINK("https://d33htgqikc2pj4.cloudfront.net/qvHDimMUqxZcQnsj/40079fc2-e612-4189-83ad-8b4028ada081.jpeg", "Отопление и Кондиционирование Renaissance: Ссылка на изображение")</f>
        <v>Отопление и Кондиционирование Renaissance: Ссылка на изображение</v>
      </c>
      <c r="EY206" t="s">
        <v>1147</v>
      </c>
      <c r="EZ206" t="s">
        <v>1277</v>
      </c>
      <c r="FA206" t="s">
        <v>1125</v>
      </c>
    </row>
    <row r="207" spans="1:157" ht="15" customHeight="1" x14ac:dyDescent="0.35">
      <c r="A207">
        <v>652</v>
      </c>
      <c r="B207" t="s">
        <v>1278</v>
      </c>
      <c r="C207">
        <v>2</v>
      </c>
      <c r="D207" t="str">
        <f>VLOOKUP(source[[#This Row],[Приоритет]],тПриоритеты[],2,0)</f>
        <v>Значительное</v>
      </c>
      <c r="E207" t="str">
        <f>IF(ISBLANK(source[[#This Row],[Проверенные]]),IF(ISBLANK(source[[#This Row],[Завершенные]]),source[[#This Row],[Приоритет_]],"Завершено"),"Проверено")</f>
        <v>Значительное</v>
      </c>
      <c r="F207" t="s">
        <v>866</v>
      </c>
      <c r="G207" t="s">
        <v>420</v>
      </c>
      <c r="H207" t="e">
        <f>VLOOKUP(source[[#This Row],[Отвественный]],тОтветственные[],2,0)</f>
        <v>#N/A</v>
      </c>
      <c r="I207" s="2">
        <v>43816</v>
      </c>
      <c r="J207" s="2">
        <v>43829</v>
      </c>
      <c r="K207" t="s">
        <v>1279</v>
      </c>
      <c r="L207">
        <v>26.91</v>
      </c>
      <c r="M207">
        <v>40.42</v>
      </c>
      <c r="Q207" t="s">
        <v>1112</v>
      </c>
      <c r="R207" t="str">
        <f>HYPERLINK("https://d28ji4sm1vmprj.cloudfront.net/f03748aaf72adb349923ee89547b6d9c/25c2aa4f717746f9f03c4820a54c623c.jpeg", "Ссылка на план")</f>
        <v>Ссылка на план</v>
      </c>
      <c r="S207" s="1">
        <v>43816.631793981483</v>
      </c>
      <c r="W207" s="1">
        <v>43853.533275462964</v>
      </c>
      <c r="X207" t="s">
        <v>1280</v>
      </c>
      <c r="EC207" t="s">
        <v>1281</v>
      </c>
      <c r="ED207" t="str">
        <f>HYPERLINK("https://d33htgqikc2pj4.cloudfront.net/6a38045c-732a-4669-866a-8a96cb4d2516.jpeg", "Кирилл Васенков: Ссылка на изображение")</f>
        <v>Кирилл Васенков: Ссылка на изображение</v>
      </c>
      <c r="EE207" t="s">
        <v>930</v>
      </c>
      <c r="EF207" t="s">
        <v>1004</v>
      </c>
      <c r="EG207" t="s">
        <v>1282</v>
      </c>
      <c r="EH207" t="s">
        <v>915</v>
      </c>
      <c r="EI207" t="s">
        <v>425</v>
      </c>
      <c r="EJ207" t="s">
        <v>1283</v>
      </c>
      <c r="EK207" t="s">
        <v>1276</v>
      </c>
      <c r="EL207" t="s">
        <v>1147</v>
      </c>
      <c r="EM207" t="str">
        <f>HYPERLINK("https://d33htgqikc2pj4.cloudfront.net/qvHDimMUqxZcQnsj/iOOnvYE6S6GxFQdKw9u7_РК-РД-2-ОВ4.2.03-04.03-05 (1).pdf", "Кирилл Васенков: Ссылка на файл")</f>
        <v>Кирилл Васенков: Ссылка на файл</v>
      </c>
      <c r="EN207" t="s">
        <v>1125</v>
      </c>
      <c r="EO207" t="s">
        <v>1284</v>
      </c>
    </row>
    <row r="208" spans="1:157" ht="15" customHeight="1" x14ac:dyDescent="0.35">
      <c r="A208">
        <v>291</v>
      </c>
      <c r="B208" t="s">
        <v>1285</v>
      </c>
      <c r="C208">
        <v>2</v>
      </c>
      <c r="D208" t="str">
        <f>VLOOKUP(source[[#This Row],[Приоритет]],тПриоритеты[],2,0)</f>
        <v>Значительное</v>
      </c>
      <c r="E208" t="str">
        <f>IF(ISBLANK(source[[#This Row],[Проверенные]]),IF(ISBLANK(source[[#This Row],[Завершенные]]),source[[#This Row],[Приоритет_]],"Завершено"),"Проверено")</f>
        <v>Завершено</v>
      </c>
      <c r="F208" t="s">
        <v>866</v>
      </c>
      <c r="G208" t="s">
        <v>420</v>
      </c>
      <c r="H208" t="e">
        <f>VLOOKUP(source[[#This Row],[Отвественный]],тОтветственные[],2,0)</f>
        <v>#N/A</v>
      </c>
      <c r="I208" s="2">
        <v>43784</v>
      </c>
      <c r="J208" s="2">
        <v>43829</v>
      </c>
      <c r="K208" t="s">
        <v>1138</v>
      </c>
      <c r="L208">
        <v>21.74</v>
      </c>
      <c r="M208">
        <v>50.65</v>
      </c>
      <c r="Q208" t="s">
        <v>1139</v>
      </c>
      <c r="R208" t="str">
        <f>HYPERLINK("https://d28ji4sm1vmprj.cloudfront.net/528e04103b411e1177ffc9599dea26fd/6cee4de868e78899927c0ddeef287e29.jpeg", "Ссылка на план")</f>
        <v>Ссылка на план</v>
      </c>
      <c r="S208" s="1">
        <v>43784.683391203704</v>
      </c>
      <c r="T208" s="1">
        <v>43871.582094907404</v>
      </c>
      <c r="W208" s="1">
        <v>43871.582094907404</v>
      </c>
      <c r="X208" t="s">
        <v>1140</v>
      </c>
      <c r="EC208" t="str">
        <f>HYPERLINK("https://d33htgqikc2pj4.cloudfront.net/d5ec4ada-e761-4680-af91-eb128395cbf5.jpeg", "Кирилл Васенков: Ссылка на изображение")</f>
        <v>Кирилл Васенков: Ссылка на изображение</v>
      </c>
      <c r="ED208" t="s">
        <v>1286</v>
      </c>
      <c r="EE208" t="str">
        <f>HYPERLINK("https://d33htgqikc2pj4.cloudfront.net/41df8fa8-034a-43d0-8eee-334f4b1b9205.jpeg", "Кирилл Васенков: Ссылка на изображение")</f>
        <v>Кирилл Васенков: Ссылка на изображение</v>
      </c>
      <c r="EF208" t="str">
        <f>HYPERLINK("https://d33htgqikc2pj4.cloudfront.net/13344f39-0831-40e3-97e3-6c80807a75d4.jpeg", "Кирилл Васенков: Ссылка на изображение")</f>
        <v>Кирилл Васенков: Ссылка на изображение</v>
      </c>
      <c r="EG208" t="s">
        <v>1287</v>
      </c>
      <c r="EH208" t="s">
        <v>1004</v>
      </c>
      <c r="EI208" t="s">
        <v>1143</v>
      </c>
      <c r="EJ208" t="s">
        <v>1144</v>
      </c>
      <c r="EK208" t="s">
        <v>1142</v>
      </c>
      <c r="EL208" t="s">
        <v>1145</v>
      </c>
      <c r="EM208" t="s">
        <v>933</v>
      </c>
      <c r="EN208" t="s">
        <v>915</v>
      </c>
      <c r="EO208" t="s">
        <v>1233</v>
      </c>
      <c r="EP208" t="str">
        <f>HYPERLINK("https://d33htgqikc2pj4.cloudfront.net/qvHDimMUqxZcQnsj/50d32289-a776-43a3-84cb-c7f6c5aefdec.jpeg", "Отопление и Кондиционирование Renaissance: Ссылка на изображение")</f>
        <v>Отопление и Кондиционирование Renaissance: Ссылка на изображение</v>
      </c>
      <c r="EQ208" t="str">
        <f>HYPERLINK("https://d33htgqikc2pj4.cloudfront.net/qvHDimMUqxZcQnsj/d5734eb4-62c8-43c2-a007-9aa3681be841.jpeg", "Отопление и Кондиционирование Renaissance: Ссылка на изображение")</f>
        <v>Отопление и Кондиционирование Renaissance: Ссылка на изображение</v>
      </c>
      <c r="ER208" t="s">
        <v>1147</v>
      </c>
    </row>
    <row r="209" spans="1:189" ht="15" customHeight="1" x14ac:dyDescent="0.35">
      <c r="A209">
        <v>270</v>
      </c>
      <c r="B209" t="s">
        <v>1288</v>
      </c>
      <c r="C209">
        <v>2</v>
      </c>
      <c r="D209" t="str">
        <f>VLOOKUP(source[[#This Row],[Приоритет]],тПриоритеты[],2,0)</f>
        <v>Значительное</v>
      </c>
      <c r="E209" t="str">
        <f>IF(ISBLANK(source[[#This Row],[Проверенные]]),IF(ISBLANK(source[[#This Row],[Завершенные]]),source[[#This Row],[Приоритет_]],"Завершено"),"Проверено")</f>
        <v>Завершено</v>
      </c>
      <c r="F209" t="s">
        <v>866</v>
      </c>
      <c r="G209" t="s">
        <v>420</v>
      </c>
      <c r="H209" t="e">
        <f>VLOOKUP(source[[#This Row],[Отвественный]],тОтветственные[],2,0)</f>
        <v>#N/A</v>
      </c>
      <c r="I209" s="2">
        <v>43783</v>
      </c>
      <c r="J209" s="2">
        <v>43829</v>
      </c>
      <c r="K209" t="s">
        <v>1289</v>
      </c>
      <c r="L209">
        <v>35.549999999999997</v>
      </c>
      <c r="M209">
        <v>45.89</v>
      </c>
      <c r="Q209" t="s">
        <v>1112</v>
      </c>
      <c r="R209" t="str">
        <f>HYPERLINK("https://d28ji4sm1vmprj.cloudfront.net/9401f8de5fdbcfd7e5a2f012a73d295b/884ee0e4ce9bf819a82b83f7bb3c7c96.jpeg", "Ссылка на план")</f>
        <v>Ссылка на план</v>
      </c>
      <c r="S209" s="1">
        <v>43783.629976851851</v>
      </c>
      <c r="T209" s="1">
        <v>43867.602870370371</v>
      </c>
      <c r="W209" s="1">
        <v>43867.602951388886</v>
      </c>
      <c r="X209" t="s">
        <v>1140</v>
      </c>
      <c r="EC209" t="str">
        <f>HYPERLINK("https://d33htgqikc2pj4.cloudfront.net/b98af8f3-d109-4a96-8367-4f8c9474f287.jpeg", "Кирилл Васенков: Ссылка на изображение")</f>
        <v>Кирилл Васенков: Ссылка на изображение</v>
      </c>
      <c r="ED209" t="s">
        <v>1290</v>
      </c>
      <c r="EE209" t="s">
        <v>1004</v>
      </c>
      <c r="EF209" t="s">
        <v>1228</v>
      </c>
      <c r="EG209" t="s">
        <v>1291</v>
      </c>
      <c r="EH209" t="s">
        <v>1292</v>
      </c>
      <c r="EI209" t="s">
        <v>1145</v>
      </c>
      <c r="EJ209" t="s">
        <v>933</v>
      </c>
      <c r="EK209" t="s">
        <v>915</v>
      </c>
      <c r="EL209" t="s">
        <v>1233</v>
      </c>
      <c r="EM209" t="str">
        <f>HYPERLINK("https://d33htgqikc2pj4.cloudfront.net/qvHDimMUqxZcQnsj/f02ea36d-824a-4bd1-9b6c-e2bdb92e6d3c.jpeg", "Отопление и Кондиционирование Renaissance: Ссылка на изображение")</f>
        <v>Отопление и Кондиционирование Renaissance: Ссылка на изображение</v>
      </c>
      <c r="EN209" t="s">
        <v>1147</v>
      </c>
    </row>
    <row r="210" spans="1:189" ht="15" customHeight="1" x14ac:dyDescent="0.35">
      <c r="A210">
        <v>176</v>
      </c>
      <c r="B210" t="s">
        <v>1293</v>
      </c>
      <c r="C210">
        <v>3</v>
      </c>
      <c r="D210" t="str">
        <f>VLOOKUP(source[[#This Row],[Приоритет]],тПриоритеты[],2,0)</f>
        <v>Малозначительное</v>
      </c>
      <c r="E210" t="str">
        <f>IF(ISBLANK(source[[#This Row],[Проверенные]]),IF(ISBLANK(source[[#This Row],[Завершенные]]),source[[#This Row],[Приоритет_]],"Завершено"),"Проверено")</f>
        <v>Завершено</v>
      </c>
      <c r="F210" t="s">
        <v>866</v>
      </c>
      <c r="G210" t="s">
        <v>420</v>
      </c>
      <c r="H210" t="e">
        <f>VLOOKUP(source[[#This Row],[Отвественный]],тОтветственные[],2,0)</f>
        <v>#N/A</v>
      </c>
      <c r="I210" s="2">
        <v>43776</v>
      </c>
      <c r="J210" s="2">
        <v>43829</v>
      </c>
      <c r="K210" t="s">
        <v>1088</v>
      </c>
      <c r="L210">
        <v>55.31</v>
      </c>
      <c r="M210">
        <v>44.44</v>
      </c>
      <c r="Q210" t="s">
        <v>371</v>
      </c>
      <c r="R210" t="str">
        <f>HYPERLINK("https://d28ji4sm1vmprj.cloudfront.net/aca95810be52db1ff548e977f117d108/c977da29993408ee23a4fd26a11faef4.jpeg", "Ссылка на план")</f>
        <v>Ссылка на план</v>
      </c>
      <c r="S210" s="1">
        <v>43776.424687500003</v>
      </c>
      <c r="T210" s="1">
        <v>43868.473993055559</v>
      </c>
      <c r="W210" s="1">
        <v>43868.473993055559</v>
      </c>
      <c r="X210" t="s">
        <v>966</v>
      </c>
      <c r="Y210" t="s">
        <v>883</v>
      </c>
      <c r="EC210" t="s">
        <v>1294</v>
      </c>
      <c r="ED210" t="str">
        <f>HYPERLINK("https://d33htgqikc2pj4.cloudfront.net/2dfb7ca0-90e3-4a6a-9701-df40bcc0a2c4.jpeg", "Stanislav Veresov: Ссылка на изображение")</f>
        <v>Stanislav Veresov: Ссылка на изображение</v>
      </c>
      <c r="EE210" t="s">
        <v>968</v>
      </c>
      <c r="EF210" t="s">
        <v>873</v>
      </c>
      <c r="EG210" t="s">
        <v>1090</v>
      </c>
      <c r="EH210" t="s">
        <v>929</v>
      </c>
      <c r="EI210" t="s">
        <v>994</v>
      </c>
      <c r="EJ210" t="s">
        <v>932</v>
      </c>
      <c r="EK210" t="s">
        <v>1295</v>
      </c>
      <c r="EL210" t="s">
        <v>933</v>
      </c>
      <c r="EM210" t="s">
        <v>915</v>
      </c>
      <c r="EN210" t="s">
        <v>1233</v>
      </c>
      <c r="EO210" t="str">
        <f>HYPERLINK("https://d33htgqikc2pj4.cloudfront.net/qvHDimMUqxZcQnsj/c12b3104-3c76-417b-820b-c764d674372f.jpeg", "Отопление и Кондиционирование Renaissance: Ссылка на изображение")</f>
        <v>Отопление и Кондиционирование Renaissance: Ссылка на изображение</v>
      </c>
      <c r="EP210" t="s">
        <v>1147</v>
      </c>
      <c r="EQ210" t="s">
        <v>1276</v>
      </c>
      <c r="ER210" t="s">
        <v>1147</v>
      </c>
    </row>
    <row r="211" spans="1:189" ht="15" customHeight="1" x14ac:dyDescent="0.35">
      <c r="A211">
        <v>187</v>
      </c>
      <c r="B211" t="s">
        <v>1296</v>
      </c>
      <c r="C211">
        <v>2</v>
      </c>
      <c r="D211" t="str">
        <f>VLOOKUP(source[[#This Row],[Приоритет]],тПриоритеты[],2,0)</f>
        <v>Значительное</v>
      </c>
      <c r="E211" t="str">
        <f>IF(ISBLANK(source[[#This Row],[Проверенные]]),IF(ISBLANK(source[[#This Row],[Завершенные]]),source[[#This Row],[Приоритет_]],"Завершено"),"Проверено")</f>
        <v>Завершено</v>
      </c>
      <c r="F211" t="s">
        <v>866</v>
      </c>
      <c r="G211" t="s">
        <v>420</v>
      </c>
      <c r="H211" t="e">
        <f>VLOOKUP(source[[#This Row],[Отвественный]],тОтветственные[],2,0)</f>
        <v>#N/A</v>
      </c>
      <c r="I211" s="2">
        <v>43777</v>
      </c>
      <c r="J211" s="2">
        <v>43829</v>
      </c>
      <c r="K211" t="s">
        <v>1191</v>
      </c>
      <c r="L211">
        <v>21.36</v>
      </c>
      <c r="M211">
        <v>20.3</v>
      </c>
      <c r="Q211" t="s">
        <v>1139</v>
      </c>
      <c r="R211" t="str">
        <f>HYPERLINK("https://d28ji4sm1vmprj.cloudfront.net/ba4735090fe6b8f6de3f17db27e7ff1d/1c8ad0dd164df1f26888c689ba793b63.jpeg", "Ссылка на план")</f>
        <v>Ссылка на план</v>
      </c>
      <c r="S211" s="1">
        <v>43777.500069444446</v>
      </c>
      <c r="T211" s="1">
        <v>43871.584039351852</v>
      </c>
      <c r="W211" s="1">
        <v>43871.584050925929</v>
      </c>
      <c r="X211" t="s">
        <v>1140</v>
      </c>
      <c r="EC211" t="str">
        <f>HYPERLINK("https://d33htgqikc2pj4.cloudfront.net/a558ed5e-8410-4147-a048-4e06cce23500.jpeg", "Кирилл Васенков: Ссылка на изображение")</f>
        <v>Кирилл Васенков: Ссылка на изображение</v>
      </c>
      <c r="ED211" t="str">
        <f>HYPERLINK("https://d33htgqikc2pj4.cloudfront.net/f6e6e1d1-29e7-42b5-aaed-4a3b350579e3.jpeg", "Кирилл Васенков: Ссылка на изображение")</f>
        <v>Кирилл Васенков: Ссылка на изображение</v>
      </c>
      <c r="EE211" t="str">
        <f>HYPERLINK("https://d33htgqikc2pj4.cloudfront.net/678bada2-d8db-41be-b1bb-cee3eea28920.jpeg", "Кирилл Васенков: Ссылка на изображение")</f>
        <v>Кирилл Васенков: Ссылка на изображение</v>
      </c>
      <c r="EF211" t="s">
        <v>1297</v>
      </c>
      <c r="EG211" t="s">
        <v>929</v>
      </c>
      <c r="EH211" t="s">
        <v>930</v>
      </c>
      <c r="EI211" t="s">
        <v>931</v>
      </c>
      <c r="EJ211" t="s">
        <v>932</v>
      </c>
      <c r="EK211" t="s">
        <v>425</v>
      </c>
      <c r="EL211" t="s">
        <v>933</v>
      </c>
      <c r="EM211" t="s">
        <v>915</v>
      </c>
      <c r="EN211" t="s">
        <v>1147</v>
      </c>
      <c r="EO211" t="s">
        <v>1233</v>
      </c>
    </row>
    <row r="212" spans="1:189" ht="15" customHeight="1" x14ac:dyDescent="0.35">
      <c r="A212">
        <v>651</v>
      </c>
      <c r="B212" t="s">
        <v>1298</v>
      </c>
      <c r="C212">
        <v>2</v>
      </c>
      <c r="D212" t="str">
        <f>VLOOKUP(source[[#This Row],[Приоритет]],тПриоритеты[],2,0)</f>
        <v>Значительное</v>
      </c>
      <c r="E212" t="str">
        <f>IF(ISBLANK(source[[#This Row],[Проверенные]]),IF(ISBLANK(source[[#This Row],[Завершенные]]),source[[#This Row],[Приоритет_]],"Завершено"),"Проверено")</f>
        <v>Проверено</v>
      </c>
      <c r="F212" t="s">
        <v>866</v>
      </c>
      <c r="G212" t="s">
        <v>420</v>
      </c>
      <c r="H212" t="e">
        <f>VLOOKUP(source[[#This Row],[Отвественный]],тОтветственные[],2,0)</f>
        <v>#N/A</v>
      </c>
      <c r="I212" s="2">
        <v>43816</v>
      </c>
      <c r="J212" s="2">
        <v>43829</v>
      </c>
      <c r="K212" t="s">
        <v>1279</v>
      </c>
      <c r="L212">
        <v>32.340000000000003</v>
      </c>
      <c r="M212">
        <v>41.79</v>
      </c>
      <c r="Q212" t="s">
        <v>1112</v>
      </c>
      <c r="R212" t="str">
        <f>HYPERLINK("https://d28ji4sm1vmprj.cloudfront.net/f03748aaf72adb349923ee89547b6d9c/25c2aa4f717746f9f03c4820a54c623c.jpeg", "Ссылка на план")</f>
        <v>Ссылка на план</v>
      </c>
      <c r="S212" s="1">
        <v>43816.627013888887</v>
      </c>
      <c r="T212" s="1">
        <v>43818.3906712963</v>
      </c>
      <c r="U212" s="1">
        <v>43818.564039351855</v>
      </c>
      <c r="W212" s="1">
        <v>43818.564050925925</v>
      </c>
      <c r="X212" t="s">
        <v>1280</v>
      </c>
      <c r="EC212" t="str">
        <f>HYPERLINK("https://d33htgqikc2pj4.cloudfront.net/b512bc91-d42f-413e-be7e-36d12967ba02.jpeg", "Кирилл Васенков: Ссылка на изображение")</f>
        <v>Кирилл Васенков: Ссылка на изображение</v>
      </c>
      <c r="ED212" t="str">
        <f>HYPERLINK("https://d33htgqikc2pj4.cloudfront.net/64a35202-702c-4490-8731-9e0eab9b05a0.jpeg", "Кирилл Васенков: Ссылка на изображение")</f>
        <v>Кирилл Васенков: Ссылка на изображение</v>
      </c>
      <c r="EE212" t="s">
        <v>1299</v>
      </c>
      <c r="EF212" t="s">
        <v>1004</v>
      </c>
      <c r="EG212" t="s">
        <v>1228</v>
      </c>
      <c r="EH212" t="s">
        <v>930</v>
      </c>
      <c r="EI212" t="s">
        <v>1282</v>
      </c>
      <c r="EJ212" t="s">
        <v>915</v>
      </c>
      <c r="EK212" t="s">
        <v>425</v>
      </c>
      <c r="EL212" t="s">
        <v>1300</v>
      </c>
      <c r="EM212" t="str">
        <f>HYPERLINK("https://d33htgqikc2pj4.cloudfront.net/qvHDimMUqxZcQnsj/c4677b4d-451f-44ea-b86f-ace7a77c8f4b.jpeg", "Отопление и Кондиционирование Renaissance: Ссылка на изображение")</f>
        <v>Отопление и Кондиционирование Renaissance: Ссылка на изображение</v>
      </c>
      <c r="EN212" t="str">
        <f>HYPERLINK("https://d33htgqikc2pj4.cloudfront.net/qvHDimMUqxZcQnsj/9bc7f7be-c7c5-4e0e-ba12-0bce8d7b5481.jpeg", "Отопление и Кондиционирование Renaissance: Ссылка на изображение")</f>
        <v>Отопление и Кондиционирование Renaissance: Ссылка на изображение</v>
      </c>
      <c r="EO212" t="s">
        <v>1147</v>
      </c>
      <c r="EP212" t="s">
        <v>394</v>
      </c>
    </row>
    <row r="213" spans="1:189" ht="15" customHeight="1" x14ac:dyDescent="0.35">
      <c r="A213">
        <v>474</v>
      </c>
      <c r="B213" t="s">
        <v>1301</v>
      </c>
      <c r="C213">
        <v>2</v>
      </c>
      <c r="D213" t="str">
        <f>VLOOKUP(source[[#This Row],[Приоритет]],тПриоритеты[],2,0)</f>
        <v>Значительное</v>
      </c>
      <c r="E213" t="str">
        <f>IF(ISBLANK(source[[#This Row],[Проверенные]]),IF(ISBLANK(source[[#This Row],[Завершенные]]),source[[#This Row],[Приоритет_]],"Завершено"),"Проверено")</f>
        <v>Проверено</v>
      </c>
      <c r="F213" t="s">
        <v>866</v>
      </c>
      <c r="G213" t="s">
        <v>420</v>
      </c>
      <c r="H213" t="e">
        <f>VLOOKUP(source[[#This Row],[Отвественный]],тОтветственные[],2,0)</f>
        <v>#N/A</v>
      </c>
      <c r="I213" s="2">
        <v>43798</v>
      </c>
      <c r="J213" s="2">
        <v>43805</v>
      </c>
      <c r="K213" t="s">
        <v>1302</v>
      </c>
      <c r="L213">
        <v>12.74</v>
      </c>
      <c r="M213">
        <v>41.31</v>
      </c>
      <c r="Q213" t="s">
        <v>1112</v>
      </c>
      <c r="R213" t="str">
        <f>HYPERLINK("https://d28ji4sm1vmprj.cloudfront.net/0701fa4548c6964f4fc9b48b5089a5ed/fc616c39c85f1366ea5a11e2062c7585.jpeg", "Ссылка на план")</f>
        <v>Ссылка на план</v>
      </c>
      <c r="S213" s="1">
        <v>43798.467881944445</v>
      </c>
      <c r="T213" s="1">
        <v>43809.448773148149</v>
      </c>
      <c r="U213" s="1">
        <v>43809.578009259261</v>
      </c>
      <c r="W213" s="1">
        <v>43809.578009259261</v>
      </c>
      <c r="X213" t="s">
        <v>1140</v>
      </c>
      <c r="EC213" t="str">
        <f>HYPERLINK("https://d33htgqikc2pj4.cloudfront.net/2df33d3d-f0f1-44e3-83d7-5b79cf24170a.jpeg", "Кирилл Васенков: Ссылка на изображение")</f>
        <v>Кирилл Васенков: Ссылка на изображение</v>
      </c>
      <c r="ED213" t="s">
        <v>1303</v>
      </c>
      <c r="EE213" t="s">
        <v>1004</v>
      </c>
      <c r="EF213" t="s">
        <v>1228</v>
      </c>
      <c r="EG213" t="s">
        <v>1304</v>
      </c>
      <c r="EH213" t="s">
        <v>1305</v>
      </c>
      <c r="EI213" t="str">
        <f>HYPERLINK("https://cdn.filestackcontent.com/fpKCAhSlC9mMKW3m2sPQ", "Отопление и Кондиционирование Renaissance: Ссылка на файл")</f>
        <v>Отопление и Кондиционирование Renaissance: Ссылка на файл</v>
      </c>
      <c r="EJ213" t="str">
        <f>HYPERLINK("https://cdn.filestackcontent.com/t7g9DtCR7Ws4AtEvsIuJ", "Отопление и Кондиционирование Renaissance: Ссылка на файл")</f>
        <v>Отопление и Кондиционирование Renaissance: Ссылка на файл</v>
      </c>
      <c r="EK213" t="s">
        <v>1306</v>
      </c>
      <c r="EL213" t="s">
        <v>888</v>
      </c>
    </row>
    <row r="214" spans="1:189" ht="15" customHeight="1" x14ac:dyDescent="0.35">
      <c r="A214">
        <v>473</v>
      </c>
      <c r="B214" t="s">
        <v>1307</v>
      </c>
      <c r="C214">
        <v>2</v>
      </c>
      <c r="D214" t="str">
        <f>VLOOKUP(source[[#This Row],[Приоритет]],тПриоритеты[],2,0)</f>
        <v>Значительное</v>
      </c>
      <c r="E214" t="str">
        <f>IF(ISBLANK(source[[#This Row],[Проверенные]]),IF(ISBLANK(source[[#This Row],[Завершенные]]),source[[#This Row],[Приоритет_]],"Завершено"),"Проверено")</f>
        <v>Проверено</v>
      </c>
      <c r="F214" t="s">
        <v>866</v>
      </c>
      <c r="G214" t="s">
        <v>420</v>
      </c>
      <c r="H214" t="e">
        <f>VLOOKUP(source[[#This Row],[Отвественный]],тОтветственные[],2,0)</f>
        <v>#N/A</v>
      </c>
      <c r="I214" s="2">
        <v>43798</v>
      </c>
      <c r="J214" s="2">
        <v>43805</v>
      </c>
      <c r="K214" t="s">
        <v>1302</v>
      </c>
      <c r="L214">
        <v>12.78</v>
      </c>
      <c r="M214">
        <v>41.31</v>
      </c>
      <c r="Q214" t="s">
        <v>1112</v>
      </c>
      <c r="R214" t="str">
        <f>HYPERLINK("https://d28ji4sm1vmprj.cloudfront.net/0701fa4548c6964f4fc9b48b5089a5ed/fc616c39c85f1366ea5a11e2062c7585.jpeg", "Ссылка на план")</f>
        <v>Ссылка на план</v>
      </c>
      <c r="S214" s="1">
        <v>43798.466481481482</v>
      </c>
      <c r="T214" s="1">
        <v>43804.424097222225</v>
      </c>
      <c r="U214" s="1">
        <v>43805.722546296296</v>
      </c>
      <c r="W214" s="1">
        <v>43805.722557870373</v>
      </c>
      <c r="X214" t="s">
        <v>1140</v>
      </c>
      <c r="EC214" t="str">
        <f>HYPERLINK("https://d33htgqikc2pj4.cloudfront.net/11dddaa0-dfce-43e8-85de-b9e8545f6d0b.jpeg", "Кирилл Васенков: Ссылка на изображение")</f>
        <v>Кирилл Васенков: Ссылка на изображение</v>
      </c>
      <c r="ED214" t="s">
        <v>1308</v>
      </c>
      <c r="EE214" t="s">
        <v>1004</v>
      </c>
      <c r="EF214" t="s">
        <v>1304</v>
      </c>
      <c r="EG214" t="s">
        <v>1305</v>
      </c>
      <c r="EH214" t="s">
        <v>1228</v>
      </c>
      <c r="EI214" t="str">
        <f>HYPERLINK("https://d33htgqikc2pj4.cloudfront.net/f70f1d0c-5406-48d1-9142-afac566b0510.jpeg", "Отопление и Кондиционирование Renaissance: Ссылка на изображение")</f>
        <v>Отопление и Кондиционирование Renaissance: Ссылка на изображение</v>
      </c>
      <c r="EJ214" t="str">
        <f>HYPERLINK("https://d33htgqikc2pj4.cloudfront.net/05be3e16-c77b-4071-8b45-53cad5c65d86.jpeg", "Отопление и Кондиционирование Renaissance: Ссылка на изображение")</f>
        <v>Отопление и Кондиционирование Renaissance: Ссылка на изображение</v>
      </c>
      <c r="EK214" t="str">
        <f>HYPERLINK("https://d33htgqikc2pj4.cloudfront.net/1cdbef5d-bc28-4d2c-953b-a604b30c9776.jpeg", "Отопление и Кондиционирование Renaissance: Ссылка на изображение")</f>
        <v>Отопление и Кондиционирование Renaissance: Ссылка на изображение</v>
      </c>
      <c r="EL214" t="str">
        <f>HYPERLINK("https://d33htgqikc2pj4.cloudfront.net/35f39826-bef7-45cb-8cb5-4a59f71e248b.jpeg", "Отопление и Кондиционирование Renaissance: Ссылка на изображение")</f>
        <v>Отопление и Кондиционирование Renaissance: Ссылка на изображение</v>
      </c>
      <c r="EM214" t="s">
        <v>1306</v>
      </c>
      <c r="EN214" t="s">
        <v>394</v>
      </c>
    </row>
    <row r="215" spans="1:189" ht="15" customHeight="1" x14ac:dyDescent="0.35">
      <c r="A215">
        <v>475</v>
      </c>
      <c r="B215" t="s">
        <v>1309</v>
      </c>
      <c r="C215">
        <v>2</v>
      </c>
      <c r="D215" t="str">
        <f>VLOOKUP(source[[#This Row],[Приоритет]],тПриоритеты[],2,0)</f>
        <v>Значительное</v>
      </c>
      <c r="E215" t="str">
        <f>IF(ISBLANK(source[[#This Row],[Проверенные]]),IF(ISBLANK(source[[#This Row],[Завершенные]]),source[[#This Row],[Приоритет_]],"Завершено"),"Проверено")</f>
        <v>Проверено</v>
      </c>
      <c r="F215" t="s">
        <v>866</v>
      </c>
      <c r="G215" t="s">
        <v>420</v>
      </c>
      <c r="H215" t="e">
        <f>VLOOKUP(source[[#This Row],[Отвественный]],тОтветственные[],2,0)</f>
        <v>#N/A</v>
      </c>
      <c r="I215" s="2">
        <v>43798</v>
      </c>
      <c r="J215" s="2">
        <v>43829</v>
      </c>
      <c r="K215" t="s">
        <v>1310</v>
      </c>
      <c r="L215">
        <v>15.77</v>
      </c>
      <c r="M215">
        <v>44.82</v>
      </c>
      <c r="Q215" t="s">
        <v>1112</v>
      </c>
      <c r="R215" t="str">
        <f>HYPERLINK("https://d28ji4sm1vmprj.cloudfront.net/d1bb8535bd7bfc82089bc57feb8243cc/5e6c0dc7987e87073897b2efacbe0f2f.jpeg", "Ссылка на план")</f>
        <v>Ссылка на план</v>
      </c>
      <c r="S215" s="1">
        <v>43798.470370370371</v>
      </c>
      <c r="T215" s="1">
        <v>43851.47152777778</v>
      </c>
      <c r="U215" s="1">
        <v>43851.529363425929</v>
      </c>
      <c r="W215" s="1">
        <v>43851.529363425929</v>
      </c>
      <c r="X215" t="s">
        <v>1280</v>
      </c>
      <c r="EC215" t="s">
        <v>1311</v>
      </c>
      <c r="ED215" t="str">
        <f>HYPERLINK("https://d33htgqikc2pj4.cloudfront.net/3a4ec518-2c8b-4640-b921-04467b16b936.jpeg", "Кирилл Васенков: Ссылка на изображение")</f>
        <v>Кирилл Васенков: Ссылка на изображение</v>
      </c>
      <c r="EE215" t="s">
        <v>1004</v>
      </c>
      <c r="EF215" t="s">
        <v>1228</v>
      </c>
      <c r="EG215" t="s">
        <v>1304</v>
      </c>
      <c r="EH215" t="s">
        <v>1305</v>
      </c>
      <c r="EI215" t="s">
        <v>933</v>
      </c>
      <c r="EJ215" t="s">
        <v>915</v>
      </c>
      <c r="EK215" t="s">
        <v>1312</v>
      </c>
      <c r="EL215" t="s">
        <v>1306</v>
      </c>
      <c r="EM215" t="s">
        <v>1313</v>
      </c>
      <c r="EN215" t="s">
        <v>995</v>
      </c>
      <c r="EO215" t="str">
        <f>HYPERLINK("https://d33htgqikc2pj4.cloudfront.net/8a124f63-9667-4d2e-85eb-bc2eb5e52e4e.jpeg", "Отопление и Кондиционирование Renaissance: Ссылка на изображение")</f>
        <v>Отопление и Кондиционирование Renaissance: Ссылка на изображение</v>
      </c>
      <c r="EP215" t="str">
        <f>HYPERLINK("https://d33htgqikc2pj4.cloudfront.net/25336ce2-aa68-4a9f-9132-ab8cf87dd119.jpeg", "Отопление и Кондиционирование Renaissance: Ссылка на изображение")</f>
        <v>Отопление и Кондиционирование Renaissance: Ссылка на изображение</v>
      </c>
      <c r="EQ215" t="str">
        <f>HYPERLINK("https://d33htgqikc2pj4.cloudfront.net/2eae421d-87ad-483a-8d8a-a0964303e420.jpeg", "Отопление и Кондиционирование Renaissance: Ссылка на изображение")</f>
        <v>Отопление и Кондиционирование Renaissance: Ссылка на изображение</v>
      </c>
      <c r="ER215" t="str">
        <f>HYPERLINK("https://d33htgqikc2pj4.cloudfront.net/47856ea1-753f-474f-8972-b67292c0c600.jpeg", "Отопление и Кондиционирование Renaissance: Ссылка на изображение")</f>
        <v>Отопление и Кондиционирование Renaissance: Ссылка на изображение</v>
      </c>
      <c r="ES215" t="str">
        <f>HYPERLINK("https://d33htgqikc2pj4.cloudfront.net/81d82b9d-45e9-4113-bfcc-b3a7d89fb571.jpeg", "Отопление и Кондиционирование Renaissance: Ссылка на изображение")</f>
        <v>Отопление и Кондиционирование Renaissance: Ссылка на изображение</v>
      </c>
      <c r="ET215" t="str">
        <f>HYPERLINK("https://d33htgqikc2pj4.cloudfront.net/84821522-ea37-45b4-a58d-b0405186d125.jpeg", "Отопление и Кондиционирование Renaissance: Ссылка на изображение")</f>
        <v>Отопление и Кондиционирование Renaissance: Ссылка на изображение</v>
      </c>
      <c r="EU215" t="str">
        <f>HYPERLINK("https://d33htgqikc2pj4.cloudfront.net/19707cd6-b3f8-4f08-9fc1-c7ee1c31d59d.jpeg", "Отопление и Кондиционирование Renaissance: Ссылка на изображение")</f>
        <v>Отопление и Кондиционирование Renaissance: Ссылка на изображение</v>
      </c>
      <c r="EV215" t="str">
        <f>HYPERLINK("https://d33htgqikc2pj4.cloudfront.net/3d9e159c-d800-4590-b0ea-112cf0261c56.jpeg", "Отопление и Кондиционирование Renaissance: Ссылка на изображение")</f>
        <v>Отопление и Кондиционирование Renaissance: Ссылка на изображение</v>
      </c>
      <c r="EW215" t="str">
        <f>HYPERLINK("https://d33htgqikc2pj4.cloudfront.net/c8a72988-0f05-4065-a8dc-e5a0176038fc.jpeg", "Отопление и Кондиционирование Renaissance: Ссылка на изображение")</f>
        <v>Отопление и Кондиционирование Renaissance: Ссылка на изображение</v>
      </c>
      <c r="EX215" t="s">
        <v>1306</v>
      </c>
      <c r="EY215" t="s">
        <v>394</v>
      </c>
    </row>
    <row r="216" spans="1:189" ht="15" customHeight="1" x14ac:dyDescent="0.35">
      <c r="A216">
        <v>1084</v>
      </c>
      <c r="B216" t="s">
        <v>1314</v>
      </c>
      <c r="C216">
        <v>2</v>
      </c>
      <c r="D216" t="str">
        <f>VLOOKUP(source[[#This Row],[Приоритет]],тПриоритеты[],2,0)</f>
        <v>Значительное</v>
      </c>
      <c r="E216" t="str">
        <f>IF(ISBLANK(source[[#This Row],[Проверенные]]),IF(ISBLANK(source[[#This Row],[Завершенные]]),source[[#This Row],[Приоритет_]],"Завершено"),"Проверено")</f>
        <v>Проверено</v>
      </c>
      <c r="F216" t="s">
        <v>866</v>
      </c>
      <c r="G216" t="s">
        <v>420</v>
      </c>
      <c r="H216" t="e">
        <f>VLOOKUP(source[[#This Row],[Отвественный]],тОтветственные[],2,0)</f>
        <v>#N/A</v>
      </c>
      <c r="I216" s="2">
        <v>43859</v>
      </c>
      <c r="J216" s="2">
        <v>43868</v>
      </c>
      <c r="K216" t="s">
        <v>1315</v>
      </c>
      <c r="L216">
        <v>34.020000000000003</v>
      </c>
      <c r="M216">
        <v>33.21</v>
      </c>
      <c r="Q216" t="s">
        <v>1112</v>
      </c>
      <c r="R216" t="str">
        <f>HYPERLINK("https://d28ji4sm1vmprj.cloudfront.net/9ce020c0cd808aec98fd01cfaa582b0d/a15e98b94d558c0d19b5f17d79f4c57e.jpeg", "Ссылка на план")</f>
        <v>Ссылка на план</v>
      </c>
      <c r="S216" s="1">
        <v>43859.461550925924</v>
      </c>
      <c r="T216" s="1">
        <v>43867.709016203706</v>
      </c>
      <c r="U216" s="1">
        <v>43867.709016203706</v>
      </c>
      <c r="W216" s="1">
        <v>43867.709016203706</v>
      </c>
      <c r="X216" t="s">
        <v>1152</v>
      </c>
      <c r="Y216" t="s">
        <v>1153</v>
      </c>
      <c r="EC216" t="s">
        <v>1316</v>
      </c>
      <c r="ED216" t="str">
        <f>HYPERLINK("https://d33htgqikc2pj4.cloudfront.net/88ffad53-0bdb-4223-9f99-6b6f50ea0262.jpeg", "Кирилл Васенков: Ссылка на изображение")</f>
        <v>Кирилл Васенков: Ссылка на изображение</v>
      </c>
      <c r="EE216" t="s">
        <v>1155</v>
      </c>
      <c r="EF216" t="s">
        <v>1317</v>
      </c>
      <c r="EG216" t="s">
        <v>1004</v>
      </c>
      <c r="EH216" t="s">
        <v>930</v>
      </c>
      <c r="EI216" t="s">
        <v>1078</v>
      </c>
      <c r="EJ216" t="s">
        <v>1079</v>
      </c>
      <c r="EK216" t="s">
        <v>425</v>
      </c>
      <c r="EL216" t="s">
        <v>1318</v>
      </c>
      <c r="EM216" t="str">
        <f>HYPERLINK("https://d33htgqikc2pj4.cloudfront.net/e191e389c5ecb4c5bc4dbe86c1617555/53b17ee5c6294bb80cce52fbbc88a0eb-file.jpeg", "Кирилл Васенков: Ссылка на изображение")</f>
        <v>Кирилл Васенков: Ссылка на изображение</v>
      </c>
      <c r="EN216" t="str">
        <f>HYPERLINK("https://d33htgqikc2pj4.cloudfront.net/483b97b21180937caf0b8730f98bd86d/baa4033b7ab2c3f55a77107d8484e2dc-file.jpeg", "Кирилл Васенков: Ссылка на изображение")</f>
        <v>Кирилл Васенков: Ссылка на изображение</v>
      </c>
      <c r="EO216" t="s">
        <v>394</v>
      </c>
    </row>
    <row r="217" spans="1:189" ht="15" customHeight="1" x14ac:dyDescent="0.35">
      <c r="A217">
        <v>1086</v>
      </c>
      <c r="B217" t="s">
        <v>1314</v>
      </c>
      <c r="C217">
        <v>2</v>
      </c>
      <c r="D217" t="str">
        <f>VLOOKUP(source[[#This Row],[Приоритет]],тПриоритеты[],2,0)</f>
        <v>Значительное</v>
      </c>
      <c r="E217" t="str">
        <f>IF(ISBLANK(source[[#This Row],[Проверенные]]),IF(ISBLANK(source[[#This Row],[Завершенные]]),source[[#This Row],[Приоритет_]],"Завершено"),"Проверено")</f>
        <v>Проверено</v>
      </c>
      <c r="F217" t="s">
        <v>866</v>
      </c>
      <c r="G217" t="s">
        <v>420</v>
      </c>
      <c r="H217" t="e">
        <f>VLOOKUP(source[[#This Row],[Отвественный]],тОтветственные[],2,0)</f>
        <v>#N/A</v>
      </c>
      <c r="I217" s="2">
        <v>43859</v>
      </c>
      <c r="J217" s="2">
        <v>43868</v>
      </c>
      <c r="K217" t="s">
        <v>1319</v>
      </c>
      <c r="L217">
        <v>26.91</v>
      </c>
      <c r="M217">
        <v>23.51</v>
      </c>
      <c r="Q217" t="s">
        <v>1112</v>
      </c>
      <c r="R217" t="str">
        <f>HYPERLINK("https://d28ji4sm1vmprj.cloudfront.net/ceaf9b7be72698927ad48574c615cd02/48f29e8761ddb7034a8bb594ccb826a7.jpeg", "Ссылка на план")</f>
        <v>Ссылка на план</v>
      </c>
      <c r="S217" s="1">
        <v>43859.474722222221</v>
      </c>
      <c r="T217" s="1">
        <v>43867.710046296299</v>
      </c>
      <c r="U217" s="1">
        <v>43867.710046296299</v>
      </c>
      <c r="W217" s="1">
        <v>43867.710057870368</v>
      </c>
      <c r="X217" t="s">
        <v>1152</v>
      </c>
      <c r="Y217" t="s">
        <v>1153</v>
      </c>
      <c r="EC217" t="s">
        <v>1320</v>
      </c>
      <c r="ED217" t="str">
        <f>HYPERLINK("https://d33htgqikc2pj4.cloudfront.net/b01004ec-ab46-4106-999f-5a9429e4cefe.jpeg", "Кирилл Васенков: Ссылка на изображение")</f>
        <v>Кирилл Васенков: Ссылка на изображение</v>
      </c>
      <c r="EE217" t="s">
        <v>1159</v>
      </c>
      <c r="EF217" t="s">
        <v>1317</v>
      </c>
      <c r="EG217" t="s">
        <v>1004</v>
      </c>
      <c r="EH217" t="s">
        <v>930</v>
      </c>
      <c r="EI217" t="s">
        <v>1078</v>
      </c>
      <c r="EJ217" t="s">
        <v>1079</v>
      </c>
      <c r="EK217" t="s">
        <v>425</v>
      </c>
      <c r="EL217" t="s">
        <v>1321</v>
      </c>
      <c r="EM217" t="str">
        <f>HYPERLINK("https://d33htgqikc2pj4.cloudfront.net/a1545880f3a9c37ea7e76eb96994438e/97b4a513ba9faed339de17198ea333d3-file.jpeg", "Кирилл Васенков: Ссылка на изображение")</f>
        <v>Кирилл Васенков: Ссылка на изображение</v>
      </c>
      <c r="EN217" t="s">
        <v>394</v>
      </c>
    </row>
    <row r="218" spans="1:189" ht="15" customHeight="1" x14ac:dyDescent="0.35">
      <c r="A218">
        <v>1085</v>
      </c>
      <c r="B218" t="s">
        <v>1150</v>
      </c>
      <c r="C218">
        <v>2</v>
      </c>
      <c r="D218" t="str">
        <f>VLOOKUP(source[[#This Row],[Приоритет]],тПриоритеты[],2,0)</f>
        <v>Значительное</v>
      </c>
      <c r="E218" t="str">
        <f>IF(ISBLANK(source[[#This Row],[Проверенные]]),IF(ISBLANK(source[[#This Row],[Завершенные]]),source[[#This Row],[Приоритет_]],"Завершено"),"Проверено")</f>
        <v>Проверено</v>
      </c>
      <c r="F218" t="s">
        <v>866</v>
      </c>
      <c r="G218" t="s">
        <v>420</v>
      </c>
      <c r="H218" t="e">
        <f>VLOOKUP(source[[#This Row],[Отвественный]],тОтветственные[],2,0)</f>
        <v>#N/A</v>
      </c>
      <c r="I218" s="2">
        <v>43859</v>
      </c>
      <c r="J218" s="2">
        <v>43868</v>
      </c>
      <c r="K218" t="s">
        <v>1319</v>
      </c>
      <c r="L218">
        <v>35.58</v>
      </c>
      <c r="M218">
        <v>25.06</v>
      </c>
      <c r="Q218" t="s">
        <v>1112</v>
      </c>
      <c r="R218" t="str">
        <f>HYPERLINK("https://d28ji4sm1vmprj.cloudfront.net/ceaf9b7be72698927ad48574c615cd02/48f29e8761ddb7034a8bb594ccb826a7.jpeg", "Ссылка на план")</f>
        <v>Ссылка на план</v>
      </c>
      <c r="S218" s="1">
        <v>43859.467083333337</v>
      </c>
      <c r="T218" s="1">
        <v>43859.568715277775</v>
      </c>
      <c r="U218" s="1">
        <v>43859.568715277775</v>
      </c>
      <c r="W218" s="1">
        <v>43860.358831018515</v>
      </c>
      <c r="X218" t="s">
        <v>1152</v>
      </c>
      <c r="Y218" t="s">
        <v>1153</v>
      </c>
      <c r="EC218" t="s">
        <v>1322</v>
      </c>
      <c r="ED218" t="str">
        <f>HYPERLINK("https://d33htgqikc2pj4.cloudfront.net/c721cc3a-c04d-4858-a481-109a2e8e8b36.jpeg", "Кирилл Васенков: Ссылка на изображение")</f>
        <v>Кирилл Васенков: Ссылка на изображение</v>
      </c>
      <c r="EE218" t="s">
        <v>1155</v>
      </c>
      <c r="EF218" t="s">
        <v>1156</v>
      </c>
      <c r="EG218" t="s">
        <v>1004</v>
      </c>
      <c r="EH218" t="s">
        <v>1078</v>
      </c>
      <c r="EI218" t="s">
        <v>1079</v>
      </c>
      <c r="EJ218" t="s">
        <v>930</v>
      </c>
      <c r="EK218" t="s">
        <v>394</v>
      </c>
      <c r="EL218" t="s">
        <v>425</v>
      </c>
    </row>
    <row r="219" spans="1:189" ht="15" customHeight="1" x14ac:dyDescent="0.35">
      <c r="A219">
        <v>75</v>
      </c>
      <c r="B219" t="s">
        <v>1323</v>
      </c>
      <c r="C219">
        <v>2</v>
      </c>
      <c r="D219" t="str">
        <f>VLOOKUP(source[[#This Row],[Приоритет]],тПриоритеты[],2,0)</f>
        <v>Значительное</v>
      </c>
      <c r="E219" t="str">
        <f>IF(ISBLANK(source[[#This Row],[Проверенные]]),IF(ISBLANK(source[[#This Row],[Завершенные]]),source[[#This Row],[Приоритет_]],"Завершено"),"Проверено")</f>
        <v>Проверено</v>
      </c>
      <c r="F219" t="s">
        <v>866</v>
      </c>
      <c r="G219" t="s">
        <v>420</v>
      </c>
      <c r="H219" t="e">
        <f>VLOOKUP(source[[#This Row],[Отвественный]],тОтветственные[],2,0)</f>
        <v>#N/A</v>
      </c>
      <c r="I219" s="2">
        <v>43747</v>
      </c>
      <c r="J219" s="2">
        <v>43754</v>
      </c>
      <c r="N219" t="s">
        <v>1324</v>
      </c>
      <c r="S219" s="1">
        <v>43770.459548611114</v>
      </c>
      <c r="T219" s="1">
        <v>43787.44390046296</v>
      </c>
      <c r="U219" s="1">
        <v>43787.44390046296</v>
      </c>
      <c r="W219" s="1">
        <v>43787.443877314814</v>
      </c>
      <c r="EC219" t="s">
        <v>1325</v>
      </c>
      <c r="ED219" t="s">
        <v>1326</v>
      </c>
      <c r="EE219" t="s">
        <v>1327</v>
      </c>
      <c r="EF219" t="s">
        <v>1328</v>
      </c>
      <c r="EG219" t="s">
        <v>1164</v>
      </c>
      <c r="EH219" t="s">
        <v>425</v>
      </c>
      <c r="EI219" t="s">
        <v>1165</v>
      </c>
      <c r="EJ219" t="s">
        <v>394</v>
      </c>
    </row>
    <row r="220" spans="1:189" ht="15" customHeight="1" x14ac:dyDescent="0.35">
      <c r="A220">
        <v>129</v>
      </c>
      <c r="B220" t="s">
        <v>1329</v>
      </c>
      <c r="C220">
        <v>2</v>
      </c>
      <c r="D220" t="str">
        <f>VLOOKUP(source[[#This Row],[Приоритет]],тПриоритеты[],2,0)</f>
        <v>Значительное</v>
      </c>
      <c r="E220" t="str">
        <f>IF(ISBLANK(source[[#This Row],[Проверенные]]),IF(ISBLANK(source[[#This Row],[Завершенные]]),source[[#This Row],[Приоритет_]],"Завершено"),"Проверено")</f>
        <v>Проверено</v>
      </c>
      <c r="F220" t="s">
        <v>866</v>
      </c>
      <c r="G220" t="s">
        <v>420</v>
      </c>
      <c r="H220" t="e">
        <f>VLOOKUP(source[[#This Row],[Отвественный]],тОтветственные[],2,0)</f>
        <v>#N/A</v>
      </c>
      <c r="I220" s="2">
        <v>43774</v>
      </c>
      <c r="J220" s="2">
        <v>43784</v>
      </c>
      <c r="K220" t="s">
        <v>1330</v>
      </c>
      <c r="L220">
        <v>0</v>
      </c>
      <c r="M220">
        <v>0</v>
      </c>
      <c r="N220" t="s">
        <v>1331</v>
      </c>
      <c r="Q220" t="s">
        <v>1332</v>
      </c>
      <c r="R220" t="str">
        <f>HYPERLINK("https://d28ji4sm1vmprj.cloudfront.net/3de368f48757c539d63fd44ecbad0d51/4a6e93d50a89fe99485657710ec55d06.jpeg", "Ссылка на план")</f>
        <v>Ссылка на план</v>
      </c>
      <c r="S220" s="1">
        <v>43774.514768518522</v>
      </c>
      <c r="T220" s="1">
        <v>43784.760578703703</v>
      </c>
      <c r="U220" s="1">
        <v>43787.361250000002</v>
      </c>
      <c r="W220" s="1">
        <v>43787.361226851855</v>
      </c>
      <c r="AA220" t="s">
        <v>1333</v>
      </c>
      <c r="EC220" t="s">
        <v>1334</v>
      </c>
      <c r="ED220" t="str">
        <f>HYPERLINK("https://d33htgqikc2pj4.cloudfront.net/72fe7b7d-679b-4051-a98f-ec2ac0624180.jpeg", "Кирилл Васенков: Ссылка на изображение")</f>
        <v>Кирилл Васенков: Ссылка на изображение</v>
      </c>
      <c r="EE220" t="str">
        <f>HYPERLINK("https://d33htgqikc2pj4.cloudfront.net/c513bdbb-61e4-40ad-8884-ad5fcd36f5bf.jpeg", "Кирилл Васенков: Ссылка на изображение")</f>
        <v>Кирилл Васенков: Ссылка на изображение</v>
      </c>
      <c r="EF220" t="str">
        <f>HYPERLINK("https://d33htgqikc2pj4.cloudfront.net/28584377-18ca-494f-a21b-2210bbba7a8d.jpeg", "Кирилл Васенков: Ссылка на изображение")</f>
        <v>Кирилл Васенков: Ссылка на изображение</v>
      </c>
      <c r="EG220" t="s">
        <v>1335</v>
      </c>
      <c r="EH220" t="s">
        <v>1336</v>
      </c>
      <c r="EI220" t="s">
        <v>1170</v>
      </c>
      <c r="EJ220" t="s">
        <v>1337</v>
      </c>
      <c r="EK220" t="s">
        <v>929</v>
      </c>
      <c r="EL220" t="s">
        <v>930</v>
      </c>
      <c r="EM220" t="s">
        <v>1179</v>
      </c>
      <c r="EN220" t="s">
        <v>932</v>
      </c>
      <c r="EO220" t="s">
        <v>425</v>
      </c>
      <c r="EP220" t="s">
        <v>1147</v>
      </c>
      <c r="EQ220" t="s">
        <v>394</v>
      </c>
    </row>
    <row r="221" spans="1:189" ht="15" customHeight="1" x14ac:dyDescent="0.35">
      <c r="A221">
        <v>130</v>
      </c>
      <c r="B221" t="s">
        <v>1338</v>
      </c>
      <c r="C221">
        <v>2</v>
      </c>
      <c r="D221" t="str">
        <f>VLOOKUP(source[[#This Row],[Приоритет]],тПриоритеты[],2,0)</f>
        <v>Значительное</v>
      </c>
      <c r="E221" t="str">
        <f>IF(ISBLANK(source[[#This Row],[Проверенные]]),IF(ISBLANK(source[[#This Row],[Завершенные]]),source[[#This Row],[Приоритет_]],"Завершено"),"Проверено")</f>
        <v>Проверено</v>
      </c>
      <c r="F221" t="s">
        <v>866</v>
      </c>
      <c r="G221" t="s">
        <v>420</v>
      </c>
      <c r="H221" t="e">
        <f>VLOOKUP(source[[#This Row],[Отвественный]],тОтветственные[],2,0)</f>
        <v>#N/A</v>
      </c>
      <c r="I221" s="2">
        <v>43774</v>
      </c>
      <c r="J221" s="2">
        <v>43784</v>
      </c>
      <c r="K221" t="s">
        <v>1330</v>
      </c>
      <c r="L221">
        <v>0</v>
      </c>
      <c r="M221">
        <v>0</v>
      </c>
      <c r="N221" t="s">
        <v>1331</v>
      </c>
      <c r="Q221" t="s">
        <v>1332</v>
      </c>
      <c r="R221" t="str">
        <f>HYPERLINK("https://d28ji4sm1vmprj.cloudfront.net/3de368f48757c539d63fd44ecbad0d51/4a6e93d50a89fe99485657710ec55d06.jpeg", "Ссылка на план")</f>
        <v>Ссылка на план</v>
      </c>
      <c r="S221" s="1">
        <v>43774.514837962961</v>
      </c>
      <c r="T221" s="1">
        <v>43785.362025462964</v>
      </c>
      <c r="U221" s="1">
        <v>43787.72451388889</v>
      </c>
      <c r="W221" s="1">
        <v>43787.72451388889</v>
      </c>
      <c r="X221" t="s">
        <v>1339</v>
      </c>
      <c r="AA221" t="s">
        <v>1333</v>
      </c>
      <c r="EC221" t="str">
        <f>HYPERLINK("https://d33htgqikc2pj4.cloudfront.net/3cf26555-a5b6-45d4-acd4-d34d7e8d096d.jpeg", "Кирилл Васенков: Ссылка на изображение")</f>
        <v>Кирилл Васенков: Ссылка на изображение</v>
      </c>
      <c r="ED221" t="str">
        <f>HYPERLINK("https://d33htgqikc2pj4.cloudfront.net/d45e9243-a42c-4910-a854-afdb36994846.jpeg", "Кирилл Васенков: Ссылка на изображение")</f>
        <v>Кирилл Васенков: Ссылка на изображение</v>
      </c>
      <c r="EE221" t="s">
        <v>1340</v>
      </c>
      <c r="EF221" t="s">
        <v>1341</v>
      </c>
      <c r="EG221" t="str">
        <f>HYPERLINK("https://d33htgqikc2pj4.cloudfront.net/63a4f02b-fdcf-4228-a0be-99f062b22218.jpeg", "Кирилл Васенков: Ссылка на изображение")</f>
        <v>Кирилл Васенков: Ссылка на изображение</v>
      </c>
      <c r="EH221" t="str">
        <f>HYPERLINK("https://d33htgqikc2pj4.cloudfront.net/4a9e19f5-2409-4c9d-9894-5e9681b6bb22.jpeg", "Кирилл Васенков: Ссылка на изображение")</f>
        <v>Кирилл Васенков: Ссылка на изображение</v>
      </c>
      <c r="EI221" t="str">
        <f>HYPERLINK("https://d33htgqikc2pj4.cloudfront.net/23267727-af02-4d8d-ad77-ee7e63b8546d.jpeg", "Кирилл Васенков: Ссылка на изображение")</f>
        <v>Кирилл Васенков: Ссылка на изображение</v>
      </c>
      <c r="EJ221" t="str">
        <f>HYPERLINK("https://d33htgqikc2pj4.cloudfront.net/86d08d5d-6c43-42ed-969e-6a9eb4a9a2c8.jpeg", "Кирилл Васенков: Ссылка на изображение")</f>
        <v>Кирилл Васенков: Ссылка на изображение</v>
      </c>
      <c r="EK221" t="str">
        <f>HYPERLINK("https://d33htgqikc2pj4.cloudfront.net/33b3b319-3005-45ea-b9f5-00530e8ffe17.jpeg", "Кирилл Васенков: Ссылка на изображение")</f>
        <v>Кирилл Васенков: Ссылка на изображение</v>
      </c>
      <c r="EL221" t="str">
        <f>HYPERLINK("https://d33htgqikc2pj4.cloudfront.net/589bdfdb-f568-4ce5-a203-58da6d53c96c.jpeg", "Кирилл Васенков: Ссылка на изображение")</f>
        <v>Кирилл Васенков: Ссылка на изображение</v>
      </c>
      <c r="EM221" t="str">
        <f>HYPERLINK("https://d33htgqikc2pj4.cloudfront.net/839c69b0-d63b-4714-af95-dc12414f640c.jpeg", "Кирилл Васенков: Ссылка на изображение")</f>
        <v>Кирилл Васенков: Ссылка на изображение</v>
      </c>
      <c r="EN221" t="str">
        <f>HYPERLINK("https://d33htgqikc2pj4.cloudfront.net/e28c0b9b-5dc8-4a5e-aa24-bd9d1799df9b.jpeg", "Кирилл Васенков: Ссылка на изображение")</f>
        <v>Кирилл Васенков: Ссылка на изображение</v>
      </c>
      <c r="EO221" t="str">
        <f>HYPERLINK("https://d33htgqikc2pj4.cloudfront.net/5c346d16-57cf-4712-86a2-b19197b22b5c.jpeg", "Кирилл Васенков: Ссылка на изображение")</f>
        <v>Кирилл Васенков: Ссылка на изображение</v>
      </c>
      <c r="EP221" t="str">
        <f>HYPERLINK("https://d33htgqikc2pj4.cloudfront.net/784341ab-cca0-4ced-8522-5b7eb0e21eb5.jpeg", "Кирилл Васенков: Ссылка на изображение")</f>
        <v>Кирилл Васенков: Ссылка на изображение</v>
      </c>
      <c r="EQ221" t="str">
        <f>HYPERLINK("https://d33htgqikc2pj4.cloudfront.net/adfa9e6c-eeac-42a2-823e-adb3f9a77004.jpeg", "Кирилл Васенков: Ссылка на изображение")</f>
        <v>Кирилл Васенков: Ссылка на изображение</v>
      </c>
      <c r="ER221" t="str">
        <f>HYPERLINK("https://d33htgqikc2pj4.cloudfront.net/9edbb44e-bbee-4e7a-a16d-ca4a13e46621.jpeg", "Кирилл Васенков: Ссылка на изображение")</f>
        <v>Кирилл Васенков: Ссылка на изображение</v>
      </c>
      <c r="ES221" t="str">
        <f>HYPERLINK("https://d33htgqikc2pj4.cloudfront.net/24de97a5-1c57-4dd5-a496-41d63b944bd5.jpeg", "Кирилл Васенков: Ссылка на изображение")</f>
        <v>Кирилл Васенков: Ссылка на изображение</v>
      </c>
      <c r="ET221" t="str">
        <f>HYPERLINK("https://d33htgqikc2pj4.cloudfront.net/6df639dc-86f5-4dc2-ae0a-5e2d4750ece0.jpeg", "Кирилл Васенков: Ссылка на изображение")</f>
        <v>Кирилл Васенков: Ссылка на изображение</v>
      </c>
      <c r="EU221" t="str">
        <f>HYPERLINK("https://d33htgqikc2pj4.cloudfront.net/74a3be83-6a3d-4f03-9c4b-2d5380ef592a.jpeg", "Кирилл Васенков: Ссылка на изображение")</f>
        <v>Кирилл Васенков: Ссылка на изображение</v>
      </c>
      <c r="EV221" t="str">
        <f>HYPERLINK("https://d33htgqikc2pj4.cloudfront.net/68a8c2e3-d03b-41ba-b167-549ce16c21a3.jpeg", "Кирилл Васенков: Ссылка на изображение")</f>
        <v>Кирилл Васенков: Ссылка на изображение</v>
      </c>
      <c r="EW221" t="str">
        <f>HYPERLINK("https://d33htgqikc2pj4.cloudfront.net/5af5faeb-82d5-4726-8e2a-7a14fb7347eb.jpeg", "Кирилл Васенков: Ссылка на изображение")</f>
        <v>Кирилл Васенков: Ссылка на изображение</v>
      </c>
      <c r="EX221" t="str">
        <f>HYPERLINK("https://d33htgqikc2pj4.cloudfront.net/e7097878-6692-48b8-932a-150f6ba5ca32.jpeg", "Кирилл Васенков: Ссылка на изображение")</f>
        <v>Кирилл Васенков: Ссылка на изображение</v>
      </c>
      <c r="EY221" t="s">
        <v>1342</v>
      </c>
      <c r="EZ221" t="s">
        <v>1343</v>
      </c>
      <c r="FA221" t="s">
        <v>1344</v>
      </c>
      <c r="FB221" t="s">
        <v>1345</v>
      </c>
      <c r="FC221" t="s">
        <v>1170</v>
      </c>
      <c r="FD221" t="s">
        <v>1335</v>
      </c>
      <c r="FE221" t="s">
        <v>1336</v>
      </c>
      <c r="FF221" t="s">
        <v>929</v>
      </c>
      <c r="FG221" t="s">
        <v>930</v>
      </c>
      <c r="FH221" t="s">
        <v>1179</v>
      </c>
      <c r="FI221" t="s">
        <v>932</v>
      </c>
      <c r="FJ221" t="s">
        <v>425</v>
      </c>
      <c r="FK221" t="str">
        <f>HYPERLINK("https://d33htgqikc2pj4.cloudfront.net/a9e3971a-bc8e-4f21-a3a3-85d705c9436e.jpeg", "Отопление и Кондиционирование Renaissance: Ссылка на изображение")</f>
        <v>Отопление и Кондиционирование Renaissance: Ссылка на изображение</v>
      </c>
      <c r="FL221" t="str">
        <f>HYPERLINK("https://d33htgqikc2pj4.cloudfront.net/59068d90-9767-483b-8608-39c2d563cd34.jpeg", "Отопление и Кондиционирование Renaissance: Ссылка на изображение")</f>
        <v>Отопление и Кондиционирование Renaissance: Ссылка на изображение</v>
      </c>
      <c r="FM221" t="str">
        <f>HYPERLINK("https://d33htgqikc2pj4.cloudfront.net/f8ec9467-205b-4c8d-953a-f02828c527bb.jpeg", "Отопление и Кондиционирование Renaissance: Ссылка на изображение")</f>
        <v>Отопление и Кондиционирование Renaissance: Ссылка на изображение</v>
      </c>
      <c r="FN221" t="str">
        <f>HYPERLINK("https://d33htgqikc2pj4.cloudfront.net/ba18ad91-6265-4721-b1bc-de58498e8ca7.jpeg", "Отопление и Кондиционирование Renaissance: Ссылка на изображение")</f>
        <v>Отопление и Кондиционирование Renaissance: Ссылка на изображение</v>
      </c>
      <c r="FO221" t="str">
        <f>HYPERLINK("https://d33htgqikc2pj4.cloudfront.net/71b3c67d-307b-4653-b417-09ad99a74e7c.jpeg", "Отопление и Кондиционирование Renaissance: Ссылка на изображение")</f>
        <v>Отопление и Кондиционирование Renaissance: Ссылка на изображение</v>
      </c>
      <c r="FP221" t="str">
        <f>HYPERLINK("https://d33htgqikc2pj4.cloudfront.net/58fef918-0bc7-4691-9e43-a5859b14776a.jpeg", "Отопление и Кондиционирование Renaissance: Ссылка на изображение")</f>
        <v>Отопление и Кондиционирование Renaissance: Ссылка на изображение</v>
      </c>
      <c r="FQ221" t="str">
        <f>HYPERLINK("https://d33htgqikc2pj4.cloudfront.net/d48b438d-5aa8-45af-a719-22a2b4a25525.jpeg", "Отопление и Кондиционирование Renaissance: Ссылка на изображение")</f>
        <v>Отопление и Кондиционирование Renaissance: Ссылка на изображение</v>
      </c>
      <c r="FR221" t="str">
        <f>HYPERLINK("https://d33htgqikc2pj4.cloudfront.net/3aaf84bd-83fa-4884-9e82-adfd5bfc771b.jpeg", "Отопление и Кондиционирование Renaissance: Ссылка на изображение")</f>
        <v>Отопление и Кондиционирование Renaissance: Ссылка на изображение</v>
      </c>
      <c r="FS221" t="str">
        <f>HYPERLINK("https://d33htgqikc2pj4.cloudfront.net/9fe34202-9e4f-404d-857e-b3a81537d660.jpeg", "Отопление и Кондиционирование Renaissance: Ссылка на изображение")</f>
        <v>Отопление и Кондиционирование Renaissance: Ссылка на изображение</v>
      </c>
      <c r="FT221" t="s">
        <v>1306</v>
      </c>
      <c r="FU221" t="str">
        <f>HYPERLINK("https://d33htgqikc2pj4.cloudfront.net/65dfadce-80f9-403c-91fb-32898ccaea90.jpeg", "Отопление и Кондиционирование Renaissance: Ссылка на изображение")</f>
        <v>Отопление и Кондиционирование Renaissance: Ссылка на изображение</v>
      </c>
      <c r="FV221" t="str">
        <f>HYPERLINK("https://d33htgqikc2pj4.cloudfront.net/1efe5d60-4b14-462e-a1d9-c142ba1347ee.jpeg", "Отопление и Кондиционирование Renaissance: Ссылка на изображение")</f>
        <v>Отопление и Кондиционирование Renaissance: Ссылка на изображение</v>
      </c>
      <c r="FW221" t="str">
        <f>HYPERLINK("https://d33htgqikc2pj4.cloudfront.net/ded74bdd-9891-41d4-9f40-48bebb574c1a.jpeg", "Отопление и Кондиционирование Renaissance: Ссылка на изображение")</f>
        <v>Отопление и Кондиционирование Renaissance: Ссылка на изображение</v>
      </c>
      <c r="FX221" t="str">
        <f>HYPERLINK("https://d33htgqikc2pj4.cloudfront.net/b42cae4b-2902-409a-9386-9c1f16137ca9.jpeg", "Отопление и Кондиционирование Renaissance: Ссылка на изображение")</f>
        <v>Отопление и Кондиционирование Renaissance: Ссылка на изображение</v>
      </c>
      <c r="FY221" t="str">
        <f>HYPERLINK("https://d33htgqikc2pj4.cloudfront.net/abe86411-0467-4bc1-a3ab-8247bd6c2271.jpeg", "Отопление и Кондиционирование Renaissance: Ссылка на изображение")</f>
        <v>Отопление и Кондиционирование Renaissance: Ссылка на изображение</v>
      </c>
      <c r="FZ221" t="str">
        <f>HYPERLINK("https://d33htgqikc2pj4.cloudfront.net/dc22af0a-6965-4e93-a9c0-636f559a09e6.jpeg", "Отопление и Кондиционирование Renaissance: Ссылка на изображение")</f>
        <v>Отопление и Кондиционирование Renaissance: Ссылка на изображение</v>
      </c>
      <c r="GA221" t="str">
        <f>HYPERLINK("https://d33htgqikc2pj4.cloudfront.net/a12e407f-a006-471f-8ebd-5e88d455e175.jpeg", "Отопление и Кондиционирование Renaissance: Ссылка на изображение")</f>
        <v>Отопление и Кондиционирование Renaissance: Ссылка на изображение</v>
      </c>
      <c r="GB221" t="str">
        <f>HYPERLINK("https://d33htgqikc2pj4.cloudfront.net/ddd73adc-93eb-4b8d-9c20-a54e97889b65.jpeg", "Отопление и Кондиционирование Renaissance: Ссылка на изображение")</f>
        <v>Отопление и Кондиционирование Renaissance: Ссылка на изображение</v>
      </c>
      <c r="GC221" t="str">
        <f>HYPERLINK("https://d33htgqikc2pj4.cloudfront.net/9f2c7c07-9bf1-4b2b-9473-413803aad6fb.jpeg", "Отопление и Кондиционирование Renaissance: Ссылка на изображение")</f>
        <v>Отопление и Кондиционирование Renaissance: Ссылка на изображение</v>
      </c>
      <c r="GD221" t="s">
        <v>1346</v>
      </c>
      <c r="GE221" t="s">
        <v>1147</v>
      </c>
      <c r="GF221" t="s">
        <v>1347</v>
      </c>
      <c r="GG221" t="s">
        <v>394</v>
      </c>
    </row>
    <row r="222" spans="1:189" ht="15" customHeight="1" x14ac:dyDescent="0.35">
      <c r="A222">
        <v>167</v>
      </c>
      <c r="B222" t="s">
        <v>1137</v>
      </c>
      <c r="C222">
        <v>2</v>
      </c>
      <c r="D222" t="str">
        <f>VLOOKUP(source[[#This Row],[Приоритет]],тПриоритеты[],2,0)</f>
        <v>Значительное</v>
      </c>
      <c r="E222" t="str">
        <f>IF(ISBLANK(source[[#This Row],[Проверенные]]),IF(ISBLANK(source[[#This Row],[Завершенные]]),source[[#This Row],[Приоритет_]],"Завершено"),"Проверено")</f>
        <v>Проверено</v>
      </c>
      <c r="F222" t="s">
        <v>866</v>
      </c>
      <c r="G222" t="s">
        <v>420</v>
      </c>
      <c r="H222" t="e">
        <f>VLOOKUP(source[[#This Row],[Отвественный]],тОтветственные[],2,0)</f>
        <v>#N/A</v>
      </c>
      <c r="I222" s="2">
        <v>43784</v>
      </c>
      <c r="J222" s="2">
        <v>43829</v>
      </c>
      <c r="K222" t="s">
        <v>1138</v>
      </c>
      <c r="L222">
        <v>60.47</v>
      </c>
      <c r="M222">
        <v>33.69</v>
      </c>
      <c r="Q222" t="s">
        <v>1139</v>
      </c>
      <c r="R222" t="str">
        <f>HYPERLINK("https://d28ji4sm1vmprj.cloudfront.net/528e04103b411e1177ffc9599dea26fd/6cee4de868e78899927c0ddeef287e29.jpeg", "Ссылка на план")</f>
        <v>Ссылка на план</v>
      </c>
      <c r="S222" s="1">
        <v>43775.651087962964</v>
      </c>
      <c r="T222" s="1">
        <v>43866.705393518518</v>
      </c>
      <c r="U222" s="1">
        <v>43866.888310185182</v>
      </c>
      <c r="W222" s="1">
        <v>43866.888321759259</v>
      </c>
      <c r="X222" t="s">
        <v>1140</v>
      </c>
      <c r="EC222" t="str">
        <f>HYPERLINK("https://d33htgqikc2pj4.cloudfront.net/b4690463-cd59-4ae6-98a1-82b8f5613bb9.jpeg", "Кирилл Васенков: Ссылка на изображение")</f>
        <v>Кирилл Васенков: Ссылка на изображение</v>
      </c>
      <c r="ED222" t="s">
        <v>1141</v>
      </c>
      <c r="EE222" t="s">
        <v>929</v>
      </c>
      <c r="EF222" t="s">
        <v>930</v>
      </c>
      <c r="EG222" t="s">
        <v>1171</v>
      </c>
      <c r="EH222" t="s">
        <v>932</v>
      </c>
      <c r="EI222" t="s">
        <v>425</v>
      </c>
      <c r="EJ222" t="s">
        <v>1348</v>
      </c>
      <c r="EK222" t="s">
        <v>933</v>
      </c>
      <c r="EL222" t="s">
        <v>915</v>
      </c>
      <c r="EM222" t="str">
        <f>HYPERLINK("https://d33htgqikc2pj4.cloudfront.net/qvHDimMUqxZcQnsj/e111889d-b698-44b0-a5a0-4abaf89450ab.jpeg", "Отопление и Кондиционирование Renaissance: Ссылка на изображение")</f>
        <v>Отопление и Кондиционирование Renaissance: Ссылка на изображение</v>
      </c>
      <c r="EN222" t="s">
        <v>1147</v>
      </c>
      <c r="EO222" t="s">
        <v>394</v>
      </c>
    </row>
    <row r="223" spans="1:189" ht="15" customHeight="1" x14ac:dyDescent="0.35">
      <c r="A223">
        <v>166</v>
      </c>
      <c r="B223" t="s">
        <v>1349</v>
      </c>
      <c r="C223">
        <v>3</v>
      </c>
      <c r="D223" t="str">
        <f>VLOOKUP(source[[#This Row],[Приоритет]],тПриоритеты[],2,0)</f>
        <v>Малозначительное</v>
      </c>
      <c r="E223" t="str">
        <f>IF(ISBLANK(source[[#This Row],[Проверенные]]),IF(ISBLANK(source[[#This Row],[Завершенные]]),source[[#This Row],[Приоритет_]],"Завершено"),"Проверено")</f>
        <v>Проверено</v>
      </c>
      <c r="F223" t="s">
        <v>866</v>
      </c>
      <c r="G223" t="s">
        <v>420</v>
      </c>
      <c r="H223" t="e">
        <f>VLOOKUP(source[[#This Row],[Отвественный]],тОтветственные[],2,0)</f>
        <v>#N/A</v>
      </c>
      <c r="I223" s="2">
        <v>43775</v>
      </c>
      <c r="J223" s="2">
        <v>43829</v>
      </c>
      <c r="K223" t="s">
        <v>1138</v>
      </c>
      <c r="L223">
        <v>59.88</v>
      </c>
      <c r="M223">
        <v>34.11</v>
      </c>
      <c r="Q223" t="s">
        <v>1139</v>
      </c>
      <c r="R223" t="str">
        <f>HYPERLINK("https://d28ji4sm1vmprj.cloudfront.net/528e04103b411e1177ffc9599dea26fd/6cee4de868e78899927c0ddeef287e29.jpeg", "Ссылка на план")</f>
        <v>Ссылка на план</v>
      </c>
      <c r="S223" s="1">
        <v>43775.650983796295</v>
      </c>
      <c r="T223" s="1">
        <v>43866.704872685186</v>
      </c>
      <c r="U223" s="1">
        <v>43866.888310185182</v>
      </c>
      <c r="W223" s="1">
        <v>43866.888321759259</v>
      </c>
      <c r="X223" t="s">
        <v>1140</v>
      </c>
      <c r="EC223" t="str">
        <f>HYPERLINK("https://d33htgqikc2pj4.cloudfront.net/0f711f3c-55e4-4d58-a825-f656622e7003.jpeg", "Кирилл Васенков: Ссылка на изображение")</f>
        <v>Кирилл Васенков: Ссылка на изображение</v>
      </c>
      <c r="ED223" t="s">
        <v>1350</v>
      </c>
      <c r="EE223" t="s">
        <v>1337</v>
      </c>
      <c r="EF223" t="s">
        <v>1171</v>
      </c>
      <c r="EG223" t="s">
        <v>1351</v>
      </c>
      <c r="EH223" t="s">
        <v>929</v>
      </c>
      <c r="EI223" t="s">
        <v>930</v>
      </c>
      <c r="EJ223" t="s">
        <v>1171</v>
      </c>
      <c r="EK223" t="s">
        <v>932</v>
      </c>
      <c r="EL223" t="s">
        <v>425</v>
      </c>
      <c r="EM223" t="s">
        <v>933</v>
      </c>
      <c r="EN223" t="s">
        <v>915</v>
      </c>
      <c r="EO223" t="s">
        <v>1352</v>
      </c>
      <c r="EP223" t="str">
        <f>HYPERLINK("https://d33htgqikc2pj4.cloudfront.net/qvHDimMUqxZcQnsj/40ebe047-bd64-4d18-982d-5db0264ed83b.jpeg", "Отопление и Кондиционирование Renaissance: Ссылка на изображение")</f>
        <v>Отопление и Кондиционирование Renaissance: Ссылка на изображение</v>
      </c>
      <c r="EQ223" t="s">
        <v>1233</v>
      </c>
      <c r="ER223" t="s">
        <v>1147</v>
      </c>
      <c r="ES223" t="s">
        <v>1276</v>
      </c>
      <c r="ET223" t="s">
        <v>1147</v>
      </c>
      <c r="EU223" t="s">
        <v>394</v>
      </c>
    </row>
    <row r="224" spans="1:189" ht="15" customHeight="1" x14ac:dyDescent="0.35">
      <c r="A224">
        <v>591</v>
      </c>
      <c r="B224" t="s">
        <v>1353</v>
      </c>
      <c r="C224">
        <v>2</v>
      </c>
      <c r="D224" t="str">
        <f>VLOOKUP(source[[#This Row],[Приоритет]],тПриоритеты[],2,0)</f>
        <v>Значительное</v>
      </c>
      <c r="E224" t="str">
        <f>IF(ISBLANK(source[[#This Row],[Проверенные]]),IF(ISBLANK(source[[#This Row],[Завершенные]]),source[[#This Row],[Приоритет_]],"Завершено"),"Проверено")</f>
        <v>Проверено</v>
      </c>
      <c r="F224" t="s">
        <v>866</v>
      </c>
      <c r="G224" t="s">
        <v>420</v>
      </c>
      <c r="H224" t="e">
        <f>VLOOKUP(source[[#This Row],[Отвественный]],тОтветственные[],2,0)</f>
        <v>#N/A</v>
      </c>
      <c r="I224" s="2">
        <v>43810</v>
      </c>
      <c r="J224" s="2">
        <v>43815</v>
      </c>
      <c r="K224" t="s">
        <v>1354</v>
      </c>
      <c r="L224">
        <v>18.95</v>
      </c>
      <c r="M224">
        <v>64.64</v>
      </c>
      <c r="Q224" t="s">
        <v>1139</v>
      </c>
      <c r="R224" t="str">
        <f>HYPERLINK("https://d28ji4sm1vmprj.cloudfront.net/8786c45d2213bf4d0d74b20b429bd882/f2f1b8d55c0f5fd30f3b247ad0751d44.jpeg", "Ссылка на план")</f>
        <v>Ссылка на план</v>
      </c>
      <c r="S224" s="1">
        <v>43810.454317129632</v>
      </c>
      <c r="T224" s="1">
        <v>43817.653067129628</v>
      </c>
      <c r="U224" s="1">
        <v>43822.575682870367</v>
      </c>
      <c r="W224" s="1">
        <v>43822.575694444444</v>
      </c>
      <c r="X224" t="s">
        <v>1355</v>
      </c>
      <c r="AA224" t="s">
        <v>1356</v>
      </c>
      <c r="EC224" t="str">
        <f>HYPERLINK("https://d33htgqikc2pj4.cloudfront.net/bf2ba5b1-1952-493f-b4f8-8c1999020aa2.jpeg", "Кирилл Васенков: Ссылка на изображение")</f>
        <v>Кирилл Васенков: Ссылка на изображение</v>
      </c>
      <c r="ED224" t="s">
        <v>1357</v>
      </c>
      <c r="EE224" t="s">
        <v>1217</v>
      </c>
      <c r="EF224" t="s">
        <v>1358</v>
      </c>
      <c r="EG224" t="str">
        <f>HYPERLINK("https://d33htgqikc2pj4.cloudfront.net/cc69bfec-3f52-4675-97e9-acbd1739128f.jpeg", "Отопление и Кондиционирование Renaissance: Ссылка на изображение")</f>
        <v>Отопление и Кондиционирование Renaissance: Ссылка на изображение</v>
      </c>
      <c r="EH224" t="str">
        <f>HYPERLINK("https://d33htgqikc2pj4.cloudfront.net/432f20f2-e7cb-4385-b507-e17e0f0abace.jpeg", "Отопление и Кондиционирование Renaissance: Ссылка на изображение")</f>
        <v>Отопление и Кондиционирование Renaissance: Ссылка на изображение</v>
      </c>
      <c r="EI224" t="s">
        <v>1306</v>
      </c>
      <c r="EJ224" t="s">
        <v>394</v>
      </c>
    </row>
    <row r="225" spans="1:152" ht="15" customHeight="1" x14ac:dyDescent="0.35">
      <c r="A225">
        <v>597</v>
      </c>
      <c r="B225" t="s">
        <v>1353</v>
      </c>
      <c r="C225">
        <v>2</v>
      </c>
      <c r="D225" t="str">
        <f>VLOOKUP(source[[#This Row],[Приоритет]],тПриоритеты[],2,0)</f>
        <v>Значительное</v>
      </c>
      <c r="E225" t="str">
        <f>IF(ISBLANK(source[[#This Row],[Проверенные]]),IF(ISBLANK(source[[#This Row],[Завершенные]]),source[[#This Row],[Приоритет_]],"Завершено"),"Проверено")</f>
        <v>Проверено</v>
      </c>
      <c r="F225" t="s">
        <v>866</v>
      </c>
      <c r="G225" t="s">
        <v>420</v>
      </c>
      <c r="H225" t="e">
        <f>VLOOKUP(source[[#This Row],[Отвественный]],тОтветственные[],2,0)</f>
        <v>#N/A</v>
      </c>
      <c r="I225" s="2">
        <v>43810</v>
      </c>
      <c r="J225" s="2">
        <v>43815</v>
      </c>
      <c r="K225" t="s">
        <v>1359</v>
      </c>
      <c r="L225">
        <v>5.69</v>
      </c>
      <c r="M225">
        <v>79.92</v>
      </c>
      <c r="Q225" t="s">
        <v>1139</v>
      </c>
      <c r="R225" t="str">
        <f>HYPERLINK("https://d28ji4sm1vmprj.cloudfront.net/a65be33f0ee123c33ff0e85646baf75c/591d2d53471306b54c4cd0623f1aa1bf.jpeg", "Ссылка на план")</f>
        <v>Ссылка на план</v>
      </c>
      <c r="S225" s="1">
        <v>43810.477268518516</v>
      </c>
      <c r="T225" s="1">
        <v>43817.654016203705</v>
      </c>
      <c r="U225" s="1">
        <v>43822.575995370367</v>
      </c>
      <c r="W225" s="1">
        <v>43822.575995370367</v>
      </c>
      <c r="X225" t="s">
        <v>1355</v>
      </c>
      <c r="AA225" t="s">
        <v>1356</v>
      </c>
      <c r="EC225" t="str">
        <f>HYPERLINK("https://d33htgqikc2pj4.cloudfront.net/5aeb6d26-d019-4fa2-9a93-2d1767713721.jpeg", "Кирилл Васенков: Ссылка на изображение")</f>
        <v>Кирилл Васенков: Ссылка на изображение</v>
      </c>
      <c r="ED225" t="s">
        <v>1357</v>
      </c>
      <c r="EE225" t="s">
        <v>1217</v>
      </c>
      <c r="EF225" t="s">
        <v>1358</v>
      </c>
      <c r="EG225" t="str">
        <f>HYPERLINK("https://d33htgqikc2pj4.cloudfront.net/93e06c87-adb3-4f92-b549-56415d1d5266.jpeg", "Отопление и Кондиционирование Renaissance: Ссылка на изображение")</f>
        <v>Отопление и Кондиционирование Renaissance: Ссылка на изображение</v>
      </c>
      <c r="EH225" t="str">
        <f>HYPERLINK("https://d33htgqikc2pj4.cloudfront.net/95816a14-ec82-43b9-aae4-7d378b63c0d5.jpeg", "Отопление и Кондиционирование Renaissance: Ссылка на изображение")</f>
        <v>Отопление и Кондиционирование Renaissance: Ссылка на изображение</v>
      </c>
      <c r="EI225" t="s">
        <v>1306</v>
      </c>
      <c r="EJ225" t="s">
        <v>394</v>
      </c>
    </row>
    <row r="226" spans="1:152" ht="15" customHeight="1" x14ac:dyDescent="0.35">
      <c r="A226">
        <v>594</v>
      </c>
      <c r="B226" t="s">
        <v>1360</v>
      </c>
      <c r="C226">
        <v>2</v>
      </c>
      <c r="D226" t="str">
        <f>VLOOKUP(source[[#This Row],[Приоритет]],тПриоритеты[],2,0)</f>
        <v>Значительное</v>
      </c>
      <c r="E226" t="str">
        <f>IF(ISBLANK(source[[#This Row],[Проверенные]]),IF(ISBLANK(source[[#This Row],[Завершенные]]),source[[#This Row],[Приоритет_]],"Завершено"),"Проверено")</f>
        <v>Проверено</v>
      </c>
      <c r="F226" t="s">
        <v>866</v>
      </c>
      <c r="G226" t="s">
        <v>420</v>
      </c>
      <c r="H226" t="e">
        <f>VLOOKUP(source[[#This Row],[Отвественный]],тОтветственные[],2,0)</f>
        <v>#N/A</v>
      </c>
      <c r="I226" s="2">
        <v>43810</v>
      </c>
      <c r="J226" s="2">
        <v>43815</v>
      </c>
      <c r="K226" t="s">
        <v>1354</v>
      </c>
      <c r="L226">
        <v>24.88</v>
      </c>
      <c r="M226">
        <v>45.24</v>
      </c>
      <c r="Q226" t="s">
        <v>1139</v>
      </c>
      <c r="R226" t="str">
        <f>HYPERLINK("https://d28ji4sm1vmprj.cloudfront.net/8786c45d2213bf4d0d74b20b429bd882/f2f1b8d55c0f5fd30f3b247ad0751d44.jpeg", "Ссылка на план")</f>
        <v>Ссылка на план</v>
      </c>
      <c r="S226" s="1">
        <v>43810.468425925923</v>
      </c>
      <c r="T226" s="1">
        <v>43822.575879629629</v>
      </c>
      <c r="U226" s="1">
        <v>43822.575902777775</v>
      </c>
      <c r="W226" s="1">
        <v>43822.575902777775</v>
      </c>
      <c r="X226" t="s">
        <v>1355</v>
      </c>
      <c r="AA226" t="s">
        <v>1356</v>
      </c>
      <c r="EC226" t="s">
        <v>1361</v>
      </c>
      <c r="ED226" t="str">
        <f>HYPERLINK("https://d33htgqikc2pj4.cloudfront.net/7b800dd6-13c8-4787-b79f-1c9e0fcc8fb3.jpeg", "Кирилл Васенков: Ссылка на изображение")</f>
        <v>Кирилл Васенков: Ссылка на изображение</v>
      </c>
      <c r="EE226" t="str">
        <f>HYPERLINK("https://d33htgqikc2pj4.cloudfront.net/4fdf68de-bbe6-409a-a96e-f8369931029b.jpeg", "Кирилл Васенков: Ссылка на изображение")</f>
        <v>Кирилл Васенков: Ссылка на изображение</v>
      </c>
      <c r="EF226" t="s">
        <v>1217</v>
      </c>
      <c r="EG226" t="s">
        <v>1358</v>
      </c>
      <c r="EH226" t="str">
        <f>HYPERLINK("https://d33htgqikc2pj4.cloudfront.net/3b3a6834-8c89-4b9f-bc8f-5d909b1bf856.jpeg", "Отопление и Кондиционирование Renaissance: Ссылка на изображение")</f>
        <v>Отопление и Кондиционирование Renaissance: Ссылка на изображение</v>
      </c>
      <c r="EI226" t="str">
        <f>HYPERLINK("https://d33htgqikc2pj4.cloudfront.net/ed6e8732-cd30-4545-b6a8-d797a4bb9c7c.jpeg", "Отопление и Кондиционирование Renaissance: Ссылка на изображение")</f>
        <v>Отопление и Кондиционирование Renaissance: Ссылка на изображение</v>
      </c>
      <c r="EJ226" t="s">
        <v>1306</v>
      </c>
      <c r="EK226" t="s">
        <v>392</v>
      </c>
      <c r="EL226" t="s">
        <v>394</v>
      </c>
    </row>
    <row r="227" spans="1:152" ht="15" customHeight="1" x14ac:dyDescent="0.35">
      <c r="A227">
        <v>598</v>
      </c>
      <c r="B227" t="s">
        <v>1353</v>
      </c>
      <c r="C227">
        <v>2</v>
      </c>
      <c r="D227" t="str">
        <f>VLOOKUP(source[[#This Row],[Приоритет]],тПриоритеты[],2,0)</f>
        <v>Значительное</v>
      </c>
      <c r="E227" t="str">
        <f>IF(ISBLANK(source[[#This Row],[Проверенные]]),IF(ISBLANK(source[[#This Row],[Завершенные]]),source[[#This Row],[Приоритет_]],"Завершено"),"Проверено")</f>
        <v>Проверено</v>
      </c>
      <c r="F227" t="s">
        <v>866</v>
      </c>
      <c r="G227" t="s">
        <v>420</v>
      </c>
      <c r="H227" t="e">
        <f>VLOOKUP(source[[#This Row],[Отвественный]],тОтветственные[],2,0)</f>
        <v>#N/A</v>
      </c>
      <c r="I227" s="2">
        <v>43810</v>
      </c>
      <c r="J227" s="2">
        <v>43815</v>
      </c>
      <c r="K227" t="s">
        <v>1362</v>
      </c>
      <c r="L227">
        <v>21.6</v>
      </c>
      <c r="M227">
        <v>53.45</v>
      </c>
      <c r="Q227" t="s">
        <v>1139</v>
      </c>
      <c r="R227" t="str">
        <f>HYPERLINK("https://d28ji4sm1vmprj.cloudfront.net/1f2918d4b50e5af743bb88b2565be1af/a1ba613a0a1cb9060ba159dd4ad2d0c6.jpeg", "Ссылка на план")</f>
        <v>Ссылка на план</v>
      </c>
      <c r="S227" s="1">
        <v>43810.477280092593</v>
      </c>
      <c r="T227" s="1">
        <v>43817.654699074075</v>
      </c>
      <c r="U227" s="1">
        <v>43822.576111111113</v>
      </c>
      <c r="W227" s="1">
        <v>43822.576111111113</v>
      </c>
      <c r="X227" t="s">
        <v>1355</v>
      </c>
      <c r="AA227" t="s">
        <v>1356</v>
      </c>
      <c r="EC227" t="s">
        <v>1357</v>
      </c>
      <c r="ED227" t="str">
        <f>HYPERLINK("https://d33htgqikc2pj4.cloudfront.net/6fe54802-78bf-46cc-91d4-60fff0619163.jpeg", "Кирилл Васенков: Ссылка на изображение")</f>
        <v>Кирилл Васенков: Ссылка на изображение</v>
      </c>
      <c r="EE227" t="s">
        <v>1217</v>
      </c>
      <c r="EF227" t="s">
        <v>1358</v>
      </c>
      <c r="EG227" t="str">
        <f>HYPERLINK("https://d33htgqikc2pj4.cloudfront.net/273ca3e1-9a36-41b3-a608-7c4672d1b632.jpeg", "Отопление и Кондиционирование Renaissance: Ссылка на изображение")</f>
        <v>Отопление и Кондиционирование Renaissance: Ссылка на изображение</v>
      </c>
      <c r="EH227" t="str">
        <f>HYPERLINK("https://d33htgqikc2pj4.cloudfront.net/4b426711-fd2f-4eda-a4bf-416b1940f3e2.jpeg", "Отопление и Кондиционирование Renaissance: Ссылка на изображение")</f>
        <v>Отопление и Кондиционирование Renaissance: Ссылка на изображение</v>
      </c>
      <c r="EI227" t="s">
        <v>1306</v>
      </c>
      <c r="EJ227" t="s">
        <v>394</v>
      </c>
    </row>
    <row r="228" spans="1:152" ht="15" customHeight="1" x14ac:dyDescent="0.35">
      <c r="A228">
        <v>599</v>
      </c>
      <c r="B228" t="s">
        <v>1353</v>
      </c>
      <c r="C228">
        <v>2</v>
      </c>
      <c r="D228" t="str">
        <f>VLOOKUP(source[[#This Row],[Приоритет]],тПриоритеты[],2,0)</f>
        <v>Значительное</v>
      </c>
      <c r="E228" t="str">
        <f>IF(ISBLANK(source[[#This Row],[Проверенные]]),IF(ISBLANK(source[[#This Row],[Завершенные]]),source[[#This Row],[Приоритет_]],"Завершено"),"Проверено")</f>
        <v>Проверено</v>
      </c>
      <c r="F228" t="s">
        <v>866</v>
      </c>
      <c r="G228" t="s">
        <v>420</v>
      </c>
      <c r="H228" t="e">
        <f>VLOOKUP(source[[#This Row],[Отвественный]],тОтветственные[],2,0)</f>
        <v>#N/A</v>
      </c>
      <c r="I228" s="2">
        <v>43810</v>
      </c>
      <c r="J228" s="2">
        <v>43815</v>
      </c>
      <c r="K228" t="s">
        <v>1363</v>
      </c>
      <c r="L228">
        <v>36.76</v>
      </c>
      <c r="M228">
        <v>45.95</v>
      </c>
      <c r="Q228" t="s">
        <v>1139</v>
      </c>
      <c r="R228" t="str">
        <f>HYPERLINK("https://d28ji4sm1vmprj.cloudfront.net/1ba011c1fbb01d7affcf268742a21dd4/ed5667cc9f3f935552079de6c70cb3a5.jpeg", "Ссылка на план")</f>
        <v>Ссылка на план</v>
      </c>
      <c r="S228" s="1">
        <v>43810.482303240744</v>
      </c>
      <c r="T228" s="1">
        <v>43817.655081018522</v>
      </c>
      <c r="U228" s="1">
        <v>43822.576203703706</v>
      </c>
      <c r="W228" s="1">
        <v>43822.576203703706</v>
      </c>
      <c r="X228" t="s">
        <v>1355</v>
      </c>
      <c r="EC228" t="s">
        <v>1357</v>
      </c>
      <c r="ED228" t="str">
        <f>HYPERLINK("https://d33htgqikc2pj4.cloudfront.net/89890f80-8fc5-4807-90ff-eb64b04eef72.jpeg", "Кирилл Васенков: Ссылка на изображение")</f>
        <v>Кирилл Васенков: Ссылка на изображение</v>
      </c>
      <c r="EE228" t="s">
        <v>1217</v>
      </c>
      <c r="EF228" t="s">
        <v>1358</v>
      </c>
      <c r="EG228" t="str">
        <f>HYPERLINK("https://d33htgqikc2pj4.cloudfront.net/b6bffac6-074b-44f6-b24e-15e292ef804e.jpeg", "Отопление и Кондиционирование Renaissance: Ссылка на изображение")</f>
        <v>Отопление и Кондиционирование Renaissance: Ссылка на изображение</v>
      </c>
      <c r="EH228" t="str">
        <f>HYPERLINK("https://d33htgqikc2pj4.cloudfront.net/6294a6a1-53f8-47bf-aea1-a52175cfab8f.jpeg", "Отопление и Кондиционирование Renaissance: Ссылка на изображение")</f>
        <v>Отопление и Кондиционирование Renaissance: Ссылка на изображение</v>
      </c>
      <c r="EI228" t="s">
        <v>1306</v>
      </c>
      <c r="EJ228" t="s">
        <v>394</v>
      </c>
    </row>
    <row r="229" spans="1:152" ht="15" customHeight="1" x14ac:dyDescent="0.35">
      <c r="A229">
        <v>590</v>
      </c>
      <c r="B229" t="s">
        <v>1356</v>
      </c>
      <c r="C229">
        <v>2</v>
      </c>
      <c r="D229" t="str">
        <f>VLOOKUP(source[[#This Row],[Приоритет]],тПриоритеты[],2,0)</f>
        <v>Значительное</v>
      </c>
      <c r="E229" t="str">
        <f>IF(ISBLANK(source[[#This Row],[Проверенные]]),IF(ISBLANK(source[[#This Row],[Завершенные]]),source[[#This Row],[Приоритет_]],"Завершено"),"Проверено")</f>
        <v>Проверено</v>
      </c>
      <c r="F229" t="s">
        <v>866</v>
      </c>
      <c r="G229" t="s">
        <v>420</v>
      </c>
      <c r="H229" t="e">
        <f>VLOOKUP(source[[#This Row],[Отвественный]],тОтветственные[],2,0)</f>
        <v>#N/A</v>
      </c>
      <c r="I229" s="2">
        <v>43810</v>
      </c>
      <c r="J229" s="2">
        <v>43815</v>
      </c>
      <c r="K229" t="s">
        <v>1364</v>
      </c>
      <c r="L229">
        <v>21.43</v>
      </c>
      <c r="M229">
        <v>76.61</v>
      </c>
      <c r="Q229" t="s">
        <v>1139</v>
      </c>
      <c r="R229" t="str">
        <f>HYPERLINK("https://d28ji4sm1vmprj.cloudfront.net/a3c01eced86ed0ef6291fdb7f2aaf503/c9df183589d748130c11f638d4ffd7a1.jpeg", "Ссылка на план")</f>
        <v>Ссылка на план</v>
      </c>
      <c r="S229" s="1">
        <v>43810.436261574076</v>
      </c>
      <c r="T229" s="1">
        <v>43817.65252314815</v>
      </c>
      <c r="U229" s="1">
        <v>43822.575578703705</v>
      </c>
      <c r="W229" s="1">
        <v>43822.575578703705</v>
      </c>
      <c r="X229" t="s">
        <v>1355</v>
      </c>
      <c r="AA229" t="s">
        <v>1360</v>
      </c>
      <c r="AB229" t="s">
        <v>1353</v>
      </c>
      <c r="AC229" t="s">
        <v>1353</v>
      </c>
      <c r="AD229" t="s">
        <v>1353</v>
      </c>
      <c r="EC229" t="str">
        <f>HYPERLINK("https://d33htgqikc2pj4.cloudfront.net/0a893844-c9c0-4f06-873d-6a106bbeda65.jpeg", "Кирилл Васенков: Ссылка на изображение")</f>
        <v>Кирилл Васенков: Ссылка на изображение</v>
      </c>
      <c r="ED229" t="s">
        <v>1365</v>
      </c>
      <c r="EE229" t="s">
        <v>1004</v>
      </c>
      <c r="EF229" t="s">
        <v>1228</v>
      </c>
      <c r="EG229" t="s">
        <v>1366</v>
      </c>
      <c r="EH229" t="s">
        <v>1367</v>
      </c>
      <c r="EI229" t="s">
        <v>1358</v>
      </c>
      <c r="EJ229" t="str">
        <f>HYPERLINK("https://d33htgqikc2pj4.cloudfront.net/c2d67952-bbca-4eb9-be27-528654711706.jpeg", "Отопление и Кондиционирование Renaissance: Ссылка на изображение")</f>
        <v>Отопление и Кондиционирование Renaissance: Ссылка на изображение</v>
      </c>
      <c r="EK229" t="str">
        <f>HYPERLINK("https://d33htgqikc2pj4.cloudfront.net/0401299f-4a08-43f4-8192-6366bc0ff2e6.jpeg", "Отопление и Кондиционирование Renaissance: Ссылка на изображение")</f>
        <v>Отопление и Кондиционирование Renaissance: Ссылка на изображение</v>
      </c>
      <c r="EL229" t="s">
        <v>1306</v>
      </c>
      <c r="EM229" t="s">
        <v>394</v>
      </c>
    </row>
    <row r="230" spans="1:152" ht="15" customHeight="1" x14ac:dyDescent="0.35">
      <c r="A230">
        <v>219</v>
      </c>
      <c r="B230" t="s">
        <v>1137</v>
      </c>
      <c r="C230">
        <v>2</v>
      </c>
      <c r="D230" t="str">
        <f>VLOOKUP(source[[#This Row],[Приоритет]],тПриоритеты[],2,0)</f>
        <v>Значительное</v>
      </c>
      <c r="E230" t="str">
        <f>IF(ISBLANK(source[[#This Row],[Проверенные]]),IF(ISBLANK(source[[#This Row],[Завершенные]]),source[[#This Row],[Приоритет_]],"Завершено"),"Проверено")</f>
        <v>Проверено</v>
      </c>
      <c r="F230" t="s">
        <v>866</v>
      </c>
      <c r="G230" t="s">
        <v>420</v>
      </c>
      <c r="H230" t="e">
        <f>VLOOKUP(source[[#This Row],[Отвественный]],тОтветственные[],2,0)</f>
        <v>#N/A</v>
      </c>
      <c r="I230" s="2">
        <v>43781</v>
      </c>
      <c r="J230" s="2">
        <v>43829</v>
      </c>
      <c r="K230" t="s">
        <v>1138</v>
      </c>
      <c r="L230">
        <v>21.19</v>
      </c>
      <c r="M230">
        <v>67.08</v>
      </c>
      <c r="Q230" t="s">
        <v>1139</v>
      </c>
      <c r="R230" t="str">
        <f>HYPERLINK("https://d28ji4sm1vmprj.cloudfront.net/528e04103b411e1177ffc9599dea26fd/6cee4de868e78899927c0ddeef287e29.jpeg", "Ссылка на план")</f>
        <v>Ссылка на план</v>
      </c>
      <c r="S230" s="1">
        <v>43781.427847222221</v>
      </c>
      <c r="T230" s="1">
        <v>43818.632847222223</v>
      </c>
      <c r="U230" s="1">
        <v>43818.632847222223</v>
      </c>
      <c r="W230" s="1">
        <v>43818.647326388891</v>
      </c>
      <c r="X230" t="s">
        <v>1140</v>
      </c>
      <c r="EC230" t="str">
        <f>HYPERLINK("https://d33htgqikc2pj4.cloudfront.net/2897a510-bde0-43f4-a0fa-463fb0c7029f.jpeg", "Кирилл Васенков: Ссылка на изображение")</f>
        <v>Кирилл Васенков: Ссылка на изображение</v>
      </c>
      <c r="ED230" t="str">
        <f>HYPERLINK("https://d33htgqikc2pj4.cloudfront.net/6f949f3a-d55c-4be7-82ec-1de6ca5d4032.jpeg", "Кирилл Васенков: Ссылка на изображение")</f>
        <v>Кирилл Васенков: Ссылка на изображение</v>
      </c>
      <c r="EE230" t="s">
        <v>1141</v>
      </c>
      <c r="EF230" t="s">
        <v>1004</v>
      </c>
      <c r="EG230" t="s">
        <v>1228</v>
      </c>
      <c r="EH230" t="s">
        <v>1229</v>
      </c>
      <c r="EI230" t="s">
        <v>932</v>
      </c>
      <c r="EJ230" t="s">
        <v>933</v>
      </c>
      <c r="EK230" t="s">
        <v>915</v>
      </c>
      <c r="EL230" t="s">
        <v>394</v>
      </c>
    </row>
    <row r="231" spans="1:152" ht="15" customHeight="1" x14ac:dyDescent="0.35">
      <c r="A231">
        <v>135</v>
      </c>
      <c r="B231" t="s">
        <v>1333</v>
      </c>
      <c r="C231">
        <v>2</v>
      </c>
      <c r="D231" t="str">
        <f>VLOOKUP(source[[#This Row],[Приоритет]],тПриоритеты[],2,0)</f>
        <v>Значительное</v>
      </c>
      <c r="E231" t="str">
        <f>IF(ISBLANK(source[[#This Row],[Проверенные]]),IF(ISBLANK(source[[#This Row],[Завершенные]]),source[[#This Row],[Приоритет_]],"Завершено"),"Проверено")</f>
        <v>Проверено</v>
      </c>
      <c r="F231" t="s">
        <v>866</v>
      </c>
      <c r="G231" t="s">
        <v>420</v>
      </c>
      <c r="H231" t="e">
        <f>VLOOKUP(source[[#This Row],[Отвественный]],тОтветственные[],2,0)</f>
        <v>#N/A</v>
      </c>
      <c r="I231" s="2">
        <v>43774</v>
      </c>
      <c r="J231" s="2">
        <v>43784</v>
      </c>
      <c r="K231" t="s">
        <v>1330</v>
      </c>
      <c r="L231">
        <v>10.74</v>
      </c>
      <c r="M231">
        <v>66.11</v>
      </c>
      <c r="N231" t="s">
        <v>1331</v>
      </c>
      <c r="Q231" t="s">
        <v>1332</v>
      </c>
      <c r="R231" t="str">
        <f>HYPERLINK("https://d28ji4sm1vmprj.cloudfront.net/3de368f48757c539d63fd44ecbad0d51/4a6e93d50a89fe99485657710ec55d06.jpeg", "Ссылка на план")</f>
        <v>Ссылка на план</v>
      </c>
      <c r="S231" s="1">
        <v>43774.533032407409</v>
      </c>
      <c r="T231" s="1">
        <v>43784.762361111112</v>
      </c>
      <c r="U231" s="1">
        <v>43787.361446759256</v>
      </c>
      <c r="W231" s="1">
        <v>43787.36141203704</v>
      </c>
      <c r="AA231" t="s">
        <v>1329</v>
      </c>
      <c r="AB231" t="s">
        <v>1338</v>
      </c>
      <c r="EC231" t="str">
        <f>HYPERLINK("https://d33htgqikc2pj4.cloudfront.net/0652777c-3a58-48c5-becc-8430ead73576.jpeg", "Кирилл Васенков: Ссылка на изображение")</f>
        <v>Кирилл Васенков: Ссылка на изображение</v>
      </c>
      <c r="ED231" t="str">
        <f>HYPERLINK("https://d33htgqikc2pj4.cloudfront.net/ccfd27df-6bde-4060-a50b-17ba1837e25a.jpeg", "Кирилл Васенков: Ссылка на изображение")</f>
        <v>Кирилл Васенков: Ссылка на изображение</v>
      </c>
      <c r="EE231" t="str">
        <f>HYPERLINK("https://d33htgqikc2pj4.cloudfront.net/a0e81c0a-5525-4d71-85f9-f1b0a648edbc.jpeg", "Кирилл Васенков: Ссылка на изображение")</f>
        <v>Кирилл Васенков: Ссылка на изображение</v>
      </c>
      <c r="EF231" t="str">
        <f>HYPERLINK("https://d33htgqikc2pj4.cloudfront.net/0b906436-15cd-4ef3-96ce-0321e62b5f71.jpeg", "Кирилл Васенков: Ссылка на изображение")</f>
        <v>Кирилл Васенков: Ссылка на изображение</v>
      </c>
      <c r="EG231" t="str">
        <f>HYPERLINK("https://d33htgqikc2pj4.cloudfront.net/ffeba34b-0c89-41a5-afe9-f4eeff4a0ba5.jpeg", "Кирилл Васенков: Ссылка на изображение")</f>
        <v>Кирилл Васенков: Ссылка на изображение</v>
      </c>
      <c r="EH231" t="str">
        <f>HYPERLINK("https://d33htgqikc2pj4.cloudfront.net/545bdb46-7b39-4420-b626-f115e1c28aa8.jpeg", "Кирилл Васенков: Ссылка на изображение")</f>
        <v>Кирилл Васенков: Ссылка на изображение</v>
      </c>
      <c r="EI231" t="str">
        <f>HYPERLINK("https://d33htgqikc2pj4.cloudfront.net/737746fe-31b3-460f-8efd-3eb9bec54c7d.jpeg", "Кирилл Васенков: Ссылка на изображение")</f>
        <v>Кирилл Васенков: Ссылка на изображение</v>
      </c>
      <c r="EJ231" t="str">
        <f>HYPERLINK("https://d33htgqikc2pj4.cloudfront.net/5d94f1ce-c1c6-42ae-a8cb-329576da8382.jpeg", "Кирилл Васенков: Ссылка на изображение")</f>
        <v>Кирилл Васенков: Ссылка на изображение</v>
      </c>
      <c r="EK231" t="s">
        <v>1368</v>
      </c>
      <c r="EL231" t="s">
        <v>1170</v>
      </c>
      <c r="EM231" t="s">
        <v>1369</v>
      </c>
      <c r="EN231" t="s">
        <v>1179</v>
      </c>
      <c r="EO231" t="s">
        <v>1370</v>
      </c>
      <c r="EP231" t="s">
        <v>929</v>
      </c>
      <c r="EQ231" t="s">
        <v>930</v>
      </c>
      <c r="ER231" t="s">
        <v>1179</v>
      </c>
      <c r="ES231" t="s">
        <v>932</v>
      </c>
      <c r="ET231" t="s">
        <v>425</v>
      </c>
      <c r="EU231" t="s">
        <v>1147</v>
      </c>
      <c r="EV231" t="s">
        <v>394</v>
      </c>
    </row>
    <row r="232" spans="1:152" ht="15" customHeight="1" x14ac:dyDescent="0.35">
      <c r="A232">
        <v>188</v>
      </c>
      <c r="B232" t="s">
        <v>1371</v>
      </c>
      <c r="C232">
        <v>2</v>
      </c>
      <c r="D232" t="str">
        <f>VLOOKUP(source[[#This Row],[Приоритет]],тПриоритеты[],2,0)</f>
        <v>Значительное</v>
      </c>
      <c r="E232" t="str">
        <f>IF(ISBLANK(source[[#This Row],[Проверенные]]),IF(ISBLANK(source[[#This Row],[Завершенные]]),source[[#This Row],[Приоритет_]],"Завершено"),"Проверено")</f>
        <v>Проверено</v>
      </c>
      <c r="F232" t="s">
        <v>866</v>
      </c>
      <c r="G232" t="s">
        <v>420</v>
      </c>
      <c r="H232" t="e">
        <f>VLOOKUP(source[[#This Row],[Отвественный]],тОтветственные[],2,0)</f>
        <v>#N/A</v>
      </c>
      <c r="I232" s="2">
        <v>43777</v>
      </c>
      <c r="J232" s="2">
        <v>43829</v>
      </c>
      <c r="K232" t="s">
        <v>1191</v>
      </c>
      <c r="L232">
        <v>64.38</v>
      </c>
      <c r="M232">
        <v>34.4</v>
      </c>
      <c r="Q232" t="s">
        <v>1139</v>
      </c>
      <c r="R232" t="str">
        <f>HYPERLINK("https://d28ji4sm1vmprj.cloudfront.net/ba4735090fe6b8f6de3f17db27e7ff1d/1c8ad0dd164df1f26888c689ba793b63.jpeg", "Ссылка на план")</f>
        <v>Ссылка на план</v>
      </c>
      <c r="S232" s="1">
        <v>43777.500289351854</v>
      </c>
      <c r="T232" s="1">
        <v>43817.497569444444</v>
      </c>
      <c r="U232" s="1">
        <v>43822.573530092595</v>
      </c>
      <c r="W232" s="1">
        <v>43822.573541666665</v>
      </c>
      <c r="X232" t="s">
        <v>1140</v>
      </c>
      <c r="EC232" t="str">
        <f>HYPERLINK("https://d33htgqikc2pj4.cloudfront.net/65976c91-2210-4367-bf4f-cb5f77807d4e.jpeg", "Кирилл Васенков: Ссылка на изображение")</f>
        <v>Кирилл Васенков: Ссылка на изображение</v>
      </c>
      <c r="ED232" t="s">
        <v>1372</v>
      </c>
      <c r="EE232" t="s">
        <v>929</v>
      </c>
      <c r="EF232" t="s">
        <v>930</v>
      </c>
      <c r="EG232" t="s">
        <v>931</v>
      </c>
      <c r="EH232" t="s">
        <v>932</v>
      </c>
      <c r="EI232" t="s">
        <v>425</v>
      </c>
      <c r="EJ232" t="s">
        <v>933</v>
      </c>
      <c r="EK232" t="s">
        <v>915</v>
      </c>
      <c r="EL232" t="s">
        <v>1373</v>
      </c>
      <c r="EM232" t="s">
        <v>1147</v>
      </c>
      <c r="EN232" t="s">
        <v>394</v>
      </c>
    </row>
    <row r="233" spans="1:152" ht="15" customHeight="1" x14ac:dyDescent="0.35">
      <c r="A233">
        <v>221</v>
      </c>
      <c r="B233" t="s">
        <v>1218</v>
      </c>
      <c r="C233">
        <v>2</v>
      </c>
      <c r="D233" t="str">
        <f>VLOOKUP(source[[#This Row],[Приоритет]],тПриоритеты[],2,0)</f>
        <v>Значительное</v>
      </c>
      <c r="E233" t="str">
        <f>IF(ISBLANK(source[[#This Row],[Проверенные]]),IF(ISBLANK(source[[#This Row],[Завершенные]]),source[[#This Row],[Приоритет_]],"Завершено"),"Проверено")</f>
        <v>Проверено</v>
      </c>
      <c r="F233" t="s">
        <v>866</v>
      </c>
      <c r="G233" t="s">
        <v>420</v>
      </c>
      <c r="H233" t="e">
        <f>VLOOKUP(source[[#This Row],[Отвественный]],тОтветственные[],2,0)</f>
        <v>#N/A</v>
      </c>
      <c r="I233" s="2">
        <v>43781</v>
      </c>
      <c r="J233" s="2">
        <v>43829</v>
      </c>
      <c r="K233" t="s">
        <v>1138</v>
      </c>
      <c r="L233">
        <v>19.34</v>
      </c>
      <c r="M233">
        <v>65.650000000000006</v>
      </c>
      <c r="Q233" t="s">
        <v>1139</v>
      </c>
      <c r="R233" t="str">
        <f>HYPERLINK("https://d28ji4sm1vmprj.cloudfront.net/528e04103b411e1177ffc9599dea26fd/6cee4de868e78899927c0ddeef287e29.jpeg", "Ссылка на план")</f>
        <v>Ссылка на план</v>
      </c>
      <c r="S233" s="1">
        <v>43781.44258101852</v>
      </c>
      <c r="T233" s="1">
        <v>43818.62395833333</v>
      </c>
      <c r="U233" s="1">
        <v>43818.62395833333</v>
      </c>
      <c r="W233" s="1">
        <v>43818.647245370368</v>
      </c>
      <c r="X233" t="s">
        <v>1140</v>
      </c>
      <c r="EC233" t="str">
        <f>HYPERLINK("https://d33htgqikc2pj4.cloudfront.net/4f44076a-1869-43db-b34a-504ebca6d616.jpeg", "Кирилл Васенков: Ссылка на изображение")</f>
        <v>Кирилл Васенков: Ссылка на изображение</v>
      </c>
      <c r="ED233" t="s">
        <v>1219</v>
      </c>
      <c r="EE233" t="s">
        <v>1217</v>
      </c>
      <c r="EF233" t="s">
        <v>933</v>
      </c>
      <c r="EG233" t="s">
        <v>915</v>
      </c>
      <c r="EH233" t="s">
        <v>394</v>
      </c>
    </row>
    <row r="234" spans="1:152" ht="15" customHeight="1" x14ac:dyDescent="0.35">
      <c r="A234">
        <v>220</v>
      </c>
      <c r="B234" t="s">
        <v>1374</v>
      </c>
      <c r="C234">
        <v>2</v>
      </c>
      <c r="D234" t="str">
        <f>VLOOKUP(source[[#This Row],[Приоритет]],тПриоритеты[],2,0)</f>
        <v>Значительное</v>
      </c>
      <c r="E234" t="str">
        <f>IF(ISBLANK(source[[#This Row],[Проверенные]]),IF(ISBLANK(source[[#This Row],[Завершенные]]),source[[#This Row],[Приоритет_]],"Завершено"),"Проверено")</f>
        <v>Проверено</v>
      </c>
      <c r="F234" t="s">
        <v>866</v>
      </c>
      <c r="G234" t="s">
        <v>420</v>
      </c>
      <c r="H234" t="e">
        <f>VLOOKUP(source[[#This Row],[Отвественный]],тОтветственные[],2,0)</f>
        <v>#N/A</v>
      </c>
      <c r="I234" s="2">
        <v>43781</v>
      </c>
      <c r="J234" s="2">
        <v>43829</v>
      </c>
      <c r="K234" t="s">
        <v>1138</v>
      </c>
      <c r="L234">
        <v>20.82</v>
      </c>
      <c r="M234">
        <v>66.37</v>
      </c>
      <c r="Q234" t="s">
        <v>1139</v>
      </c>
      <c r="R234" t="str">
        <f>HYPERLINK("https://d28ji4sm1vmprj.cloudfront.net/528e04103b411e1177ffc9599dea26fd/6cee4de868e78899927c0ddeef287e29.jpeg", "Ссылка на план")</f>
        <v>Ссылка на план</v>
      </c>
      <c r="S234" s="1">
        <v>43781.43540509259</v>
      </c>
      <c r="T234" s="1">
        <v>43818.636192129627</v>
      </c>
      <c r="U234" s="1">
        <v>43818.636192129627</v>
      </c>
      <c r="W234" s="1">
        <v>43818.647569444445</v>
      </c>
      <c r="X234" t="s">
        <v>1140</v>
      </c>
      <c r="EC234" t="str">
        <f>HYPERLINK("https://d33htgqikc2pj4.cloudfront.net/b11181a4-91dc-457b-aca2-eed177dff160.jpeg", "Кирилл Васенков: Ссылка на изображение")</f>
        <v>Кирилл Васенков: Ссылка на изображение</v>
      </c>
      <c r="ED234" t="s">
        <v>1375</v>
      </c>
      <c r="EE234" t="s">
        <v>1217</v>
      </c>
      <c r="EF234" t="s">
        <v>933</v>
      </c>
      <c r="EG234" t="s">
        <v>915</v>
      </c>
      <c r="EH234" t="s">
        <v>394</v>
      </c>
    </row>
    <row r="235" spans="1:152" ht="15" customHeight="1" x14ac:dyDescent="0.35">
      <c r="A235">
        <v>224</v>
      </c>
      <c r="B235" t="s">
        <v>1376</v>
      </c>
      <c r="C235">
        <v>2</v>
      </c>
      <c r="D235" t="str">
        <f>VLOOKUP(source[[#This Row],[Приоритет]],тПриоритеты[],2,0)</f>
        <v>Значительное</v>
      </c>
      <c r="E235" t="str">
        <f>IF(ISBLANK(source[[#This Row],[Проверенные]]),IF(ISBLANK(source[[#This Row],[Завершенные]]),source[[#This Row],[Приоритет_]],"Завершено"),"Проверено")</f>
        <v>Проверено</v>
      </c>
      <c r="F235" t="s">
        <v>866</v>
      </c>
      <c r="G235" t="s">
        <v>420</v>
      </c>
      <c r="H235" t="e">
        <f>VLOOKUP(source[[#This Row],[Отвественный]],тОтветственные[],2,0)</f>
        <v>#N/A</v>
      </c>
      <c r="I235" s="2">
        <v>43781</v>
      </c>
      <c r="J235" s="2">
        <v>43829</v>
      </c>
      <c r="K235" t="s">
        <v>1138</v>
      </c>
      <c r="L235">
        <v>17.75</v>
      </c>
      <c r="M235">
        <v>65.540000000000006</v>
      </c>
      <c r="Q235" t="s">
        <v>1139</v>
      </c>
      <c r="R235" t="str">
        <f>HYPERLINK("https://d28ji4sm1vmprj.cloudfront.net/528e04103b411e1177ffc9599dea26fd/6cee4de868e78899927c0ddeef287e29.jpeg", "Ссылка на план")</f>
        <v>Ссылка на план</v>
      </c>
      <c r="S235" s="1">
        <v>43781.5080787037</v>
      </c>
      <c r="T235" s="1">
        <v>43818.611527777779</v>
      </c>
      <c r="U235" s="1">
        <v>43818.611527777779</v>
      </c>
      <c r="W235" s="1">
        <v>43818.647233796299</v>
      </c>
      <c r="X235" t="s">
        <v>1140</v>
      </c>
      <c r="EC235" t="str">
        <f>HYPERLINK("https://d33htgqikc2pj4.cloudfront.net/723ffd20-ca5a-4f4b-a048-043dc2a33ce6.jpeg", "Кирилл Васенков: Ссылка на изображение")</f>
        <v>Кирилл Васенков: Ссылка на изображение</v>
      </c>
      <c r="ED235" t="s">
        <v>1377</v>
      </c>
      <c r="EE235" t="s">
        <v>1217</v>
      </c>
      <c r="EF235" t="s">
        <v>933</v>
      </c>
      <c r="EG235" t="s">
        <v>915</v>
      </c>
      <c r="EH235" t="s">
        <v>394</v>
      </c>
    </row>
    <row r="236" spans="1:152" ht="15" customHeight="1" x14ac:dyDescent="0.35">
      <c r="A236">
        <v>617</v>
      </c>
      <c r="B236" t="s">
        <v>1378</v>
      </c>
      <c r="C236">
        <v>2</v>
      </c>
      <c r="D236" t="str">
        <f>VLOOKUP(source[[#This Row],[Приоритет]],тПриоритеты[],2,0)</f>
        <v>Значительное</v>
      </c>
      <c r="E236" t="str">
        <f>IF(ISBLANK(source[[#This Row],[Проверенные]]),IF(ISBLANK(source[[#This Row],[Завершенные]]),source[[#This Row],[Приоритет_]],"Завершено"),"Проверено")</f>
        <v>Проверено</v>
      </c>
      <c r="F236" t="s">
        <v>866</v>
      </c>
      <c r="G236" t="s">
        <v>420</v>
      </c>
      <c r="H236" t="e">
        <f>VLOOKUP(source[[#This Row],[Отвественный]],тОтветственные[],2,0)</f>
        <v>#N/A</v>
      </c>
      <c r="I236" s="2">
        <v>43812</v>
      </c>
      <c r="J236" s="2">
        <v>43816</v>
      </c>
      <c r="K236" t="s">
        <v>1379</v>
      </c>
      <c r="L236">
        <v>30.91</v>
      </c>
      <c r="M236">
        <v>51.37</v>
      </c>
      <c r="Q236" t="s">
        <v>1112</v>
      </c>
      <c r="R236" t="str">
        <f>HYPERLINK("https://d28ji4sm1vmprj.cloudfront.net/4749741d857e04ecc6dbfbc555649549/3d4783e476de303f4b105f5ebef58f99.jpeg", "Ссылка на план")</f>
        <v>Ссылка на план</v>
      </c>
      <c r="S236" s="1">
        <v>43812.438784722224</v>
      </c>
      <c r="T236" s="1">
        <v>43816.37908564815</v>
      </c>
      <c r="U236" s="1">
        <v>43816.801608796297</v>
      </c>
      <c r="W236" s="1">
        <v>43816.801608796297</v>
      </c>
      <c r="X236" t="s">
        <v>1380</v>
      </c>
      <c r="EC236" t="str">
        <f>HYPERLINK("https://d33htgqikc2pj4.cloudfront.net/ff042704-e91b-46c2-81b4-789ba3511770.jpeg", "Кирилл Васенков: Ссылка на изображение")</f>
        <v>Кирилл Васенков: Ссылка на изображение</v>
      </c>
      <c r="ED236" t="s">
        <v>1381</v>
      </c>
      <c r="EE236" t="s">
        <v>1004</v>
      </c>
      <c r="EF236" t="s">
        <v>1228</v>
      </c>
      <c r="EG236" t="s">
        <v>1382</v>
      </c>
      <c r="EH236" t="s">
        <v>1383</v>
      </c>
      <c r="EI236" t="str">
        <f>HYPERLINK("https://d33htgqikc2pj4.cloudfront.net/062a5356-96f9-4e1a-a440-20267049277c.jpeg", "Отопление и Кондиционирование Renaissance: Ссылка на изображение")</f>
        <v>Отопление и Кондиционирование Renaissance: Ссылка на изображение</v>
      </c>
      <c r="EJ236" t="s">
        <v>1384</v>
      </c>
      <c r="EK236" t="s">
        <v>1306</v>
      </c>
      <c r="EL236" t="s">
        <v>394</v>
      </c>
    </row>
    <row r="237" spans="1:152" ht="15" customHeight="1" x14ac:dyDescent="0.35">
      <c r="A237">
        <v>616</v>
      </c>
      <c r="B237" t="s">
        <v>1385</v>
      </c>
      <c r="C237">
        <v>2</v>
      </c>
      <c r="D237" t="str">
        <f>VLOOKUP(source[[#This Row],[Приоритет]],тПриоритеты[],2,0)</f>
        <v>Значительное</v>
      </c>
      <c r="E237" t="str">
        <f>IF(ISBLANK(source[[#This Row],[Проверенные]]),IF(ISBLANK(source[[#This Row],[Завершенные]]),source[[#This Row],[Приоритет_]],"Завершено"),"Проверено")</f>
        <v>Проверено</v>
      </c>
      <c r="F237" t="s">
        <v>866</v>
      </c>
      <c r="G237" t="s">
        <v>420</v>
      </c>
      <c r="H237" t="e">
        <f>VLOOKUP(source[[#This Row],[Отвественный]],тОтветственные[],2,0)</f>
        <v>#N/A</v>
      </c>
      <c r="I237" s="2">
        <v>43812</v>
      </c>
      <c r="J237" s="2">
        <v>43816</v>
      </c>
      <c r="K237" t="s">
        <v>1379</v>
      </c>
      <c r="L237">
        <v>26.86</v>
      </c>
      <c r="M237">
        <v>50.89</v>
      </c>
      <c r="Q237" t="s">
        <v>1112</v>
      </c>
      <c r="R237" t="str">
        <f>HYPERLINK("https://d28ji4sm1vmprj.cloudfront.net/4749741d857e04ecc6dbfbc555649549/3d4783e476de303f4b105f5ebef58f99.jpeg", "Ссылка на план")</f>
        <v>Ссылка на план</v>
      </c>
      <c r="S237" s="1">
        <v>43812.435567129629</v>
      </c>
      <c r="T237" s="1">
        <v>43816.380046296297</v>
      </c>
      <c r="U237" s="1">
        <v>43818.563460648147</v>
      </c>
      <c r="W237" s="1">
        <v>43818.563460648147</v>
      </c>
      <c r="X237" t="s">
        <v>1380</v>
      </c>
      <c r="EC237" t="str">
        <f>HYPERLINK("https://d33htgqikc2pj4.cloudfront.net/4fa23df8-35e0-4750-b135-06d7a91c261c.jpeg", "Кирилл Васенков: Ссылка на изображение")</f>
        <v>Кирилл Васенков: Ссылка на изображение</v>
      </c>
      <c r="ED237" t="s">
        <v>1386</v>
      </c>
      <c r="EE237" t="s">
        <v>1004</v>
      </c>
      <c r="EF237" t="s">
        <v>1228</v>
      </c>
      <c r="EG237" t="s">
        <v>1382</v>
      </c>
      <c r="EH237" t="s">
        <v>1383</v>
      </c>
      <c r="EI237" t="str">
        <f>HYPERLINK("https://d33htgqikc2pj4.cloudfront.net/bc619a13-6042-44ec-ba90-9900d02eae39.jpeg", "Отопление и Кондиционирование Renaissance: Ссылка на изображение")</f>
        <v>Отопление и Кондиционирование Renaissance: Ссылка на изображение</v>
      </c>
      <c r="EJ237" t="s">
        <v>1387</v>
      </c>
      <c r="EK237" t="s">
        <v>1306</v>
      </c>
      <c r="EL237" t="s">
        <v>394</v>
      </c>
    </row>
    <row r="238" spans="1:152" ht="15" customHeight="1" x14ac:dyDescent="0.35">
      <c r="A238">
        <v>618</v>
      </c>
      <c r="B238" t="s">
        <v>1388</v>
      </c>
      <c r="C238">
        <v>2</v>
      </c>
      <c r="D238" t="str">
        <f>VLOOKUP(source[[#This Row],[Приоритет]],тПриоритеты[],2,0)</f>
        <v>Значительное</v>
      </c>
      <c r="E238" t="str">
        <f>IF(ISBLANK(source[[#This Row],[Проверенные]]),IF(ISBLANK(source[[#This Row],[Завершенные]]),source[[#This Row],[Приоритет_]],"Завершено"),"Проверено")</f>
        <v>Проверено</v>
      </c>
      <c r="F238" t="s">
        <v>866</v>
      </c>
      <c r="G238" t="s">
        <v>420</v>
      </c>
      <c r="H238" t="e">
        <f>VLOOKUP(source[[#This Row],[Отвественный]],тОтветственные[],2,0)</f>
        <v>#N/A</v>
      </c>
      <c r="I238" s="2">
        <v>43812</v>
      </c>
      <c r="J238" s="2">
        <v>43816</v>
      </c>
      <c r="K238" t="s">
        <v>1389</v>
      </c>
      <c r="L238">
        <v>18.690000000000001</v>
      </c>
      <c r="M238">
        <v>49.05</v>
      </c>
      <c r="Q238" t="s">
        <v>1112</v>
      </c>
      <c r="R238" t="str">
        <f>HYPERLINK("https://d28ji4sm1vmprj.cloudfront.net/617dcce2e954a3879f318ea0eb2ceb54/454efd2c1c542f4f7e770efc31559c5e.jpeg", "Ссылка на план")</f>
        <v>Ссылка на план</v>
      </c>
      <c r="S238" s="1">
        <v>43812.462106481478</v>
      </c>
      <c r="T238" s="1">
        <v>43816.394872685189</v>
      </c>
      <c r="U238" s="1">
        <v>43816.801458333335</v>
      </c>
      <c r="W238" s="1">
        <v>43816.801458333335</v>
      </c>
      <c r="X238" t="s">
        <v>1153</v>
      </c>
      <c r="Y238" t="s">
        <v>1380</v>
      </c>
      <c r="EC238" t="s">
        <v>1390</v>
      </c>
      <c r="ED238" t="s">
        <v>1391</v>
      </c>
      <c r="EE238" t="str">
        <f>HYPERLINK("https://d33htgqikc2pj4.cloudfront.net/b2bc8784fd3a79dbe324441399d2977d/b72bdb513c8a0038165a39786ebec63d-file.jpeg", "Кирилл Васенков: Ссылка на изображение")</f>
        <v>Кирилл Васенков: Ссылка на изображение</v>
      </c>
      <c r="EF238" t="s">
        <v>1004</v>
      </c>
      <c r="EG238" t="s">
        <v>1382</v>
      </c>
      <c r="EH238" t="s">
        <v>1383</v>
      </c>
      <c r="EI238" t="s">
        <v>1228</v>
      </c>
      <c r="EJ238" t="str">
        <f>HYPERLINK("https://d33htgqikc2pj4.cloudfront.net/49e0e32c-1b88-42ce-af31-3efecc74fe61.jpeg", "Отопление и Кондиционирование Renaissance: Ссылка на изображение")</f>
        <v>Отопление и Кондиционирование Renaissance: Ссылка на изображение</v>
      </c>
      <c r="EK238" t="str">
        <f>HYPERLINK("https://d33htgqikc2pj4.cloudfront.net/12b83b73-55c0-4cc1-b5d8-9a524081eb7f.jpeg", "Отопление и Кондиционирование Renaissance: Ссылка на изображение")</f>
        <v>Отопление и Кондиционирование Renaissance: Ссылка на изображение</v>
      </c>
      <c r="EL238" t="str">
        <f>HYPERLINK("https://d33htgqikc2pj4.cloudfront.net/396d1944-13e0-4840-b419-2c20bf6b7e35.jpeg", "Отопление и Кондиционирование Renaissance: Ссылка на изображение")</f>
        <v>Отопление и Кондиционирование Renaissance: Ссылка на изображение</v>
      </c>
      <c r="EM238" t="str">
        <f>HYPERLINK("https://d33htgqikc2pj4.cloudfront.net/c33a5d9d-11a6-4d4a-b478-4973f5d7ad6d.jpeg", "Отопление и Кондиционирование Renaissance: Ссылка на изображение")</f>
        <v>Отопление и Кондиционирование Renaissance: Ссылка на изображение</v>
      </c>
      <c r="EN238" t="s">
        <v>1392</v>
      </c>
      <c r="EO238" t="s">
        <v>1306</v>
      </c>
      <c r="EP238" t="s">
        <v>394</v>
      </c>
    </row>
    <row r="239" spans="1:152" ht="15" customHeight="1" x14ac:dyDescent="0.35">
      <c r="A239">
        <v>251</v>
      </c>
      <c r="B239" t="s">
        <v>1393</v>
      </c>
      <c r="C239">
        <v>2</v>
      </c>
      <c r="D239" t="str">
        <f>VLOOKUP(source[[#This Row],[Приоритет]],тПриоритеты[],2,0)</f>
        <v>Значительное</v>
      </c>
      <c r="E239" t="str">
        <f>IF(ISBLANK(source[[#This Row],[Проверенные]]),IF(ISBLANK(source[[#This Row],[Завершенные]]),source[[#This Row],[Приоритет_]],"Завершено"),"Проверено")</f>
        <v>Проверено</v>
      </c>
      <c r="F239" t="s">
        <v>866</v>
      </c>
      <c r="G239" t="s">
        <v>420</v>
      </c>
      <c r="H239" t="e">
        <f>VLOOKUP(source[[#This Row],[Отвественный]],тОтветственные[],2,0)</f>
        <v>#N/A</v>
      </c>
      <c r="I239" s="2">
        <v>43782</v>
      </c>
      <c r="J239" s="2">
        <v>43784</v>
      </c>
      <c r="K239" t="s">
        <v>1394</v>
      </c>
      <c r="L239">
        <v>18.420000000000002</v>
      </c>
      <c r="M239">
        <v>33.93</v>
      </c>
      <c r="Q239" t="s">
        <v>1112</v>
      </c>
      <c r="R239" t="str">
        <f>HYPERLINK("https://d28ji4sm1vmprj.cloudfront.net/58e6c49d8a85b430c0e1d9dc31fc997e/52bc4b8ffdbaea63ba8cca4e2d406780.jpeg", "Ссылка на план")</f>
        <v>Ссылка на план</v>
      </c>
      <c r="S239" s="1">
        <v>43782.633946759262</v>
      </c>
      <c r="T239" s="1">
        <v>43785.466307870367</v>
      </c>
      <c r="U239" s="1">
        <v>43789.666215277779</v>
      </c>
      <c r="W239" s="1">
        <v>43789.690844907411</v>
      </c>
      <c r="X239" t="s">
        <v>1140</v>
      </c>
      <c r="EC239" t="str">
        <f>HYPERLINK("https://d33htgqikc2pj4.cloudfront.net/759475d4-e5b5-443a-9d42-1994d194cb78.jpeg", "Кирилл Васенков: Ссылка на изображение")</f>
        <v>Кирилл Васенков: Ссылка на изображение</v>
      </c>
      <c r="ED239" t="s">
        <v>1395</v>
      </c>
      <c r="EE239" t="s">
        <v>1217</v>
      </c>
      <c r="EF239" t="str">
        <f>HYPERLINK("https://d33htgqikc2pj4.cloudfront.net/02b130fa-8126-4790-aa89-647e40d68b95.jpeg", "Отопление и Кондиционирование Renaissance: Ссылка на изображение")</f>
        <v>Отопление и Кондиционирование Renaissance: Ссылка на изображение</v>
      </c>
      <c r="EG239" t="s">
        <v>1306</v>
      </c>
      <c r="EH239" t="s">
        <v>394</v>
      </c>
    </row>
    <row r="240" spans="1:152" ht="15" customHeight="1" x14ac:dyDescent="0.35">
      <c r="A240">
        <v>249</v>
      </c>
      <c r="B240" t="s">
        <v>1396</v>
      </c>
      <c r="C240">
        <v>2</v>
      </c>
      <c r="D240" t="str">
        <f>VLOOKUP(source[[#This Row],[Приоритет]],тПриоритеты[],2,0)</f>
        <v>Значительное</v>
      </c>
      <c r="E240" t="str">
        <f>IF(ISBLANK(source[[#This Row],[Проверенные]]),IF(ISBLANK(source[[#This Row],[Завершенные]]),source[[#This Row],[Приоритет_]],"Завершено"),"Проверено")</f>
        <v>Проверено</v>
      </c>
      <c r="F240" t="s">
        <v>866</v>
      </c>
      <c r="G240" t="s">
        <v>420</v>
      </c>
      <c r="H240" t="e">
        <f>VLOOKUP(source[[#This Row],[Отвественный]],тОтветственные[],2,0)</f>
        <v>#N/A</v>
      </c>
      <c r="I240" s="2">
        <v>43782</v>
      </c>
      <c r="J240" s="2">
        <v>43829</v>
      </c>
      <c r="K240" t="s">
        <v>1394</v>
      </c>
      <c r="L240">
        <v>19.13</v>
      </c>
      <c r="M240">
        <v>36.130000000000003</v>
      </c>
      <c r="Q240" t="s">
        <v>1112</v>
      </c>
      <c r="R240" t="str">
        <f>HYPERLINK("https://d28ji4sm1vmprj.cloudfront.net/58e6c49d8a85b430c0e1d9dc31fc997e/52bc4b8ffdbaea63ba8cca4e2d406780.jpeg", "Ссылка на план")</f>
        <v>Ссылка на план</v>
      </c>
      <c r="S240" s="1">
        <v>43782.602511574078</v>
      </c>
      <c r="T240" s="1">
        <v>43818.459189814814</v>
      </c>
      <c r="U240" s="1">
        <v>43818.559050925927</v>
      </c>
      <c r="W240" s="1">
        <v>43818.559062499997</v>
      </c>
      <c r="X240" t="s">
        <v>1140</v>
      </c>
      <c r="Y240" t="s">
        <v>1280</v>
      </c>
      <c r="EC240" t="str">
        <f>HYPERLINK("https://d33htgqikc2pj4.cloudfront.net/e38844c4-5867-4b03-bee4-91facab61d2e.jpeg", "Кирилл Васенков: Ссылка на изображение")</f>
        <v>Кирилл Васенков: Ссылка на изображение</v>
      </c>
      <c r="ED240" t="s">
        <v>1397</v>
      </c>
      <c r="EE240" t="s">
        <v>1217</v>
      </c>
      <c r="EF240" t="str">
        <f>HYPERLINK("https://d33htgqikc2pj4.cloudfront.net/61dbdc46-4014-4581-b3b1-cf9744bc295d.jpeg", "Отопление и Кондиционирование Renaissance: Ссылка на изображение")</f>
        <v>Отопление и Кондиционирование Renaissance: Ссылка на изображение</v>
      </c>
      <c r="EG240" t="str">
        <f>HYPERLINK("https://d33htgqikc2pj4.cloudfront.net/b2a7a3bd-7e00-434e-b8c8-2b6bb7b3ae7c.jpeg", "Отопление и Кондиционирование Renaissance: Ссылка на изображение")</f>
        <v>Отопление и Кондиционирование Renaissance: Ссылка на изображение</v>
      </c>
      <c r="EH240" t="s">
        <v>1398</v>
      </c>
      <c r="EI240" t="s">
        <v>1306</v>
      </c>
      <c r="EJ240" t="s">
        <v>995</v>
      </c>
      <c r="EK240" t="s">
        <v>1399</v>
      </c>
      <c r="EL240" t="s">
        <v>933</v>
      </c>
      <c r="EM240" t="s">
        <v>915</v>
      </c>
      <c r="EN240" t="s">
        <v>1306</v>
      </c>
      <c r="EO240" t="s">
        <v>394</v>
      </c>
    </row>
    <row r="241" spans="1:153" ht="15" customHeight="1" x14ac:dyDescent="0.35">
      <c r="A241">
        <v>237</v>
      </c>
      <c r="B241" t="s">
        <v>1400</v>
      </c>
      <c r="C241">
        <v>2</v>
      </c>
      <c r="D241" t="str">
        <f>VLOOKUP(source[[#This Row],[Приоритет]],тПриоритеты[],2,0)</f>
        <v>Значительное</v>
      </c>
      <c r="E241" t="str">
        <f>IF(ISBLANK(source[[#This Row],[Проверенные]]),IF(ISBLANK(source[[#This Row],[Завершенные]]),source[[#This Row],[Приоритет_]],"Завершено"),"Проверено")</f>
        <v>Проверено</v>
      </c>
      <c r="F241" t="s">
        <v>866</v>
      </c>
      <c r="G241" t="s">
        <v>420</v>
      </c>
      <c r="H241" t="e">
        <f>VLOOKUP(source[[#This Row],[Отвественный]],тОтветственные[],2,0)</f>
        <v>#N/A</v>
      </c>
      <c r="I241" s="2">
        <v>43782</v>
      </c>
      <c r="J241" s="2">
        <v>43784</v>
      </c>
      <c r="K241" t="s">
        <v>1330</v>
      </c>
      <c r="L241">
        <v>25.79</v>
      </c>
      <c r="M241">
        <v>28.71</v>
      </c>
      <c r="N241" t="s">
        <v>1331</v>
      </c>
      <c r="Q241" t="s">
        <v>1332</v>
      </c>
      <c r="R241" t="str">
        <f>HYPERLINK("https://d28ji4sm1vmprj.cloudfront.net/3de368f48757c539d63fd44ecbad0d51/4a6e93d50a89fe99485657710ec55d06.jpeg", "Ссылка на план")</f>
        <v>Ссылка на план</v>
      </c>
      <c r="S241" s="1">
        <v>43782.461678240739</v>
      </c>
      <c r="T241" s="1">
        <v>43810.369930555556</v>
      </c>
      <c r="U241" s="1">
        <v>43815.781192129631</v>
      </c>
      <c r="W241" s="1">
        <v>43815.781192129631</v>
      </c>
      <c r="X241" t="s">
        <v>1339</v>
      </c>
      <c r="EC241" t="s">
        <v>1401</v>
      </c>
      <c r="ED241" t="s">
        <v>1004</v>
      </c>
      <c r="EE241" t="s">
        <v>1369</v>
      </c>
      <c r="EF241" t="s">
        <v>1402</v>
      </c>
      <c r="EG241" t="s">
        <v>932</v>
      </c>
      <c r="EH241" t="s">
        <v>1228</v>
      </c>
      <c r="EI241" t="s">
        <v>1403</v>
      </c>
      <c r="EJ241" t="str">
        <f>HYPERLINK("https://d33htgqikc2pj4.cloudfront.net/8313e566-6eb1-4e34-8f91-c8d93f8f6269.jpeg", "Отопление и Кондиционирование Renaissance: Ссылка на изображение")</f>
        <v>Отопление и Кондиционирование Renaissance: Ссылка на изображение</v>
      </c>
      <c r="EK241" t="s">
        <v>1306</v>
      </c>
      <c r="EL241" t="s">
        <v>394</v>
      </c>
    </row>
    <row r="242" spans="1:153" ht="15" customHeight="1" x14ac:dyDescent="0.35">
      <c r="A242">
        <v>239</v>
      </c>
      <c r="B242" t="s">
        <v>1404</v>
      </c>
      <c r="C242">
        <v>2</v>
      </c>
      <c r="D242" t="str">
        <f>VLOOKUP(source[[#This Row],[Приоритет]],тПриоритеты[],2,0)</f>
        <v>Значительное</v>
      </c>
      <c r="E242" t="str">
        <f>IF(ISBLANK(source[[#This Row],[Проверенные]]),IF(ISBLANK(source[[#This Row],[Завершенные]]),source[[#This Row],[Приоритет_]],"Завершено"),"Проверено")</f>
        <v>Проверено</v>
      </c>
      <c r="F242" t="s">
        <v>866</v>
      </c>
      <c r="G242" t="s">
        <v>420</v>
      </c>
      <c r="H242" t="e">
        <f>VLOOKUP(source[[#This Row],[Отвественный]],тОтветственные[],2,0)</f>
        <v>#N/A</v>
      </c>
      <c r="I242" s="2">
        <v>43782</v>
      </c>
      <c r="J242" s="2">
        <v>43784</v>
      </c>
      <c r="K242" t="s">
        <v>1405</v>
      </c>
      <c r="L242">
        <v>36.049999999999997</v>
      </c>
      <c r="M242">
        <v>76.12</v>
      </c>
      <c r="N242" t="s">
        <v>1331</v>
      </c>
      <c r="Q242" t="s">
        <v>1332</v>
      </c>
      <c r="R242" t="str">
        <f>HYPERLINK("https://d28ji4sm1vmprj.cloudfront.net/1a20d635b76e1d2b76a914f9aa6672dd/e908d10cdc517b9475b33dc0903db5ca.jpeg", "Ссылка на план")</f>
        <v>Ссылка на план</v>
      </c>
      <c r="S242" s="1">
        <v>43782.461689814816</v>
      </c>
      <c r="T242" s="1">
        <v>43785.39675925926</v>
      </c>
      <c r="U242" s="1">
        <v>43788.810949074075</v>
      </c>
      <c r="W242" s="1">
        <v>43788.810949074075</v>
      </c>
      <c r="X242" t="s">
        <v>1339</v>
      </c>
      <c r="EC242" t="str">
        <f>HYPERLINK("https://d33htgqikc2pj4.cloudfront.net/84dd30e9-e0cb-410f-b94d-990017556f80.jpeg", "Кирилл Васенков: Ссылка на изображение")</f>
        <v>Кирилл Васенков: Ссылка на изображение</v>
      </c>
      <c r="ED242" t="s">
        <v>1406</v>
      </c>
      <c r="EE242" t="s">
        <v>1217</v>
      </c>
      <c r="EF242" t="str">
        <f>HYPERLINK("https://d33htgqikc2pj4.cloudfront.net/9ab92aef-cd69-4e45-9db5-dadae0c17798.jpeg", "Отопление и Кондиционирование Renaissance: Ссылка на изображение")</f>
        <v>Отопление и Кондиционирование Renaissance: Ссылка на изображение</v>
      </c>
      <c r="EG242" t="str">
        <f>HYPERLINK("https://d33htgqikc2pj4.cloudfront.net/92d6622a-a9c0-4e88-bccd-fb3138055ab4.jpeg", "Отопление и Кондиционирование Renaissance: Ссылка на изображение")</f>
        <v>Отопление и Кондиционирование Renaissance: Ссылка на изображение</v>
      </c>
      <c r="EH242" t="s">
        <v>1306</v>
      </c>
      <c r="EI242" t="s">
        <v>394</v>
      </c>
    </row>
    <row r="243" spans="1:153" ht="15" customHeight="1" x14ac:dyDescent="0.35">
      <c r="A243">
        <v>240</v>
      </c>
      <c r="B243" t="s">
        <v>1407</v>
      </c>
      <c r="C243">
        <v>2</v>
      </c>
      <c r="D243" t="str">
        <f>VLOOKUP(source[[#This Row],[Приоритет]],тПриоритеты[],2,0)</f>
        <v>Значительное</v>
      </c>
      <c r="E243" t="str">
        <f>IF(ISBLANK(source[[#This Row],[Проверенные]]),IF(ISBLANK(source[[#This Row],[Завершенные]]),source[[#This Row],[Приоритет_]],"Завершено"),"Проверено")</f>
        <v>Проверено</v>
      </c>
      <c r="F243" t="s">
        <v>866</v>
      </c>
      <c r="G243" t="s">
        <v>420</v>
      </c>
      <c r="H243" t="e">
        <f>VLOOKUP(source[[#This Row],[Отвественный]],тОтветственные[],2,0)</f>
        <v>#N/A</v>
      </c>
      <c r="I243" s="2">
        <v>43782</v>
      </c>
      <c r="J243" s="2">
        <v>43784</v>
      </c>
      <c r="K243" t="s">
        <v>1408</v>
      </c>
      <c r="L243">
        <v>13.08</v>
      </c>
      <c r="M243">
        <v>69.23</v>
      </c>
      <c r="Q243" t="s">
        <v>1112</v>
      </c>
      <c r="R243" t="str">
        <f>HYPERLINK("https://d28ji4sm1vmprj.cloudfront.net/7d7bf5d495323abe2003ad0c4b4c6a85/41c745d531dc1fdd9d6a072a7089978a.jpeg", "Ссылка на план")</f>
        <v>Ссылка на план</v>
      </c>
      <c r="S243" s="1">
        <v>43782.474953703706</v>
      </c>
      <c r="T243" s="1">
        <v>43785.698807870373</v>
      </c>
      <c r="U243" s="1">
        <v>43788.810567129629</v>
      </c>
      <c r="W243" s="1">
        <v>43788.810567129629</v>
      </c>
      <c r="X243" t="s">
        <v>1409</v>
      </c>
      <c r="Y243" t="s">
        <v>1280</v>
      </c>
      <c r="EC243" t="str">
        <f>HYPERLINK("https://d33htgqikc2pj4.cloudfront.net/64544ea0-61fb-4a45-a028-a33408e2f07a.jpeg", "Кирилл Васенков: Ссылка на изображение")</f>
        <v>Кирилл Васенков: Ссылка на изображение</v>
      </c>
      <c r="ED243" t="s">
        <v>1410</v>
      </c>
      <c r="EE243" t="s">
        <v>1411</v>
      </c>
      <c r="EF243" t="s">
        <v>1004</v>
      </c>
      <c r="EG243" t="s">
        <v>1228</v>
      </c>
      <c r="EH243" t="s">
        <v>1402</v>
      </c>
      <c r="EI243" t="s">
        <v>932</v>
      </c>
      <c r="EJ243" t="str">
        <f>HYPERLINK("https://d33htgqikc2pj4.cloudfront.net/366c54fc-b9ac-4cc3-9ef8-f1d4dd8ddfdc.jpeg", "Отопление и Кондиционирование Renaissance: Ссылка на изображение")</f>
        <v>Отопление и Кондиционирование Renaissance: Ссылка на изображение</v>
      </c>
      <c r="EK243" t="s">
        <v>1306</v>
      </c>
      <c r="EL243" t="s">
        <v>394</v>
      </c>
    </row>
    <row r="244" spans="1:153" ht="15" customHeight="1" x14ac:dyDescent="0.35">
      <c r="A244">
        <v>245</v>
      </c>
      <c r="B244" t="s">
        <v>1412</v>
      </c>
      <c r="C244">
        <v>2</v>
      </c>
      <c r="D244" t="str">
        <f>VLOOKUP(source[[#This Row],[Приоритет]],тПриоритеты[],2,0)</f>
        <v>Значительное</v>
      </c>
      <c r="E244" t="str">
        <f>IF(ISBLANK(source[[#This Row],[Проверенные]]),IF(ISBLANK(source[[#This Row],[Завершенные]]),source[[#This Row],[Приоритет_]],"Завершено"),"Проверено")</f>
        <v>Проверено</v>
      </c>
      <c r="F244" t="s">
        <v>866</v>
      </c>
      <c r="G244" t="s">
        <v>420</v>
      </c>
      <c r="H244" t="e">
        <f>VLOOKUP(source[[#This Row],[Отвественный]],тОтветственные[],2,0)</f>
        <v>#N/A</v>
      </c>
      <c r="I244" s="2">
        <v>43782</v>
      </c>
      <c r="J244" s="2">
        <v>43784</v>
      </c>
      <c r="K244" t="s">
        <v>1413</v>
      </c>
      <c r="L244">
        <v>17.12</v>
      </c>
      <c r="M244">
        <v>65.709999999999994</v>
      </c>
      <c r="Q244" t="s">
        <v>1112</v>
      </c>
      <c r="R244" t="str">
        <f>HYPERLINK("https://d28ji4sm1vmprj.cloudfront.net/4e747273cb5cc72e1541905f7ea20f13/5d6d3c4ef32f89ec66e4c0ff7f594e6f.jpeg", "Ссылка на план")</f>
        <v>Ссылка на план</v>
      </c>
      <c r="S244" s="1">
        <v>43782.498923611114</v>
      </c>
      <c r="T244" s="1">
        <v>43789.410185185188</v>
      </c>
      <c r="U244" s="1">
        <v>43789.639988425923</v>
      </c>
      <c r="W244" s="1">
        <v>43789.640613425923</v>
      </c>
      <c r="X244" t="s">
        <v>1280</v>
      </c>
      <c r="EC244" t="str">
        <f>HYPERLINK("https://d33htgqikc2pj4.cloudfront.net/9751fcf6-d645-49a8-9728-677d52807039.jpeg", "Кирилл Васенков: Ссылка на изображение")</f>
        <v>Кирилл Васенков: Ссылка на изображение</v>
      </c>
      <c r="ED244" t="s">
        <v>1414</v>
      </c>
      <c r="EE244" t="s">
        <v>1004</v>
      </c>
      <c r="EF244" t="s">
        <v>1402</v>
      </c>
      <c r="EG244" t="s">
        <v>932</v>
      </c>
      <c r="EH244" t="s">
        <v>1228</v>
      </c>
      <c r="EI244" t="str">
        <f>HYPERLINK("https://d33htgqikc2pj4.cloudfront.net/9c260abe-8e10-4461-bd4a-6bf4f5eb797d.jpeg", "Отопление и Кондиционирование Renaissance: Ссылка на изображение")</f>
        <v>Отопление и Кондиционирование Renaissance: Ссылка на изображение</v>
      </c>
      <c r="EJ244" t="s">
        <v>1415</v>
      </c>
      <c r="EK244" t="s">
        <v>1306</v>
      </c>
      <c r="EL244" t="s">
        <v>394</v>
      </c>
    </row>
    <row r="245" spans="1:153" ht="15" customHeight="1" x14ac:dyDescent="0.35">
      <c r="A245">
        <v>243</v>
      </c>
      <c r="B245" t="s">
        <v>1416</v>
      </c>
      <c r="C245">
        <v>2</v>
      </c>
      <c r="D245" t="str">
        <f>VLOOKUP(source[[#This Row],[Приоритет]],тПриоритеты[],2,0)</f>
        <v>Значительное</v>
      </c>
      <c r="E245" t="str">
        <f>IF(ISBLANK(source[[#This Row],[Проверенные]]),IF(ISBLANK(source[[#This Row],[Завершенные]]),source[[#This Row],[Приоритет_]],"Завершено"),"Проверено")</f>
        <v>Проверено</v>
      </c>
      <c r="F245" t="s">
        <v>866</v>
      </c>
      <c r="G245" t="s">
        <v>420</v>
      </c>
      <c r="H245" t="e">
        <f>VLOOKUP(source[[#This Row],[Отвественный]],тОтветственные[],2,0)</f>
        <v>#N/A</v>
      </c>
      <c r="I245" s="2">
        <v>43782</v>
      </c>
      <c r="J245" s="2">
        <v>43784</v>
      </c>
      <c r="K245" t="s">
        <v>1417</v>
      </c>
      <c r="L245">
        <v>25.73</v>
      </c>
      <c r="M245">
        <v>50.06</v>
      </c>
      <c r="Q245" t="s">
        <v>1112</v>
      </c>
      <c r="R245" t="str">
        <f>HYPERLINK("https://d28ji4sm1vmprj.cloudfront.net/43f9d484b4b113cfb6e2b283dd491013/a44291731e85661f3a810801fdf7e129.jpeg", "Ссылка на план")</f>
        <v>Ссылка на план</v>
      </c>
      <c r="S245" s="1">
        <v>43782.494409722225</v>
      </c>
      <c r="T245" s="1">
        <v>43788.633055555554</v>
      </c>
      <c r="U245" s="1">
        <v>43789.652685185189</v>
      </c>
      <c r="W245" s="1">
        <v>43789.652986111112</v>
      </c>
      <c r="X245" t="s">
        <v>1280</v>
      </c>
      <c r="EC245" t="str">
        <f>HYPERLINK("https://d33htgqikc2pj4.cloudfront.net/491ee03e-389d-454d-bf4a-e64dc0875bb2.jpeg", "Кирилл Васенков: Ссылка на изображение")</f>
        <v>Кирилл Васенков: Ссылка на изображение</v>
      </c>
      <c r="ED245" t="s">
        <v>1418</v>
      </c>
      <c r="EE245" t="s">
        <v>1004</v>
      </c>
      <c r="EF245" t="s">
        <v>1228</v>
      </c>
      <c r="EG245" t="s">
        <v>1402</v>
      </c>
      <c r="EH245" t="s">
        <v>932</v>
      </c>
      <c r="EI245" t="str">
        <f>HYPERLINK("https://d33htgqikc2pj4.cloudfront.net/235b62d2-f136-42c5-a8e7-fcca57dd2504.jpeg", "Отопление и Кондиционирование Renaissance: Ссылка на изображение")</f>
        <v>Отопление и Кондиционирование Renaissance: Ссылка на изображение</v>
      </c>
      <c r="EJ245" t="s">
        <v>1306</v>
      </c>
      <c r="EK245" t="s">
        <v>394</v>
      </c>
    </row>
    <row r="246" spans="1:153" ht="15" customHeight="1" x14ac:dyDescent="0.35">
      <c r="A246">
        <v>242</v>
      </c>
      <c r="B246" t="s">
        <v>1419</v>
      </c>
      <c r="C246">
        <v>2</v>
      </c>
      <c r="D246" t="str">
        <f>VLOOKUP(source[[#This Row],[Приоритет]],тПриоритеты[],2,0)</f>
        <v>Значительное</v>
      </c>
      <c r="E246" t="str">
        <f>IF(ISBLANK(source[[#This Row],[Проверенные]]),IF(ISBLANK(source[[#This Row],[Завершенные]]),source[[#This Row],[Приоритет_]],"Завершено"),"Проверено")</f>
        <v>Проверено</v>
      </c>
      <c r="F246" t="s">
        <v>866</v>
      </c>
      <c r="G246" t="s">
        <v>420</v>
      </c>
      <c r="H246" t="e">
        <f>VLOOKUP(source[[#This Row],[Отвественный]],тОтветственные[],2,0)</f>
        <v>#N/A</v>
      </c>
      <c r="I246" s="2">
        <v>43782</v>
      </c>
      <c r="J246" s="2">
        <v>43784</v>
      </c>
      <c r="K246" t="s">
        <v>1417</v>
      </c>
      <c r="L246">
        <v>32.04</v>
      </c>
      <c r="M246">
        <v>25.36</v>
      </c>
      <c r="Q246" t="s">
        <v>1112</v>
      </c>
      <c r="R246" t="str">
        <f>HYPERLINK("https://d28ji4sm1vmprj.cloudfront.net/43f9d484b4b113cfb6e2b283dd491013/a44291731e85661f3a810801fdf7e129.jpeg", "Ссылка на план")</f>
        <v>Ссылка на план</v>
      </c>
      <c r="S246" s="1">
        <v>43782.487743055557</v>
      </c>
      <c r="T246" s="1">
        <v>43785.702002314814</v>
      </c>
      <c r="U246" s="1">
        <v>43788.811249999999</v>
      </c>
      <c r="W246" s="1">
        <v>43788.811249999999</v>
      </c>
      <c r="X246" t="s">
        <v>1409</v>
      </c>
      <c r="Y246" t="s">
        <v>1280</v>
      </c>
      <c r="EC246" t="str">
        <f>HYPERLINK("https://d33htgqikc2pj4.cloudfront.net/37b49506-cb2b-4215-97f0-398211fc3b61.jpeg", "Кирилл Васенков: Ссылка на изображение")</f>
        <v>Кирилл Васенков: Ссылка на изображение</v>
      </c>
      <c r="ED246" t="s">
        <v>1420</v>
      </c>
      <c r="EE246" t="s">
        <v>1004</v>
      </c>
      <c r="EF246" t="s">
        <v>1228</v>
      </c>
      <c r="EG246" t="s">
        <v>1402</v>
      </c>
      <c r="EH246" t="s">
        <v>932</v>
      </c>
      <c r="EI246" t="s">
        <v>1421</v>
      </c>
      <c r="EJ246" t="str">
        <f>HYPERLINK("https://d33htgqikc2pj4.cloudfront.net/800b302e-e090-4281-84e3-75f2866b4b3b.jpeg", "Отопление и Кондиционирование Renaissance: Ссылка на изображение")</f>
        <v>Отопление и Кондиционирование Renaissance: Ссылка на изображение</v>
      </c>
      <c r="EK246" t="s">
        <v>1306</v>
      </c>
      <c r="EL246" t="s">
        <v>394</v>
      </c>
    </row>
    <row r="247" spans="1:153" ht="15" customHeight="1" x14ac:dyDescent="0.35">
      <c r="A247">
        <v>248</v>
      </c>
      <c r="B247" t="s">
        <v>1422</v>
      </c>
      <c r="C247">
        <v>1</v>
      </c>
      <c r="D247" t="str">
        <f>VLOOKUP(source[[#This Row],[Приоритет]],тПриоритеты[],2,0)</f>
        <v>КРИТИЧЕСКОЕ</v>
      </c>
      <c r="E247" t="str">
        <f>IF(ISBLANK(source[[#This Row],[Проверенные]]),IF(ISBLANK(source[[#This Row],[Завершенные]]),source[[#This Row],[Приоритет_]],"Завершено"),"Проверено")</f>
        <v>Проверено</v>
      </c>
      <c r="F247" t="s">
        <v>866</v>
      </c>
      <c r="G247" t="s">
        <v>420</v>
      </c>
      <c r="H247" t="e">
        <f>VLOOKUP(source[[#This Row],[Отвественный]],тОтветственные[],2,0)</f>
        <v>#N/A</v>
      </c>
      <c r="I247" s="2">
        <v>43782</v>
      </c>
      <c r="J247" s="2">
        <v>43829</v>
      </c>
      <c r="K247" t="s">
        <v>1423</v>
      </c>
      <c r="L247">
        <v>23.28</v>
      </c>
      <c r="M247">
        <v>26.31</v>
      </c>
      <c r="Q247" t="s">
        <v>1112</v>
      </c>
      <c r="R247" t="str">
        <f>HYPERLINK("https://d28ji4sm1vmprj.cloudfront.net/da954f9184912117096e75c750258b4e/c6db023bc68f08285448beecda3d0c2d.jpeg", "Ссылка на план")</f>
        <v>Ссылка на план</v>
      </c>
      <c r="S247" s="1">
        <v>43782.515335648146</v>
      </c>
      <c r="T247" s="1">
        <v>43825.759143518517</v>
      </c>
      <c r="U247" s="1">
        <v>43847.56795138889</v>
      </c>
      <c r="W247" s="1">
        <v>43847.567962962959</v>
      </c>
      <c r="X247" t="s">
        <v>1409</v>
      </c>
      <c r="Y247" t="s">
        <v>1280</v>
      </c>
      <c r="EC247" t="str">
        <f>HYPERLINK("https://d33htgqikc2pj4.cloudfront.net/1eaeb1d3-bfa5-4e58-a651-375ab5d4b08a.jpeg", "Кирилл Васенков: Ссылка на изображение")</f>
        <v>Кирилл Васенков: Ссылка на изображение</v>
      </c>
      <c r="ED247" t="s">
        <v>1424</v>
      </c>
      <c r="EE247" t="str">
        <f>HYPERLINK("https://d33htgqikc2pj4.cloudfront.net/7a5f5aec-7121-4c32-b373-6a432c5de19f.jpeg", "Кирилл Васенков: Ссылка на изображение")</f>
        <v>Кирилл Васенков: Ссылка на изображение</v>
      </c>
      <c r="EF247" t="s">
        <v>1425</v>
      </c>
      <c r="EG247" t="s">
        <v>1426</v>
      </c>
      <c r="EH247" t="s">
        <v>1427</v>
      </c>
      <c r="EI247" t="s">
        <v>1004</v>
      </c>
      <c r="EJ247" t="s">
        <v>1228</v>
      </c>
      <c r="EK247" t="s">
        <v>1402</v>
      </c>
      <c r="EL247" t="s">
        <v>932</v>
      </c>
      <c r="EM247" t="str">
        <f>HYPERLINK("https://d33htgqikc2pj4.cloudfront.net/7a28821f-54b1-494a-95c4-828499cf13ca.jpeg", "Отопление и Кондиционирование Renaissance: Ссылка на изображение")</f>
        <v>Отопление и Кондиционирование Renaissance: Ссылка на изображение</v>
      </c>
      <c r="EN247" t="str">
        <f>HYPERLINK("https://d33htgqikc2pj4.cloudfront.net/06c94100-9dfd-4643-b0f2-bd32f56f0996.jpeg", "Отопление и Кондиционирование Renaissance: Ссылка на изображение")</f>
        <v>Отопление и Кондиционирование Renaissance: Ссылка на изображение</v>
      </c>
      <c r="EO247" t="s">
        <v>933</v>
      </c>
      <c r="EP247" t="s">
        <v>915</v>
      </c>
      <c r="EQ247" t="s">
        <v>1428</v>
      </c>
      <c r="ER247" t="s">
        <v>1306</v>
      </c>
      <c r="ES247" t="s">
        <v>394</v>
      </c>
    </row>
    <row r="248" spans="1:153" ht="15" customHeight="1" x14ac:dyDescent="0.35">
      <c r="A248">
        <v>238</v>
      </c>
      <c r="B248" t="s">
        <v>1429</v>
      </c>
      <c r="C248">
        <v>2</v>
      </c>
      <c r="D248" t="str">
        <f>VLOOKUP(source[[#This Row],[Приоритет]],тПриоритеты[],2,0)</f>
        <v>Значительное</v>
      </c>
      <c r="E248" t="str">
        <f>IF(ISBLANK(source[[#This Row],[Проверенные]]),IF(ISBLANK(source[[#This Row],[Завершенные]]),source[[#This Row],[Приоритет_]],"Завершено"),"Проверено")</f>
        <v>Проверено</v>
      </c>
      <c r="F248" t="s">
        <v>866</v>
      </c>
      <c r="G248" t="s">
        <v>420</v>
      </c>
      <c r="H248" t="e">
        <f>VLOOKUP(source[[#This Row],[Отвественный]],тОтветственные[],2,0)</f>
        <v>#N/A</v>
      </c>
      <c r="I248" s="2">
        <v>43782</v>
      </c>
      <c r="J248" s="2">
        <v>43784</v>
      </c>
      <c r="K248" t="s">
        <v>1430</v>
      </c>
      <c r="L248">
        <v>24.88</v>
      </c>
      <c r="M248">
        <v>53.9</v>
      </c>
      <c r="N248" t="s">
        <v>1331</v>
      </c>
      <c r="Q248" t="s">
        <v>1332</v>
      </c>
      <c r="R248" t="str">
        <f>HYPERLINK("https://d28ji4sm1vmprj.cloudfront.net/186826eb61b21128ae60447230a0e738/78e7bc989c0f6b09320cdd764f308c25.jpeg", "Ссылка на план")</f>
        <v>Ссылка на план</v>
      </c>
      <c r="S248" s="1">
        <v>43782.461678240739</v>
      </c>
      <c r="T248" s="1">
        <v>43785.396018518521</v>
      </c>
      <c r="U248" s="1">
        <v>43787.362175925926</v>
      </c>
      <c r="W248" s="1">
        <v>43787.36215277778</v>
      </c>
      <c r="X248" t="s">
        <v>1339</v>
      </c>
      <c r="EC248" t="str">
        <f>HYPERLINK("https://d33htgqikc2pj4.cloudfront.net/64109c06-812f-418d-b3d6-7bb652f1a64f.jpeg", "Кирилл Васенков: Ссылка на изображение")</f>
        <v>Кирилл Васенков: Ссылка на изображение</v>
      </c>
      <c r="ED248" t="str">
        <f>HYPERLINK("https://d33htgqikc2pj4.cloudfront.net/04f217af-96bb-4406-b8ab-0a475f2edc83.jpeg", "Кирилл Васенков: Ссылка на изображение")</f>
        <v>Кирилл Васенков: Ссылка на изображение</v>
      </c>
      <c r="EE248" t="s">
        <v>1431</v>
      </c>
      <c r="EF248" t="s">
        <v>1217</v>
      </c>
      <c r="EG248" t="str">
        <f>HYPERLINK("https://d33htgqikc2pj4.cloudfront.net/4584210d-28cf-408a-b2b3-7e798dce61b1.jpeg", "Отопление и Кондиционирование Renaissance: Ссылка на изображение")</f>
        <v>Отопление и Кондиционирование Renaissance: Ссылка на изображение</v>
      </c>
      <c r="EH248" t="s">
        <v>1306</v>
      </c>
      <c r="EI248" t="s">
        <v>394</v>
      </c>
    </row>
    <row r="249" spans="1:153" ht="15" customHeight="1" x14ac:dyDescent="0.35">
      <c r="A249">
        <v>241</v>
      </c>
      <c r="B249" t="s">
        <v>1432</v>
      </c>
      <c r="C249">
        <v>2</v>
      </c>
      <c r="D249" t="str">
        <f>VLOOKUP(source[[#This Row],[Приоритет]],тПриоритеты[],2,0)</f>
        <v>Значительное</v>
      </c>
      <c r="E249" t="str">
        <f>IF(ISBLANK(source[[#This Row],[Проверенные]]),IF(ISBLANK(source[[#This Row],[Завершенные]]),source[[#This Row],[Приоритет_]],"Завершено"),"Проверено")</f>
        <v>Проверено</v>
      </c>
      <c r="F249" t="s">
        <v>866</v>
      </c>
      <c r="G249" t="s">
        <v>420</v>
      </c>
      <c r="H249" t="e">
        <f>VLOOKUP(source[[#This Row],[Отвественный]],тОтветственные[],2,0)</f>
        <v>#N/A</v>
      </c>
      <c r="I249" s="2">
        <v>43782</v>
      </c>
      <c r="J249" s="2">
        <v>43784</v>
      </c>
      <c r="K249" t="s">
        <v>1408</v>
      </c>
      <c r="L249">
        <v>13.41</v>
      </c>
      <c r="M249">
        <v>63.81</v>
      </c>
      <c r="Q249" t="s">
        <v>1112</v>
      </c>
      <c r="R249" t="str">
        <f>HYPERLINK("https://d28ji4sm1vmprj.cloudfront.net/7d7bf5d495323abe2003ad0c4b4c6a85/41c745d531dc1fdd9d6a072a7089978a.jpeg", "Ссылка на план")</f>
        <v>Ссылка на план</v>
      </c>
      <c r="S249" s="1">
        <v>43782.478831018518</v>
      </c>
      <c r="T249" s="1">
        <v>43785.698275462964</v>
      </c>
      <c r="U249" s="1">
        <v>43788.81113425926</v>
      </c>
      <c r="W249" s="1">
        <v>43788.811145833337</v>
      </c>
      <c r="X249" t="s">
        <v>1280</v>
      </c>
      <c r="EC249" t="str">
        <f>HYPERLINK("https://d33htgqikc2pj4.cloudfront.net/bd6e9ab7-42f0-4f54-9dcf-c4c43823c972.jpeg", "Кирилл Васенков: Ссылка на изображение")</f>
        <v>Кирилл Васенков: Ссылка на изображение</v>
      </c>
      <c r="ED249" t="s">
        <v>1433</v>
      </c>
      <c r="EE249" t="s">
        <v>1434</v>
      </c>
      <c r="EF249" t="s">
        <v>1004</v>
      </c>
      <c r="EG249" t="s">
        <v>1228</v>
      </c>
      <c r="EH249" t="s">
        <v>1402</v>
      </c>
      <c r="EI249" t="s">
        <v>932</v>
      </c>
      <c r="EJ249" t="str">
        <f>HYPERLINK("https://d33htgqikc2pj4.cloudfront.net/4092769d-c08f-42a3-8c73-feba04c122e8.jpeg", "Отопление и Кондиционирование Renaissance: Ссылка на изображение")</f>
        <v>Отопление и Кондиционирование Renaissance: Ссылка на изображение</v>
      </c>
      <c r="EK249" t="s">
        <v>1306</v>
      </c>
      <c r="EL249" t="s">
        <v>394</v>
      </c>
    </row>
    <row r="250" spans="1:153" ht="15" customHeight="1" x14ac:dyDescent="0.35">
      <c r="A250">
        <v>246</v>
      </c>
      <c r="B250" t="s">
        <v>1435</v>
      </c>
      <c r="C250">
        <v>2</v>
      </c>
      <c r="D250" t="str">
        <f>VLOOKUP(source[[#This Row],[Приоритет]],тПриоритеты[],2,0)</f>
        <v>Значительное</v>
      </c>
      <c r="E250" t="str">
        <f>IF(ISBLANK(source[[#This Row],[Проверенные]]),IF(ISBLANK(source[[#This Row],[Завершенные]]),source[[#This Row],[Приоритет_]],"Завершено"),"Проверено")</f>
        <v>Проверено</v>
      </c>
      <c r="F250" t="s">
        <v>866</v>
      </c>
      <c r="G250" t="s">
        <v>420</v>
      </c>
      <c r="H250" t="e">
        <f>VLOOKUP(source[[#This Row],[Отвественный]],тОтветственные[],2,0)</f>
        <v>#N/A</v>
      </c>
      <c r="I250" s="2">
        <v>43782</v>
      </c>
      <c r="J250" s="2">
        <v>43784</v>
      </c>
      <c r="K250" t="s">
        <v>1436</v>
      </c>
      <c r="L250">
        <v>23.24</v>
      </c>
      <c r="M250">
        <v>25.12</v>
      </c>
      <c r="Q250" t="s">
        <v>1112</v>
      </c>
      <c r="R250" t="str">
        <f>HYPERLINK("https://d28ji4sm1vmprj.cloudfront.net/ea108227e4543c1a36caf9654b7f0ba4/e8461e790d99f1e1f6f4c55aa7fd78b0.jpeg", "Ссылка на план")</f>
        <v>Ссылка на план</v>
      </c>
      <c r="S250" s="1">
        <v>43782.50675925926</v>
      </c>
      <c r="T250" s="1">
        <v>43789.746770833335</v>
      </c>
      <c r="U250" s="1">
        <v>43801.395601851851</v>
      </c>
      <c r="W250" s="1">
        <v>43801.395601851851</v>
      </c>
      <c r="X250" t="s">
        <v>1280</v>
      </c>
      <c r="EC250" t="str">
        <f>HYPERLINK("https://d33htgqikc2pj4.cloudfront.net/e46d162f-9c04-4376-bca0-ea96b7796b98.jpeg", "Кирилл Васенков: Ссылка на изображение")</f>
        <v>Кирилл Васенков: Ссылка на изображение</v>
      </c>
      <c r="ED250" t="s">
        <v>1437</v>
      </c>
      <c r="EE250" t="s">
        <v>1004</v>
      </c>
      <c r="EF250" t="s">
        <v>1228</v>
      </c>
      <c r="EG250" t="s">
        <v>1402</v>
      </c>
      <c r="EH250" t="s">
        <v>932</v>
      </c>
      <c r="EI250" t="str">
        <f>HYPERLINK("https://d33htgqikc2pj4.cloudfront.net/53efa910-9c91-4a22-bcf7-cca3448f089c.jpeg", "Отопление и Кондиционирование Renaissance: Ссылка на изображение")</f>
        <v>Отопление и Кондиционирование Renaissance: Ссылка на изображение</v>
      </c>
      <c r="EJ250" t="s">
        <v>1306</v>
      </c>
      <c r="EK250" t="s">
        <v>394</v>
      </c>
    </row>
    <row r="251" spans="1:153" ht="15" customHeight="1" x14ac:dyDescent="0.35">
      <c r="A251">
        <v>244</v>
      </c>
      <c r="B251" t="s">
        <v>1438</v>
      </c>
      <c r="C251">
        <v>2</v>
      </c>
      <c r="D251" t="str">
        <f>VLOOKUP(source[[#This Row],[Приоритет]],тПриоритеты[],2,0)</f>
        <v>Значительное</v>
      </c>
      <c r="E251" t="str">
        <f>IF(ISBLANK(source[[#This Row],[Проверенные]]),IF(ISBLANK(source[[#This Row],[Завершенные]]),source[[#This Row],[Приоритет_]],"Завершено"),"Проверено")</f>
        <v>Проверено</v>
      </c>
      <c r="F251" t="s">
        <v>866</v>
      </c>
      <c r="G251" t="s">
        <v>420</v>
      </c>
      <c r="H251" t="e">
        <f>VLOOKUP(source[[#This Row],[Отвественный]],тОтветственные[],2,0)</f>
        <v>#N/A</v>
      </c>
      <c r="I251" s="2">
        <v>43782</v>
      </c>
      <c r="J251" s="2">
        <v>43784</v>
      </c>
      <c r="K251" t="s">
        <v>1413</v>
      </c>
      <c r="L251">
        <v>20.52</v>
      </c>
      <c r="M251">
        <v>44.4</v>
      </c>
      <c r="Q251" t="s">
        <v>1112</v>
      </c>
      <c r="R251" t="str">
        <f>HYPERLINK("https://d28ji4sm1vmprj.cloudfront.net/4e747273cb5cc72e1541905f7ea20f13/5d6d3c4ef32f89ec66e4c0ff7f594e6f.jpeg", "Ссылка на план")</f>
        <v>Ссылка на план</v>
      </c>
      <c r="S251" s="1">
        <v>43782.496608796297</v>
      </c>
      <c r="T251" s="1">
        <v>43787.362696759257</v>
      </c>
      <c r="U251" s="1">
        <v>43788.811574074076</v>
      </c>
      <c r="W251" s="1">
        <v>43788.811574074076</v>
      </c>
      <c r="X251" t="s">
        <v>1409</v>
      </c>
      <c r="Y251" t="s">
        <v>1280</v>
      </c>
      <c r="EC251" t="str">
        <f>HYPERLINK("https://d33htgqikc2pj4.cloudfront.net/f17bb4c1-3ce0-4d01-8883-9926ba290df9.jpeg", "Кирилл Васенков: Ссылка на изображение")</f>
        <v>Кирилл Васенков: Ссылка на изображение</v>
      </c>
      <c r="ED251" t="s">
        <v>1439</v>
      </c>
      <c r="EE251" t="s">
        <v>1004</v>
      </c>
      <c r="EF251" t="s">
        <v>1228</v>
      </c>
      <c r="EG251" t="s">
        <v>1402</v>
      </c>
      <c r="EH251" t="s">
        <v>932</v>
      </c>
      <c r="EI251" t="s">
        <v>1440</v>
      </c>
      <c r="EJ251" t="str">
        <f>HYPERLINK("https://d33htgqikc2pj4.cloudfront.net/e3bbb4e9-689d-4bc7-ab5c-af19674f90a2.jpeg", "Отопление и Кондиционирование Renaissance: Ссылка на изображение")</f>
        <v>Отопление и Кондиционирование Renaissance: Ссылка на изображение</v>
      </c>
      <c r="EK251" t="s">
        <v>1306</v>
      </c>
      <c r="EL251" t="s">
        <v>394</v>
      </c>
      <c r="EM251" t="s">
        <v>392</v>
      </c>
      <c r="EN251" t="s">
        <v>394</v>
      </c>
    </row>
    <row r="252" spans="1:153" ht="15" customHeight="1" x14ac:dyDescent="0.35">
      <c r="A252">
        <v>247</v>
      </c>
      <c r="B252" t="s">
        <v>1441</v>
      </c>
      <c r="C252">
        <v>2</v>
      </c>
      <c r="D252" t="str">
        <f>VLOOKUP(source[[#This Row],[Приоритет]],тПриоритеты[],2,0)</f>
        <v>Значительное</v>
      </c>
      <c r="E252" t="str">
        <f>IF(ISBLANK(source[[#This Row],[Проверенные]]),IF(ISBLANK(source[[#This Row],[Завершенные]]),source[[#This Row],[Приоритет_]],"Завершено"),"Проверено")</f>
        <v>Проверено</v>
      </c>
      <c r="F252" t="s">
        <v>866</v>
      </c>
      <c r="G252" t="s">
        <v>420</v>
      </c>
      <c r="H252" t="e">
        <f>VLOOKUP(source[[#This Row],[Отвественный]],тОтветственные[],2,0)</f>
        <v>#N/A</v>
      </c>
      <c r="I252" s="2">
        <v>43782</v>
      </c>
      <c r="J252" s="2">
        <v>43784</v>
      </c>
      <c r="K252" t="s">
        <v>1423</v>
      </c>
      <c r="L252">
        <v>24.13</v>
      </c>
      <c r="M252">
        <v>47.2</v>
      </c>
      <c r="Q252" t="s">
        <v>1112</v>
      </c>
      <c r="R252" t="str">
        <f>HYPERLINK("https://d28ji4sm1vmprj.cloudfront.net/da954f9184912117096e75c750258b4e/c6db023bc68f08285448beecda3d0c2d.jpeg", "Ссылка на план")</f>
        <v>Ссылка на план</v>
      </c>
      <c r="S252" s="1">
        <v>43782.513379629629</v>
      </c>
      <c r="T252" s="1">
        <v>43785.451620370368</v>
      </c>
      <c r="U252" s="1">
        <v>43788.812037037038</v>
      </c>
      <c r="W252" s="1">
        <v>43788.812037037038</v>
      </c>
      <c r="X252" t="s">
        <v>1280</v>
      </c>
      <c r="EC252" t="str">
        <f>HYPERLINK("https://d33htgqikc2pj4.cloudfront.net/53b88ed2-6dbc-4afe-be6a-064cb85d5bc0.jpeg", "Кирилл Васенков: Ссылка на изображение")</f>
        <v>Кирилл Васенков: Ссылка на изображение</v>
      </c>
      <c r="ED252" t="str">
        <f>HYPERLINK("https://d33htgqikc2pj4.cloudfront.net/918a6f79-6f26-44f5-9e46-c2843c208b15.jpeg", "Кирилл Васенков: Ссылка на изображение")</f>
        <v>Кирилл Васенков: Ссылка на изображение</v>
      </c>
      <c r="EE252" t="s">
        <v>1442</v>
      </c>
      <c r="EF252" t="s">
        <v>1004</v>
      </c>
      <c r="EG252" t="s">
        <v>1228</v>
      </c>
      <c r="EH252" t="s">
        <v>1402</v>
      </c>
      <c r="EI252" t="s">
        <v>932</v>
      </c>
      <c r="EJ252" t="str">
        <f>HYPERLINK("https://d33htgqikc2pj4.cloudfront.net/13a0ea5f-dd92-4dff-ad99-119f785a33a6.jpeg", "Отопление и Кондиционирование Renaissance: Ссылка на изображение")</f>
        <v>Отопление и Кондиционирование Renaissance: Ссылка на изображение</v>
      </c>
      <c r="EK252" t="str">
        <f>HYPERLINK("https://d33htgqikc2pj4.cloudfront.net/779a553c-27ab-42ce-9f1d-d294de5e1192.jpeg", "Отопление и Кондиционирование Renaissance: Ссылка на изображение")</f>
        <v>Отопление и Кондиционирование Renaissance: Ссылка на изображение</v>
      </c>
      <c r="EL252" t="str">
        <f>HYPERLINK("https://d33htgqikc2pj4.cloudfront.net/2231adf0-e526-4ca3-982f-dc1f5658777a.jpeg", "Отопление и Кондиционирование Renaissance: Ссылка на изображение")</f>
        <v>Отопление и Кондиционирование Renaissance: Ссылка на изображение</v>
      </c>
      <c r="EM252" t="s">
        <v>1306</v>
      </c>
      <c r="EN252" t="s">
        <v>394</v>
      </c>
    </row>
    <row r="253" spans="1:153" ht="15" customHeight="1" x14ac:dyDescent="0.35">
      <c r="A253">
        <v>250</v>
      </c>
      <c r="B253" t="s">
        <v>1443</v>
      </c>
      <c r="C253">
        <v>2</v>
      </c>
      <c r="D253" t="str">
        <f>VLOOKUP(source[[#This Row],[Приоритет]],тПриоритеты[],2,0)</f>
        <v>Значительное</v>
      </c>
      <c r="E253" t="str">
        <f>IF(ISBLANK(source[[#This Row],[Проверенные]]),IF(ISBLANK(source[[#This Row],[Завершенные]]),source[[#This Row],[Приоритет_]],"Завершено"),"Проверено")</f>
        <v>Проверено</v>
      </c>
      <c r="F253" t="s">
        <v>866</v>
      </c>
      <c r="G253" t="s">
        <v>420</v>
      </c>
      <c r="H253" t="e">
        <f>VLOOKUP(source[[#This Row],[Отвественный]],тОтветственные[],2,0)</f>
        <v>#N/A</v>
      </c>
      <c r="I253" s="2">
        <v>43782</v>
      </c>
      <c r="J253" s="2">
        <v>43784</v>
      </c>
      <c r="K253" t="s">
        <v>1394</v>
      </c>
      <c r="L253">
        <v>19.22</v>
      </c>
      <c r="M253">
        <v>34.17</v>
      </c>
      <c r="Q253" t="s">
        <v>1112</v>
      </c>
      <c r="R253" t="str">
        <f>HYPERLINK("https://d28ji4sm1vmprj.cloudfront.net/58e6c49d8a85b430c0e1d9dc31fc997e/52bc4b8ffdbaea63ba8cca4e2d406780.jpeg", "Ссылка на план")</f>
        <v>Ссылка на план</v>
      </c>
      <c r="S253" s="1">
        <v>43782.611400462964</v>
      </c>
      <c r="T253" s="1">
        <v>43785.393263888887</v>
      </c>
      <c r="U253" s="1">
        <v>43789.667037037034</v>
      </c>
      <c r="W253" s="1">
        <v>43789.690844907411</v>
      </c>
      <c r="X253" t="s">
        <v>1140</v>
      </c>
      <c r="EC253" t="str">
        <f>HYPERLINK("https://d33htgqikc2pj4.cloudfront.net/b602daac-20b7-4642-9fd2-6e3a6410a4c8.jpeg", "Кирилл Васенков: Ссылка на изображение")</f>
        <v>Кирилл Васенков: Ссылка на изображение</v>
      </c>
      <c r="ED253" t="s">
        <v>1444</v>
      </c>
      <c r="EE253" t="s">
        <v>1217</v>
      </c>
      <c r="EF253" t="str">
        <f>HYPERLINK("https://d33htgqikc2pj4.cloudfront.net/f905be43-a151-4318-a28f-2e0e813ac86a.jpeg", "Отопление и Кондиционирование Renaissance: Ссылка на изображение")</f>
        <v>Отопление и Кондиционирование Renaissance: Ссылка на изображение</v>
      </c>
      <c r="EG253" t="s">
        <v>1445</v>
      </c>
      <c r="EH253" t="s">
        <v>1306</v>
      </c>
      <c r="EI253" t="s">
        <v>394</v>
      </c>
    </row>
    <row r="254" spans="1:153" ht="15" customHeight="1" x14ac:dyDescent="0.35">
      <c r="A254">
        <v>254</v>
      </c>
      <c r="B254" t="s">
        <v>1446</v>
      </c>
      <c r="C254">
        <v>2</v>
      </c>
      <c r="D254" t="str">
        <f>VLOOKUP(source[[#This Row],[Приоритет]],тПриоритеты[],2,0)</f>
        <v>Значительное</v>
      </c>
      <c r="E254" t="str">
        <f>IF(ISBLANK(source[[#This Row],[Проверенные]]),IF(ISBLANK(source[[#This Row],[Завершенные]]),source[[#This Row],[Приоритет_]],"Завершено"),"Проверено")</f>
        <v>Проверено</v>
      </c>
      <c r="F254" t="s">
        <v>866</v>
      </c>
      <c r="G254" t="s">
        <v>420</v>
      </c>
      <c r="H254" t="e">
        <f>VLOOKUP(source[[#This Row],[Отвественный]],тОтветственные[],2,0)</f>
        <v>#N/A</v>
      </c>
      <c r="I254" s="2">
        <v>43782</v>
      </c>
      <c r="J254" s="2">
        <v>43784</v>
      </c>
      <c r="K254" t="s">
        <v>1394</v>
      </c>
      <c r="L254">
        <v>16.86</v>
      </c>
      <c r="M254">
        <v>41.01</v>
      </c>
      <c r="Q254" t="s">
        <v>1112</v>
      </c>
      <c r="R254" t="str">
        <f>HYPERLINK("https://d28ji4sm1vmprj.cloudfront.net/58e6c49d8a85b430c0e1d9dc31fc997e/52bc4b8ffdbaea63ba8cca4e2d406780.jpeg", "Ссылка на план")</f>
        <v>Ссылка на план</v>
      </c>
      <c r="S254" s="1">
        <v>43782.645925925928</v>
      </c>
      <c r="T254" s="1">
        <v>43785.444988425923</v>
      </c>
      <c r="U254" s="1">
        <v>43789.633993055555</v>
      </c>
      <c r="W254" s="1">
        <v>43789.637384259258</v>
      </c>
      <c r="X254" t="s">
        <v>1140</v>
      </c>
      <c r="EC254" t="str">
        <f>HYPERLINK("https://d33htgqikc2pj4.cloudfront.net/bb200879-663b-4c47-a7a8-72b6c21b1804.jpeg", "Кирилл Васенков: Ссылка на изображение")</f>
        <v>Кирилл Васенков: Ссылка на изображение</v>
      </c>
      <c r="ED254" t="s">
        <v>1447</v>
      </c>
      <c r="EE254" t="s">
        <v>1217</v>
      </c>
      <c r="EF254" t="str">
        <f>HYPERLINK("https://d33htgqikc2pj4.cloudfront.net/2422d2a3-9029-41d7-a1fa-d6f770f26cba.jpeg", "Отопление и Кондиционирование Renaissance: Ссылка на изображение")</f>
        <v>Отопление и Кондиционирование Renaissance: Ссылка на изображение</v>
      </c>
      <c r="EG254" t="s">
        <v>1306</v>
      </c>
      <c r="EH254" t="s">
        <v>394</v>
      </c>
    </row>
    <row r="255" spans="1:153" ht="15" customHeight="1" x14ac:dyDescent="0.35">
      <c r="A255">
        <v>255</v>
      </c>
      <c r="B255" t="s">
        <v>1448</v>
      </c>
      <c r="C255">
        <v>2</v>
      </c>
      <c r="D255" t="str">
        <f>VLOOKUP(source[[#This Row],[Приоритет]],тПриоритеты[],2,0)</f>
        <v>Значительное</v>
      </c>
      <c r="E255" t="str">
        <f>IF(ISBLANK(source[[#This Row],[Проверенные]]),IF(ISBLANK(source[[#This Row],[Завершенные]]),source[[#This Row],[Приоритет_]],"Завершено"),"Проверено")</f>
        <v>Проверено</v>
      </c>
      <c r="F255" t="s">
        <v>866</v>
      </c>
      <c r="G255" t="s">
        <v>420</v>
      </c>
      <c r="H255" t="e">
        <f>VLOOKUP(source[[#This Row],[Отвественный]],тОтветственные[],2,0)</f>
        <v>#N/A</v>
      </c>
      <c r="I255" s="2">
        <v>43782</v>
      </c>
      <c r="J255" s="2">
        <v>43829</v>
      </c>
      <c r="K255" t="s">
        <v>1315</v>
      </c>
      <c r="L255">
        <v>32.25</v>
      </c>
      <c r="M255">
        <v>23.39</v>
      </c>
      <c r="Q255" t="s">
        <v>1112</v>
      </c>
      <c r="R255" t="str">
        <f>HYPERLINK("https://d28ji4sm1vmprj.cloudfront.net/9ce020c0cd808aec98fd01cfaa582b0d/a15e98b94d558c0d19b5f17d79f4c57e.jpeg", "Ссылка на план")</f>
        <v>Ссылка на план</v>
      </c>
      <c r="S255" s="1">
        <v>43782.645925925928</v>
      </c>
      <c r="T255" s="1">
        <v>43825.758622685185</v>
      </c>
      <c r="U255" s="1">
        <v>43825.813125000001</v>
      </c>
      <c r="W255" s="1">
        <v>43825.813136574077</v>
      </c>
      <c r="X255" t="s">
        <v>1140</v>
      </c>
      <c r="EC255" t="s">
        <v>1449</v>
      </c>
      <c r="ED255" t="str">
        <f>HYPERLINK("https://d33htgqikc2pj4.cloudfront.net/7d4e9beb-a6d7-40d8-8242-53421cd7d62e.jpeg", "Кирилл Васенков: Ссылка на изображение")</f>
        <v>Кирилл Васенков: Ссылка на изображение</v>
      </c>
      <c r="EE255" t="str">
        <f>HYPERLINK("https://d33htgqikc2pj4.cloudfront.net/06c188a6-6400-4e71-a979-aa3fca40a7a1.jpeg", "Кирилл Васенков: Ссылка на изображение")</f>
        <v>Кирилл Васенков: Ссылка на изображение</v>
      </c>
      <c r="EF255" t="str">
        <f>HYPERLINK("https://d33htgqikc2pj4.cloudfront.net/86f91eef-8cf9-4908-aa32-b35343dfaa5e.jpeg", "Кирилл Васенков: Ссылка на изображение")</f>
        <v>Кирилл Васенков: Ссылка на изображение</v>
      </c>
      <c r="EG255" t="s">
        <v>1217</v>
      </c>
      <c r="EH255" t="s">
        <v>1346</v>
      </c>
      <c r="EI255" t="str">
        <f>HYPERLINK("https://d33htgqikc2pj4.cloudfront.net/0f97ec5c-c0f4-4b28-8f0c-9e94485ba66d.jpeg", "Отопление и Кондиционирование Renaissance: Ссылка на изображение")</f>
        <v>Отопление и Кондиционирование Renaissance: Ссылка на изображение</v>
      </c>
      <c r="EJ255" t="str">
        <f>HYPERLINK("https://d33htgqikc2pj4.cloudfront.net/43e8172a-c1a7-423d-97f9-abd7e1e8e9eb.jpeg", "Отопление и Кондиционирование Renaissance: Ссылка на изображение")</f>
        <v>Отопление и Кондиционирование Renaissance: Ссылка на изображение</v>
      </c>
      <c r="EK255" t="str">
        <f>HYPERLINK("https://d33htgqikc2pj4.cloudfront.net/f8019d09-a330-4ff5-a748-d42ccf3921aa.jpeg", "Отопление и Кондиционирование Renaissance: Ссылка на изображение")</f>
        <v>Отопление и Кондиционирование Renaissance: Ссылка на изображение</v>
      </c>
      <c r="EL255" t="str">
        <f>HYPERLINK("https://d33htgqikc2pj4.cloudfront.net/4ace1ae1-4754-4bad-8ecd-2211c50828f8.jpeg", "Отопление и Кондиционирование Renaissance: Ссылка на изображение")</f>
        <v>Отопление и Кондиционирование Renaissance: Ссылка на изображение</v>
      </c>
      <c r="EM255" t="s">
        <v>1346</v>
      </c>
      <c r="EN255" t="str">
        <f>HYPERLINK("https://d33htgqikc2pj4.cloudfront.net/e4370137-553f-42e6-9c1e-5981ba74e33d.jpeg", "Отопление и Кондиционирование Renaissance: Ссылка на изображение")</f>
        <v>Отопление и Кондиционирование Renaissance: Ссылка на изображение</v>
      </c>
      <c r="EO255" t="s">
        <v>1450</v>
      </c>
      <c r="EP255" t="s">
        <v>1306</v>
      </c>
      <c r="EQ255" t="s">
        <v>1451</v>
      </c>
      <c r="ER255" t="s">
        <v>995</v>
      </c>
      <c r="ES255" t="s">
        <v>933</v>
      </c>
      <c r="ET255" t="s">
        <v>915</v>
      </c>
      <c r="EU255" t="s">
        <v>1428</v>
      </c>
      <c r="EV255" t="s">
        <v>1306</v>
      </c>
      <c r="EW255" t="s">
        <v>394</v>
      </c>
    </row>
    <row r="256" spans="1:153" ht="15" customHeight="1" x14ac:dyDescent="0.35">
      <c r="A256">
        <v>256</v>
      </c>
      <c r="B256" t="s">
        <v>1452</v>
      </c>
      <c r="C256">
        <v>2</v>
      </c>
      <c r="D256" t="str">
        <f>VLOOKUP(source[[#This Row],[Приоритет]],тПриоритеты[],2,0)</f>
        <v>Значительное</v>
      </c>
      <c r="E256" t="str">
        <f>IF(ISBLANK(source[[#This Row],[Проверенные]]),IF(ISBLANK(source[[#This Row],[Завершенные]]),source[[#This Row],[Приоритет_]],"Завершено"),"Проверено")</f>
        <v>Проверено</v>
      </c>
      <c r="F256" t="s">
        <v>866</v>
      </c>
      <c r="G256" t="s">
        <v>420</v>
      </c>
      <c r="H256" t="e">
        <f>VLOOKUP(source[[#This Row],[Отвественный]],тОтветственные[],2,0)</f>
        <v>#N/A</v>
      </c>
      <c r="I256" s="2">
        <v>43782</v>
      </c>
      <c r="J256" s="2">
        <v>43784</v>
      </c>
      <c r="K256" t="s">
        <v>1453</v>
      </c>
      <c r="L256">
        <v>32.880000000000003</v>
      </c>
      <c r="M256">
        <v>24.11</v>
      </c>
      <c r="Q256" t="s">
        <v>1112</v>
      </c>
      <c r="R256" t="str">
        <f>HYPERLINK("https://d28ji4sm1vmprj.cloudfront.net/1a88374a25c62e99846e2b66e24f55e5/f4c6012a51ab7cba645b7835f8631d3e.jpeg", "Ссылка на план")</f>
        <v>Ссылка на план</v>
      </c>
      <c r="S256" s="1">
        <v>43782.645937499998</v>
      </c>
      <c r="T256" s="1">
        <v>43785.458020833335</v>
      </c>
      <c r="U256" s="1">
        <v>43789.567673611113</v>
      </c>
      <c r="W256" s="1">
        <v>43789.567685185182</v>
      </c>
      <c r="X256" t="s">
        <v>1140</v>
      </c>
      <c r="EC256" t="str">
        <f>HYPERLINK("https://d33htgqikc2pj4.cloudfront.net/cc875b40-add3-4697-beae-1f6ea1606b4c.jpeg", "Кирилл Васенков: Ссылка на изображение")</f>
        <v>Кирилл Васенков: Ссылка на изображение</v>
      </c>
      <c r="ED256" t="s">
        <v>1454</v>
      </c>
      <c r="EE256" t="s">
        <v>1217</v>
      </c>
      <c r="EF256" t="str">
        <f>HYPERLINK("https://d33htgqikc2pj4.cloudfront.net/de614a6f-9cb9-48f1-80ef-ecf1b5aa1a30.jpeg", "Отопление и Кондиционирование Renaissance: Ссылка на изображение")</f>
        <v>Отопление и Кондиционирование Renaissance: Ссылка на изображение</v>
      </c>
      <c r="EG256" t="s">
        <v>1306</v>
      </c>
      <c r="EH256" t="s">
        <v>394</v>
      </c>
    </row>
    <row r="257" spans="1:149" ht="15" customHeight="1" x14ac:dyDescent="0.35">
      <c r="A257">
        <v>257</v>
      </c>
      <c r="B257" t="s">
        <v>1455</v>
      </c>
      <c r="C257">
        <v>2</v>
      </c>
      <c r="D257" t="str">
        <f>VLOOKUP(source[[#This Row],[Приоритет]],тПриоритеты[],2,0)</f>
        <v>Значительное</v>
      </c>
      <c r="E257" t="str">
        <f>IF(ISBLANK(source[[#This Row],[Проверенные]]),IF(ISBLANK(source[[#This Row],[Завершенные]]),source[[#This Row],[Приоритет_]],"Завершено"),"Проверено")</f>
        <v>Проверено</v>
      </c>
      <c r="F257" t="s">
        <v>866</v>
      </c>
      <c r="G257" t="s">
        <v>420</v>
      </c>
      <c r="H257" t="e">
        <f>VLOOKUP(source[[#This Row],[Отвественный]],тОтветственные[],2,0)</f>
        <v>#N/A</v>
      </c>
      <c r="I257" s="2">
        <v>43782</v>
      </c>
      <c r="J257" s="2">
        <v>43784</v>
      </c>
      <c r="K257" t="s">
        <v>1456</v>
      </c>
      <c r="L257">
        <v>33.18</v>
      </c>
      <c r="M257">
        <v>22.8</v>
      </c>
      <c r="Q257" t="s">
        <v>1112</v>
      </c>
      <c r="R257" t="str">
        <f>HYPERLINK("https://d28ji4sm1vmprj.cloudfront.net/235999a8e5687f02b3182cb9e63abbf6/eb16a88b44a5068620a78ff926e19512.jpeg", "Ссылка на план")</f>
        <v>Ссылка на план</v>
      </c>
      <c r="S257" s="1">
        <v>43782.647662037038</v>
      </c>
      <c r="T257" s="1">
        <v>43809.448113425926</v>
      </c>
      <c r="U257" s="1">
        <v>43809.578020833331</v>
      </c>
      <c r="W257" s="1">
        <v>43809.578032407408</v>
      </c>
      <c r="X257" t="s">
        <v>1140</v>
      </c>
      <c r="EC257" t="str">
        <f>HYPERLINK("https://d33htgqikc2pj4.cloudfront.net/18340445-914e-4f6d-bc0e-f2f660101fd7.jpeg", "Кирилл Васенков: Ссылка на изображение")</f>
        <v>Кирилл Васенков: Ссылка на изображение</v>
      </c>
      <c r="ED257" t="s">
        <v>1457</v>
      </c>
      <c r="EE257" t="s">
        <v>1217</v>
      </c>
      <c r="EF257" t="str">
        <f>HYPERLINK("https://cdn.filestackcontent.com/0ZQMjlqRpuc2iSnNEFf2", "Отопление и Кондиционирование Renaissance: Ссылка на файл")</f>
        <v>Отопление и Кондиционирование Renaissance: Ссылка на файл</v>
      </c>
      <c r="EG257" t="str">
        <f>HYPERLINK("https://cdn.filestackcontent.com/RT00JyuORTuVNHIHYUAj", "Отопление и Кондиционирование Renaissance: Ссылка на файл")</f>
        <v>Отопление и Кондиционирование Renaissance: Ссылка на файл</v>
      </c>
      <c r="EH257" t="s">
        <v>1306</v>
      </c>
      <c r="EI257" t="s">
        <v>888</v>
      </c>
    </row>
    <row r="258" spans="1:149" ht="15" customHeight="1" x14ac:dyDescent="0.35">
      <c r="A258">
        <v>252</v>
      </c>
      <c r="B258" t="s">
        <v>1458</v>
      </c>
      <c r="C258">
        <v>2</v>
      </c>
      <c r="D258" t="str">
        <f>VLOOKUP(source[[#This Row],[Приоритет]],тПриоритеты[],2,0)</f>
        <v>Значительное</v>
      </c>
      <c r="E258" t="str">
        <f>IF(ISBLANK(source[[#This Row],[Проверенные]]),IF(ISBLANK(source[[#This Row],[Завершенные]]),source[[#This Row],[Приоритет_]],"Завершено"),"Проверено")</f>
        <v>Проверено</v>
      </c>
      <c r="F258" t="s">
        <v>866</v>
      </c>
      <c r="G258" t="s">
        <v>420</v>
      </c>
      <c r="H258" t="e">
        <f>VLOOKUP(source[[#This Row],[Отвественный]],тОтветственные[],2,0)</f>
        <v>#N/A</v>
      </c>
      <c r="I258" s="2">
        <v>43782</v>
      </c>
      <c r="J258" s="2">
        <v>43784</v>
      </c>
      <c r="K258" t="s">
        <v>1394</v>
      </c>
      <c r="L258">
        <v>17.12</v>
      </c>
      <c r="M258">
        <v>40.24</v>
      </c>
      <c r="Q258" t="s">
        <v>1112</v>
      </c>
      <c r="R258" t="str">
        <f>HYPERLINK("https://d28ji4sm1vmprj.cloudfront.net/58e6c49d8a85b430c0e1d9dc31fc997e/52bc4b8ffdbaea63ba8cca4e2d406780.jpeg", "Ссылка на план")</f>
        <v>Ссылка на план</v>
      </c>
      <c r="S258" s="1">
        <v>43782.643182870372</v>
      </c>
      <c r="T258" s="1">
        <v>43785.44226851852</v>
      </c>
      <c r="U258" s="1">
        <v>43789.63484953704</v>
      </c>
      <c r="W258" s="1">
        <v>43789.637430555558</v>
      </c>
      <c r="X258" t="s">
        <v>1140</v>
      </c>
      <c r="EC258" t="str">
        <f>HYPERLINK("https://d33htgqikc2pj4.cloudfront.net/05251486-cab4-4eef-a0d4-5ed345d1a578.jpeg", "Кирилл Васенков: Ссылка на изображение")</f>
        <v>Кирилл Васенков: Ссылка на изображение</v>
      </c>
      <c r="ED258" t="s">
        <v>1459</v>
      </c>
      <c r="EE258" t="s">
        <v>1217</v>
      </c>
      <c r="EF258" t="str">
        <f>HYPERLINK("https://d33htgqikc2pj4.cloudfront.net/cec59b14-915a-4d34-9b20-aa2d73317c23.jpeg", "Отопление и Кондиционирование Renaissance: Ссылка на изображение")</f>
        <v>Отопление и Кондиционирование Renaissance: Ссылка на изображение</v>
      </c>
      <c r="EG258" t="s">
        <v>1306</v>
      </c>
      <c r="EH258" t="s">
        <v>394</v>
      </c>
    </row>
    <row r="259" spans="1:149" ht="15" customHeight="1" x14ac:dyDescent="0.35">
      <c r="A259">
        <v>253</v>
      </c>
      <c r="B259" t="s">
        <v>1460</v>
      </c>
      <c r="C259">
        <v>2</v>
      </c>
      <c r="D259" t="str">
        <f>VLOOKUP(source[[#This Row],[Приоритет]],тПриоритеты[],2,0)</f>
        <v>Значительное</v>
      </c>
      <c r="E259" t="str">
        <f>IF(ISBLANK(source[[#This Row],[Проверенные]]),IF(ISBLANK(source[[#This Row],[Завершенные]]),source[[#This Row],[Приоритет_]],"Завершено"),"Проверено")</f>
        <v>Проверено</v>
      </c>
      <c r="F259" t="s">
        <v>866</v>
      </c>
      <c r="G259" t="s">
        <v>420</v>
      </c>
      <c r="H259" t="e">
        <f>VLOOKUP(source[[#This Row],[Отвественный]],тОтветственные[],2,0)</f>
        <v>#N/A</v>
      </c>
      <c r="I259" s="2">
        <v>43782</v>
      </c>
      <c r="J259" s="2">
        <v>43784</v>
      </c>
      <c r="K259" t="s">
        <v>1394</v>
      </c>
      <c r="L259">
        <v>16.78</v>
      </c>
      <c r="M259">
        <v>40.83</v>
      </c>
      <c r="Q259" t="s">
        <v>1112</v>
      </c>
      <c r="R259" t="str">
        <f>HYPERLINK("https://d28ji4sm1vmprj.cloudfront.net/58e6c49d8a85b430c0e1d9dc31fc997e/52bc4b8ffdbaea63ba8cca4e2d406780.jpeg", "Ссылка на план")</f>
        <v>Ссылка на план</v>
      </c>
      <c r="S259" s="1">
        <v>43782.645914351851</v>
      </c>
      <c r="T259" s="1">
        <v>43785.393993055557</v>
      </c>
      <c r="U259" s="1">
        <v>43789.63554398148</v>
      </c>
      <c r="W259" s="1">
        <v>43789.637569444443</v>
      </c>
      <c r="X259" t="s">
        <v>1140</v>
      </c>
      <c r="EC259" t="str">
        <f>HYPERLINK("https://d33htgqikc2pj4.cloudfront.net/127ef64c-10c3-4e60-9e3f-e52e779453e9.jpeg", "Кирилл Васенков: Ссылка на изображение")</f>
        <v>Кирилл Васенков: Ссылка на изображение</v>
      </c>
      <c r="ED259" t="s">
        <v>1461</v>
      </c>
      <c r="EE259" t="s">
        <v>1217</v>
      </c>
      <c r="EF259" t="str">
        <f>HYPERLINK("https://d33htgqikc2pj4.cloudfront.net/db398a0f-13f8-48b1-867b-a5eb1e7be6af.jpeg", "Отопление и Кондиционирование Renaissance: Ссылка на изображение")</f>
        <v>Отопление и Кондиционирование Renaissance: Ссылка на изображение</v>
      </c>
      <c r="EG259" t="s">
        <v>1306</v>
      </c>
      <c r="EH259" t="s">
        <v>394</v>
      </c>
    </row>
    <row r="260" spans="1:149" ht="15" customHeight="1" x14ac:dyDescent="0.35">
      <c r="A260">
        <v>259</v>
      </c>
      <c r="B260" t="s">
        <v>1462</v>
      </c>
      <c r="C260">
        <v>2</v>
      </c>
      <c r="D260" t="str">
        <f>VLOOKUP(source[[#This Row],[Приоритет]],тПриоритеты[],2,0)</f>
        <v>Значительное</v>
      </c>
      <c r="E260" t="str">
        <f>IF(ISBLANK(source[[#This Row],[Проверенные]]),IF(ISBLANK(source[[#This Row],[Завершенные]]),source[[#This Row],[Приоритет_]],"Завершено"),"Проверено")</f>
        <v>Проверено</v>
      </c>
      <c r="F260" t="s">
        <v>866</v>
      </c>
      <c r="G260" t="s">
        <v>420</v>
      </c>
      <c r="H260" t="e">
        <f>VLOOKUP(source[[#This Row],[Отвественный]],тОтветственные[],2,0)</f>
        <v>#N/A</v>
      </c>
      <c r="I260" s="2">
        <v>43782</v>
      </c>
      <c r="J260" s="2">
        <v>43784</v>
      </c>
      <c r="K260" t="s">
        <v>1463</v>
      </c>
      <c r="L260">
        <v>32.840000000000003</v>
      </c>
      <c r="M260">
        <v>24.11</v>
      </c>
      <c r="Q260" t="s">
        <v>1112</v>
      </c>
      <c r="R260" t="str">
        <f>HYPERLINK("https://d28ji4sm1vmprj.cloudfront.net/6d415b4eccd122d0f5f2ff8138b4b7d3/519ee93a240c49aeb6e31ac145386289.jpeg", "Ссылка на план")</f>
        <v>Ссылка на план</v>
      </c>
      <c r="S260" s="1">
        <v>43782.65929398148</v>
      </c>
      <c r="T260" s="1">
        <v>43810.370740740742</v>
      </c>
      <c r="U260" s="1">
        <v>43810.505925925929</v>
      </c>
      <c r="W260" s="1">
        <v>43810.505937499998</v>
      </c>
      <c r="X260" t="s">
        <v>1140</v>
      </c>
      <c r="EC260" t="s">
        <v>1464</v>
      </c>
      <c r="ED260" t="str">
        <f>HYPERLINK("https://d33htgqikc2pj4.cloudfront.net/a293eaeb-6a3d-408f-8144-ece9f2e81202.jpeg", "Кирилл Васенков: Ссылка на изображение")</f>
        <v>Кирилл Васенков: Ссылка на изображение</v>
      </c>
      <c r="EE260" t="s">
        <v>1217</v>
      </c>
      <c r="EF260" t="str">
        <f>HYPERLINK("https://cdn.filestackcontent.com/XXYYRlnRRiSN6jhzebm5", "Отопление и Кондиционирование Renaissance: Ссылка на файл")</f>
        <v>Отопление и Кондиционирование Renaissance: Ссылка на файл</v>
      </c>
      <c r="EG260" t="str">
        <f>HYPERLINK("https://cdn.filestackcontent.com/NNMWwPTRZmaiwfsXPjPN", "Отопление и Кондиционирование Renaissance: Ссылка на файл")</f>
        <v>Отопление и Кондиционирование Renaissance: Ссылка на файл</v>
      </c>
      <c r="EH260" t="s">
        <v>1306</v>
      </c>
      <c r="EI260" t="s">
        <v>394</v>
      </c>
    </row>
    <row r="261" spans="1:149" ht="15" customHeight="1" x14ac:dyDescent="0.35">
      <c r="A261">
        <v>271</v>
      </c>
      <c r="B261" t="s">
        <v>1465</v>
      </c>
      <c r="C261">
        <v>2</v>
      </c>
      <c r="D261" t="str">
        <f>VLOOKUP(source[[#This Row],[Приоритет]],тПриоритеты[],2,0)</f>
        <v>Значительное</v>
      </c>
      <c r="E261" t="str">
        <f>IF(ISBLANK(source[[#This Row],[Проверенные]]),IF(ISBLANK(source[[#This Row],[Завершенные]]),source[[#This Row],[Приоритет_]],"Завершено"),"Проверено")</f>
        <v>Проверено</v>
      </c>
      <c r="F261" t="s">
        <v>866</v>
      </c>
      <c r="G261" t="s">
        <v>420</v>
      </c>
      <c r="H261" t="e">
        <f>VLOOKUP(source[[#This Row],[Отвественный]],тОтветственные[],2,0)</f>
        <v>#N/A</v>
      </c>
      <c r="I261" s="2">
        <v>43783</v>
      </c>
      <c r="J261" s="2">
        <v>43829</v>
      </c>
      <c r="K261" t="s">
        <v>1151</v>
      </c>
      <c r="L261">
        <v>50.91</v>
      </c>
      <c r="M261">
        <v>38.69</v>
      </c>
      <c r="Q261" t="s">
        <v>1112</v>
      </c>
      <c r="R261" t="str">
        <f>HYPERLINK("https://d28ji4sm1vmprj.cloudfront.net/e97f0007dc5252a09db37b262aa25bcd/70f7bb23b3236b9cd5ee9fc550c6be9d.jpeg", "Ссылка на план")</f>
        <v>Ссылка на план</v>
      </c>
      <c r="S261" s="1">
        <v>43783.636932870373</v>
      </c>
      <c r="T261" s="1">
        <v>43817.735671296294</v>
      </c>
      <c r="U261" s="1">
        <v>43818.561099537037</v>
      </c>
      <c r="W261" s="1">
        <v>43818.561099537037</v>
      </c>
      <c r="X261" t="s">
        <v>1140</v>
      </c>
      <c r="EC261" t="str">
        <f>HYPERLINK("https://d33htgqikc2pj4.cloudfront.net/80c153e5-f2c4-493a-a0bf-b2535c496c55.jpeg", "Кирилл Васенков: Ссылка на изображение")</f>
        <v>Кирилл Васенков: Ссылка на изображение</v>
      </c>
      <c r="ED261" t="s">
        <v>1466</v>
      </c>
      <c r="EE261" t="s">
        <v>1004</v>
      </c>
      <c r="EF261" t="s">
        <v>1228</v>
      </c>
      <c r="EG261" t="s">
        <v>1291</v>
      </c>
      <c r="EH261" t="s">
        <v>1292</v>
      </c>
      <c r="EI261" t="s">
        <v>1145</v>
      </c>
      <c r="EJ261" t="s">
        <v>933</v>
      </c>
      <c r="EK261" t="s">
        <v>915</v>
      </c>
      <c r="EL261" t="str">
        <f>HYPERLINK("https://d33htgqikc2pj4.cloudfront.net/qvHDimMUqxZcQnsj/f2a6737c-8c71-42ec-ab1b-de851fd60e5e.jpeg", "Отопление и Кондиционирование Renaissance: Ссылка на изображение")</f>
        <v>Отопление и Кондиционирование Renaissance: Ссылка на изображение</v>
      </c>
      <c r="EM261" t="s">
        <v>1467</v>
      </c>
      <c r="EN261" t="s">
        <v>1147</v>
      </c>
      <c r="EO261" t="s">
        <v>394</v>
      </c>
    </row>
    <row r="262" spans="1:149" ht="15" customHeight="1" x14ac:dyDescent="0.35">
      <c r="A262">
        <v>269</v>
      </c>
      <c r="B262" t="s">
        <v>1468</v>
      </c>
      <c r="C262">
        <v>2</v>
      </c>
      <c r="D262" t="str">
        <f>VLOOKUP(source[[#This Row],[Приоритет]],тПриоритеты[],2,0)</f>
        <v>Значительное</v>
      </c>
      <c r="E262" t="str">
        <f>IF(ISBLANK(source[[#This Row],[Проверенные]]),IF(ISBLANK(source[[#This Row],[Завершенные]]),source[[#This Row],[Приоритет_]],"Завершено"),"Проверено")</f>
        <v>Проверено</v>
      </c>
      <c r="F262" t="s">
        <v>866</v>
      </c>
      <c r="G262" t="s">
        <v>420</v>
      </c>
      <c r="H262" t="e">
        <f>VLOOKUP(source[[#This Row],[Отвественный]],тОтветственные[],2,0)</f>
        <v>#N/A</v>
      </c>
      <c r="I262" s="2">
        <v>43783</v>
      </c>
      <c r="J262" s="2">
        <v>43829</v>
      </c>
      <c r="K262" t="s">
        <v>1289</v>
      </c>
      <c r="L262">
        <v>63.76</v>
      </c>
      <c r="M262">
        <v>53.55</v>
      </c>
      <c r="Q262" t="s">
        <v>1112</v>
      </c>
      <c r="R262" t="str">
        <f>HYPERLINK("https://d28ji4sm1vmprj.cloudfront.net/9401f8de5fdbcfd7e5a2f012a73d295b/884ee0e4ce9bf819a82b83f7bb3c7c96.jpeg", "Ссылка на план")</f>
        <v>Ссылка на план</v>
      </c>
      <c r="S262" s="1">
        <v>43783.62091435185</v>
      </c>
      <c r="T262" s="1">
        <v>43817.736041666663</v>
      </c>
      <c r="U262" s="1">
        <v>43818.560150462959</v>
      </c>
      <c r="W262" s="1">
        <v>43818.560150462959</v>
      </c>
      <c r="X262" t="s">
        <v>1140</v>
      </c>
      <c r="EC262" t="str">
        <f>HYPERLINK("https://d33htgqikc2pj4.cloudfront.net/4c61a098-ae81-4b57-8bc7-b16e81dca426.jpeg", "Кирилл Васенков: Ссылка на изображение")</f>
        <v>Кирилл Васенков: Ссылка на изображение</v>
      </c>
      <c r="ED262" t="s">
        <v>1469</v>
      </c>
      <c r="EE262" t="s">
        <v>1004</v>
      </c>
      <c r="EF262" t="s">
        <v>1228</v>
      </c>
      <c r="EG262" t="s">
        <v>1291</v>
      </c>
      <c r="EH262" t="s">
        <v>1292</v>
      </c>
      <c r="EI262" t="s">
        <v>1145</v>
      </c>
      <c r="EJ262" t="s">
        <v>1147</v>
      </c>
      <c r="EK262" t="s">
        <v>1470</v>
      </c>
      <c r="EL262" t="s">
        <v>995</v>
      </c>
      <c r="EM262" t="s">
        <v>933</v>
      </c>
      <c r="EN262" t="s">
        <v>915</v>
      </c>
      <c r="EO262" t="str">
        <f>HYPERLINK("https://d33htgqikc2pj4.cloudfront.net/qvHDimMUqxZcQnsj/6eb29255-8b48-419f-a1bb-e80fcdae05bd.jpeg", "Отопление и Кондиционирование Renaissance: Ссылка на изображение")</f>
        <v>Отопление и Кондиционирование Renaissance: Ссылка на изображение</v>
      </c>
      <c r="EP262" t="s">
        <v>1467</v>
      </c>
      <c r="EQ262" t="s">
        <v>1147</v>
      </c>
      <c r="ER262" t="s">
        <v>394</v>
      </c>
    </row>
    <row r="263" spans="1:149" ht="15" customHeight="1" x14ac:dyDescent="0.35">
      <c r="A263">
        <v>276</v>
      </c>
      <c r="B263" t="s">
        <v>1471</v>
      </c>
      <c r="C263">
        <v>2</v>
      </c>
      <c r="D263" t="str">
        <f>VLOOKUP(source[[#This Row],[Приоритет]],тПриоритеты[],2,0)</f>
        <v>Значительное</v>
      </c>
      <c r="E263" t="str">
        <f>IF(ISBLANK(source[[#This Row],[Проверенные]]),IF(ISBLANK(source[[#This Row],[Завершенные]]),source[[#This Row],[Приоритет_]],"Завершено"),"Проверено")</f>
        <v>Проверено</v>
      </c>
      <c r="F263" t="s">
        <v>866</v>
      </c>
      <c r="G263" t="s">
        <v>420</v>
      </c>
      <c r="H263" t="e">
        <f>VLOOKUP(source[[#This Row],[Отвественный]],тОтветственные[],2,0)</f>
        <v>#N/A</v>
      </c>
      <c r="I263" s="2">
        <v>43783</v>
      </c>
      <c r="J263" s="2">
        <v>43787</v>
      </c>
      <c r="K263" t="s">
        <v>1472</v>
      </c>
      <c r="L263">
        <v>17.010000000000002</v>
      </c>
      <c r="M263">
        <v>55.24</v>
      </c>
      <c r="Q263" t="s">
        <v>1112</v>
      </c>
      <c r="R263" t="str">
        <f>HYPERLINK("https://d28ji4sm1vmprj.cloudfront.net/455d9d32183d2736bea4bdc8bb386a1c/eb19ca18bb54e2bfceefbbb7dc5e7c44.jpeg", "Ссылка на план")</f>
        <v>Ссылка на план</v>
      </c>
      <c r="S263" s="1">
        <v>43783.69222222222</v>
      </c>
      <c r="T263" s="1">
        <v>43784.734120370369</v>
      </c>
      <c r="U263" s="1">
        <v>43784.734120370369</v>
      </c>
      <c r="W263" s="1">
        <v>43784.7341087963</v>
      </c>
      <c r="X263" t="s">
        <v>1140</v>
      </c>
      <c r="EC263" t="s">
        <v>1473</v>
      </c>
      <c r="ED263" t="str">
        <f>HYPERLINK("https://d33htgqikc2pj4.cloudfront.net/542dfd56-24ee-4d47-b273-646aecd8f596.jpeg", "Кирилл Васенков: Ссылка на изображение")</f>
        <v>Кирилл Васенков: Ссылка на изображение</v>
      </c>
      <c r="EE263" t="s">
        <v>1004</v>
      </c>
      <c r="EF263" t="s">
        <v>1291</v>
      </c>
      <c r="EG263" t="s">
        <v>1292</v>
      </c>
      <c r="EH263" t="s">
        <v>1228</v>
      </c>
      <c r="EI263" t="str">
        <f>HYPERLINK("https://d33htgqikc2pj4.cloudfront.net/f38948c47787d3b7caf922b05fcd971e/c58adb18b9517ce02447b7632c6b1741-file.jpeg", "Кирилл Васенков: Ссылка на изображение")</f>
        <v>Кирилл Васенков: Ссылка на изображение</v>
      </c>
      <c r="EJ263" t="s">
        <v>1474</v>
      </c>
      <c r="EK263" t="s">
        <v>394</v>
      </c>
    </row>
    <row r="264" spans="1:149" ht="15" customHeight="1" x14ac:dyDescent="0.35">
      <c r="A264">
        <v>274</v>
      </c>
      <c r="B264" t="s">
        <v>1475</v>
      </c>
      <c r="C264">
        <v>2</v>
      </c>
      <c r="D264" t="str">
        <f>VLOOKUP(source[[#This Row],[Приоритет]],тПриоритеты[],2,0)</f>
        <v>Значительное</v>
      </c>
      <c r="E264" t="str">
        <f>IF(ISBLANK(source[[#This Row],[Проверенные]]),IF(ISBLANK(source[[#This Row],[Завершенные]]),source[[#This Row],[Приоритет_]],"Завершено"),"Проверено")</f>
        <v>Проверено</v>
      </c>
      <c r="F264" t="s">
        <v>866</v>
      </c>
      <c r="G264" t="s">
        <v>420</v>
      </c>
      <c r="H264" t="e">
        <f>VLOOKUP(source[[#This Row],[Отвественный]],тОтветственные[],2,0)</f>
        <v>#N/A</v>
      </c>
      <c r="I264" s="2">
        <v>43783</v>
      </c>
      <c r="J264" s="2">
        <v>43787</v>
      </c>
      <c r="K264" t="s">
        <v>1476</v>
      </c>
      <c r="L264">
        <v>30.82</v>
      </c>
      <c r="M264">
        <v>74.88</v>
      </c>
      <c r="Q264" t="s">
        <v>1112</v>
      </c>
      <c r="R264" t="str">
        <f>HYPERLINK("https://d28ji4sm1vmprj.cloudfront.net/1a09704ee7e7108f9f23ede89be93ee0/1c0f582e2a4b7647391ae7312d5cfbf2.jpeg", "Ссылка на план")</f>
        <v>Ссылка на план</v>
      </c>
      <c r="S264" s="1">
        <v>43783.66878472222</v>
      </c>
      <c r="T264" s="1">
        <v>43784.733472222222</v>
      </c>
      <c r="U264" s="1">
        <v>43784.733472222222</v>
      </c>
      <c r="W264" s="1">
        <v>43784.733460648145</v>
      </c>
      <c r="X264" t="s">
        <v>1140</v>
      </c>
      <c r="EC264" t="s">
        <v>1477</v>
      </c>
      <c r="ED264" t="str">
        <f>HYPERLINK("https://d33htgqikc2pj4.cloudfront.net/adb0c6aa-7785-47c6-8d97-d53260b48a49.jpeg", "Кирилл Васенков: Ссылка на изображение")</f>
        <v>Кирилл Васенков: Ссылка на изображение</v>
      </c>
      <c r="EE264" t="str">
        <f>HYPERLINK("https://d33htgqikc2pj4.cloudfront.net/b5c0622c-ccca-4658-ab3c-f042bb9e917b.jpeg", "Кирилл Васенков: Ссылка на изображение")</f>
        <v>Кирилл Васенков: Ссылка на изображение</v>
      </c>
      <c r="EF264" t="s">
        <v>1004</v>
      </c>
      <c r="EG264" t="s">
        <v>1228</v>
      </c>
      <c r="EH264" t="s">
        <v>1291</v>
      </c>
      <c r="EI264" t="s">
        <v>1292</v>
      </c>
      <c r="EJ264" t="str">
        <f>HYPERLINK("https://d33htgqikc2pj4.cloudfront.net/ff168e2b5f3c6ede969daedbffec0d3c/6aae89880cbbcef97645b25cd7ef758c-file.jpeg", "Кирилл Васенков: Ссылка на изображение")</f>
        <v>Кирилл Васенков: Ссылка на изображение</v>
      </c>
      <c r="EK264" t="s">
        <v>1474</v>
      </c>
      <c r="EL264" t="s">
        <v>394</v>
      </c>
    </row>
    <row r="265" spans="1:149" ht="15" customHeight="1" x14ac:dyDescent="0.35">
      <c r="A265">
        <v>275</v>
      </c>
      <c r="B265" t="s">
        <v>1478</v>
      </c>
      <c r="C265">
        <v>2</v>
      </c>
      <c r="D265" t="str">
        <f>VLOOKUP(source[[#This Row],[Приоритет]],тПриоритеты[],2,0)</f>
        <v>Значительное</v>
      </c>
      <c r="E265" t="str">
        <f>IF(ISBLANK(source[[#This Row],[Проверенные]]),IF(ISBLANK(source[[#This Row],[Завершенные]]),source[[#This Row],[Приоритет_]],"Завершено"),"Проверено")</f>
        <v>Проверено</v>
      </c>
      <c r="F265" t="s">
        <v>866</v>
      </c>
      <c r="G265" t="s">
        <v>420</v>
      </c>
      <c r="H265" t="e">
        <f>VLOOKUP(source[[#This Row],[Отвественный]],тОтветственные[],2,0)</f>
        <v>#N/A</v>
      </c>
      <c r="I265" s="2">
        <v>43783</v>
      </c>
      <c r="J265" s="2">
        <v>43829</v>
      </c>
      <c r="K265" t="s">
        <v>1472</v>
      </c>
      <c r="L265">
        <v>20.29</v>
      </c>
      <c r="M265">
        <v>53.33</v>
      </c>
      <c r="N265" t="s">
        <v>1479</v>
      </c>
      <c r="Q265" t="s">
        <v>1112</v>
      </c>
      <c r="R265" t="str">
        <f>HYPERLINK("https://d28ji4sm1vmprj.cloudfront.net/455d9d32183d2736bea4bdc8bb386a1c/eb19ca18bb54e2bfceefbbb7dc5e7c44.jpeg", "Ссылка на план")</f>
        <v>Ссылка на план</v>
      </c>
      <c r="S265" s="1">
        <v>43783.690150462964</v>
      </c>
      <c r="T265" s="1">
        <v>43816.644259259258</v>
      </c>
      <c r="U265" s="1">
        <v>43816.64439814815</v>
      </c>
      <c r="W265" s="1">
        <v>43816.644421296296</v>
      </c>
      <c r="X265" t="s">
        <v>1140</v>
      </c>
      <c r="EC265" t="str">
        <f>HYPERLINK("https://d33htgqikc2pj4.cloudfront.net/a6570b91-6c3d-4348-9617-89a7210095ad.jpeg", "Кирилл Васенков: Ссылка на изображение")</f>
        <v>Кирилл Васенков: Ссылка на изображение</v>
      </c>
      <c r="ED265" t="s">
        <v>1480</v>
      </c>
      <c r="EE265" t="s">
        <v>1004</v>
      </c>
      <c r="EF265" t="s">
        <v>1228</v>
      </c>
      <c r="EG265" t="s">
        <v>1291</v>
      </c>
      <c r="EH265" t="s">
        <v>1292</v>
      </c>
      <c r="EI265" t="s">
        <v>1145</v>
      </c>
      <c r="EJ265" t="s">
        <v>1149</v>
      </c>
      <c r="EK265" t="s">
        <v>1148</v>
      </c>
      <c r="EL265" t="s">
        <v>933</v>
      </c>
      <c r="EM265" t="s">
        <v>915</v>
      </c>
      <c r="EN265" t="str">
        <f>HYPERLINK("https://d33htgqikc2pj4.cloudfront.net/qvHDimMUqxZcQnsj/c501525b-be1c-4d47-96ae-1e6c66b7d9c9.jpeg", "Отопление и Кондиционирование Renaissance: Ссылка на изображение")</f>
        <v>Отопление и Кондиционирование Renaissance: Ссылка на изображение</v>
      </c>
      <c r="EO265" t="s">
        <v>1481</v>
      </c>
      <c r="EP265" t="s">
        <v>392</v>
      </c>
      <c r="EQ265" t="s">
        <v>1147</v>
      </c>
      <c r="ER265" t="s">
        <v>394</v>
      </c>
    </row>
    <row r="266" spans="1:149" ht="15" customHeight="1" x14ac:dyDescent="0.35">
      <c r="A266">
        <v>268</v>
      </c>
      <c r="B266" t="s">
        <v>1482</v>
      </c>
      <c r="C266">
        <v>2</v>
      </c>
      <c r="D266" t="str">
        <f>VLOOKUP(source[[#This Row],[Приоритет]],тПриоритеты[],2,0)</f>
        <v>Значительное</v>
      </c>
      <c r="E266" t="str">
        <f>IF(ISBLANK(source[[#This Row],[Проверенные]]),IF(ISBLANK(source[[#This Row],[Завершенные]]),source[[#This Row],[Приоритет_]],"Завершено"),"Проверено")</f>
        <v>Проверено</v>
      </c>
      <c r="F266" t="s">
        <v>866</v>
      </c>
      <c r="G266" t="s">
        <v>420</v>
      </c>
      <c r="H266" t="e">
        <f>VLOOKUP(source[[#This Row],[Отвественный]],тОтветственные[],2,0)</f>
        <v>#N/A</v>
      </c>
      <c r="I266" s="2">
        <v>43783</v>
      </c>
      <c r="J266" s="2">
        <v>43787</v>
      </c>
      <c r="K266" t="s">
        <v>1483</v>
      </c>
      <c r="L266">
        <v>63.33</v>
      </c>
      <c r="M266">
        <v>59.28</v>
      </c>
      <c r="Q266" t="s">
        <v>1112</v>
      </c>
      <c r="R266" t="str">
        <f>HYPERLINK("https://d28ji4sm1vmprj.cloudfront.net/beef036fa5a6eda5c6c14ebc38e57567/428e2ad243d5814b7349222df29b7fb7.jpeg", "Ссылка на план")</f>
        <v>Ссылка на план</v>
      </c>
      <c r="S266" s="1">
        <v>43783.605023148149</v>
      </c>
      <c r="T266" s="1">
        <v>43784.737280092595</v>
      </c>
      <c r="U266" s="1">
        <v>43784.738599537035</v>
      </c>
      <c r="W266" s="1">
        <v>43784.738587962966</v>
      </c>
      <c r="X266" t="s">
        <v>1140</v>
      </c>
      <c r="EC266" t="str">
        <f>HYPERLINK("https://d33htgqikc2pj4.cloudfront.net/477ebacc-ddf3-432d-984f-4347e2ad5a84.jpeg", "Кирилл Васенков: Ссылка на изображение")</f>
        <v>Кирилл Васенков: Ссылка на изображение</v>
      </c>
      <c r="ED266" t="s">
        <v>1484</v>
      </c>
      <c r="EE266" t="s">
        <v>1004</v>
      </c>
      <c r="EF266" t="s">
        <v>1291</v>
      </c>
      <c r="EG266" t="s">
        <v>1292</v>
      </c>
      <c r="EH266" t="s">
        <v>1228</v>
      </c>
      <c r="EI266" t="str">
        <f>HYPERLINK("https://d33htgqikc2pj4.cloudfront.net/7fcb894fb935eedff470817f89362ee5/054df566bc2c10b65e0ab625e738c1a8-file.jpeg", "Кирилл Васенков: Ссылка на изображение")</f>
        <v>Кирилл Васенков: Ссылка на изображение</v>
      </c>
      <c r="EJ266" t="s">
        <v>1485</v>
      </c>
      <c r="EK266" t="s">
        <v>392</v>
      </c>
      <c r="EL266" t="s">
        <v>394</v>
      </c>
    </row>
    <row r="267" spans="1:149" ht="15" customHeight="1" x14ac:dyDescent="0.35">
      <c r="A267">
        <v>290</v>
      </c>
      <c r="B267" t="s">
        <v>1486</v>
      </c>
      <c r="C267">
        <v>2</v>
      </c>
      <c r="D267" t="str">
        <f>VLOOKUP(source[[#This Row],[Приоритет]],тПриоритеты[],2,0)</f>
        <v>Значительное</v>
      </c>
      <c r="E267" t="str">
        <f>IF(ISBLANK(source[[#This Row],[Проверенные]]),IF(ISBLANK(source[[#This Row],[Завершенные]]),source[[#This Row],[Приоритет_]],"Завершено"),"Проверено")</f>
        <v>Проверено</v>
      </c>
      <c r="F267" t="s">
        <v>866</v>
      </c>
      <c r="G267" t="s">
        <v>420</v>
      </c>
      <c r="H267" t="e">
        <f>VLOOKUP(source[[#This Row],[Отвественный]],тОтветственные[],2,0)</f>
        <v>#N/A</v>
      </c>
      <c r="I267" s="2">
        <v>43784</v>
      </c>
      <c r="J267" s="2">
        <v>43829</v>
      </c>
      <c r="K267" t="s">
        <v>1487</v>
      </c>
      <c r="L267">
        <v>43.62</v>
      </c>
      <c r="M267">
        <v>64.64</v>
      </c>
      <c r="Q267" t="s">
        <v>1139</v>
      </c>
      <c r="R267" t="str">
        <f>HYPERLINK("https://d28ji4sm1vmprj.cloudfront.net/6f9728ae32cc221c15a414dd4d02e3c1/ed33a0bd7dc887da5fd88e770e4dd523.jpeg", "Ссылка на план")</f>
        <v>Ссылка на план</v>
      </c>
      <c r="S267" s="1">
        <v>43784.683368055557</v>
      </c>
      <c r="T267" s="1">
        <v>43818.641712962963</v>
      </c>
      <c r="U267" s="1">
        <v>43818.641712962963</v>
      </c>
      <c r="W267" s="1">
        <v>43818.684699074074</v>
      </c>
      <c r="X267" t="s">
        <v>1140</v>
      </c>
      <c r="EC267" t="str">
        <f>HYPERLINK("https://d33htgqikc2pj4.cloudfront.net/aecd1b30-7466-449e-a66d-8f4d69fd3d9c.jpeg", "Кирилл Васенков: Ссылка на изображение")</f>
        <v>Кирилл Васенков: Ссылка на изображение</v>
      </c>
      <c r="ED267" t="s">
        <v>1488</v>
      </c>
      <c r="EE267" t="s">
        <v>1142</v>
      </c>
      <c r="EF267" t="s">
        <v>1004</v>
      </c>
      <c r="EG267" t="s">
        <v>1143</v>
      </c>
      <c r="EH267" t="s">
        <v>1144</v>
      </c>
      <c r="EI267" t="s">
        <v>1145</v>
      </c>
      <c r="EJ267" t="s">
        <v>933</v>
      </c>
      <c r="EK267" t="s">
        <v>915</v>
      </c>
      <c r="EL267" t="s">
        <v>394</v>
      </c>
    </row>
    <row r="268" spans="1:149" ht="15" customHeight="1" x14ac:dyDescent="0.35">
      <c r="A268">
        <v>292</v>
      </c>
      <c r="B268" t="s">
        <v>1489</v>
      </c>
      <c r="C268">
        <v>2</v>
      </c>
      <c r="D268" t="str">
        <f>VLOOKUP(source[[#This Row],[Приоритет]],тПриоритеты[],2,0)</f>
        <v>Значительное</v>
      </c>
      <c r="E268" t="str">
        <f>IF(ISBLANK(source[[#This Row],[Проверенные]]),IF(ISBLANK(source[[#This Row],[Завершенные]]),source[[#This Row],[Приоритет_]],"Завершено"),"Проверено")</f>
        <v>Проверено</v>
      </c>
      <c r="F268" t="s">
        <v>866</v>
      </c>
      <c r="G268" t="s">
        <v>420</v>
      </c>
      <c r="H268" t="e">
        <f>VLOOKUP(source[[#This Row],[Отвественный]],тОтветственные[],2,0)</f>
        <v>#N/A</v>
      </c>
      <c r="K268" t="s">
        <v>1490</v>
      </c>
      <c r="L268">
        <v>24.27</v>
      </c>
      <c r="M268">
        <v>12.63</v>
      </c>
      <c r="Q268" t="s">
        <v>1139</v>
      </c>
      <c r="R268" t="str">
        <f>HYPERLINK("https://d28ji4sm1vmprj.cloudfront.net/146e2cb41c65d81d2d5e3893ba059ee6/7b2eb596666b06c4c35d5431e6ad029b.jpeg", "Ссылка на план")</f>
        <v>Ссылка на план</v>
      </c>
      <c r="S268" s="1">
        <v>43784.68340277778</v>
      </c>
      <c r="T268" s="1">
        <v>43852.506273148145</v>
      </c>
      <c r="U268" s="1">
        <v>43852.506273148145</v>
      </c>
      <c r="W268" s="1">
        <v>43852.506273148145</v>
      </c>
      <c r="X268" t="s">
        <v>1140</v>
      </c>
      <c r="EC268" t="str">
        <f>HYPERLINK("https://d33htgqikc2pj4.cloudfront.net/b9597757-f513-46d6-a5d0-e076a07aa7c0.jpeg", "Кирилл Васенков: Ссылка на изображение")</f>
        <v>Кирилл Васенков: Ссылка на изображение</v>
      </c>
      <c r="ED268" t="str">
        <f>HYPERLINK("https://d33htgqikc2pj4.cloudfront.net/350ce3be-d5cb-402d-8a5f-8d8a4f7e7012.jpeg", "Кирилл Васенков: Ссылка на изображение")</f>
        <v>Кирилл Васенков: Ссылка на изображение</v>
      </c>
      <c r="EE268" t="s">
        <v>1491</v>
      </c>
      <c r="EF268" t="s">
        <v>1492</v>
      </c>
      <c r="EG268" t="s">
        <v>1142</v>
      </c>
      <c r="EH268" t="s">
        <v>1004</v>
      </c>
      <c r="EI268" t="s">
        <v>1143</v>
      </c>
      <c r="EJ268" t="s">
        <v>1144</v>
      </c>
      <c r="EK268" t="s">
        <v>1145</v>
      </c>
      <c r="EL268" t="s">
        <v>933</v>
      </c>
      <c r="EM268" t="s">
        <v>915</v>
      </c>
      <c r="EN268" t="s">
        <v>1493</v>
      </c>
      <c r="EO268" t="s">
        <v>1276</v>
      </c>
      <c r="EP268" t="s">
        <v>1147</v>
      </c>
      <c r="EQ268" t="s">
        <v>1494</v>
      </c>
      <c r="ER268" t="s">
        <v>1125</v>
      </c>
      <c r="ES268" t="s">
        <v>394</v>
      </c>
    </row>
    <row r="269" spans="1:149" ht="15" customHeight="1" x14ac:dyDescent="0.35">
      <c r="A269">
        <v>186</v>
      </c>
      <c r="B269" t="s">
        <v>1495</v>
      </c>
      <c r="C269">
        <v>2</v>
      </c>
      <c r="D269" t="str">
        <f>VLOOKUP(source[[#This Row],[Приоритет]],тПриоритеты[],2,0)</f>
        <v>Значительное</v>
      </c>
      <c r="E269" t="str">
        <f>IF(ISBLANK(source[[#This Row],[Проверенные]]),IF(ISBLANK(source[[#This Row],[Завершенные]]),source[[#This Row],[Приоритет_]],"Завершено"),"Проверено")</f>
        <v>Проверено</v>
      </c>
      <c r="F269" t="s">
        <v>866</v>
      </c>
      <c r="G269" t="s">
        <v>420</v>
      </c>
      <c r="H269" t="e">
        <f>VLOOKUP(source[[#This Row],[Отвественный]],тОтветственные[],2,0)</f>
        <v>#N/A</v>
      </c>
      <c r="I269" s="2">
        <v>43775</v>
      </c>
      <c r="J269" s="2">
        <v>43784</v>
      </c>
      <c r="K269" t="s">
        <v>1191</v>
      </c>
      <c r="L269">
        <v>24.47</v>
      </c>
      <c r="M269">
        <v>25.77</v>
      </c>
      <c r="Q269" t="s">
        <v>1139</v>
      </c>
      <c r="R269" t="str">
        <f>HYPERLINK("https://d28ji4sm1vmprj.cloudfront.net/ba4735090fe6b8f6de3f17db27e7ff1d/1c8ad0dd164df1f26888c689ba793b63.jpeg", "Ссылка на план")</f>
        <v>Ссылка на план</v>
      </c>
      <c r="S269" s="1">
        <v>43777.498842592591</v>
      </c>
      <c r="T269" s="1">
        <v>43787.423067129632</v>
      </c>
      <c r="U269" s="1">
        <v>43787.423067129632</v>
      </c>
      <c r="W269" s="1">
        <v>43787.423043981478</v>
      </c>
      <c r="X269" t="s">
        <v>1140</v>
      </c>
      <c r="EC269" t="str">
        <f>HYPERLINK("https://d33htgqikc2pj4.cloudfront.net/7b80deca-3059-4ba2-8cf9-643a36a69cd1.jpeg", "Кирилл Васенков: Ссылка на изображение")</f>
        <v>Кирилл Васенков: Ссылка на изображение</v>
      </c>
      <c r="ED269" t="s">
        <v>1496</v>
      </c>
      <c r="EE269" t="s">
        <v>929</v>
      </c>
      <c r="EF269" t="s">
        <v>930</v>
      </c>
      <c r="EG269" t="s">
        <v>1171</v>
      </c>
      <c r="EH269" t="s">
        <v>932</v>
      </c>
      <c r="EI269" t="s">
        <v>425</v>
      </c>
      <c r="EJ269" t="s">
        <v>394</v>
      </c>
      <c r="EK269" t="s">
        <v>1497</v>
      </c>
    </row>
    <row r="270" spans="1:149" ht="15" customHeight="1" x14ac:dyDescent="0.35">
      <c r="A270">
        <v>228</v>
      </c>
      <c r="B270" t="s">
        <v>1498</v>
      </c>
      <c r="C270">
        <v>3</v>
      </c>
      <c r="D270" t="str">
        <f>VLOOKUP(source[[#This Row],[Приоритет]],тПриоритеты[],2,0)</f>
        <v>Малозначительное</v>
      </c>
      <c r="E270" t="str">
        <f>IF(ISBLANK(source[[#This Row],[Проверенные]]),IF(ISBLANK(source[[#This Row],[Завершенные]]),source[[#This Row],[Приоритет_]],"Завершено"),"Проверено")</f>
        <v>Проверено</v>
      </c>
      <c r="F270" t="s">
        <v>866</v>
      </c>
      <c r="G270" t="s">
        <v>420</v>
      </c>
      <c r="H270" t="e">
        <f>VLOOKUP(source[[#This Row],[Отвественный]],тОтветственные[],2,0)</f>
        <v>#N/A</v>
      </c>
      <c r="I270" s="2">
        <v>43781</v>
      </c>
      <c r="J270" s="2">
        <v>43829</v>
      </c>
      <c r="K270" t="s">
        <v>1483</v>
      </c>
      <c r="L270">
        <v>36.159999999999997</v>
      </c>
      <c r="M270">
        <v>42.51</v>
      </c>
      <c r="Q270" t="s">
        <v>1112</v>
      </c>
      <c r="R270" t="str">
        <f>HYPERLINK("https://d28ji4sm1vmprj.cloudfront.net/beef036fa5a6eda5c6c14ebc38e57567/428e2ad243d5814b7349222df29b7fb7.jpeg", "Ссылка на план")</f>
        <v>Ссылка на план</v>
      </c>
      <c r="S270" s="1">
        <v>43781.510416666664</v>
      </c>
      <c r="T270" s="1">
        <v>43865.741215277776</v>
      </c>
      <c r="U270" s="1">
        <v>43865.764328703706</v>
      </c>
      <c r="W270" s="1">
        <v>43865.764328703706</v>
      </c>
      <c r="X270" t="s">
        <v>1140</v>
      </c>
      <c r="EC270" t="str">
        <f>HYPERLINK("https://d33htgqikc2pj4.cloudfront.net/7c821f43-8c7a-4719-b619-135aec8f4640.jpeg", "Кирилл Васенков: Ссылка на изображение")</f>
        <v>Кирилл Васенков: Ссылка на изображение</v>
      </c>
      <c r="ED270" t="s">
        <v>1499</v>
      </c>
      <c r="EE270" t="s">
        <v>1217</v>
      </c>
      <c r="EF270" t="s">
        <v>933</v>
      </c>
      <c r="EG270" t="s">
        <v>915</v>
      </c>
      <c r="EH270" t="s">
        <v>1233</v>
      </c>
      <c r="EI270" t="str">
        <f>HYPERLINK("https://d33htgqikc2pj4.cloudfront.net/qvHDimMUqxZcQnsj/ecf04d25-63ad-4ee9-91dd-8443e7bbe551.jpeg", "Отопление и Кондиционирование Renaissance: Ссылка на изображение")</f>
        <v>Отопление и Кондиционирование Renaissance: Ссылка на изображение</v>
      </c>
      <c r="EJ270" t="s">
        <v>1276</v>
      </c>
      <c r="EK270" t="s">
        <v>1147</v>
      </c>
      <c r="EL270" t="s">
        <v>394</v>
      </c>
    </row>
    <row r="271" spans="1:149" ht="15" customHeight="1" x14ac:dyDescent="0.35">
      <c r="A271">
        <v>272</v>
      </c>
      <c r="B271" t="s">
        <v>1500</v>
      </c>
      <c r="C271">
        <v>3</v>
      </c>
      <c r="D271" t="str">
        <f>VLOOKUP(source[[#This Row],[Приоритет]],тПриоритеты[],2,0)</f>
        <v>Малозначительное</v>
      </c>
      <c r="E271" t="str">
        <f>IF(ISBLANK(source[[#This Row],[Проверенные]]),IF(ISBLANK(source[[#This Row],[Завершенные]]),source[[#This Row],[Приоритет_]],"Завершено"),"Проверено")</f>
        <v>Проверено</v>
      </c>
      <c r="F271" t="s">
        <v>866</v>
      </c>
      <c r="G271" t="s">
        <v>420</v>
      </c>
      <c r="H271" t="e">
        <f>VLOOKUP(source[[#This Row],[Отвественный]],тОтветственные[],2,0)</f>
        <v>#N/A</v>
      </c>
      <c r="I271" s="2">
        <v>43787</v>
      </c>
      <c r="J271" s="2">
        <v>43829</v>
      </c>
      <c r="K271" t="s">
        <v>1111</v>
      </c>
      <c r="L271">
        <v>35.51</v>
      </c>
      <c r="M271">
        <v>42.58</v>
      </c>
      <c r="Q271" t="s">
        <v>1112</v>
      </c>
      <c r="R271" t="str">
        <f>HYPERLINK("https://d28ji4sm1vmprj.cloudfront.net/5acfd8af0ef9c32f698ae41a22b459e8/b61e10aef992eb0b3658deae95bc85d3.jpeg", "Ссылка на план")</f>
        <v>Ссылка на план</v>
      </c>
      <c r="S271" s="1">
        <v>43783.638923611114</v>
      </c>
      <c r="T271" s="1">
        <v>43865.38486111111</v>
      </c>
      <c r="U271" s="1">
        <v>43865.779317129629</v>
      </c>
      <c r="W271" s="1">
        <v>43865.779317129629</v>
      </c>
      <c r="X271" t="s">
        <v>1140</v>
      </c>
      <c r="EC271" t="str">
        <f>HYPERLINK("https://d33htgqikc2pj4.cloudfront.net/1abb2848-19d4-43ae-8c71-9df382b5788d.jpeg", "Кирилл Васенков: Ссылка на изображение")</f>
        <v>Кирилл Васенков: Ссылка на изображение</v>
      </c>
      <c r="ED271" t="s">
        <v>1501</v>
      </c>
      <c r="EE271" t="str">
        <f>HYPERLINK("https://d33htgqikc2pj4.cloudfront.net/0f9ce4ab-ec58-4819-924c-7a830d824b3e.jpeg", "Кирилл Васенков: Ссылка на изображение")</f>
        <v>Кирилл Васенков: Ссылка на изображение</v>
      </c>
      <c r="EF271" t="s">
        <v>1142</v>
      </c>
      <c r="EG271" t="s">
        <v>1502</v>
      </c>
      <c r="EH271" t="s">
        <v>1165</v>
      </c>
      <c r="EI271" t="s">
        <v>1145</v>
      </c>
      <c r="EJ271" t="s">
        <v>933</v>
      </c>
      <c r="EK271" t="s">
        <v>915</v>
      </c>
      <c r="EL271" t="str">
        <f>HYPERLINK("https://d33htgqikc2pj4.cloudfront.net/qvHDimMUqxZcQnsj/74cb2f5c-b3ad-41ca-af12-085f1062f04b.jpeg", "Отопление и Кондиционирование Renaissance: Ссылка на изображение")</f>
        <v>Отопление и Кондиционирование Renaissance: Ссылка на изображение</v>
      </c>
      <c r="EM271" t="s">
        <v>1233</v>
      </c>
      <c r="EN271" t="s">
        <v>1276</v>
      </c>
      <c r="EO271" t="s">
        <v>1147</v>
      </c>
      <c r="EP271" t="s">
        <v>394</v>
      </c>
    </row>
    <row r="272" spans="1:149" ht="15" customHeight="1" x14ac:dyDescent="0.35">
      <c r="A272">
        <v>929</v>
      </c>
      <c r="B272" t="s">
        <v>1503</v>
      </c>
      <c r="C272">
        <v>2</v>
      </c>
      <c r="D272" t="str">
        <f>VLOOKUP(source[[#This Row],[Приоритет]],тПриоритеты[],2,0)</f>
        <v>Значительное</v>
      </c>
      <c r="E272" t="str">
        <f>IF(ISBLANK(source[[#This Row],[Проверенные]]),IF(ISBLANK(source[[#This Row],[Завершенные]]),source[[#This Row],[Приоритет_]],"Завершено"),"Проверено")</f>
        <v>Проверено</v>
      </c>
      <c r="F272" t="s">
        <v>866</v>
      </c>
      <c r="G272" t="s">
        <v>420</v>
      </c>
      <c r="H272" t="e">
        <f>VLOOKUP(source[[#This Row],[Отвественный]],тОтветственные[],2,0)</f>
        <v>#N/A</v>
      </c>
      <c r="I272" s="2">
        <v>43846</v>
      </c>
      <c r="J272" s="2">
        <v>43854</v>
      </c>
      <c r="K272" t="s">
        <v>1504</v>
      </c>
      <c r="L272">
        <v>37.85</v>
      </c>
      <c r="M272">
        <v>91.01</v>
      </c>
      <c r="Q272" t="s">
        <v>1112</v>
      </c>
      <c r="R272" t="str">
        <f>HYPERLINK("https://d28ji4sm1vmprj.cloudfront.net/dafbe8d6cd201de53d157b76603a69d4/7202ed7fb7ea9e8274684fd8b6e43e26.jpeg", "Ссылка на план")</f>
        <v>Ссылка на план</v>
      </c>
      <c r="S272" s="1">
        <v>43846.480590277781</v>
      </c>
      <c r="T272" s="1">
        <v>43855.625902777778</v>
      </c>
      <c r="U272" s="1">
        <v>43858.598796296297</v>
      </c>
      <c r="W272" s="1">
        <v>43858.59883101852</v>
      </c>
      <c r="X272" t="s">
        <v>1505</v>
      </c>
      <c r="Y272" t="s">
        <v>1153</v>
      </c>
      <c r="AA272" t="s">
        <v>1506</v>
      </c>
      <c r="EC272" t="s">
        <v>1507</v>
      </c>
      <c r="ED272" t="s">
        <v>1004</v>
      </c>
      <c r="EE272" t="s">
        <v>930</v>
      </c>
      <c r="EF272" t="s">
        <v>1508</v>
      </c>
      <c r="EG272" t="s">
        <v>1509</v>
      </c>
      <c r="EH272" t="s">
        <v>1510</v>
      </c>
      <c r="EI272" t="s">
        <v>1511</v>
      </c>
      <c r="EJ272" t="s">
        <v>425</v>
      </c>
      <c r="EK272" t="str">
        <f>HYPERLINK("https://d33htgqikc2pj4.cloudfront.net/e8ac3abc-9c14-4dce-900c-de67cefaa109.jpeg", "Отопление и Кондиционирование Renaissance: Ссылка на изображение")</f>
        <v>Отопление и Кондиционирование Renaissance: Ссылка на изображение</v>
      </c>
      <c r="EL272" t="s">
        <v>1512</v>
      </c>
      <c r="EM272" t="s">
        <v>1306</v>
      </c>
      <c r="EN272" t="s">
        <v>394</v>
      </c>
    </row>
    <row r="273" spans="1:177" ht="15" customHeight="1" x14ac:dyDescent="0.35">
      <c r="A273">
        <v>928</v>
      </c>
      <c r="B273" t="s">
        <v>1513</v>
      </c>
      <c r="C273">
        <v>2</v>
      </c>
      <c r="D273" t="str">
        <f>VLOOKUP(source[[#This Row],[Приоритет]],тПриоритеты[],2,0)</f>
        <v>Значительное</v>
      </c>
      <c r="E273" t="str">
        <f>IF(ISBLANK(source[[#This Row],[Проверенные]]),IF(ISBLANK(source[[#This Row],[Завершенные]]),source[[#This Row],[Приоритет_]],"Завершено"),"Проверено")</f>
        <v>Проверено</v>
      </c>
      <c r="F273" t="s">
        <v>866</v>
      </c>
      <c r="G273" t="s">
        <v>420</v>
      </c>
      <c r="H273" t="e">
        <f>VLOOKUP(source[[#This Row],[Отвественный]],тОтветственные[],2,0)</f>
        <v>#N/A</v>
      </c>
      <c r="I273" s="2">
        <v>43846</v>
      </c>
      <c r="J273" s="2">
        <v>43860</v>
      </c>
      <c r="K273" t="s">
        <v>1504</v>
      </c>
      <c r="L273">
        <v>34.78</v>
      </c>
      <c r="M273">
        <v>90.42</v>
      </c>
      <c r="Q273" t="s">
        <v>1112</v>
      </c>
      <c r="R273" t="str">
        <f>HYPERLINK("https://d28ji4sm1vmprj.cloudfront.net/dafbe8d6cd201de53d157b76603a69d4/7202ed7fb7ea9e8274684fd8b6e43e26.jpeg", "Ссылка на план")</f>
        <v>Ссылка на план</v>
      </c>
      <c r="S273" s="1">
        <v>43846.476840277777</v>
      </c>
      <c r="T273" s="1">
        <v>43858.599074074074</v>
      </c>
      <c r="U273" s="1">
        <v>43858.599074074074</v>
      </c>
      <c r="W273" s="1">
        <v>43858.599131944444</v>
      </c>
      <c r="X273" t="s">
        <v>1505</v>
      </c>
      <c r="Y273" t="s">
        <v>1153</v>
      </c>
      <c r="AA273" t="s">
        <v>1506</v>
      </c>
      <c r="EC273" s="3" t="s">
        <v>1514</v>
      </c>
      <c r="ED273" t="s">
        <v>1515</v>
      </c>
      <c r="EE273" t="str">
        <f>HYPERLINK("https://d33htgqikc2pj4.cloudfront.net/407d0fd57efba59e9ddb294fd4cc812c/c4a9dd5f01d1fdf363fd654874457489-file.jpeg", "Кирилл Васенков: Ссылка на изображение")</f>
        <v>Кирилл Васенков: Ссылка на изображение</v>
      </c>
      <c r="EF273" t="str">
        <f>HYPERLINK("https://d33htgqikc2pj4.cloudfront.net/1396e6805b5bc31d40950e3b61fa862a/7b08a31c31dd059d249eede63f387347-file.jpeg", "Кирилл Васенков: Ссылка на изображение")</f>
        <v>Кирилл Васенков: Ссылка на изображение</v>
      </c>
      <c r="EG273" t="str">
        <f>HYPERLINK("https://d33htgqikc2pj4.cloudfront.net/8bdcb74805e59bbaa5b99bcc18dc9599/775b1c6281bce374b01d7015520288af-file.jpeg", "Кирилл Васенков: Ссылка на изображение")</f>
        <v>Кирилл Васенков: Ссылка на изображение</v>
      </c>
      <c r="EH273" t="str">
        <f>HYPERLINK("https://d33htgqikc2pj4.cloudfront.net/6c76103722f39db1b5645e2e79314278/2ec7a91b741f6ef264b6956a56239adb-file.jpeg", "Кирилл Васенков: Ссылка на изображение")</f>
        <v>Кирилл Васенков: Ссылка на изображение</v>
      </c>
      <c r="EI273" t="str">
        <f>HYPERLINK("https://d33htgqikc2pj4.cloudfront.net/7c87e17dc0a152dc0756e3195ad5eb96/cadebf1540d0ac256e9218d0177c60b6-file.jpeg", "Кирилл Васенков: Ссылка на изображение")</f>
        <v>Кирилл Васенков: Ссылка на изображение</v>
      </c>
      <c r="EJ273" t="s">
        <v>1004</v>
      </c>
      <c r="EK273" t="s">
        <v>1508</v>
      </c>
      <c r="EL273" t="s">
        <v>1510</v>
      </c>
      <c r="EM273" t="s">
        <v>930</v>
      </c>
      <c r="EN273" t="s">
        <v>1516</v>
      </c>
      <c r="EO273" t="s">
        <v>425</v>
      </c>
      <c r="EP273" t="str">
        <f>HYPERLINK("https://d33htgqikc2pj4.cloudfront.net/1a964ddb-3c74-48f3-a63d-e5038e31b9b5.jpeg", "Отопление и Кондиционирование Renaissance: Ссылка на изображение")</f>
        <v>Отопление и Кондиционирование Renaissance: Ссылка на изображение</v>
      </c>
      <c r="EQ273" t="str">
        <f>HYPERLINK("https://d33htgqikc2pj4.cloudfront.net/0d4ae919-39cc-480c-95a2-d8a522c4c5fc.jpeg", "Отопление и Кондиционирование Renaissance: Ссылка на изображение")</f>
        <v>Отопление и Кондиционирование Renaissance: Ссылка на изображение</v>
      </c>
      <c r="ER273" t="str">
        <f>HYPERLINK("https://d33htgqikc2pj4.cloudfront.net/068f4123-1519-4ebb-8c2b-2e4543e2d690.jpeg", "Отопление и Кондиционирование Renaissance: Ссылка на изображение")</f>
        <v>Отопление и Кондиционирование Renaissance: Ссылка на изображение</v>
      </c>
      <c r="ES273" t="s">
        <v>1306</v>
      </c>
      <c r="ET273" t="s">
        <v>1517</v>
      </c>
      <c r="EU273" t="s">
        <v>1125</v>
      </c>
      <c r="EV273" t="s">
        <v>1518</v>
      </c>
      <c r="EW273" t="s">
        <v>394</v>
      </c>
    </row>
    <row r="274" spans="1:177" ht="15" customHeight="1" x14ac:dyDescent="0.35">
      <c r="A274">
        <v>587</v>
      </c>
      <c r="B274" t="s">
        <v>1519</v>
      </c>
      <c r="C274">
        <v>2</v>
      </c>
      <c r="D274" t="str">
        <f>VLOOKUP(source[[#This Row],[Приоритет]],тПриоритеты[],2,0)</f>
        <v>Значительное</v>
      </c>
      <c r="E274" t="str">
        <f>IF(ISBLANK(source[[#This Row],[Проверенные]]),IF(ISBLANK(source[[#This Row],[Завершенные]]),source[[#This Row],[Приоритет_]],"Завершено"),"Проверено")</f>
        <v>Значительное</v>
      </c>
      <c r="F274" t="s">
        <v>866</v>
      </c>
      <c r="G274" t="s">
        <v>1520</v>
      </c>
      <c r="H274" t="e">
        <f>VLOOKUP(source[[#This Row],[Отвественный]],тОтветственные[],2,0)</f>
        <v>#N/A</v>
      </c>
      <c r="K274" t="s">
        <v>1521</v>
      </c>
      <c r="L274">
        <v>18.93</v>
      </c>
      <c r="M274">
        <v>36.369999999999997</v>
      </c>
      <c r="Q274" t="s">
        <v>379</v>
      </c>
      <c r="R274" t="str">
        <f>HYPERLINK("https://d28ji4sm1vmprj.cloudfront.net/c0bb6023413a228c578dc3af03b27d44/5e758a0a44d86c3f80ffefe851e8932f.jpeg", "Ссылка на план")</f>
        <v>Ссылка на план</v>
      </c>
      <c r="S274" s="1">
        <v>43809.707673611112</v>
      </c>
      <c r="W274" s="1">
        <v>43847.568865740737</v>
      </c>
      <c r="X274" t="s">
        <v>1522</v>
      </c>
      <c r="EC274" t="str">
        <f>HYPERLINK("https://d33htgqikc2pj4.cloudfront.net/b66483e6-8c9f-44dd-9226-57249cfdcdd3.jpeg", "Кирилл Васенков: Ссылка на изображение")</f>
        <v>Кирилл Васенков: Ссылка на изображение</v>
      </c>
      <c r="ED274" t="str">
        <f>HYPERLINK("https://d33htgqikc2pj4.cloudfront.net/1f4e42ff-fbc3-4884-9e8b-fb97b449c13e.jpeg", "Кирилл Васенков: Ссылка на изображение")</f>
        <v>Кирилл Васенков: Ссылка на изображение</v>
      </c>
      <c r="EE274" t="s">
        <v>1523</v>
      </c>
      <c r="EF274" t="s">
        <v>1217</v>
      </c>
      <c r="EG274" t="s">
        <v>1524</v>
      </c>
      <c r="EH274" t="s">
        <v>1525</v>
      </c>
      <c r="EI274" t="s">
        <v>1526</v>
      </c>
      <c r="EJ274" t="s">
        <v>1527</v>
      </c>
      <c r="EK274" t="s">
        <v>1526</v>
      </c>
      <c r="EL274" t="s">
        <v>1527</v>
      </c>
      <c r="EM274" t="s">
        <v>1526</v>
      </c>
      <c r="EN274" t="s">
        <v>1528</v>
      </c>
      <c r="EO274" t="s">
        <v>1529</v>
      </c>
      <c r="EP274" t="s">
        <v>1530</v>
      </c>
      <c r="EQ274" t="s">
        <v>1531</v>
      </c>
      <c r="ER274" t="s">
        <v>1125</v>
      </c>
    </row>
    <row r="275" spans="1:177" ht="15" customHeight="1" x14ac:dyDescent="0.35">
      <c r="A275">
        <v>881</v>
      </c>
      <c r="B275" t="s">
        <v>1532</v>
      </c>
      <c r="C275">
        <v>2</v>
      </c>
      <c r="D275" t="str">
        <f>VLOOKUP(source[[#This Row],[Приоритет]],тПриоритеты[],2,0)</f>
        <v>Значительное</v>
      </c>
      <c r="E275" t="str">
        <f>IF(ISBLANK(source[[#This Row],[Проверенные]]),IF(ISBLANK(source[[#This Row],[Завершенные]]),source[[#This Row],[Приоритет_]],"Завершено"),"Проверено")</f>
        <v>Значительное</v>
      </c>
      <c r="F275" t="s">
        <v>866</v>
      </c>
      <c r="G275" t="s">
        <v>1520</v>
      </c>
      <c r="H275" t="e">
        <f>VLOOKUP(source[[#This Row],[Отвественный]],тОтветственные[],2,0)</f>
        <v>#N/A</v>
      </c>
      <c r="I275" s="2">
        <v>43840</v>
      </c>
      <c r="J275" s="2">
        <v>43875</v>
      </c>
      <c r="K275" t="s">
        <v>1533</v>
      </c>
      <c r="L275">
        <v>24.08</v>
      </c>
      <c r="M275">
        <v>76.37</v>
      </c>
      <c r="Q275" t="s">
        <v>379</v>
      </c>
      <c r="R275" t="str">
        <f>HYPERLINK("https://d28ji4sm1vmprj.cloudfront.net/aeb602e75824a096935d60807e76a6e3/3a91b28c859e4c61d0b7118929c788b0.jpeg", "Ссылка на план")</f>
        <v>Ссылка на план</v>
      </c>
      <c r="S275" s="1">
        <v>43840.496412037035</v>
      </c>
      <c r="W275" s="1">
        <v>43871.578460648147</v>
      </c>
      <c r="X275" t="s">
        <v>1522</v>
      </c>
      <c r="EC275" t="s">
        <v>1534</v>
      </c>
      <c r="ED275" t="str">
        <f>HYPERLINK("https://d33htgqikc2pj4.cloudfront.net/c2e08328-fe08-4797-b088-270c1c56966a.jpeg", "Кирилл Васенков: Ссылка на изображение")</f>
        <v>Кирилл Васенков: Ссылка на изображение</v>
      </c>
      <c r="EE275" t="s">
        <v>1004</v>
      </c>
      <c r="EF275" t="s">
        <v>1535</v>
      </c>
      <c r="EG275" t="s">
        <v>1536</v>
      </c>
      <c r="EH275" t="s">
        <v>930</v>
      </c>
      <c r="EI275" t="s">
        <v>1537</v>
      </c>
      <c r="EJ275" t="str">
        <f>HYPERLINK("https://d33htgqikc2pj4.cloudfront.net/03e50e5e-7ca6-4a31-b06a-c453725af2fd.jpeg", "Пожарные системы Renaissance: Ссылка на изображение")</f>
        <v>Пожарные системы Renaissance: Ссылка на изображение</v>
      </c>
      <c r="EK275" t="s">
        <v>1538</v>
      </c>
      <c r="EL275" t="s">
        <v>1528</v>
      </c>
      <c r="EM275" t="s">
        <v>1539</v>
      </c>
      <c r="EN275" t="s">
        <v>1015</v>
      </c>
      <c r="EO275" t="s">
        <v>1125</v>
      </c>
    </row>
    <row r="276" spans="1:177" ht="15" customHeight="1" x14ac:dyDescent="0.35">
      <c r="A276">
        <v>982</v>
      </c>
      <c r="B276" t="s">
        <v>1540</v>
      </c>
      <c r="C276">
        <v>2</v>
      </c>
      <c r="D276" t="str">
        <f>VLOOKUP(source[[#This Row],[Приоритет]],тПриоритеты[],2,0)</f>
        <v>Значительное</v>
      </c>
      <c r="E276" t="str">
        <f>IF(ISBLANK(source[[#This Row],[Проверенные]]),IF(ISBLANK(source[[#This Row],[Завершенные]]),source[[#This Row],[Приоритет_]],"Завершено"),"Проверено")</f>
        <v>Значительное</v>
      </c>
      <c r="F276" t="s">
        <v>866</v>
      </c>
      <c r="G276" t="s">
        <v>1520</v>
      </c>
      <c r="H276" t="e">
        <f>VLOOKUP(source[[#This Row],[Отвественный]],тОтветственные[],2,0)</f>
        <v>#N/A</v>
      </c>
      <c r="I276" s="2">
        <v>43851</v>
      </c>
      <c r="J276" s="2">
        <v>43860</v>
      </c>
      <c r="K276" t="s">
        <v>1541</v>
      </c>
      <c r="L276">
        <v>51.03</v>
      </c>
      <c r="M276">
        <v>48.78</v>
      </c>
      <c r="Q276" t="s">
        <v>397</v>
      </c>
      <c r="R276" t="str">
        <f>HYPERLINK("https://d28ji4sm1vmprj.cloudfront.net/0b3596faf6c465c58c689cba5ac3a573/af844eb07fcdde2ac635bf25ebef85e6.jpeg", "Ссылка на план")</f>
        <v>Ссылка на план</v>
      </c>
      <c r="S276" s="1">
        <v>43851.610335648147</v>
      </c>
      <c r="W276" s="1">
        <v>43858.362650462965</v>
      </c>
      <c r="X276" t="s">
        <v>400</v>
      </c>
      <c r="EC276" t="s">
        <v>1542</v>
      </c>
      <c r="ED276" t="s">
        <v>1543</v>
      </c>
      <c r="EE276" t="str">
        <f>HYPERLINK("https://d33htgqikc2pj4.cloudfront.net/fb07f0a9-9e16-442e-b743-78715c4f4708.jpeg", "Кирилл Васенков: Ссылка на изображение")</f>
        <v>Кирилл Васенков: Ссылка на изображение</v>
      </c>
      <c r="EF276" t="s">
        <v>1004</v>
      </c>
      <c r="EG276" t="s">
        <v>930</v>
      </c>
      <c r="EH276" t="s">
        <v>411</v>
      </c>
      <c r="EI276" t="s">
        <v>1510</v>
      </c>
      <c r="EJ276" t="s">
        <v>1544</v>
      </c>
      <c r="EK276" t="s">
        <v>1518</v>
      </c>
      <c r="EL276" t="s">
        <v>425</v>
      </c>
      <c r="EM276" t="s">
        <v>1537</v>
      </c>
    </row>
    <row r="277" spans="1:177" ht="15" customHeight="1" x14ac:dyDescent="0.35">
      <c r="A277">
        <v>137</v>
      </c>
      <c r="B277" t="s">
        <v>1545</v>
      </c>
      <c r="C277">
        <v>2</v>
      </c>
      <c r="D277" t="str">
        <f>VLOOKUP(source[[#This Row],[Приоритет]],тПриоритеты[],2,0)</f>
        <v>Значительное</v>
      </c>
      <c r="E277" t="str">
        <f>IF(ISBLANK(source[[#This Row],[Проверенные]]),IF(ISBLANK(source[[#This Row],[Завершенные]]),source[[#This Row],[Приоритет_]],"Завершено"),"Проверено")</f>
        <v>Проверено</v>
      </c>
      <c r="F277" t="s">
        <v>866</v>
      </c>
      <c r="G277" t="s">
        <v>1520</v>
      </c>
      <c r="H277" t="e">
        <f>VLOOKUP(source[[#This Row],[Отвественный]],тОтветственные[],2,0)</f>
        <v>#N/A</v>
      </c>
      <c r="I277" s="2">
        <v>43774</v>
      </c>
      <c r="J277" s="2">
        <v>43784</v>
      </c>
      <c r="K277" t="s">
        <v>1546</v>
      </c>
      <c r="L277">
        <v>0</v>
      </c>
      <c r="M277">
        <v>0</v>
      </c>
      <c r="N277" t="s">
        <v>1547</v>
      </c>
      <c r="Q277" t="s">
        <v>1548</v>
      </c>
      <c r="R277" t="str">
        <f>HYPERLINK("https://d28ji4sm1vmprj.cloudfront.net/e43ebb7edf47ad1224c14b593237d0a8/536e880bc7aa3761d2826808687ea515.jpeg", "Ссылка на план")</f>
        <v>Ссылка на план</v>
      </c>
      <c r="S277" s="1">
        <v>43774.607708333337</v>
      </c>
      <c r="T277" s="1">
        <v>43789.655104166668</v>
      </c>
      <c r="U277" s="1">
        <v>43801.395729166667</v>
      </c>
      <c r="W277" s="1">
        <v>43801.395729166667</v>
      </c>
      <c r="X277" t="s">
        <v>1549</v>
      </c>
      <c r="AA277" t="s">
        <v>1550</v>
      </c>
      <c r="AB277" t="s">
        <v>1551</v>
      </c>
      <c r="AC277" t="s">
        <v>1552</v>
      </c>
      <c r="AD277" t="s">
        <v>1553</v>
      </c>
      <c r="AE277" t="s">
        <v>1554</v>
      </c>
      <c r="AF277" t="s">
        <v>1555</v>
      </c>
      <c r="AG277" t="s">
        <v>1556</v>
      </c>
      <c r="EC277" t="str">
        <f>HYPERLINK("https://d33htgqikc2pj4.cloudfront.net/df7890d7-a9ed-46b8-9702-3a92f6a72e4b.jpeg", "Кирилл Васенков: Ссылка на изображение")</f>
        <v>Кирилл Васенков: Ссылка на изображение</v>
      </c>
      <c r="ED277" t="s">
        <v>1557</v>
      </c>
      <c r="EE277" t="str">
        <f>HYPERLINK("https://d33htgqikc2pj4.cloudfront.net/239916a8-89aa-4cbd-b461-544a3f8ce20e.jpeg", "Кирилл Васенков: Ссылка на изображение")</f>
        <v>Кирилл Васенков: Ссылка на изображение</v>
      </c>
      <c r="EF277" t="s">
        <v>1558</v>
      </c>
      <c r="EG277" t="str">
        <f>HYPERLINK("https://d33htgqikc2pj4.cloudfront.net/ef46aecf-455e-4c46-af32-7ea9e2ae8c49.jpeg", "Кирилл Васенков: Ссылка на изображение")</f>
        <v>Кирилл Васенков: Ссылка на изображение</v>
      </c>
      <c r="EH277" t="s">
        <v>1559</v>
      </c>
      <c r="EI277" t="s">
        <v>1560</v>
      </c>
      <c r="EJ277" t="s">
        <v>1561</v>
      </c>
      <c r="EK277" t="s">
        <v>1179</v>
      </c>
      <c r="EL277" t="s">
        <v>1351</v>
      </c>
      <c r="EM277" t="s">
        <v>1170</v>
      </c>
      <c r="EN277" t="s">
        <v>1179</v>
      </c>
      <c r="EO277" t="s">
        <v>1351</v>
      </c>
      <c r="EP277" t="s">
        <v>929</v>
      </c>
      <c r="EQ277" t="s">
        <v>930</v>
      </c>
      <c r="ER277" t="s">
        <v>1179</v>
      </c>
      <c r="ES277" t="s">
        <v>932</v>
      </c>
      <c r="ET277" t="s">
        <v>1537</v>
      </c>
      <c r="EU277" t="s">
        <v>1562</v>
      </c>
      <c r="EV277" t="s">
        <v>1563</v>
      </c>
      <c r="EW277" t="s">
        <v>1564</v>
      </c>
      <c r="EX277" t="s">
        <v>1565</v>
      </c>
      <c r="EY277" t="s">
        <v>1566</v>
      </c>
      <c r="EZ277" t="s">
        <v>1567</v>
      </c>
      <c r="FA277" t="s">
        <v>1568</v>
      </c>
      <c r="FB277" t="s">
        <v>1569</v>
      </c>
      <c r="FC277" t="str">
        <f>HYPERLINK("https://d33htgqikc2pj4.cloudfront.net/qvHDimMUqxZcQnsj/ba2f985d-9793-4775-b3b0-e5fa7ee389a8.jpeg", "Пожарные системы Renaissance: Ссылка на изображение")</f>
        <v>Пожарные системы Renaissance: Ссылка на изображение</v>
      </c>
      <c r="FD277" t="s">
        <v>1570</v>
      </c>
      <c r="FE277" t="str">
        <f>HYPERLINK("https://d33htgqikc2pj4.cloudfront.net/qvHDimMUqxZcQnsj/95b8e8ea-cf81-48bf-9c53-dbb76a569731.jpeg", "Пожарные системы Renaissance: Ссылка на изображение")</f>
        <v>Пожарные системы Renaissance: Ссылка на изображение</v>
      </c>
      <c r="FF277" t="s">
        <v>1571</v>
      </c>
      <c r="FG277" t="s">
        <v>1525</v>
      </c>
      <c r="FH277" t="s">
        <v>1527</v>
      </c>
      <c r="FI277" t="s">
        <v>1526</v>
      </c>
      <c r="FJ277" t="s">
        <v>1527</v>
      </c>
      <c r="FK277" t="s">
        <v>1528</v>
      </c>
      <c r="FL277" t="s">
        <v>1527</v>
      </c>
      <c r="FM277" t="s">
        <v>1572</v>
      </c>
      <c r="FN277" t="s">
        <v>1528</v>
      </c>
      <c r="FO277" t="s">
        <v>1573</v>
      </c>
      <c r="FP277" t="s">
        <v>1573</v>
      </c>
      <c r="FQ277" t="s">
        <v>1574</v>
      </c>
      <c r="FR277" t="s">
        <v>1574</v>
      </c>
      <c r="FS277" t="str">
        <f>HYPERLINK("https://d33htgqikc2pj4.cloudfront.net/qvHDimMUqxZcQnsj/08af2e1e-068e-42e5-b8ec-64cdfe1a8eb5.jpeg", "Пожарные системы Renaissance: Ссылка на изображение")</f>
        <v>Пожарные системы Renaissance: Ссылка на изображение</v>
      </c>
      <c r="FT277" t="str">
        <f>HYPERLINK("https://d33htgqikc2pj4.cloudfront.net/qvHDimMUqxZcQnsj/a5619b88-541f-41f0-91be-0dc7992a0f29.jpeg", "Пожарные системы Renaissance: Ссылка на изображение")</f>
        <v>Пожарные системы Renaissance: Ссылка на изображение</v>
      </c>
      <c r="FU277" t="s">
        <v>394</v>
      </c>
    </row>
    <row r="278" spans="1:177" ht="15" customHeight="1" x14ac:dyDescent="0.35">
      <c r="A278">
        <v>1042</v>
      </c>
      <c r="B278" t="s">
        <v>1575</v>
      </c>
      <c r="C278">
        <v>2</v>
      </c>
      <c r="D278" t="str">
        <f>VLOOKUP(source[[#This Row],[Приоритет]],тПриоритеты[],2,0)</f>
        <v>Значительное</v>
      </c>
      <c r="E278" t="str">
        <f>IF(ISBLANK(source[[#This Row],[Проверенные]]),IF(ISBLANK(source[[#This Row],[Завершенные]]),source[[#This Row],[Приоритет_]],"Завершено"),"Проверено")</f>
        <v>Проверено</v>
      </c>
      <c r="F278" t="s">
        <v>866</v>
      </c>
      <c r="G278" t="s">
        <v>1520</v>
      </c>
      <c r="H278" t="e">
        <f>VLOOKUP(source[[#This Row],[Отвественный]],тОтветственные[],2,0)</f>
        <v>#N/A</v>
      </c>
      <c r="I278" s="2">
        <v>43854</v>
      </c>
      <c r="J278" s="2">
        <v>43860</v>
      </c>
      <c r="K278" t="s">
        <v>1576</v>
      </c>
      <c r="L278">
        <v>16.75</v>
      </c>
      <c r="M278">
        <v>41.31</v>
      </c>
      <c r="Q278" t="s">
        <v>397</v>
      </c>
      <c r="R278" t="str">
        <f>HYPERLINK("https://d28ji4sm1vmprj.cloudfront.net/1a2a3e7305d00ff72486090d335902fd/39e806cd0a8b57d41b4319dacc0d94ed.jpeg", "Ссылка на план")</f>
        <v>Ссылка на план</v>
      </c>
      <c r="S278" s="1">
        <v>43854.60261574074</v>
      </c>
      <c r="T278" s="1">
        <v>43867.502256944441</v>
      </c>
      <c r="U278" s="1">
        <v>43867.502256944441</v>
      </c>
      <c r="W278" s="1">
        <v>43867.502268518518</v>
      </c>
      <c r="X278" t="s">
        <v>398</v>
      </c>
      <c r="Y278" t="s">
        <v>399</v>
      </c>
      <c r="AA278" t="s">
        <v>1577</v>
      </c>
      <c r="AB278" t="s">
        <v>1578</v>
      </c>
      <c r="EC278" t="s">
        <v>1579</v>
      </c>
      <c r="ED278" t="str">
        <f>HYPERLINK("https://d33htgqikc2pj4.cloudfront.net/f3dd4c53-59b7-460b-9be1-4e44b03cc6ef.jpeg", "Кирилл Васенков: Ссылка на изображение")</f>
        <v>Кирилл Васенков: Ссылка на изображение</v>
      </c>
      <c r="EE278" t="s">
        <v>1580</v>
      </c>
      <c r="EF278" t="s">
        <v>1004</v>
      </c>
      <c r="EG278" t="s">
        <v>930</v>
      </c>
      <c r="EH278" t="s">
        <v>1581</v>
      </c>
      <c r="EI278" t="s">
        <v>1518</v>
      </c>
      <c r="EJ278" t="s">
        <v>425</v>
      </c>
      <c r="EK278" t="s">
        <v>1537</v>
      </c>
      <c r="EL278" t="s">
        <v>1582</v>
      </c>
      <c r="EM278" t="s">
        <v>1583</v>
      </c>
      <c r="EN278" t="s">
        <v>1583</v>
      </c>
      <c r="EO278" t="s">
        <v>1583</v>
      </c>
      <c r="EP278" t="s">
        <v>1583</v>
      </c>
      <c r="EQ278" t="s">
        <v>1583</v>
      </c>
      <c r="ER278" t="str">
        <f>HYPERLINK("https://d33htgqikc2pj4.cloudfront.net/b644b5d1-1740-4915-9ff3-8d93615f2e8a.jpeg", "Пожарные системы Renaissance: Ссылка на изображение")</f>
        <v>Пожарные системы Renaissance: Ссылка на изображение</v>
      </c>
      <c r="ES278" t="s">
        <v>1583</v>
      </c>
      <c r="ET278" t="s">
        <v>1583</v>
      </c>
      <c r="EU278" t="s">
        <v>1583</v>
      </c>
      <c r="EV278" t="s">
        <v>1583</v>
      </c>
      <c r="EW278" t="s">
        <v>1583</v>
      </c>
      <c r="EX278" t="s">
        <v>1583</v>
      </c>
      <c r="EY278" t="str">
        <f>HYPERLINK("https://d33htgqikc2pj4.cloudfront.net/2f74eff0-fdd5-4e8a-80d2-7425a981324f.jpeg", "Пожарные системы Renaissance: Ссылка на изображение")</f>
        <v>Пожарные системы Renaissance: Ссылка на изображение</v>
      </c>
      <c r="EZ278" t="str">
        <f>HYPERLINK("https://d33htgqikc2pj4.cloudfront.net/2bb57301-b511-41b7-9d25-a78a1490194c.jpeg", "Пожарные системы Renaissance: Ссылка на изображение")</f>
        <v>Пожарные системы Renaissance: Ссылка на изображение</v>
      </c>
      <c r="FA278" t="str">
        <f>HYPERLINK("https://d33htgqikc2pj4.cloudfront.net/5e4e6119-0fdb-45ed-ba23-61e15b5c7eaf.jpeg", "Пожарные системы Renaissance: Ссылка на изображение")</f>
        <v>Пожарные системы Renaissance: Ссылка на изображение</v>
      </c>
      <c r="FB278" t="str">
        <f>HYPERLINK("https://d33htgqikc2pj4.cloudfront.net/0b48f8d8-8ec3-4bbe-9e7b-ab656a7dd1fc.jpeg", "Пожарные системы Renaissance: Ссылка на изображение")</f>
        <v>Пожарные системы Renaissance: Ссылка на изображение</v>
      </c>
      <c r="FC278" t="s">
        <v>1584</v>
      </c>
      <c r="FD278" t="s">
        <v>1585</v>
      </c>
      <c r="FE278" t="s">
        <v>1528</v>
      </c>
      <c r="FF278" t="s">
        <v>1586</v>
      </c>
      <c r="FG278" t="s">
        <v>995</v>
      </c>
      <c r="FH278" t="str">
        <f>HYPERLINK("https://d33htgqikc2pj4.cloudfront.net/qvHDimMUqxZcQnsj/tofOcmmwQHy1bxcRV0sB_Image.pdf", "Кирилл Васенков: Ссылка на файл")</f>
        <v>Кирилл Васенков: Ссылка на файл</v>
      </c>
      <c r="FI278" t="s">
        <v>1587</v>
      </c>
      <c r="FJ278" t="s">
        <v>394</v>
      </c>
    </row>
    <row r="279" spans="1:177" ht="15" customHeight="1" x14ac:dyDescent="0.35">
      <c r="A279">
        <v>528</v>
      </c>
      <c r="B279" t="s">
        <v>1588</v>
      </c>
      <c r="C279">
        <v>2</v>
      </c>
      <c r="D279" t="str">
        <f>VLOOKUP(source[[#This Row],[Приоритет]],тПриоритеты[],2,0)</f>
        <v>Значительное</v>
      </c>
      <c r="E279" t="str">
        <f>IF(ISBLANK(source[[#This Row],[Проверенные]]),IF(ISBLANK(source[[#This Row],[Завершенные]]),source[[#This Row],[Приоритет_]],"Завершено"),"Проверено")</f>
        <v>Проверено</v>
      </c>
      <c r="F279" t="s">
        <v>866</v>
      </c>
      <c r="G279" t="s">
        <v>1520</v>
      </c>
      <c r="H279" t="e">
        <f>VLOOKUP(source[[#This Row],[Отвественный]],тОтветственные[],2,0)</f>
        <v>#N/A</v>
      </c>
      <c r="I279" s="2">
        <v>43803</v>
      </c>
      <c r="J279" s="2">
        <v>43810</v>
      </c>
      <c r="K279" t="s">
        <v>1589</v>
      </c>
      <c r="L279">
        <v>25.43</v>
      </c>
      <c r="M279">
        <v>50.6</v>
      </c>
      <c r="Q279" t="s">
        <v>1590</v>
      </c>
      <c r="R279" t="str">
        <f>HYPERLINK("https://d28ji4sm1vmprj.cloudfront.net/d161a730724d9a723876b71d8cb17387/5bb2b88144b54685e5ef71a9d186ab03.jpeg", "Ссылка на план")</f>
        <v>Ссылка на план</v>
      </c>
      <c r="S279" s="1">
        <v>43803.443773148145</v>
      </c>
      <c r="T279" s="1">
        <v>43812.685416666667</v>
      </c>
      <c r="U279" s="1">
        <v>43812.685416666667</v>
      </c>
      <c r="W279" s="1">
        <v>43812.685428240744</v>
      </c>
      <c r="X279" t="s">
        <v>400</v>
      </c>
      <c r="EC279" t="s">
        <v>1591</v>
      </c>
      <c r="ED279" t="str">
        <f>HYPERLINK("https://d33htgqikc2pj4.cloudfront.net/1d46ee19-b936-43eb-920d-ff5ae3a81848.jpeg", "Кирилл Васенков: Ссылка на изображение")</f>
        <v>Кирилл Васенков: Ссылка на изображение</v>
      </c>
      <c r="EE279" t="str">
        <f>HYPERLINK("https://d33htgqikc2pj4.cloudfront.net/5197428b-ad47-4963-a4dc-e50cad06ec84.jpeg", "Кирилл Васенков: Ссылка на изображение")</f>
        <v>Кирилл Васенков: Ссылка на изображение</v>
      </c>
      <c r="EF279" t="str">
        <f>HYPERLINK("https://d33htgqikc2pj4.cloudfront.net/dba35437-25db-496b-9911-3b14e25fa711.jpeg", "Кирилл Васенков: Ссылка на изображение")</f>
        <v>Кирилл Васенков: Ссылка на изображение</v>
      </c>
      <c r="EG279" t="str">
        <f>HYPERLINK("https://d33htgqikc2pj4.cloudfront.net/68542828-195a-4572-83eb-99ccff37ef91.jpeg", "Кирилл Васенков: Ссылка на изображение")</f>
        <v>Кирилл Васенков: Ссылка на изображение</v>
      </c>
      <c r="EH279" t="str">
        <f>HYPERLINK("https://d33htgqikc2pj4.cloudfront.net/e05da14c-4abb-4f00-be1c-4da19c56af6f.jpeg", "Кирилл Васенков: Ссылка на изображение")</f>
        <v>Кирилл Васенков: Ссылка на изображение</v>
      </c>
      <c r="EI279" t="s">
        <v>1592</v>
      </c>
      <c r="EJ279" t="s">
        <v>1004</v>
      </c>
      <c r="EK279" t="s">
        <v>1593</v>
      </c>
      <c r="EL279" t="s">
        <v>1594</v>
      </c>
      <c r="EM279" t="s">
        <v>1595</v>
      </c>
      <c r="EN279" t="s">
        <v>1596</v>
      </c>
      <c r="EO279" t="s">
        <v>1597</v>
      </c>
      <c r="EP279" t="s">
        <v>394</v>
      </c>
    </row>
    <row r="280" spans="1:177" ht="15" customHeight="1" x14ac:dyDescent="0.35">
      <c r="A280">
        <v>138</v>
      </c>
      <c r="B280" t="s">
        <v>1550</v>
      </c>
      <c r="C280">
        <v>2</v>
      </c>
      <c r="D280" t="str">
        <f>VLOOKUP(source[[#This Row],[Приоритет]],тПриоритеты[],2,0)</f>
        <v>Значительное</v>
      </c>
      <c r="E280" t="str">
        <f>IF(ISBLANK(source[[#This Row],[Проверенные]]),IF(ISBLANK(source[[#This Row],[Завершенные]]),source[[#This Row],[Приоритет_]],"Завершено"),"Проверено")</f>
        <v>Проверено</v>
      </c>
      <c r="F280" t="s">
        <v>866</v>
      </c>
      <c r="G280" t="s">
        <v>1520</v>
      </c>
      <c r="H280" t="e">
        <f>VLOOKUP(source[[#This Row],[Отвественный]],тОтветственные[],2,0)</f>
        <v>#N/A</v>
      </c>
      <c r="I280" s="2">
        <v>43774</v>
      </c>
      <c r="J280" s="2">
        <v>43789</v>
      </c>
      <c r="K280" t="s">
        <v>1546</v>
      </c>
      <c r="L280">
        <v>45.29</v>
      </c>
      <c r="M280">
        <v>57.08</v>
      </c>
      <c r="N280" t="s">
        <v>1547</v>
      </c>
      <c r="Q280" t="s">
        <v>1548</v>
      </c>
      <c r="R280" t="str">
        <f>HYPERLINK("https://d28ji4sm1vmprj.cloudfront.net/e43ebb7edf47ad1224c14b593237d0a8/536e880bc7aa3761d2826808687ea515.jpeg", "Ссылка на план")</f>
        <v>Ссылка на план</v>
      </c>
      <c r="S280" s="1">
        <v>43774.61042824074</v>
      </c>
      <c r="T280" s="1">
        <v>43787.741157407407</v>
      </c>
      <c r="U280" s="1">
        <v>43801.39508101852</v>
      </c>
      <c r="W280" s="1">
        <v>43801.39508101852</v>
      </c>
      <c r="X280" t="s">
        <v>1549</v>
      </c>
      <c r="AA280" t="s">
        <v>1545</v>
      </c>
      <c r="EC280" t="s">
        <v>1170</v>
      </c>
      <c r="ED280" t="s">
        <v>1561</v>
      </c>
      <c r="EE280" t="s">
        <v>1179</v>
      </c>
      <c r="EF280" t="s">
        <v>1351</v>
      </c>
      <c r="EG280" t="s">
        <v>1598</v>
      </c>
      <c r="EH280" t="s">
        <v>1599</v>
      </c>
      <c r="EI280" t="s">
        <v>929</v>
      </c>
      <c r="EJ280" t="s">
        <v>930</v>
      </c>
      <c r="EK280" t="s">
        <v>1179</v>
      </c>
      <c r="EL280" t="s">
        <v>932</v>
      </c>
      <c r="EM280" t="s">
        <v>1537</v>
      </c>
      <c r="EN280" t="s">
        <v>1600</v>
      </c>
      <c r="EO280" t="str">
        <f>HYPERLINK("https://d33htgqikc2pj4.cloudfront.net/qvHDimMUqxZcQnsj75bec0ee-42f1-4e31-9c1b-5a425940f19b", "Пожарные системы Renaissance: Ссылка на файл")</f>
        <v>Пожарные системы Renaissance: Ссылка на файл</v>
      </c>
      <c r="EP280" t="str">
        <f>HYPERLINK("https://d33htgqikc2pj4.cloudfront.net/qvHDimMUqxZcQnsj10d5453a-0048-4d75-b90d-dc31f0ee77a0", "Пожарные системы Renaissance: Ссылка на файл")</f>
        <v>Пожарные системы Renaissance: Ссылка на файл</v>
      </c>
      <c r="EQ280" t="s">
        <v>1528</v>
      </c>
      <c r="ER280" t="s">
        <v>1601</v>
      </c>
      <c r="ES280" t="s">
        <v>394</v>
      </c>
    </row>
    <row r="281" spans="1:177" ht="15" customHeight="1" x14ac:dyDescent="0.35">
      <c r="A281">
        <v>145</v>
      </c>
      <c r="B281" t="s">
        <v>1555</v>
      </c>
      <c r="C281">
        <v>2</v>
      </c>
      <c r="D281" t="str">
        <f>VLOOKUP(source[[#This Row],[Приоритет]],тПриоритеты[],2,0)</f>
        <v>Значительное</v>
      </c>
      <c r="E281" t="str">
        <f>IF(ISBLANK(source[[#This Row],[Проверенные]]),IF(ISBLANK(source[[#This Row],[Завершенные]]),source[[#This Row],[Приоритет_]],"Завершено"),"Проверено")</f>
        <v>Проверено</v>
      </c>
      <c r="F281" t="s">
        <v>866</v>
      </c>
      <c r="G281" t="s">
        <v>1520</v>
      </c>
      <c r="H281" t="e">
        <f>VLOOKUP(source[[#This Row],[Отвественный]],тОтветственные[],2,0)</f>
        <v>#N/A</v>
      </c>
      <c r="I281" s="2">
        <v>43774</v>
      </c>
      <c r="J281" s="2">
        <v>43784</v>
      </c>
      <c r="K281" t="s">
        <v>1546</v>
      </c>
      <c r="L281">
        <v>33.31</v>
      </c>
      <c r="M281">
        <v>21.49</v>
      </c>
      <c r="N281" t="s">
        <v>1547</v>
      </c>
      <c r="Q281" t="s">
        <v>1548</v>
      </c>
      <c r="R281" t="str">
        <f>HYPERLINK("https://d28ji4sm1vmprj.cloudfront.net/e43ebb7edf47ad1224c14b593237d0a8/536e880bc7aa3761d2826808687ea515.jpeg", "Ссылка на план")</f>
        <v>Ссылка на план</v>
      </c>
      <c r="S281" s="1">
        <v>43774.638460648152</v>
      </c>
      <c r="T281" s="1">
        <v>43784.464004629626</v>
      </c>
      <c r="U281" s="1">
        <v>43787.628495370373</v>
      </c>
      <c r="W281" s="1">
        <v>43787.628495370373</v>
      </c>
      <c r="AA281" t="s">
        <v>1545</v>
      </c>
      <c r="EC281" t="str">
        <f>HYPERLINK("https://d33htgqikc2pj4.cloudfront.net/dd173ff2-20e1-429d-b90e-b47f879cabab.jpeg", "Кирилл Васенков: Ссылка на изображение")</f>
        <v>Кирилл Васенков: Ссылка на изображение</v>
      </c>
      <c r="ED281" t="s">
        <v>1602</v>
      </c>
      <c r="EE281" t="s">
        <v>1170</v>
      </c>
      <c r="EF281" t="s">
        <v>1603</v>
      </c>
      <c r="EG281" t="s">
        <v>1561</v>
      </c>
      <c r="EH281" t="s">
        <v>1179</v>
      </c>
      <c r="EI281" t="s">
        <v>1351</v>
      </c>
      <c r="EJ281" t="s">
        <v>929</v>
      </c>
      <c r="EK281" t="s">
        <v>930</v>
      </c>
      <c r="EL281" t="s">
        <v>1179</v>
      </c>
      <c r="EM281" t="s">
        <v>932</v>
      </c>
      <c r="EN281" t="s">
        <v>1537</v>
      </c>
      <c r="EO281" t="str">
        <f>HYPERLINK("https://d33htgqikc2pj4.cloudfront.net/qvHDimMUqxZcQnsj/e6a7ad2d-9971-4d38-be5c-c0f4e99e1d9b.jpeg", "Пожарные системы Renaissance: Ссылка на изображение")</f>
        <v>Пожарные системы Renaissance: Ссылка на изображение</v>
      </c>
      <c r="EP281" t="s">
        <v>1604</v>
      </c>
      <c r="EQ281" t="s">
        <v>1528</v>
      </c>
      <c r="ER281" t="s">
        <v>394</v>
      </c>
    </row>
    <row r="282" spans="1:177" ht="15" customHeight="1" x14ac:dyDescent="0.35">
      <c r="A282">
        <v>146</v>
      </c>
      <c r="B282" t="s">
        <v>1556</v>
      </c>
      <c r="C282">
        <v>2</v>
      </c>
      <c r="D282" t="str">
        <f>VLOOKUP(source[[#This Row],[Приоритет]],тПриоритеты[],2,0)</f>
        <v>Значительное</v>
      </c>
      <c r="E282" t="str">
        <f>IF(ISBLANK(source[[#This Row],[Проверенные]]),IF(ISBLANK(source[[#This Row],[Завершенные]]),source[[#This Row],[Приоритет_]],"Завершено"),"Проверено")</f>
        <v>Проверено</v>
      </c>
      <c r="F282" t="s">
        <v>866</v>
      </c>
      <c r="G282" t="s">
        <v>1520</v>
      </c>
      <c r="H282" t="e">
        <f>VLOOKUP(source[[#This Row],[Отвественный]],тОтветственные[],2,0)</f>
        <v>#N/A</v>
      </c>
      <c r="I282" s="2">
        <v>43774</v>
      </c>
      <c r="J282" s="2">
        <v>43784</v>
      </c>
      <c r="K282" t="s">
        <v>1546</v>
      </c>
      <c r="L282">
        <v>34.57</v>
      </c>
      <c r="M282">
        <v>59.58</v>
      </c>
      <c r="N282" t="s">
        <v>1547</v>
      </c>
      <c r="Q282" t="s">
        <v>1548</v>
      </c>
      <c r="R282" t="str">
        <f>HYPERLINK("https://d28ji4sm1vmprj.cloudfront.net/e43ebb7edf47ad1224c14b593237d0a8/536e880bc7aa3761d2826808687ea515.jpeg", "Ссылка на план")</f>
        <v>Ссылка на план</v>
      </c>
      <c r="S282" s="1">
        <v>43774.638564814813</v>
      </c>
      <c r="T282" s="1">
        <v>43784.462997685187</v>
      </c>
      <c r="U282" s="1">
        <v>43801.394872685189</v>
      </c>
      <c r="W282" s="1">
        <v>43801.394872685189</v>
      </c>
      <c r="X282" t="s">
        <v>1549</v>
      </c>
      <c r="AA282" t="s">
        <v>1545</v>
      </c>
      <c r="EC282" t="str">
        <f>HYPERLINK("https://d33htgqikc2pj4.cloudfront.net/9c2e32ea-5b1b-4a56-a9d0-abe2e3588c91.jpeg", "Кирилл Васенков: Ссылка на изображение")</f>
        <v>Кирилл Васенков: Ссылка на изображение</v>
      </c>
      <c r="ED282" t="str">
        <f>HYPERLINK("https://d33htgqikc2pj4.cloudfront.net/5c1b9345-147e-4d57-8426-2809e972e3b1.jpeg", "Кирилл Васенков: Ссылка на изображение")</f>
        <v>Кирилл Васенков: Ссылка на изображение</v>
      </c>
      <c r="EE282" t="s">
        <v>1605</v>
      </c>
      <c r="EF282" t="s">
        <v>1170</v>
      </c>
      <c r="EG282" t="s">
        <v>1561</v>
      </c>
      <c r="EH282" t="s">
        <v>1179</v>
      </c>
      <c r="EI282" t="s">
        <v>1351</v>
      </c>
      <c r="EJ282" t="s">
        <v>929</v>
      </c>
      <c r="EK282" t="s">
        <v>930</v>
      </c>
      <c r="EL282" t="s">
        <v>1179</v>
      </c>
      <c r="EM282" t="s">
        <v>932</v>
      </c>
      <c r="EN282" t="s">
        <v>1537</v>
      </c>
      <c r="EO282" t="str">
        <f>HYPERLINK("https://d33htgqikc2pj4.cloudfront.net/qvHDimMUqxZcQnsj/a20a8f9c-b4b3-429a-af75-dedc6690ed1e.jpeg", "Пожарные системы Renaissance: Ссылка на изображение")</f>
        <v>Пожарные системы Renaissance: Ссылка на изображение</v>
      </c>
      <c r="EP282" t="s">
        <v>1606</v>
      </c>
      <c r="EQ282" t="s">
        <v>1528</v>
      </c>
      <c r="ER282" t="str">
        <f>HYPERLINK("https://d33htgqikc2pj4.cloudfront.net/893a6a52f1176bc0db1f2cc85fcd1766/69d52086f10ce6da39d09f0855f3b2d7-file.jpeg", "Пожарные системы Renaissance: Ссылка на изображение")</f>
        <v>Пожарные системы Renaissance: Ссылка на изображение</v>
      </c>
      <c r="ES282" t="s">
        <v>1607</v>
      </c>
      <c r="ET282" t="s">
        <v>394</v>
      </c>
    </row>
    <row r="283" spans="1:177" ht="15" customHeight="1" x14ac:dyDescent="0.35">
      <c r="A283">
        <v>580</v>
      </c>
      <c r="B283" t="s">
        <v>1608</v>
      </c>
      <c r="C283">
        <v>2</v>
      </c>
      <c r="D283" t="str">
        <f>VLOOKUP(source[[#This Row],[Приоритет]],тПриоритеты[],2,0)</f>
        <v>Значительное</v>
      </c>
      <c r="E283" t="str">
        <f>IF(ISBLANK(source[[#This Row],[Проверенные]]),IF(ISBLANK(source[[#This Row],[Завершенные]]),source[[#This Row],[Приоритет_]],"Завершено"),"Проверено")</f>
        <v>Проверено</v>
      </c>
      <c r="F283" t="s">
        <v>866</v>
      </c>
      <c r="G283" t="s">
        <v>1520</v>
      </c>
      <c r="H283" t="e">
        <f>VLOOKUP(source[[#This Row],[Отвественный]],тОтветственные[],2,0)</f>
        <v>#N/A</v>
      </c>
      <c r="I283" s="2">
        <v>43809</v>
      </c>
      <c r="J283" s="2">
        <v>43829</v>
      </c>
      <c r="K283" t="s">
        <v>1609</v>
      </c>
      <c r="L283">
        <v>27.56</v>
      </c>
      <c r="M283">
        <v>36.17</v>
      </c>
      <c r="Q283" t="s">
        <v>1590</v>
      </c>
      <c r="R283" t="str">
        <f>HYPERLINK("https://d28ji4sm1vmprj.cloudfront.net/dd12d8fc7ec75bd4b66017cab86c6b54/097f380b4954769d61f9c5ec439ec1aa.jpeg", "Ссылка на план")</f>
        <v>Ссылка на план</v>
      </c>
      <c r="S283" s="1">
        <v>43809.610856481479</v>
      </c>
      <c r="T283" s="1">
        <v>43818.62840277778</v>
      </c>
      <c r="U283" s="1">
        <v>43818.860138888886</v>
      </c>
      <c r="W283" s="1">
        <v>43818.860150462962</v>
      </c>
      <c r="X283" t="s">
        <v>400</v>
      </c>
      <c r="EC283" t="s">
        <v>1610</v>
      </c>
      <c r="ED283" t="s">
        <v>1004</v>
      </c>
      <c r="EE283" t="s">
        <v>1595</v>
      </c>
      <c r="EF283" t="s">
        <v>1611</v>
      </c>
      <c r="EG283" t="s">
        <v>1612</v>
      </c>
      <c r="EH283" t="s">
        <v>915</v>
      </c>
      <c r="EI283" t="str">
        <f>HYPERLINK("https://d33htgqikc2pj4.cloudfront.net/qvHDimMUqxZcQnsj/5415e977-0b94-4a5e-9f4d-8c6ab2acb0a0.jpeg", "Пожарные системы Renaissance: Ссылка на изображение")</f>
        <v>Пожарные системы Renaissance: Ссылка на изображение</v>
      </c>
      <c r="EJ283" t="s">
        <v>1613</v>
      </c>
      <c r="EK283" t="s">
        <v>1528</v>
      </c>
      <c r="EL283" t="s">
        <v>394</v>
      </c>
    </row>
    <row r="284" spans="1:177" ht="15" customHeight="1" x14ac:dyDescent="0.35">
      <c r="A284">
        <v>581</v>
      </c>
      <c r="B284" t="s">
        <v>381</v>
      </c>
      <c r="C284">
        <v>2</v>
      </c>
      <c r="D284" t="str">
        <f>VLOOKUP(source[[#This Row],[Приоритет]],тПриоритеты[],2,0)</f>
        <v>Значительное</v>
      </c>
      <c r="E284" t="str">
        <f>IF(ISBLANK(source[[#This Row],[Проверенные]]),IF(ISBLANK(source[[#This Row],[Завершенные]]),source[[#This Row],[Приоритет_]],"Завершено"),"Проверено")</f>
        <v>Проверено</v>
      </c>
      <c r="F284" t="s">
        <v>866</v>
      </c>
      <c r="G284" t="s">
        <v>1520</v>
      </c>
      <c r="H284" t="e">
        <f>VLOOKUP(source[[#This Row],[Отвественный]],тОтветственные[],2,0)</f>
        <v>#N/A</v>
      </c>
      <c r="I284" s="2">
        <v>43809</v>
      </c>
      <c r="J284" s="2">
        <v>43815</v>
      </c>
      <c r="K284" t="s">
        <v>1614</v>
      </c>
      <c r="L284">
        <v>34.909999999999997</v>
      </c>
      <c r="M284">
        <v>38.450000000000003</v>
      </c>
      <c r="Q284" t="s">
        <v>379</v>
      </c>
      <c r="R284" t="str">
        <f>HYPERLINK("https://d28ji4sm1vmprj.cloudfront.net/5101dac8dae68a71dfe55cbdfd6e2c4c/becc87e8638dc9fd41fce55a2707c8a7.jpeg", "Ссылка на план")</f>
        <v>Ссылка на план</v>
      </c>
      <c r="S284" s="1">
        <v>43809.617569444446</v>
      </c>
      <c r="T284" s="1">
        <v>43810.632349537038</v>
      </c>
      <c r="U284" s="1">
        <v>43810.632349537038</v>
      </c>
      <c r="W284" s="1">
        <v>43810.632511574076</v>
      </c>
      <c r="X284" t="s">
        <v>1522</v>
      </c>
      <c r="EC284" t="s">
        <v>1615</v>
      </c>
      <c r="ED284" t="str">
        <f>HYPERLINK("https://d33htgqikc2pj4.cloudfront.net/56e476da-3d48-4378-b7b3-1d9fb90de4d2.jpeg", "Кирилл Васенков: Ссылка на изображение")</f>
        <v>Кирилл Васенков: Ссылка на изображение</v>
      </c>
      <c r="EE284" t="s">
        <v>1217</v>
      </c>
      <c r="EF284" t="s">
        <v>1616</v>
      </c>
      <c r="EG284" t="str">
        <f>HYPERLINK("https://d33htgqikc2pj4.cloudfront.net/2473a6f9-fc87-4e85-b587-c9e879f81fea.jpeg", "Кирилл Васенков: Ссылка на изображение")</f>
        <v>Кирилл Васенков: Ссылка на изображение</v>
      </c>
      <c r="EH284" t="s">
        <v>394</v>
      </c>
    </row>
    <row r="285" spans="1:177" ht="15" customHeight="1" x14ac:dyDescent="0.35">
      <c r="A285">
        <v>583</v>
      </c>
      <c r="B285" t="s">
        <v>381</v>
      </c>
      <c r="C285">
        <v>2</v>
      </c>
      <c r="D285" t="str">
        <f>VLOOKUP(source[[#This Row],[Приоритет]],тПриоритеты[],2,0)</f>
        <v>Значительное</v>
      </c>
      <c r="E285" t="str">
        <f>IF(ISBLANK(source[[#This Row],[Проверенные]]),IF(ISBLANK(source[[#This Row],[Завершенные]]),source[[#This Row],[Приоритет_]],"Завершено"),"Проверено")</f>
        <v>Проверено</v>
      </c>
      <c r="F285" t="s">
        <v>866</v>
      </c>
      <c r="G285" t="s">
        <v>1520</v>
      </c>
      <c r="H285" t="e">
        <f>VLOOKUP(source[[#This Row],[Отвественный]],тОтветственные[],2,0)</f>
        <v>#N/A</v>
      </c>
      <c r="I285" s="2">
        <v>43809</v>
      </c>
      <c r="J285" s="2">
        <v>43815</v>
      </c>
      <c r="K285" t="s">
        <v>1617</v>
      </c>
      <c r="L285">
        <v>5.81</v>
      </c>
      <c r="M285">
        <v>62.26</v>
      </c>
      <c r="Q285" t="s">
        <v>379</v>
      </c>
      <c r="R285" t="str">
        <f>HYPERLINK("https://d28ji4sm1vmprj.cloudfront.net/5265b4ece61d8badd35d57a6a3355931/9c6f4c12064fc000963189e0fc950df0.jpeg", "Ссылка на план")</f>
        <v>Ссылка на план</v>
      </c>
      <c r="S285" s="1">
        <v>43809.636134259257</v>
      </c>
      <c r="T285" s="1">
        <v>43822.541921296295</v>
      </c>
      <c r="U285" s="1">
        <v>43822.569872685184</v>
      </c>
      <c r="W285" s="1">
        <v>43822.569872685184</v>
      </c>
      <c r="X285" t="s">
        <v>1522</v>
      </c>
      <c r="EC285" t="s">
        <v>1618</v>
      </c>
      <c r="ED285" t="s">
        <v>1217</v>
      </c>
      <c r="EE285" t="s">
        <v>1619</v>
      </c>
      <c r="EF285" t="s">
        <v>1619</v>
      </c>
      <c r="EG285" t="str">
        <f>HYPERLINK("https://d33htgqikc2pj4.cloudfront.net/qvHDimMUqxZcQnsj/57538e1c-84cb-473b-84b9-49b79702d7ec.jpeg", "Пожарные системы Renaissance: Ссылка на изображение")</f>
        <v>Пожарные системы Renaissance: Ссылка на изображение</v>
      </c>
      <c r="EH285" t="s">
        <v>1620</v>
      </c>
      <c r="EI285" t="s">
        <v>1528</v>
      </c>
      <c r="EJ285" t="s">
        <v>1621</v>
      </c>
      <c r="EK285" t="s">
        <v>1125</v>
      </c>
      <c r="EL285" t="s">
        <v>1573</v>
      </c>
      <c r="EM285" t="str">
        <f>HYPERLINK("https://d33htgqikc2pj4.cloudfront.net/qvHDimMUqxZcQnsj/6f7ba1a6-c0a2-4328-921b-273484d58071.jpeg", "Пожарные системы Renaissance: Ссылка на изображение")</f>
        <v>Пожарные системы Renaissance: Ссылка на изображение</v>
      </c>
      <c r="EN285" t="str">
        <f>HYPERLINK("https://d33htgqikc2pj4.cloudfront.net/qvHDimMUqxZcQnsj/16bbc97d-b83e-438d-8c21-d3f527dabbea.jpeg", "Пожарные системы Renaissance: Ссылка на изображение")</f>
        <v>Пожарные системы Renaissance: Ссылка на изображение</v>
      </c>
      <c r="EO285" t="s">
        <v>1528</v>
      </c>
      <c r="EP285" t="s">
        <v>394</v>
      </c>
    </row>
    <row r="286" spans="1:177" ht="15" customHeight="1" x14ac:dyDescent="0.35">
      <c r="A286">
        <v>585</v>
      </c>
      <c r="B286" t="s">
        <v>1622</v>
      </c>
      <c r="C286">
        <v>2</v>
      </c>
      <c r="D286" t="str">
        <f>VLOOKUP(source[[#This Row],[Приоритет]],тПриоритеты[],2,0)</f>
        <v>Значительное</v>
      </c>
      <c r="E286" t="str">
        <f>IF(ISBLANK(source[[#This Row],[Проверенные]]),IF(ISBLANK(source[[#This Row],[Завершенные]]),source[[#This Row],[Приоритет_]],"Завершено"),"Проверено")</f>
        <v>Проверено</v>
      </c>
      <c r="F286" t="s">
        <v>866</v>
      </c>
      <c r="G286" t="s">
        <v>1520</v>
      </c>
      <c r="H286" t="e">
        <f>VLOOKUP(source[[#This Row],[Отвественный]],тОтветственные[],2,0)</f>
        <v>#N/A</v>
      </c>
      <c r="I286" s="2">
        <v>43809</v>
      </c>
      <c r="J286" s="2">
        <v>43815</v>
      </c>
      <c r="K286" t="s">
        <v>1623</v>
      </c>
      <c r="L286">
        <v>59.19</v>
      </c>
      <c r="M286">
        <v>63.84</v>
      </c>
      <c r="Q286" t="s">
        <v>379</v>
      </c>
      <c r="R286" t="str">
        <f>HYPERLINK("https://d28ji4sm1vmprj.cloudfront.net/9f7a139a86823f40984f8c4728c810a5/53aca97bf2730c37f4378f626047471a.jpeg", "Ссылка на план")</f>
        <v>Ссылка на план</v>
      </c>
      <c r="S286" s="1">
        <v>43809.66679398148</v>
      </c>
      <c r="T286" s="1">
        <v>43810.622071759259</v>
      </c>
      <c r="U286" s="1">
        <v>43810.622071759259</v>
      </c>
      <c r="W286" s="1">
        <v>43810.622118055559</v>
      </c>
      <c r="X286" t="s">
        <v>1522</v>
      </c>
      <c r="EC286" t="s">
        <v>1624</v>
      </c>
      <c r="ED286" t="str">
        <f>HYPERLINK("https://d33htgqikc2pj4.cloudfront.net/4daf3d16-2453-42e2-960f-6d9a44137b60.jpeg", "Кирилл Васенков: Ссылка на изображение")</f>
        <v>Кирилл Васенков: Ссылка на изображение</v>
      </c>
      <c r="EE286" t="s">
        <v>1217</v>
      </c>
      <c r="EF286" t="str">
        <f>HYPERLINK("https://d33htgqikc2pj4.cloudfront.net/6b1b6c45-2d2b-41f0-80af-ae69f0ca054b.jpeg", "Кирилл Васенков: Ссылка на изображение")</f>
        <v>Кирилл Васенков: Ссылка на изображение</v>
      </c>
      <c r="EG286" t="s">
        <v>1616</v>
      </c>
      <c r="EH286" t="s">
        <v>394</v>
      </c>
    </row>
    <row r="287" spans="1:177" ht="15" customHeight="1" x14ac:dyDescent="0.35">
      <c r="A287">
        <v>588</v>
      </c>
      <c r="B287" t="s">
        <v>1625</v>
      </c>
      <c r="C287">
        <v>2</v>
      </c>
      <c r="D287" t="str">
        <f>VLOOKUP(source[[#This Row],[Приоритет]],тПриоритеты[],2,0)</f>
        <v>Значительное</v>
      </c>
      <c r="E287" t="str">
        <f>IF(ISBLANK(source[[#This Row],[Проверенные]]),IF(ISBLANK(source[[#This Row],[Завершенные]]),source[[#This Row],[Приоритет_]],"Завершено"),"Проверено")</f>
        <v>Проверено</v>
      </c>
      <c r="F287" t="s">
        <v>866</v>
      </c>
      <c r="G287" t="s">
        <v>1520</v>
      </c>
      <c r="H287" t="e">
        <f>VLOOKUP(source[[#This Row],[Отвественный]],тОтветственные[],2,0)</f>
        <v>#N/A</v>
      </c>
      <c r="I287" s="2">
        <v>43809</v>
      </c>
      <c r="J287" s="2">
        <v>43815</v>
      </c>
      <c r="K287" t="s">
        <v>1521</v>
      </c>
      <c r="L287">
        <v>42.95</v>
      </c>
      <c r="M287">
        <v>39.270000000000003</v>
      </c>
      <c r="Q287" t="s">
        <v>379</v>
      </c>
      <c r="R287" t="str">
        <f>HYPERLINK("https://d28ji4sm1vmprj.cloudfront.net/c0bb6023413a228c578dc3af03b27d44/5e758a0a44d86c3f80ffefe851e8932f.jpeg", "Ссылка на план")</f>
        <v>Ссылка на план</v>
      </c>
      <c r="S287" s="1">
        <v>43809.710717592592</v>
      </c>
      <c r="T287" s="1">
        <v>43822.518773148149</v>
      </c>
      <c r="U287" s="1">
        <v>43822.569722222222</v>
      </c>
      <c r="W287" s="1">
        <v>43822.569722222222</v>
      </c>
      <c r="X287" t="s">
        <v>1522</v>
      </c>
      <c r="EC287" t="s">
        <v>1626</v>
      </c>
      <c r="ED287" t="str">
        <f>HYPERLINK("https://d33htgqikc2pj4.cloudfront.net/54c08607-b8b8-405e-9f67-6d6467546b82.jpeg", "Кирилл Васенков: Ссылка на изображение")</f>
        <v>Кирилл Васенков: Ссылка на изображение</v>
      </c>
      <c r="EE287" t="s">
        <v>1217</v>
      </c>
      <c r="EF287" t="str">
        <f>HYPERLINK("https://d33htgqikc2pj4.cloudfront.net/qvHDimMUqxZcQnsj/812e349c-d10b-4fc1-8a41-871dbc33d217.jpeg", "Пожарные системы Renaissance: Ссылка на изображение")</f>
        <v>Пожарные системы Renaissance: Ссылка на изображение</v>
      </c>
      <c r="EG287" t="s">
        <v>1627</v>
      </c>
      <c r="EH287" t="s">
        <v>1528</v>
      </c>
      <c r="EI287" t="s">
        <v>1628</v>
      </c>
      <c r="EJ287" t="s">
        <v>1125</v>
      </c>
      <c r="EK287" t="str">
        <f>HYPERLINK("https://d33htgqikc2pj4.cloudfront.net/qvHDimMUqxZcQnsj/baee3562-c045-467c-8587-f6b44174deca.jpeg", "Пожарные системы Renaissance: Ссылка на изображение")</f>
        <v>Пожарные системы Renaissance: Ссылка на изображение</v>
      </c>
      <c r="EL287" t="s">
        <v>1528</v>
      </c>
      <c r="EM287" t="s">
        <v>1573</v>
      </c>
      <c r="EN287" t="str">
        <f>HYPERLINK("https://d33htgqikc2pj4.cloudfront.net/qvHDimMUqxZcQnsj/0de94aea-0377-441f-886b-9fc76abfcc29.jpeg", "Пожарные системы Renaissance: Ссылка на изображение")</f>
        <v>Пожарные системы Renaissance: Ссылка на изображение</v>
      </c>
      <c r="EO287" t="s">
        <v>394</v>
      </c>
    </row>
    <row r="288" spans="1:177" ht="15" customHeight="1" x14ac:dyDescent="0.35">
      <c r="A288">
        <v>586</v>
      </c>
      <c r="B288" t="s">
        <v>1629</v>
      </c>
      <c r="C288">
        <v>2</v>
      </c>
      <c r="D288" t="str">
        <f>VLOOKUP(source[[#This Row],[Приоритет]],тПриоритеты[],2,0)</f>
        <v>Значительное</v>
      </c>
      <c r="E288" t="str">
        <f>IF(ISBLANK(source[[#This Row],[Проверенные]]),IF(ISBLANK(source[[#This Row],[Завершенные]]),source[[#This Row],[Приоритет_]],"Завершено"),"Проверено")</f>
        <v>Проверено</v>
      </c>
      <c r="F288" t="s">
        <v>866</v>
      </c>
      <c r="G288" t="s">
        <v>1520</v>
      </c>
      <c r="H288" t="e">
        <f>VLOOKUP(source[[#This Row],[Отвественный]],тОтветственные[],2,0)</f>
        <v>#N/A</v>
      </c>
      <c r="I288" s="2">
        <v>43809</v>
      </c>
      <c r="J288" s="2">
        <v>43815</v>
      </c>
      <c r="K288" t="s">
        <v>1630</v>
      </c>
      <c r="L288">
        <v>21.85</v>
      </c>
      <c r="M288">
        <v>48.87</v>
      </c>
      <c r="Q288" t="s">
        <v>379</v>
      </c>
      <c r="R288" t="str">
        <f>HYPERLINK("https://d28ji4sm1vmprj.cloudfront.net/5e0aa6b7d3a72a78102a11700409be35/c3388c538f0dd41c0246f3e74c5873c5.jpeg", "Ссылка на план")</f>
        <v>Ссылка на план</v>
      </c>
      <c r="S288" s="1">
        <v>43809.698275462964</v>
      </c>
      <c r="T288" s="1">
        <v>43818.625648148147</v>
      </c>
      <c r="U288" s="1">
        <v>43822.411932870367</v>
      </c>
      <c r="W288" s="1">
        <v>43822.411944444444</v>
      </c>
      <c r="X288" t="s">
        <v>1522</v>
      </c>
      <c r="EC288" t="s">
        <v>1631</v>
      </c>
      <c r="ED288" t="s">
        <v>1217</v>
      </c>
      <c r="EE288" t="str">
        <f>HYPERLINK("https://d33htgqikc2pj4.cloudfront.net/qvHDimMUqxZcQnsj/0f068ef3-a313-4fe6-bbce-13b45c4fc9ea.jpeg", "Пожарные системы Renaissance: Ссылка на изображение")</f>
        <v>Пожарные системы Renaissance: Ссылка на изображение</v>
      </c>
      <c r="EF288" t="s">
        <v>1632</v>
      </c>
      <c r="EG288" t="s">
        <v>1528</v>
      </c>
      <c r="EH288" t="s">
        <v>394</v>
      </c>
    </row>
    <row r="289" spans="1:147" ht="15" customHeight="1" x14ac:dyDescent="0.35">
      <c r="A289">
        <v>143</v>
      </c>
      <c r="B289" t="s">
        <v>1553</v>
      </c>
      <c r="C289">
        <v>2</v>
      </c>
      <c r="D289" t="str">
        <f>VLOOKUP(source[[#This Row],[Приоритет]],тПриоритеты[],2,0)</f>
        <v>Значительное</v>
      </c>
      <c r="E289" t="str">
        <f>IF(ISBLANK(source[[#This Row],[Проверенные]]),IF(ISBLANK(source[[#This Row],[Завершенные]]),source[[#This Row],[Приоритет_]],"Завершено"),"Проверено")</f>
        <v>Проверено</v>
      </c>
      <c r="F289" t="s">
        <v>866</v>
      </c>
      <c r="G289" t="s">
        <v>1520</v>
      </c>
      <c r="H289" t="e">
        <f>VLOOKUP(source[[#This Row],[Отвественный]],тОтветственные[],2,0)</f>
        <v>#N/A</v>
      </c>
      <c r="I289" s="2">
        <v>43774</v>
      </c>
      <c r="J289" s="2">
        <v>43784</v>
      </c>
      <c r="K289" t="s">
        <v>1546</v>
      </c>
      <c r="L289">
        <v>38.56</v>
      </c>
      <c r="M289">
        <v>23.15</v>
      </c>
      <c r="N289" t="s">
        <v>1547</v>
      </c>
      <c r="Q289" t="s">
        <v>1548</v>
      </c>
      <c r="R289" t="str">
        <f>HYPERLINK("https://d28ji4sm1vmprj.cloudfront.net/e43ebb7edf47ad1224c14b593237d0a8/536e880bc7aa3761d2826808687ea515.jpeg", "Ссылка на план")</f>
        <v>Ссылка на план</v>
      </c>
      <c r="S289" s="1">
        <v>43774.637916666667</v>
      </c>
      <c r="T289" s="1">
        <v>43784.465810185182</v>
      </c>
      <c r="U289" s="1">
        <v>43787.628055555557</v>
      </c>
      <c r="W289" s="1">
        <v>43787.62804398148</v>
      </c>
      <c r="X289" t="s">
        <v>1549</v>
      </c>
      <c r="AA289" t="s">
        <v>1545</v>
      </c>
      <c r="EC289" t="s">
        <v>1633</v>
      </c>
      <c r="ED289" t="str">
        <f>HYPERLINK("https://d33htgqikc2pj4.cloudfront.net/fa538e02-d324-4dfe-bf51-d78d2a690a04.jpeg", "Кирилл Васенков: Ссылка на изображение")</f>
        <v>Кирилл Васенков: Ссылка на изображение</v>
      </c>
      <c r="EE289" t="s">
        <v>1170</v>
      </c>
      <c r="EF289" t="s">
        <v>1561</v>
      </c>
      <c r="EG289" t="s">
        <v>1179</v>
      </c>
      <c r="EH289" t="s">
        <v>1351</v>
      </c>
      <c r="EI289" t="s">
        <v>929</v>
      </c>
      <c r="EJ289" t="s">
        <v>930</v>
      </c>
      <c r="EK289" t="s">
        <v>1179</v>
      </c>
      <c r="EL289" t="s">
        <v>932</v>
      </c>
      <c r="EM289" t="s">
        <v>1537</v>
      </c>
      <c r="EN289" t="str">
        <f>HYPERLINK("https://d33htgqikc2pj4.cloudfront.net/qvHDimMUqxZcQnsj/5c5fa29a-d5de-4245-8fed-f22f02718e13.jpeg", "Пожарные системы Renaissance: Ссылка на изображение")</f>
        <v>Пожарные системы Renaissance: Ссылка на изображение</v>
      </c>
      <c r="EO289" t="s">
        <v>1634</v>
      </c>
      <c r="EP289" t="s">
        <v>1528</v>
      </c>
      <c r="EQ289" t="s">
        <v>394</v>
      </c>
    </row>
    <row r="290" spans="1:147" ht="15" customHeight="1" x14ac:dyDescent="0.35">
      <c r="A290">
        <v>141</v>
      </c>
      <c r="B290" t="s">
        <v>1551</v>
      </c>
      <c r="C290">
        <v>2</v>
      </c>
      <c r="D290" t="str">
        <f>VLOOKUP(source[[#This Row],[Приоритет]],тПриоритеты[],2,0)</f>
        <v>Значительное</v>
      </c>
      <c r="E290" t="str">
        <f>IF(ISBLANK(source[[#This Row],[Проверенные]]),IF(ISBLANK(source[[#This Row],[Завершенные]]),source[[#This Row],[Приоритет_]],"Завершено"),"Проверено")</f>
        <v>Проверено</v>
      </c>
      <c r="F290" t="s">
        <v>866</v>
      </c>
      <c r="G290" t="s">
        <v>1520</v>
      </c>
      <c r="H290" t="e">
        <f>VLOOKUP(source[[#This Row],[Отвественный]],тОтветственные[],2,0)</f>
        <v>#N/A</v>
      </c>
      <c r="I290" s="2">
        <v>43774</v>
      </c>
      <c r="J290" s="2">
        <v>43784</v>
      </c>
      <c r="K290" t="s">
        <v>1546</v>
      </c>
      <c r="L290">
        <v>37.76</v>
      </c>
      <c r="M290">
        <v>33.51</v>
      </c>
      <c r="N290" t="s">
        <v>1547</v>
      </c>
      <c r="Q290" t="s">
        <v>1548</v>
      </c>
      <c r="R290" t="str">
        <f>HYPERLINK("https://d28ji4sm1vmprj.cloudfront.net/e43ebb7edf47ad1224c14b593237d0a8/536e880bc7aa3761d2826808687ea515.jpeg", "Ссылка на план")</f>
        <v>Ссылка на план</v>
      </c>
      <c r="S290" s="1">
        <v>43774.637453703705</v>
      </c>
      <c r="T290" s="1">
        <v>43787.736504629633</v>
      </c>
      <c r="U290" s="1">
        <v>43801.394976851851</v>
      </c>
      <c r="W290" s="1">
        <v>43801.394976851851</v>
      </c>
      <c r="X290" t="s">
        <v>1549</v>
      </c>
      <c r="AA290" t="s">
        <v>1545</v>
      </c>
      <c r="EC290" t="s">
        <v>1635</v>
      </c>
      <c r="ED290" t="s">
        <v>1170</v>
      </c>
      <c r="EE290" t="s">
        <v>1561</v>
      </c>
      <c r="EF290" t="s">
        <v>1179</v>
      </c>
      <c r="EG290" t="s">
        <v>1351</v>
      </c>
      <c r="EH290" t="s">
        <v>929</v>
      </c>
      <c r="EI290" t="s">
        <v>930</v>
      </c>
      <c r="EJ290" t="s">
        <v>1179</v>
      </c>
      <c r="EK290" t="s">
        <v>932</v>
      </c>
      <c r="EL290" t="s">
        <v>1537</v>
      </c>
      <c r="EM290" t="str">
        <f>HYPERLINK("https://d33htgqikc2pj4.cloudfront.net/qvHDimMUqxZcQnsj69df9781-e554-423f-845a-740af905a981", "Пожарные системы Renaissance: Ссылка на файл")</f>
        <v>Пожарные системы Renaissance: Ссылка на файл</v>
      </c>
      <c r="EN290" t="str">
        <f>HYPERLINK("https://d33htgqikc2pj4.cloudfront.net/qvHDimMUqxZcQnsje5ccbbb7-e47e-4a97-9123-46d3ebe74832", "Пожарные системы Renaissance: Ссылка на файл")</f>
        <v>Пожарные системы Renaissance: Ссылка на файл</v>
      </c>
      <c r="EO290" t="s">
        <v>1528</v>
      </c>
      <c r="EP290" t="s">
        <v>1601</v>
      </c>
      <c r="EQ290" t="s">
        <v>394</v>
      </c>
    </row>
    <row r="291" spans="1:147" ht="15" customHeight="1" x14ac:dyDescent="0.35">
      <c r="A291">
        <v>144</v>
      </c>
      <c r="B291" t="s">
        <v>1554</v>
      </c>
      <c r="C291">
        <v>2</v>
      </c>
      <c r="D291" t="str">
        <f>VLOOKUP(source[[#This Row],[Приоритет]],тПриоритеты[],2,0)</f>
        <v>Значительное</v>
      </c>
      <c r="E291" t="str">
        <f>IF(ISBLANK(source[[#This Row],[Проверенные]]),IF(ISBLANK(source[[#This Row],[Завершенные]]),source[[#This Row],[Приоритет_]],"Завершено"),"Проверено")</f>
        <v>Проверено</v>
      </c>
      <c r="F291" t="s">
        <v>866</v>
      </c>
      <c r="G291" t="s">
        <v>1520</v>
      </c>
      <c r="H291" t="e">
        <f>VLOOKUP(source[[#This Row],[Отвественный]],тОтветственные[],2,0)</f>
        <v>#N/A</v>
      </c>
      <c r="I291" s="2">
        <v>43774</v>
      </c>
      <c r="J291" s="2">
        <v>43784</v>
      </c>
      <c r="K291" t="s">
        <v>1546</v>
      </c>
      <c r="L291">
        <v>31.62</v>
      </c>
      <c r="M291">
        <v>17.739999999999998</v>
      </c>
      <c r="N291" t="s">
        <v>1547</v>
      </c>
      <c r="Q291" t="s">
        <v>1548</v>
      </c>
      <c r="R291" t="str">
        <f>HYPERLINK("https://d28ji4sm1vmprj.cloudfront.net/e43ebb7edf47ad1224c14b593237d0a8/536e880bc7aa3761d2826808687ea515.jpeg", "Ссылка на план")</f>
        <v>Ссылка на план</v>
      </c>
      <c r="S291" s="1">
        <v>43774.638310185182</v>
      </c>
      <c r="T291" s="1">
        <v>43784.464780092596</v>
      </c>
      <c r="U291" s="1">
        <v>43787.628263888888</v>
      </c>
      <c r="W291" s="1">
        <v>43787.628252314818</v>
      </c>
      <c r="X291" t="s">
        <v>1549</v>
      </c>
      <c r="AA291" t="s">
        <v>1545</v>
      </c>
      <c r="EC291" t="s">
        <v>1636</v>
      </c>
      <c r="ED291" t="str">
        <f>HYPERLINK("https://d33htgqikc2pj4.cloudfront.net/99ed8148-633f-417f-8c39-52f2a5106e09.jpeg", "Кирилл Васенков: Ссылка на изображение")</f>
        <v>Кирилл Васенков: Ссылка на изображение</v>
      </c>
      <c r="EE291" t="s">
        <v>1170</v>
      </c>
      <c r="EF291" t="s">
        <v>1561</v>
      </c>
      <c r="EG291" t="s">
        <v>1179</v>
      </c>
      <c r="EH291" t="s">
        <v>1351</v>
      </c>
      <c r="EI291" t="s">
        <v>929</v>
      </c>
      <c r="EJ291" t="s">
        <v>930</v>
      </c>
      <c r="EK291" t="s">
        <v>1179</v>
      </c>
      <c r="EL291" t="s">
        <v>932</v>
      </c>
      <c r="EM291" t="s">
        <v>1537</v>
      </c>
      <c r="EN291" t="str">
        <f>HYPERLINK("https://d33htgqikc2pj4.cloudfront.net/qvHDimMUqxZcQnsj/8419cc3d-2a1e-4d36-a30e-fc253ffe31e3.jpeg", "Пожарные системы Renaissance: Ссылка на изображение")</f>
        <v>Пожарные системы Renaissance: Ссылка на изображение</v>
      </c>
      <c r="EO291" t="s">
        <v>1637</v>
      </c>
      <c r="EP291" t="s">
        <v>1528</v>
      </c>
      <c r="EQ291" t="s">
        <v>394</v>
      </c>
    </row>
    <row r="292" spans="1:147" ht="15" customHeight="1" x14ac:dyDescent="0.35">
      <c r="A292">
        <v>142</v>
      </c>
      <c r="B292" t="s">
        <v>1552</v>
      </c>
      <c r="C292">
        <v>2</v>
      </c>
      <c r="D292" t="str">
        <f>VLOOKUP(source[[#This Row],[Приоритет]],тПриоритеты[],2,0)</f>
        <v>Значительное</v>
      </c>
      <c r="E292" t="str">
        <f>IF(ISBLANK(source[[#This Row],[Проверенные]]),IF(ISBLANK(source[[#This Row],[Завершенные]]),source[[#This Row],[Приоритет_]],"Завершено"),"Проверено")</f>
        <v>Проверено</v>
      </c>
      <c r="F292" t="s">
        <v>866</v>
      </c>
      <c r="G292" t="s">
        <v>1520</v>
      </c>
      <c r="H292" t="e">
        <f>VLOOKUP(source[[#This Row],[Отвественный]],тОтветственные[],2,0)</f>
        <v>#N/A</v>
      </c>
      <c r="I292" s="2">
        <v>43774</v>
      </c>
      <c r="J292" s="2">
        <v>43784</v>
      </c>
      <c r="K292" t="s">
        <v>1546</v>
      </c>
      <c r="L292">
        <v>38.14</v>
      </c>
      <c r="M292">
        <v>20.18</v>
      </c>
      <c r="N292" t="s">
        <v>1547</v>
      </c>
      <c r="Q292" t="s">
        <v>1548</v>
      </c>
      <c r="R292" t="str">
        <f>HYPERLINK("https://d28ji4sm1vmprj.cloudfront.net/e43ebb7edf47ad1224c14b593237d0a8/536e880bc7aa3761d2826808687ea515.jpeg", "Ссылка на план")</f>
        <v>Ссылка на план</v>
      </c>
      <c r="S292" s="1">
        <v>43774.637557870374</v>
      </c>
      <c r="T292" s="1">
        <v>43787.629756944443</v>
      </c>
      <c r="U292" s="1">
        <v>43787.629756944443</v>
      </c>
      <c r="W292" s="1">
        <v>43787.629745370374</v>
      </c>
      <c r="X292" t="s">
        <v>1549</v>
      </c>
      <c r="AA292" t="s">
        <v>1545</v>
      </c>
      <c r="EC292" t="str">
        <f>HYPERLINK("https://d33htgqikc2pj4.cloudfront.net/58b6b5ca-d158-4f61-bc78-bb2b9d90c9cc.jpeg", "Кирилл Васенков: Ссылка на изображение")</f>
        <v>Кирилл Васенков: Ссылка на изображение</v>
      </c>
      <c r="ED292" t="s">
        <v>1638</v>
      </c>
      <c r="EE292" t="s">
        <v>1170</v>
      </c>
      <c r="EF292" t="s">
        <v>1561</v>
      </c>
      <c r="EG292" t="s">
        <v>1179</v>
      </c>
      <c r="EH292" t="s">
        <v>1351</v>
      </c>
      <c r="EI292" t="s">
        <v>929</v>
      </c>
      <c r="EJ292" t="s">
        <v>1179</v>
      </c>
      <c r="EK292" t="s">
        <v>932</v>
      </c>
      <c r="EL292" t="s">
        <v>930</v>
      </c>
      <c r="EM292" t="s">
        <v>1537</v>
      </c>
      <c r="EN292" t="s">
        <v>394</v>
      </c>
    </row>
    <row r="293" spans="1:147" ht="15" customHeight="1" x14ac:dyDescent="0.35">
      <c r="A293">
        <v>882</v>
      </c>
      <c r="B293" t="s">
        <v>381</v>
      </c>
      <c r="C293">
        <v>2</v>
      </c>
      <c r="D293" t="str">
        <f>VLOOKUP(source[[#This Row],[Приоритет]],тПриоритеты[],2,0)</f>
        <v>Значительное</v>
      </c>
      <c r="E293" t="str">
        <f>IF(ISBLANK(source[[#This Row],[Проверенные]]),IF(ISBLANK(source[[#This Row],[Завершенные]]),source[[#This Row],[Приоритет_]],"Завершено"),"Проверено")</f>
        <v>Проверено</v>
      </c>
      <c r="F293" t="s">
        <v>866</v>
      </c>
      <c r="G293" t="s">
        <v>1520</v>
      </c>
      <c r="H293" t="e">
        <f>VLOOKUP(source[[#This Row],[Отвественный]],тОтветственные[],2,0)</f>
        <v>#N/A</v>
      </c>
      <c r="I293" s="2">
        <v>43840</v>
      </c>
      <c r="J293" s="2">
        <v>43861</v>
      </c>
      <c r="K293" t="s">
        <v>1639</v>
      </c>
      <c r="L293">
        <v>18.27</v>
      </c>
      <c r="M293">
        <v>75.12</v>
      </c>
      <c r="Q293" t="s">
        <v>379</v>
      </c>
      <c r="R293" t="str">
        <f>HYPERLINK("https://d28ji4sm1vmprj.cloudfront.net/bdd086768541e1c2d26a0a3310a971f4/6b74bb5774abbb83d27b319ed62ccfd2.jpeg", "Ссылка на план")</f>
        <v>Ссылка на план</v>
      </c>
      <c r="S293" s="1">
        <v>43840.499976851854</v>
      </c>
      <c r="T293" s="1">
        <v>43866.586076388892</v>
      </c>
      <c r="U293" s="1">
        <v>43866.880428240744</v>
      </c>
      <c r="W293" s="1">
        <v>43866.880428240744</v>
      </c>
      <c r="X293" t="s">
        <v>1522</v>
      </c>
      <c r="EC293" t="s">
        <v>1618</v>
      </c>
      <c r="ED293" t="str">
        <f>HYPERLINK("https://d33htgqikc2pj4.cloudfront.net/7ff84a87-fc45-42c3-a64c-1e08a2780f33.jpeg", "Кирилл Васенков: Ссылка на изображение")</f>
        <v>Кирилл Васенков: Ссылка на изображение</v>
      </c>
      <c r="EE293" t="s">
        <v>1004</v>
      </c>
      <c r="EF293" t="s">
        <v>930</v>
      </c>
      <c r="EG293" t="s">
        <v>1535</v>
      </c>
      <c r="EH293" t="s">
        <v>1536</v>
      </c>
      <c r="EI293" t="s">
        <v>1537</v>
      </c>
      <c r="EJ293" t="str">
        <f>HYPERLINK("https://d33htgqikc2pj4.cloudfront.net/148c10b6-7c24-42af-a2de-14e6986c7151.jpeg", "Пожарные системы Renaissance: Ссылка на изображение")</f>
        <v>Пожарные системы Renaissance: Ссылка на изображение</v>
      </c>
      <c r="EK293" t="s">
        <v>1640</v>
      </c>
      <c r="EL293" t="s">
        <v>1528</v>
      </c>
      <c r="EM293" t="s">
        <v>394</v>
      </c>
    </row>
    <row r="294" spans="1:147" ht="15" customHeight="1" x14ac:dyDescent="0.35">
      <c r="A294">
        <v>876</v>
      </c>
      <c r="B294" t="s">
        <v>1641</v>
      </c>
      <c r="C294">
        <v>2</v>
      </c>
      <c r="D294" t="str">
        <f>VLOOKUP(source[[#This Row],[Приоритет]],тПриоритеты[],2,0)</f>
        <v>Значительное</v>
      </c>
      <c r="E294" t="str">
        <f>IF(ISBLANK(source[[#This Row],[Проверенные]]),IF(ISBLANK(source[[#This Row],[Завершенные]]),source[[#This Row],[Приоритет_]],"Завершено"),"Проверено")</f>
        <v>Проверено</v>
      </c>
      <c r="F294" t="s">
        <v>866</v>
      </c>
      <c r="G294" t="s">
        <v>1520</v>
      </c>
      <c r="H294" t="e">
        <f>VLOOKUP(source[[#This Row],[Отвественный]],тОтветственные[],2,0)</f>
        <v>#N/A</v>
      </c>
      <c r="I294" s="2">
        <v>43840</v>
      </c>
      <c r="J294" s="2">
        <v>43861</v>
      </c>
      <c r="K294" t="s">
        <v>1642</v>
      </c>
      <c r="L294">
        <v>31.75</v>
      </c>
      <c r="M294">
        <v>77.44</v>
      </c>
      <c r="Q294" t="s">
        <v>379</v>
      </c>
      <c r="R294" t="str">
        <f>HYPERLINK("https://d28ji4sm1vmprj.cloudfront.net/03b2f2fb61ca532eae470a6f253e0779/b25eb5a046909972fcd7af5d9bfb8eb7.jpeg", "Ссылка на план")</f>
        <v>Ссылка на план</v>
      </c>
      <c r="S294" s="1">
        <v>43840.45826388889</v>
      </c>
      <c r="T294" s="1">
        <v>43865.683865740742</v>
      </c>
      <c r="U294" s="1">
        <v>43865.683865740742</v>
      </c>
      <c r="W294" s="1">
        <v>43865.683865740742</v>
      </c>
      <c r="X294" t="s">
        <v>1522</v>
      </c>
      <c r="EC294" t="s">
        <v>1643</v>
      </c>
      <c r="ED294" t="s">
        <v>1004</v>
      </c>
      <c r="EE294" t="s">
        <v>930</v>
      </c>
      <c r="EF294" t="s">
        <v>1535</v>
      </c>
      <c r="EG294" t="s">
        <v>1536</v>
      </c>
      <c r="EH294" t="s">
        <v>425</v>
      </c>
      <c r="EI294" t="s">
        <v>1537</v>
      </c>
      <c r="EJ294" t="s">
        <v>1644</v>
      </c>
      <c r="EK294" t="str">
        <f>HYPERLINK("https://d33htgqikc2pj4.cloudfront.net/qvHDimMUqxZcQnsj/JvaOdHCQpOljdT3eyO0Q_HPSCANNER4797.pdf", "Кирилл Васенков: Ссылка на файл")</f>
        <v>Кирилл Васенков: Ссылка на файл</v>
      </c>
      <c r="EL294" t="s">
        <v>394</v>
      </c>
    </row>
    <row r="295" spans="1:147" ht="15" customHeight="1" x14ac:dyDescent="0.35">
      <c r="A295">
        <v>879</v>
      </c>
      <c r="B295" t="s">
        <v>1645</v>
      </c>
      <c r="C295">
        <v>2</v>
      </c>
      <c r="D295" t="str">
        <f>VLOOKUP(source[[#This Row],[Приоритет]],тПриоритеты[],2,0)</f>
        <v>Значительное</v>
      </c>
      <c r="E295" t="str">
        <f>IF(ISBLANK(source[[#This Row],[Проверенные]]),IF(ISBLANK(source[[#This Row],[Завершенные]]),source[[#This Row],[Приоритет_]],"Завершено"),"Проверено")</f>
        <v>Проверено</v>
      </c>
      <c r="F295" t="s">
        <v>866</v>
      </c>
      <c r="G295" t="s">
        <v>1520</v>
      </c>
      <c r="H295" t="e">
        <f>VLOOKUP(source[[#This Row],[Отвественный]],тОтветственные[],2,0)</f>
        <v>#N/A</v>
      </c>
      <c r="I295" s="2">
        <v>43840</v>
      </c>
      <c r="J295" s="2">
        <v>43861</v>
      </c>
      <c r="K295" t="s">
        <v>1646</v>
      </c>
      <c r="L295">
        <v>37.18</v>
      </c>
      <c r="M295">
        <v>30.48</v>
      </c>
      <c r="Q295" t="s">
        <v>379</v>
      </c>
      <c r="R295" t="str">
        <f>HYPERLINK("https://d28ji4sm1vmprj.cloudfront.net/d02137b553d254c94fad76453a05126c/24eda35b75e05c7577adc80033933c5c.jpeg", "Ссылка на план")</f>
        <v>Ссылка на план</v>
      </c>
      <c r="S295" s="1">
        <v>43840.490104166667</v>
      </c>
      <c r="T295" s="1">
        <v>43866.584664351853</v>
      </c>
      <c r="U295" s="1">
        <v>43866.879513888889</v>
      </c>
      <c r="W295" s="1">
        <v>43866.879525462966</v>
      </c>
      <c r="X295" t="s">
        <v>1522</v>
      </c>
      <c r="EC295" t="s">
        <v>1647</v>
      </c>
      <c r="ED295" t="s">
        <v>1004</v>
      </c>
      <c r="EE295" t="s">
        <v>930</v>
      </c>
      <c r="EF295" t="s">
        <v>1535</v>
      </c>
      <c r="EG295" t="s">
        <v>1536</v>
      </c>
      <c r="EH295" t="s">
        <v>425</v>
      </c>
      <c r="EI295" t="s">
        <v>1537</v>
      </c>
      <c r="EJ295" t="str">
        <f>HYPERLINK("https://d33htgqikc2pj4.cloudfront.net/ace4619d-858c-4362-aa44-e870bcd453d0.jpeg", "Пожарные системы Renaissance: Ссылка на изображение")</f>
        <v>Пожарные системы Renaissance: Ссылка на изображение</v>
      </c>
      <c r="EK295" t="s">
        <v>1648</v>
      </c>
      <c r="EL295" t="s">
        <v>1640</v>
      </c>
      <c r="EM295" t="s">
        <v>1528</v>
      </c>
      <c r="EN295" t="s">
        <v>394</v>
      </c>
    </row>
    <row r="296" spans="1:147" ht="15" customHeight="1" x14ac:dyDescent="0.35">
      <c r="A296">
        <v>878</v>
      </c>
      <c r="B296" t="s">
        <v>1645</v>
      </c>
      <c r="C296">
        <v>1</v>
      </c>
      <c r="D296" t="str">
        <f>VLOOKUP(source[[#This Row],[Приоритет]],тПриоритеты[],2,0)</f>
        <v>КРИТИЧЕСКОЕ</v>
      </c>
      <c r="E296" t="str">
        <f>IF(ISBLANK(source[[#This Row],[Проверенные]]),IF(ISBLANK(source[[#This Row],[Завершенные]]),source[[#This Row],[Приоритет_]],"Завершено"),"Проверено")</f>
        <v>Проверено</v>
      </c>
      <c r="F296" t="s">
        <v>866</v>
      </c>
      <c r="G296" t="s">
        <v>1520</v>
      </c>
      <c r="H296" t="e">
        <f>VLOOKUP(source[[#This Row],[Отвественный]],тОтветственные[],2,0)</f>
        <v>#N/A</v>
      </c>
      <c r="I296" s="2">
        <v>43840</v>
      </c>
      <c r="J296" s="2">
        <v>43861</v>
      </c>
      <c r="K296" t="s">
        <v>1649</v>
      </c>
      <c r="L296">
        <v>21.98</v>
      </c>
      <c r="M296">
        <v>79.94</v>
      </c>
      <c r="Q296" t="s">
        <v>379</v>
      </c>
      <c r="R296" t="str">
        <f>HYPERLINK("https://d28ji4sm1vmprj.cloudfront.net/d2fddd2f38f5f8b8031bc2b0715e2c21/5b56c052c4d8dfbadbb30f8763557605.jpeg", "Ссылка на план")</f>
        <v>Ссылка на план</v>
      </c>
      <c r="S296" s="1">
        <v>43840.476990740739</v>
      </c>
      <c r="T296" s="1">
        <v>43866.439479166664</v>
      </c>
      <c r="U296" s="1">
        <v>43866.439479166664</v>
      </c>
      <c r="W296" s="1">
        <v>43866.43949074074</v>
      </c>
      <c r="X296" t="s">
        <v>1522</v>
      </c>
      <c r="EC296" t="s">
        <v>1647</v>
      </c>
      <c r="ED296" t="str">
        <f>HYPERLINK("https://d33htgqikc2pj4.cloudfront.net/52ae1fb4-991e-4240-802a-40503a652ad3.jpeg", "Кирилл Васенков: Ссылка на изображение")</f>
        <v>Кирилл Васенков: Ссылка на изображение</v>
      </c>
      <c r="EE296" t="s">
        <v>1650</v>
      </c>
      <c r="EF296" t="s">
        <v>1004</v>
      </c>
      <c r="EG296" t="s">
        <v>930</v>
      </c>
      <c r="EH296" t="s">
        <v>1535</v>
      </c>
      <c r="EI296" t="s">
        <v>1536</v>
      </c>
      <c r="EJ296" t="s">
        <v>425</v>
      </c>
      <c r="EK296" t="s">
        <v>1537</v>
      </c>
      <c r="EL296" t="s">
        <v>394</v>
      </c>
      <c r="EM296" t="s">
        <v>1118</v>
      </c>
      <c r="EN296" t="s">
        <v>1651</v>
      </c>
      <c r="EO296" t="s">
        <v>394</v>
      </c>
    </row>
    <row r="297" spans="1:147" ht="15" customHeight="1" x14ac:dyDescent="0.35">
      <c r="A297">
        <v>886</v>
      </c>
      <c r="B297" t="s">
        <v>1645</v>
      </c>
      <c r="C297">
        <v>2</v>
      </c>
      <c r="D297" t="str">
        <f>VLOOKUP(source[[#This Row],[Приоритет]],тПриоритеты[],2,0)</f>
        <v>Значительное</v>
      </c>
      <c r="E297" t="str">
        <f>IF(ISBLANK(source[[#This Row],[Проверенные]]),IF(ISBLANK(source[[#This Row],[Завершенные]]),source[[#This Row],[Приоритет_]],"Завершено"),"Проверено")</f>
        <v>Проверено</v>
      </c>
      <c r="F297" t="s">
        <v>866</v>
      </c>
      <c r="G297" t="s">
        <v>1520</v>
      </c>
      <c r="H297" t="e">
        <f>VLOOKUP(source[[#This Row],[Отвественный]],тОтветственные[],2,0)</f>
        <v>#N/A</v>
      </c>
      <c r="I297" s="2">
        <v>43840</v>
      </c>
      <c r="J297" s="2">
        <v>43861</v>
      </c>
      <c r="K297" t="s">
        <v>1652</v>
      </c>
      <c r="L297">
        <v>50.63</v>
      </c>
      <c r="M297">
        <v>49.62</v>
      </c>
      <c r="Q297" t="s">
        <v>379</v>
      </c>
      <c r="R297" t="str">
        <f>HYPERLINK("https://d28ji4sm1vmprj.cloudfront.net/77e0abaafe98fbff7a1aa815465bee1c/9698685f9629f5dcbe0b28f24b9d9b0a.jpeg", "Ссылка на план")</f>
        <v>Ссылка на план</v>
      </c>
      <c r="S297" s="1">
        <v>43840.691608796296</v>
      </c>
      <c r="T297" s="1">
        <v>43866.58971064815</v>
      </c>
      <c r="U297" s="1">
        <v>43866.876261574071</v>
      </c>
      <c r="W297" s="1">
        <v>43866.876261574071</v>
      </c>
      <c r="X297" t="s">
        <v>1522</v>
      </c>
      <c r="EC297" t="s">
        <v>1647</v>
      </c>
      <c r="ED297" t="s">
        <v>1004</v>
      </c>
      <c r="EE297" t="s">
        <v>930</v>
      </c>
      <c r="EF297" t="s">
        <v>1535</v>
      </c>
      <c r="EG297" t="s">
        <v>1536</v>
      </c>
      <c r="EH297" t="s">
        <v>1537</v>
      </c>
      <c r="EI297" t="str">
        <f>HYPERLINK("https://d33htgqikc2pj4.cloudfront.net/27b77360-836f-4e3e-bfdf-1edde966d33c.jpeg", "Пожарные системы Renaissance: Ссылка на изображение")</f>
        <v>Пожарные системы Renaissance: Ссылка на изображение</v>
      </c>
      <c r="EJ297" t="s">
        <v>1640</v>
      </c>
      <c r="EK297" t="s">
        <v>1528</v>
      </c>
      <c r="EL297" t="s">
        <v>394</v>
      </c>
    </row>
    <row r="298" spans="1:147" ht="15" customHeight="1" x14ac:dyDescent="0.35">
      <c r="A298">
        <v>883</v>
      </c>
      <c r="B298" t="s">
        <v>1645</v>
      </c>
      <c r="C298">
        <v>2</v>
      </c>
      <c r="D298" t="str">
        <f>VLOOKUP(source[[#This Row],[Приоритет]],тПриоритеты[],2,0)</f>
        <v>Значительное</v>
      </c>
      <c r="E298" t="str">
        <f>IF(ISBLANK(source[[#This Row],[Проверенные]]),IF(ISBLANK(source[[#This Row],[Завершенные]]),source[[#This Row],[Приоритет_]],"Завершено"),"Проверено")</f>
        <v>Проверено</v>
      </c>
      <c r="F298" t="s">
        <v>866</v>
      </c>
      <c r="G298" t="s">
        <v>1520</v>
      </c>
      <c r="H298" t="e">
        <f>VLOOKUP(source[[#This Row],[Отвественный]],тОтветственные[],2,0)</f>
        <v>#N/A</v>
      </c>
      <c r="I298" s="2">
        <v>43840</v>
      </c>
      <c r="J298" s="2">
        <v>43861</v>
      </c>
      <c r="K298" t="s">
        <v>1653</v>
      </c>
      <c r="L298">
        <v>20.21</v>
      </c>
      <c r="M298">
        <v>52.26</v>
      </c>
      <c r="Q298" t="s">
        <v>379</v>
      </c>
      <c r="R298" t="str">
        <f>HYPERLINK("https://d28ji4sm1vmprj.cloudfront.net/c970bdab1944c2ec8e66b913d5485609/a76a46ba3a3561a6d5ef63d4e0ea9f90.jpeg", "Ссылка на план")</f>
        <v>Ссылка на план</v>
      </c>
      <c r="S298" s="1">
        <v>43840.634953703702</v>
      </c>
      <c r="T298" s="1">
        <v>43866.587060185186</v>
      </c>
      <c r="U298" s="1">
        <v>43867.623391203706</v>
      </c>
      <c r="W298" s="1">
        <v>43867.623553240737</v>
      </c>
      <c r="X298" t="s">
        <v>1522</v>
      </c>
      <c r="EC298" t="str">
        <f>HYPERLINK("https://d33htgqikc2pj4.cloudfront.net/910e26da-ec7f-4166-9345-db450bb0d127.jpeg", "Кирилл Васенков: Ссылка на изображение")</f>
        <v>Кирилл Васенков: Ссылка на изображение</v>
      </c>
      <c r="ED298" t="s">
        <v>1647</v>
      </c>
      <c r="EE298" t="s">
        <v>1004</v>
      </c>
      <c r="EF298" t="s">
        <v>930</v>
      </c>
      <c r="EG298" t="s">
        <v>1535</v>
      </c>
      <c r="EH298" t="s">
        <v>1536</v>
      </c>
      <c r="EI298" t="s">
        <v>1537</v>
      </c>
      <c r="EJ298" t="str">
        <f>HYPERLINK("https://d33htgqikc2pj4.cloudfront.net/67ab7338-86de-4f27-aeba-49642dbbc235.jpeg", "Пожарные системы Renaissance: Ссылка на изображение")</f>
        <v>Пожарные системы Renaissance: Ссылка на изображение</v>
      </c>
      <c r="EK298" t="s">
        <v>1640</v>
      </c>
      <c r="EL298" t="s">
        <v>1528</v>
      </c>
      <c r="EM298" t="s">
        <v>394</v>
      </c>
    </row>
    <row r="299" spans="1:147" ht="15" customHeight="1" x14ac:dyDescent="0.35">
      <c r="A299">
        <v>885</v>
      </c>
      <c r="B299" t="s">
        <v>1645</v>
      </c>
      <c r="C299">
        <v>2</v>
      </c>
      <c r="D299" t="str">
        <f>VLOOKUP(source[[#This Row],[Приоритет]],тПриоритеты[],2,0)</f>
        <v>Значительное</v>
      </c>
      <c r="E299" t="str">
        <f>IF(ISBLANK(source[[#This Row],[Проверенные]]),IF(ISBLANK(source[[#This Row],[Завершенные]]),source[[#This Row],[Приоритет_]],"Завершено"),"Проверено")</f>
        <v>Проверено</v>
      </c>
      <c r="F299" t="s">
        <v>866</v>
      </c>
      <c r="G299" t="s">
        <v>1520</v>
      </c>
      <c r="H299" t="e">
        <f>VLOOKUP(source[[#This Row],[Отвественный]],тОтветственные[],2,0)</f>
        <v>#N/A</v>
      </c>
      <c r="I299" s="2">
        <v>43840</v>
      </c>
      <c r="J299" s="2">
        <v>43861</v>
      </c>
      <c r="K299" t="s">
        <v>1654</v>
      </c>
      <c r="L299">
        <v>16.29</v>
      </c>
      <c r="M299">
        <v>61.01</v>
      </c>
      <c r="Q299" t="s">
        <v>379</v>
      </c>
      <c r="R299" t="str">
        <f>HYPERLINK("https://d28ji4sm1vmprj.cloudfront.net/3e71b3f981234ea05758fecf03060965/83cabe642c9f4c57e2ed27d83c54e0b1.jpeg", "Ссылка на план")</f>
        <v>Ссылка на план</v>
      </c>
      <c r="S299" s="1">
        <v>43840.69159722222</v>
      </c>
      <c r="T299" s="1">
        <v>43866.593136574076</v>
      </c>
      <c r="U299" s="1">
        <v>43866.877291666664</v>
      </c>
      <c r="W299" s="1">
        <v>43866.877291666664</v>
      </c>
      <c r="X299" t="s">
        <v>1522</v>
      </c>
      <c r="EC299" t="s">
        <v>1647</v>
      </c>
      <c r="ED299" t="str">
        <f>HYPERLINK("https://d33htgqikc2pj4.cloudfront.net/b8426744-a43c-4df1-b321-d5b74c7152d0.jpeg", "Кирилл Васенков: Ссылка на изображение")</f>
        <v>Кирилл Васенков: Ссылка на изображение</v>
      </c>
      <c r="EE299" t="s">
        <v>1004</v>
      </c>
      <c r="EF299" t="s">
        <v>930</v>
      </c>
      <c r="EG299" t="s">
        <v>1535</v>
      </c>
      <c r="EH299" t="s">
        <v>1536</v>
      </c>
      <c r="EI299" t="s">
        <v>1537</v>
      </c>
      <c r="EJ299" t="str">
        <f>HYPERLINK("https://d33htgqikc2pj4.cloudfront.net/3920e6fa-8019-4173-9173-a005ae8bd721.jpeg", "Пожарные системы Renaissance: Ссылка на изображение")</f>
        <v>Пожарные системы Renaissance: Ссылка на изображение</v>
      </c>
      <c r="EK299" t="s">
        <v>1640</v>
      </c>
      <c r="EL299" t="s">
        <v>1528</v>
      </c>
      <c r="EM299" t="s">
        <v>1528</v>
      </c>
      <c r="EN299" t="s">
        <v>394</v>
      </c>
    </row>
    <row r="300" spans="1:147" ht="15" customHeight="1" x14ac:dyDescent="0.35">
      <c r="A300">
        <v>884</v>
      </c>
      <c r="B300" t="s">
        <v>1655</v>
      </c>
      <c r="C300">
        <v>2</v>
      </c>
      <c r="D300" t="str">
        <f>VLOOKUP(source[[#This Row],[Приоритет]],тПриоритеты[],2,0)</f>
        <v>Значительное</v>
      </c>
      <c r="E300" t="str">
        <f>IF(ISBLANK(source[[#This Row],[Проверенные]]),IF(ISBLANK(source[[#This Row],[Завершенные]]),source[[#This Row],[Приоритет_]],"Завершено"),"Проверено")</f>
        <v>Проверено</v>
      </c>
      <c r="F300" t="s">
        <v>866</v>
      </c>
      <c r="G300" t="s">
        <v>1520</v>
      </c>
      <c r="H300" t="e">
        <f>VLOOKUP(source[[#This Row],[Отвественный]],тОтветственные[],2,0)</f>
        <v>#N/A</v>
      </c>
      <c r="I300" s="2">
        <v>43840</v>
      </c>
      <c r="J300" s="2">
        <v>43861</v>
      </c>
      <c r="K300" t="s">
        <v>1656</v>
      </c>
      <c r="L300">
        <v>12.76</v>
      </c>
      <c r="M300">
        <v>44.52</v>
      </c>
      <c r="Q300" t="s">
        <v>379</v>
      </c>
      <c r="R300" t="str">
        <f>HYPERLINK("https://d28ji4sm1vmprj.cloudfront.net/aa246c096fcffc58e0df60696a148928/9d0ed27f579a73a37c16bd54d860e8b5.jpeg", "Ссылка на план")</f>
        <v>Ссылка на план</v>
      </c>
      <c r="S300" s="1">
        <v>43840.672650462962</v>
      </c>
      <c r="T300" s="1">
        <v>43866.588125000002</v>
      </c>
      <c r="U300" s="1">
        <v>43867.619513888887</v>
      </c>
      <c r="W300" s="1">
        <v>43867.620347222219</v>
      </c>
      <c r="X300" t="s">
        <v>1522</v>
      </c>
      <c r="EC300" t="s">
        <v>1657</v>
      </c>
      <c r="ED300" t="s">
        <v>930</v>
      </c>
      <c r="EE300" t="s">
        <v>1004</v>
      </c>
      <c r="EF300" t="s">
        <v>1535</v>
      </c>
      <c r="EG300" t="s">
        <v>1536</v>
      </c>
      <c r="EH300" t="s">
        <v>1537</v>
      </c>
      <c r="EI300" t="str">
        <f>HYPERLINK("https://d33htgqikc2pj4.cloudfront.net/746aaac6-2886-4419-b959-d35107569b05.jpeg", "Пожарные системы Renaissance: Ссылка на изображение")</f>
        <v>Пожарные системы Renaissance: Ссылка на изображение</v>
      </c>
      <c r="EJ300" t="s">
        <v>1640</v>
      </c>
      <c r="EK300" t="s">
        <v>1528</v>
      </c>
      <c r="EL300" t="s">
        <v>394</v>
      </c>
    </row>
    <row r="301" spans="1:147" ht="15" customHeight="1" x14ac:dyDescent="0.35">
      <c r="A301">
        <v>985</v>
      </c>
      <c r="B301" t="s">
        <v>1658</v>
      </c>
      <c r="C301">
        <v>2</v>
      </c>
      <c r="D301" t="str">
        <f>VLOOKUP(source[[#This Row],[Приоритет]],тПриоритеты[],2,0)</f>
        <v>Значительное</v>
      </c>
      <c r="E301" t="str">
        <f>IF(ISBLANK(source[[#This Row],[Проверенные]]),IF(ISBLANK(source[[#This Row],[Завершенные]]),source[[#This Row],[Приоритет_]],"Завершено"),"Проверено")</f>
        <v>Проверено</v>
      </c>
      <c r="F301" t="s">
        <v>866</v>
      </c>
      <c r="G301" t="s">
        <v>1520</v>
      </c>
      <c r="H301" t="e">
        <f>VLOOKUP(source[[#This Row],[Отвественный]],тОтветственные[],2,0)</f>
        <v>#N/A</v>
      </c>
      <c r="I301" s="2">
        <v>43851</v>
      </c>
      <c r="J301" s="2">
        <v>43860</v>
      </c>
      <c r="K301" t="s">
        <v>1659</v>
      </c>
      <c r="L301">
        <v>59.22</v>
      </c>
      <c r="M301">
        <v>22.68</v>
      </c>
      <c r="Q301" t="s">
        <v>397</v>
      </c>
      <c r="R301" t="str">
        <f>HYPERLINK("https://d28ji4sm1vmprj.cloudfront.net/cf89f4528b868a244f78c915b9ee6675/e5c93f0a2f12089e613dc7fe1226f0f2.jpeg", "Ссылка на план")</f>
        <v>Ссылка на план</v>
      </c>
      <c r="S301" s="1">
        <v>43851.653553240743</v>
      </c>
      <c r="T301" s="1">
        <v>43866.374976851854</v>
      </c>
      <c r="U301" s="1">
        <v>43866.469502314816</v>
      </c>
      <c r="W301" s="1">
        <v>43866.469548611109</v>
      </c>
      <c r="X301" t="s">
        <v>398</v>
      </c>
      <c r="Y301" t="s">
        <v>399</v>
      </c>
      <c r="Z301" t="s">
        <v>400</v>
      </c>
      <c r="AA301" t="s">
        <v>1660</v>
      </c>
      <c r="EC301" t="s">
        <v>1661</v>
      </c>
      <c r="ED301" t="str">
        <f>HYPERLINK("https://d33htgqikc2pj4.cloudfront.net/3c714d79-07af-439f-b852-18e8de010a57.jpeg", "Кирилл Васенков: Ссылка на изображение")</f>
        <v>Кирилл Васенков: Ссылка на изображение</v>
      </c>
      <c r="EE301" t="s">
        <v>1662</v>
      </c>
      <c r="EF301" t="s">
        <v>1663</v>
      </c>
      <c r="EG301" t="s">
        <v>1664</v>
      </c>
      <c r="EH301" t="s">
        <v>1004</v>
      </c>
      <c r="EI301" t="s">
        <v>930</v>
      </c>
      <c r="EJ301" t="s">
        <v>411</v>
      </c>
      <c r="EK301" t="s">
        <v>1518</v>
      </c>
      <c r="EL301" t="s">
        <v>1537</v>
      </c>
      <c r="EM301" t="s">
        <v>1665</v>
      </c>
      <c r="EN301" t="str">
        <f>HYPERLINK("https://d33htgqikc2pj4.cloudfront.net/410b7c38-9f1f-4cb5-9fc4-90d32d28741c.jpeg", "Пожарные системы Renaissance: Ссылка на изображение")</f>
        <v>Пожарные системы Renaissance: Ссылка на изображение</v>
      </c>
      <c r="EO301" t="s">
        <v>1666</v>
      </c>
      <c r="EP301" t="s">
        <v>1528</v>
      </c>
      <c r="EQ301" t="s">
        <v>394</v>
      </c>
    </row>
    <row r="302" spans="1:147" ht="15" customHeight="1" x14ac:dyDescent="0.35">
      <c r="A302">
        <v>1172</v>
      </c>
      <c r="B302" t="s">
        <v>1667</v>
      </c>
      <c r="C302">
        <v>1</v>
      </c>
      <c r="D302" t="str">
        <f>VLOOKUP(source[[#This Row],[Приоритет]],тПриоритеты[],2,0)</f>
        <v>КРИТИЧЕСКОЕ</v>
      </c>
      <c r="E302" t="str">
        <f>IF(ISBLANK(source[[#This Row],[Проверенные]]),IF(ISBLANK(source[[#This Row],[Завершенные]]),source[[#This Row],[Приоритет_]],"Завершено"),"Проверено")</f>
        <v>КРИТИЧЕСКОЕ</v>
      </c>
      <c r="F302" t="s">
        <v>1668</v>
      </c>
      <c r="G302" t="s">
        <v>1669</v>
      </c>
      <c r="H302" t="e">
        <f>VLOOKUP(source[[#This Row],[Отвественный]],тОтветственные[],2,0)</f>
        <v>#N/A</v>
      </c>
      <c r="I302" s="2">
        <v>43865</v>
      </c>
      <c r="J302" s="2">
        <v>43867</v>
      </c>
      <c r="K302" t="s">
        <v>1670</v>
      </c>
      <c r="L302">
        <v>39.020000000000003</v>
      </c>
      <c r="M302">
        <v>23.69</v>
      </c>
      <c r="Q302" t="s">
        <v>789</v>
      </c>
      <c r="R302" t="str">
        <f>HYPERLINK("https://d28ji4sm1vmprj.cloudfront.net/ad15462a64f9a2745b54f51ce9154d41/1ae5aabc4102d9651fda668fc59d327e.jpeg", "Ссылка на план")</f>
        <v>Ссылка на план</v>
      </c>
      <c r="S302" s="1">
        <v>43865.60974537037</v>
      </c>
      <c r="W302" s="1">
        <v>43866.465983796297</v>
      </c>
      <c r="EC302" t="s">
        <v>1671</v>
      </c>
      <c r="ED302" t="str">
        <f>HYPERLINK("https://d33htgqikc2pj4.cloudfront.net/edf86eb1-375a-470e-b568-b23e9b4b942b.jpeg", "Александр Светашов: Ссылка на изображение")</f>
        <v>Александр Светашов: Ссылка на изображение</v>
      </c>
      <c r="EE302" t="str">
        <f>HYPERLINK("https://d33htgqikc2pj4.cloudfront.net/ef51682f-7532-4354-a023-9a90ce916927.jpeg", "Александр Светашов: Ссылка на изображение")</f>
        <v>Александр Светашов: Ссылка на изображение</v>
      </c>
      <c r="EF302" t="str">
        <f>HYPERLINK("https://d33htgqikc2pj4.cloudfront.net/52d1ef75-52d2-4211-970a-cf7c59b3a7ff.jpeg", "Александр Светашов: Ссылка на изображение")</f>
        <v>Александр Светашов: Ссылка на изображение</v>
      </c>
      <c r="EG302" t="str">
        <f>HYPERLINK("https://d33htgqikc2pj4.cloudfront.net/1218c2ab-ab68-4333-9526-527f0c0550be.jpeg", "Александр Светашов: Ссылка на изображение")</f>
        <v>Александр Светашов: Ссылка на изображение</v>
      </c>
      <c r="EH302" t="s">
        <v>1672</v>
      </c>
      <c r="EI302" t="str">
        <f>HYPERLINK("https://d33htgqikc2pj4.cloudfront.net/fd086559-2726-4a28-85db-bfc1122bd951.jpeg", "Александр Светашов: Ссылка на изображение")</f>
        <v>Александр Светашов: Ссылка на изображение</v>
      </c>
      <c r="EJ302" t="s">
        <v>1673</v>
      </c>
      <c r="EK302" t="s">
        <v>1674</v>
      </c>
      <c r="EL302" t="s">
        <v>1675</v>
      </c>
      <c r="EM302" t="s">
        <v>1676</v>
      </c>
      <c r="EN302" t="s">
        <v>1677</v>
      </c>
      <c r="EO302" t="s">
        <v>1678</v>
      </c>
      <c r="EP302" t="s">
        <v>1679</v>
      </c>
      <c r="EQ302" t="s">
        <v>1680</v>
      </c>
    </row>
    <row r="303" spans="1:147" ht="15" customHeight="1" x14ac:dyDescent="0.35">
      <c r="A303">
        <v>1266</v>
      </c>
      <c r="B303" t="s">
        <v>1681</v>
      </c>
      <c r="C303">
        <v>2</v>
      </c>
      <c r="D303" t="str">
        <f>VLOOKUP(source[[#This Row],[Приоритет]],тПриоритеты[],2,0)</f>
        <v>Значительное</v>
      </c>
      <c r="E303" t="str">
        <f>IF(ISBLANK(source[[#This Row],[Проверенные]]),IF(ISBLANK(source[[#This Row],[Завершенные]]),source[[#This Row],[Приоритет_]],"Завершено"),"Проверено")</f>
        <v>Значительное</v>
      </c>
      <c r="F303" t="s">
        <v>1668</v>
      </c>
      <c r="G303" t="s">
        <v>867</v>
      </c>
      <c r="H303" t="e">
        <f>VLOOKUP(source[[#This Row],[Отвественный]],тОтветственные[],2,0)</f>
        <v>#N/A</v>
      </c>
      <c r="I303" s="2">
        <v>43871</v>
      </c>
      <c r="J303" s="2">
        <v>43873</v>
      </c>
      <c r="K303" t="s">
        <v>1682</v>
      </c>
      <c r="L303">
        <v>0</v>
      </c>
      <c r="M303">
        <v>0</v>
      </c>
      <c r="Q303" t="s">
        <v>279</v>
      </c>
      <c r="R303" t="str">
        <f>HYPERLINK("https://d28ji4sm1vmprj.cloudfront.net/267b648b195aef8de4604b37c41931c7/ea9db198dbb2c60236ac7c991842bfd1.jpeg", "Ссылка на план")</f>
        <v>Ссылка на план</v>
      </c>
      <c r="S303" s="1">
        <v>43871.733854166669</v>
      </c>
      <c r="W303" s="1">
        <v>43871.768020833333</v>
      </c>
      <c r="EC303" t="s">
        <v>1683</v>
      </c>
      <c r="ED303" t="s">
        <v>1684</v>
      </c>
      <c r="EE303" t="s">
        <v>1685</v>
      </c>
      <c r="EF303" t="str">
        <f>HYPERLINK("https://d33htgqikc2pj4.cloudfront.net/1529d60e01ae13e74ff0f47da21d7ad2/0fb24898347dd7caba39b59c2dfca456-file.jpeg", "Юрий Прасолов: Ссылка на изображение")</f>
        <v>Юрий Прасолов: Ссылка на изображение</v>
      </c>
      <c r="EG303" t="str">
        <f>HYPERLINK("https://d33htgqikc2pj4.cloudfront.net/ddccd882d71d51aca848eec0722f9861/60c5cca952345ab4a7b3733fb8021e77-file.jpeg", "Юрий Прасолов: Ссылка на изображение")</f>
        <v>Юрий Прасолов: Ссылка на изображение</v>
      </c>
      <c r="EH303" t="s">
        <v>1686</v>
      </c>
      <c r="EI303" t="s">
        <v>1687</v>
      </c>
      <c r="EJ303" t="s">
        <v>1688</v>
      </c>
      <c r="EK303" t="s">
        <v>1689</v>
      </c>
    </row>
    <row r="304" spans="1:147" ht="15" customHeight="1" x14ac:dyDescent="0.35">
      <c r="A304">
        <v>1268</v>
      </c>
      <c r="B304" t="s">
        <v>1690</v>
      </c>
      <c r="C304">
        <v>2</v>
      </c>
      <c r="D304" t="str">
        <f>VLOOKUP(source[[#This Row],[Приоритет]],тПриоритеты[],2,0)</f>
        <v>Значительное</v>
      </c>
      <c r="E304" t="str">
        <f>IF(ISBLANK(source[[#This Row],[Проверенные]]),IF(ISBLANK(source[[#This Row],[Завершенные]]),source[[#This Row],[Приоритет_]],"Завершено"),"Проверено")</f>
        <v>Значительное</v>
      </c>
      <c r="F304" t="s">
        <v>1668</v>
      </c>
      <c r="G304" t="s">
        <v>867</v>
      </c>
      <c r="H304" t="e">
        <f>VLOOKUP(source[[#This Row],[Отвественный]],тОтветственные[],2,0)</f>
        <v>#N/A</v>
      </c>
      <c r="I304" s="2">
        <v>43871</v>
      </c>
      <c r="J304" s="2">
        <v>43874</v>
      </c>
      <c r="S304" s="1">
        <v>43871.7658912037</v>
      </c>
      <c r="W304" s="1">
        <v>43871.767604166664</v>
      </c>
      <c r="EC304" t="s">
        <v>1691</v>
      </c>
      <c r="ED304" t="s">
        <v>1692</v>
      </c>
      <c r="EE304" t="str">
        <f>HYPERLINK("https://d33htgqikc2pj4.cloudfront.net/20521eb7df10a1976008dd871338d008/018e1c860a206773d0699b1f1ea39762-file.jpeg", "Юрий Прасолов: Ссылка на изображение")</f>
        <v>Юрий Прасолов: Ссылка на изображение</v>
      </c>
      <c r="EF304" t="str">
        <f>HYPERLINK("https://d33htgqikc2pj4.cloudfront.net/5c86a87dcfcab1ef54ff9d4aede9e9dd/361a38783f0ceea47e023f05671029f1-file.jpeg", "Юрий Прасолов: Ссылка на изображение")</f>
        <v>Юрий Прасолов: Ссылка на изображение</v>
      </c>
      <c r="EG304" t="str">
        <f>HYPERLINK("https://d33htgqikc2pj4.cloudfront.net/50fa8b012a7e25b91932385651d75af4/77d250edbadff72a99422a5852928cfb-file.jpeg", "Юрий Прасолов: Ссылка на изображение")</f>
        <v>Юрий Прасолов: Ссылка на изображение</v>
      </c>
      <c r="EH304" t="s">
        <v>1689</v>
      </c>
      <c r="EI304" t="s">
        <v>1686</v>
      </c>
      <c r="EJ304" t="s">
        <v>1693</v>
      </c>
    </row>
    <row r="305" spans="1:158" ht="15" customHeight="1" x14ac:dyDescent="0.35">
      <c r="A305">
        <v>519</v>
      </c>
      <c r="B305" t="s">
        <v>1694</v>
      </c>
      <c r="C305">
        <v>2</v>
      </c>
      <c r="D305" t="str">
        <f>VLOOKUP(source[[#This Row],[Приоритет]],тПриоритеты[],2,0)</f>
        <v>Значительное</v>
      </c>
      <c r="E305" t="str">
        <f>IF(ISBLANK(source[[#This Row],[Проверенные]]),IF(ISBLANK(source[[#This Row],[Завершенные]]),source[[#This Row],[Приоритет_]],"Завершено"),"Проверено")</f>
        <v>Проверено</v>
      </c>
      <c r="F305" t="s">
        <v>1668</v>
      </c>
      <c r="G305" t="s">
        <v>998</v>
      </c>
      <c r="H305" t="e">
        <f>VLOOKUP(source[[#This Row],[Отвественный]],тОтветственные[],2,0)</f>
        <v>#N/A</v>
      </c>
      <c r="I305" s="2">
        <v>43802</v>
      </c>
      <c r="J305" s="2">
        <v>43805</v>
      </c>
      <c r="K305" t="s">
        <v>1695</v>
      </c>
      <c r="L305">
        <v>9.7200000000000006</v>
      </c>
      <c r="M305">
        <v>32</v>
      </c>
      <c r="Q305" t="s">
        <v>1696</v>
      </c>
      <c r="R305" t="str">
        <f>HYPERLINK("https://d28ji4sm1vmprj.cloudfront.net/ae1b9da1b8d7f5336d12f9bd78b659a4/35f68b92eee726bc006589ba1c51b72c.jpeg", "Ссылка на план")</f>
        <v>Ссылка на план</v>
      </c>
      <c r="S305" s="1">
        <v>43802.68712962963</v>
      </c>
      <c r="T305" s="1">
        <v>43809.492615740739</v>
      </c>
      <c r="U305" s="1">
        <v>43809.690763888888</v>
      </c>
      <c r="W305" s="1">
        <v>43809.690775462965</v>
      </c>
      <c r="AH305" t="s">
        <v>1697</v>
      </c>
      <c r="EC305" t="s">
        <v>1698</v>
      </c>
      <c r="ED305" t="str">
        <f>HYPERLINK("https://d33htgqikc2pj4.cloudfront.net/17c5f142-b489-4928-8593-e98d08a8b7f3.jpeg", "Александр Светашов: Ссылка на изображение")</f>
        <v>Александр Светашов: Ссылка на изображение</v>
      </c>
      <c r="EE305" t="str">
        <f>HYPERLINK("https://d33htgqikc2pj4.cloudfront.net/02407f4a-4268-4da6-87ff-0c3f0550619e.jpeg", "Александр Светашов: Ссылка на изображение")</f>
        <v>Александр Светашов: Ссылка на изображение</v>
      </c>
      <c r="EF305" t="str">
        <f>HYPERLINK("https://d33htgqikc2pj4.cloudfront.net/df2edc0a-212d-47ad-83ef-f19766c9c0cc.jpeg", "Александр Светашов: Ссылка на изображение")</f>
        <v>Александр Светашов: Ссылка на изображение</v>
      </c>
      <c r="EG305" t="s">
        <v>1699</v>
      </c>
      <c r="EH305" t="s">
        <v>1675</v>
      </c>
      <c r="EI305" t="s">
        <v>1700</v>
      </c>
      <c r="EJ305" t="s">
        <v>1701</v>
      </c>
      <c r="EK305" t="str">
        <f>HYPERLINK("https://d33htgqikc2pj4.cloudfront.net/ae4324d0-ecd2-46f9-b547-0502da44ff20.jpeg", "Вентиляция Renaissance: Ссылка на изображение")</f>
        <v>Вентиляция Renaissance: Ссылка на изображение</v>
      </c>
      <c r="EL305" t="str">
        <f>HYPERLINK("https://d33htgqikc2pj4.cloudfront.net/17a36e21-6ac7-4d5d-8d45-09c8d96c83d3.jpeg", "Вентиляция Renaissance: Ссылка на изображение")</f>
        <v>Вентиляция Renaissance: Ссылка на изображение</v>
      </c>
      <c r="EM305" t="str">
        <f>HYPERLINK("https://d33htgqikc2pj4.cloudfront.net/c2e33485-2d4e-4230-9b49-55187e55ec5e.jpeg", "Вентиляция Renaissance: Ссылка на изображение")</f>
        <v>Вентиляция Renaissance: Ссылка на изображение</v>
      </c>
      <c r="EN305" t="s">
        <v>987</v>
      </c>
      <c r="EO305" t="s">
        <v>1702</v>
      </c>
      <c r="EP305" t="s">
        <v>1034</v>
      </c>
      <c r="EQ305" t="s">
        <v>1034</v>
      </c>
      <c r="ER305" t="s">
        <v>794</v>
      </c>
      <c r="ES305" t="s">
        <v>1703</v>
      </c>
      <c r="ET305" t="s">
        <v>1704</v>
      </c>
      <c r="EU305" t="s">
        <v>794</v>
      </c>
    </row>
    <row r="306" spans="1:158" ht="15" customHeight="1" x14ac:dyDescent="0.35">
      <c r="A306">
        <v>870</v>
      </c>
      <c r="B306" t="s">
        <v>1705</v>
      </c>
      <c r="C306">
        <v>2</v>
      </c>
      <c r="D306" t="str">
        <f>VLOOKUP(source[[#This Row],[Приоритет]],тПриоритеты[],2,0)</f>
        <v>Значительное</v>
      </c>
      <c r="E306" t="str">
        <f>IF(ISBLANK(source[[#This Row],[Проверенные]]),IF(ISBLANK(source[[#This Row],[Завершенные]]),source[[#This Row],[Приоритет_]],"Завершено"),"Проверено")</f>
        <v>Проверено</v>
      </c>
      <c r="F306" t="s">
        <v>1668</v>
      </c>
      <c r="G306" t="s">
        <v>998</v>
      </c>
      <c r="H306" t="e">
        <f>VLOOKUP(source[[#This Row],[Отвественный]],тОтветственные[],2,0)</f>
        <v>#N/A</v>
      </c>
      <c r="I306" s="2">
        <v>43839</v>
      </c>
      <c r="J306" s="2">
        <v>43848</v>
      </c>
      <c r="K306" t="s">
        <v>1695</v>
      </c>
      <c r="L306">
        <v>25.52</v>
      </c>
      <c r="M306">
        <v>41.76</v>
      </c>
      <c r="Q306" t="s">
        <v>1696</v>
      </c>
      <c r="R306" t="str">
        <f>HYPERLINK("https://d28ji4sm1vmprj.cloudfront.net/ae1b9da1b8d7f5336d12f9bd78b659a4/35f68b92eee726bc006589ba1c51b72c.jpeg", "Ссылка на план")</f>
        <v>Ссылка на план</v>
      </c>
      <c r="S306" s="1">
        <v>43839.636134259257</v>
      </c>
      <c r="T306" s="1">
        <v>43845.747731481482</v>
      </c>
      <c r="U306" s="1">
        <v>43850.468171296299</v>
      </c>
      <c r="W306" s="1">
        <v>43850.468171296299</v>
      </c>
      <c r="AH306" t="s">
        <v>1706</v>
      </c>
      <c r="EC306" t="str">
        <f>HYPERLINK("https://d33htgqikc2pj4.cloudfront.net/46d58f53-2bf0-4a66-9bf2-42f151c5b638.jpeg", "Александр Светашов: Ссылка на изображение")</f>
        <v>Александр Светашов: Ссылка на изображение</v>
      </c>
      <c r="ED306" t="str">
        <f>HYPERLINK("https://d33htgqikc2pj4.cloudfront.net/56803da9-09aa-4cfe-a13c-17bed6e0ccbb.jpeg", "Александр Светашов: Ссылка на изображение")</f>
        <v>Александр Светашов: Ссылка на изображение</v>
      </c>
      <c r="EE306" t="str">
        <f>HYPERLINK("https://d33htgqikc2pj4.cloudfront.net/8b69e2c9-fe07-4f64-9f2a-a7359726669e.jpeg", "Александр Светашов: Ссылка на изображение")</f>
        <v>Александр Светашов: Ссылка на изображение</v>
      </c>
      <c r="EF306" t="str">
        <f>HYPERLINK("https://d33htgqikc2pj4.cloudfront.net/f17e9799-ca66-41ce-8da8-4645e1a2aed3.jpeg", "Александр Светашов: Ссылка на изображение")</f>
        <v>Александр Светашов: Ссылка на изображение</v>
      </c>
      <c r="EG306" t="str">
        <f>HYPERLINK("https://d33htgqikc2pj4.cloudfront.net/408bd705-8520-4503-8b6d-fecef6b188a1.jpeg", "Александр Светашов: Ссылка на изображение")</f>
        <v>Александр Светашов: Ссылка на изображение</v>
      </c>
      <c r="EH306" t="str">
        <f>HYPERLINK("https://d33htgqikc2pj4.cloudfront.net/1160949e-d850-48d8-b4b7-067c95fb1f78.jpeg", "Александр Светашов: Ссылка на изображение")</f>
        <v>Александр Светашов: Ссылка на изображение</v>
      </c>
      <c r="EI306" t="s">
        <v>1707</v>
      </c>
      <c r="EJ306" t="s">
        <v>1699</v>
      </c>
      <c r="EK306" t="s">
        <v>1675</v>
      </c>
      <c r="EL306" t="s">
        <v>1708</v>
      </c>
      <c r="EM306" t="s">
        <v>1709</v>
      </c>
      <c r="EN306" t="str">
        <f>HYPERLINK("https://d33htgqikc2pj4.cloudfront.net/7fa5e61d-380b-481a-ac82-2512f67905a5.jpeg", "Вентиляция Renaissance: Ссылка на изображение")</f>
        <v>Вентиляция Renaissance: Ссылка на изображение</v>
      </c>
      <c r="EO306" t="s">
        <v>1710</v>
      </c>
      <c r="EP306" t="s">
        <v>987</v>
      </c>
      <c r="EQ306" t="s">
        <v>1711</v>
      </c>
      <c r="ER306" t="s">
        <v>1712</v>
      </c>
      <c r="ES306" t="str">
        <f>HYPERLINK("https://cdn.filestackcontent.com/whPWylQCSC82t4raFZQL", "Вентиляция Renaissance: Ссылка на файл")</f>
        <v>Вентиляция Renaissance: Ссылка на файл</v>
      </c>
      <c r="ET306" t="s">
        <v>1033</v>
      </c>
      <c r="EU306" t="s">
        <v>987</v>
      </c>
      <c r="EV306" t="s">
        <v>794</v>
      </c>
    </row>
    <row r="307" spans="1:158" ht="15" customHeight="1" x14ac:dyDescent="0.35">
      <c r="A307">
        <v>1227</v>
      </c>
      <c r="B307" t="s">
        <v>1713</v>
      </c>
      <c r="C307">
        <v>1</v>
      </c>
      <c r="D307" t="str">
        <f>VLOOKUP(source[[#This Row],[Приоритет]],тПриоритеты[],2,0)</f>
        <v>КРИТИЧЕСКОЕ</v>
      </c>
      <c r="E307" t="str">
        <f>IF(ISBLANK(source[[#This Row],[Проверенные]]),IF(ISBLANK(source[[#This Row],[Завершенные]]),source[[#This Row],[Приоритет_]],"Завершено"),"Проверено")</f>
        <v>КРИТИЧЕСКОЕ</v>
      </c>
      <c r="F307" t="s">
        <v>1668</v>
      </c>
      <c r="G307" t="s">
        <v>1714</v>
      </c>
      <c r="H307" t="e">
        <f>VLOOKUP(source[[#This Row],[Отвественный]],тОтветственные[],2,0)</f>
        <v>#N/A</v>
      </c>
      <c r="I307" s="2">
        <v>43867</v>
      </c>
      <c r="J307" s="2">
        <v>43867</v>
      </c>
      <c r="K307" t="s">
        <v>1695</v>
      </c>
      <c r="L307">
        <v>40.880000000000003</v>
      </c>
      <c r="M307">
        <v>45.92</v>
      </c>
      <c r="Q307" t="s">
        <v>1696</v>
      </c>
      <c r="R307" t="str">
        <f>HYPERLINK("https://d28ji4sm1vmprj.cloudfront.net/ae1b9da1b8d7f5336d12f9bd78b659a4/35f68b92eee726bc006589ba1c51b72c.jpeg", "Ссылка на план")</f>
        <v>Ссылка на план</v>
      </c>
      <c r="S307" s="1">
        <v>43868.453611111108</v>
      </c>
      <c r="W307" s="1">
        <v>43868.453634259262</v>
      </c>
      <c r="EC307" t="s">
        <v>1715</v>
      </c>
      <c r="ED307" t="str">
        <f>HYPERLINK("https://d33htgqikc2pj4.cloudfront.net/c767c41b-a7e7-4894-a6d3-e02130974892.jpeg", "Александр Светашов: Ссылка на изображение")</f>
        <v>Александр Светашов: Ссылка на изображение</v>
      </c>
      <c r="EE307" t="str">
        <f>HYPERLINK("https://d33htgqikc2pj4.cloudfront.net/87b50b90-0d5d-49c8-b218-3fb77a91015a.jpeg", "Александр Светашов: Ссылка на изображение")</f>
        <v>Александр Светашов: Ссылка на изображение</v>
      </c>
      <c r="EF307" t="str">
        <f>HYPERLINK("https://d33htgqikc2pj4.cloudfront.net/8ebdffc1-e1b0-4248-97b2-229c6628a6e3.jpeg", "Александр Светашов: Ссылка на изображение")</f>
        <v>Александр Светашов: Ссылка на изображение</v>
      </c>
      <c r="EG307" t="str">
        <f>HYPERLINK("https://d33htgqikc2pj4.cloudfront.net/4c908aaf-cfcc-4152-be82-1c47fe80f128.jpeg", "Александр Светашов: Ссылка на изображение")</f>
        <v>Александр Светашов: Ссылка на изображение</v>
      </c>
      <c r="EH307" t="s">
        <v>1716</v>
      </c>
      <c r="EI307" t="s">
        <v>1676</v>
      </c>
      <c r="EJ307" t="s">
        <v>1717</v>
      </c>
      <c r="EK307" t="s">
        <v>1718</v>
      </c>
      <c r="EL307" t="s">
        <v>1675</v>
      </c>
    </row>
    <row r="308" spans="1:158" ht="15" customHeight="1" x14ac:dyDescent="0.35">
      <c r="A308">
        <v>1265</v>
      </c>
      <c r="B308" t="s">
        <v>1719</v>
      </c>
      <c r="C308">
        <v>1</v>
      </c>
      <c r="D308" t="str">
        <f>VLOOKUP(source[[#This Row],[Приоритет]],тПриоритеты[],2,0)</f>
        <v>КРИТИЧЕСКОЕ</v>
      </c>
      <c r="E308" t="str">
        <f>IF(ISBLANK(source[[#This Row],[Проверенные]]),IF(ISBLANK(source[[#This Row],[Завершенные]]),source[[#This Row],[Приоритет_]],"Завершено"),"Проверено")</f>
        <v>КРИТИЧЕСКОЕ</v>
      </c>
      <c r="F308" t="s">
        <v>1668</v>
      </c>
      <c r="G308" t="s">
        <v>1714</v>
      </c>
      <c r="H308" t="e">
        <f>VLOOKUP(source[[#This Row],[Отвественный]],тОтветственные[],2,0)</f>
        <v>#N/A</v>
      </c>
      <c r="I308" s="2">
        <v>43871</v>
      </c>
      <c r="J308" s="2">
        <v>43871</v>
      </c>
      <c r="K308" t="s">
        <v>1720</v>
      </c>
      <c r="L308">
        <v>5.87</v>
      </c>
      <c r="M308">
        <v>22.23</v>
      </c>
      <c r="Q308" t="s">
        <v>1721</v>
      </c>
      <c r="R308" t="str">
        <f>HYPERLINK("https://d28ji4sm1vmprj.cloudfront.net/c1c1b591ce77c82044efa6b5d6f7663a/cf818dc1bc24c008af413328cec2292d.jpeg", "Ссылка на план")</f>
        <v>Ссылка на план</v>
      </c>
      <c r="S308" s="1">
        <v>43871.671365740738</v>
      </c>
      <c r="W308" s="1">
        <v>43871.674120370371</v>
      </c>
      <c r="EC308" t="s">
        <v>1722</v>
      </c>
      <c r="ED308" t="str">
        <f>HYPERLINK("https://d33htgqikc2pj4.cloudfront.net/1c0058fe-d25e-48c4-9438-8ec44d976a28.jpeg", "Александр Светашов: Ссылка на изображение")</f>
        <v>Александр Светашов: Ссылка на изображение</v>
      </c>
      <c r="EE308" t="str">
        <f>HYPERLINK("https://d33htgqikc2pj4.cloudfront.net/004926a5-8f6e-4367-946d-5577e6f38305.jpeg", "Александр Светашов: Ссылка на изображение")</f>
        <v>Александр Светашов: Ссылка на изображение</v>
      </c>
      <c r="EF308" t="str">
        <f>HYPERLINK("https://d33htgqikc2pj4.cloudfront.net/e0e4a44b-d47f-4a9c-a12e-f1a6315a4810.jpeg", "Александр Светашов: Ссылка на изображение")</f>
        <v>Александр Светашов: Ссылка на изображение</v>
      </c>
      <c r="EG308" t="str">
        <f>HYPERLINK("https://d33htgqikc2pj4.cloudfront.net/13658124-ecc3-45f1-a0ea-096a4dac3b85.jpeg", "Александр Светашов: Ссылка на изображение")</f>
        <v>Александр Светашов: Ссылка на изображение</v>
      </c>
      <c r="EH308" t="str">
        <f>HYPERLINK("https://d33htgqikc2pj4.cloudfront.net/996e0ddc-b3a3-4f1d-84e6-901234d25eaf.jpeg", "Александр Светашов: Ссылка на изображение")</f>
        <v>Александр Светашов: Ссылка на изображение</v>
      </c>
      <c r="EI308" t="str">
        <f>HYPERLINK("https://d33htgqikc2pj4.cloudfront.net/facc0673-34a9-4053-8e6b-85ef36fb1195.jpeg", "Александр Светашов: Ссылка на изображение")</f>
        <v>Александр Светашов: Ссылка на изображение</v>
      </c>
      <c r="EJ308" t="s">
        <v>1723</v>
      </c>
      <c r="EK308" t="s">
        <v>1717</v>
      </c>
      <c r="EL308" t="s">
        <v>1675</v>
      </c>
      <c r="EM308" t="s">
        <v>1724</v>
      </c>
      <c r="EN308" t="s">
        <v>1676</v>
      </c>
      <c r="EO308" t="str">
        <f>HYPERLINK("https://d33htgqikc2pj4.cloudfront.net/ed9e3da5-8047-4e40-9150-8c0ad396c6ab.jpeg", "Александр Светашов: Ссылка на изображение")</f>
        <v>Александр Светашов: Ссылка на изображение</v>
      </c>
      <c r="EP308" t="str">
        <f>HYPERLINK("https://d33htgqikc2pj4.cloudfront.net/a909451b-f30a-4125-a9ec-81dd694e7e85.jpeg", "Александр Светашов: Ссылка на изображение")</f>
        <v>Александр Светашов: Ссылка на изображение</v>
      </c>
    </row>
    <row r="309" spans="1:158" ht="15" customHeight="1" x14ac:dyDescent="0.35">
      <c r="A309">
        <v>59</v>
      </c>
      <c r="B309" t="s">
        <v>1725</v>
      </c>
      <c r="C309">
        <v>2</v>
      </c>
      <c r="D309" t="str">
        <f>VLOOKUP(source[[#This Row],[Приоритет]],тПриоритеты[],2,0)</f>
        <v>Значительное</v>
      </c>
      <c r="E309" t="str">
        <f>IF(ISBLANK(source[[#This Row],[Проверенные]]),IF(ISBLANK(source[[#This Row],[Завершенные]]),source[[#This Row],[Приоритет_]],"Завершено"),"Проверено")</f>
        <v>Значительное</v>
      </c>
      <c r="F309" t="s">
        <v>1668</v>
      </c>
      <c r="G309" t="s">
        <v>1714</v>
      </c>
      <c r="H309" t="e">
        <f>VLOOKUP(source[[#This Row],[Отвественный]],тОтветственные[],2,0)</f>
        <v>#N/A</v>
      </c>
      <c r="I309" s="2">
        <v>43670</v>
      </c>
      <c r="J309" s="2">
        <v>43850</v>
      </c>
      <c r="S309" s="1">
        <v>43770.459467592591</v>
      </c>
      <c r="W309" s="1">
        <v>43812.625613425924</v>
      </c>
      <c r="EC309" s="3" t="s">
        <v>1726</v>
      </c>
      <c r="ED309" t="s">
        <v>1727</v>
      </c>
      <c r="EE309" t="s">
        <v>1164</v>
      </c>
      <c r="EF309" t="s">
        <v>1728</v>
      </c>
      <c r="EG309" t="s">
        <v>1729</v>
      </c>
    </row>
    <row r="310" spans="1:158" ht="15" customHeight="1" x14ac:dyDescent="0.35">
      <c r="A310">
        <v>461</v>
      </c>
      <c r="B310" t="s">
        <v>1730</v>
      </c>
      <c r="C310">
        <v>2</v>
      </c>
      <c r="D310" t="str">
        <f>VLOOKUP(source[[#This Row],[Приоритет]],тПриоритеты[],2,0)</f>
        <v>Значительное</v>
      </c>
      <c r="E310" t="str">
        <f>IF(ISBLANK(source[[#This Row],[Проверенные]]),IF(ISBLANK(source[[#This Row],[Завершенные]]),source[[#This Row],[Приоритет_]],"Завершено"),"Проверено")</f>
        <v>Проверено</v>
      </c>
      <c r="F310" t="s">
        <v>1668</v>
      </c>
      <c r="G310" t="s">
        <v>1714</v>
      </c>
      <c r="H310" t="e">
        <f>VLOOKUP(source[[#This Row],[Отвественный]],тОтветственные[],2,0)</f>
        <v>#N/A</v>
      </c>
      <c r="I310" s="2">
        <v>43796</v>
      </c>
      <c r="J310" s="2">
        <v>43798</v>
      </c>
      <c r="K310" t="s">
        <v>927</v>
      </c>
      <c r="L310">
        <v>25.15</v>
      </c>
      <c r="M310">
        <v>81.73</v>
      </c>
      <c r="Q310" t="s">
        <v>869</v>
      </c>
      <c r="R310" t="str">
        <f>HYPERLINK("https://d28ji4sm1vmprj.cloudfront.net/84877ae00d252a331f20d261e482d24a/3ac8e5d686f8af046321d1a593e3f07f.jpeg", "Ссылка на план")</f>
        <v>Ссылка на план</v>
      </c>
      <c r="S310" s="1">
        <v>43797.407222222224</v>
      </c>
      <c r="T310" s="1">
        <v>43805.678113425929</v>
      </c>
      <c r="U310" s="1">
        <v>43808.751122685186</v>
      </c>
      <c r="W310" s="1">
        <v>43808.751145833332</v>
      </c>
      <c r="AH310" t="s">
        <v>1731</v>
      </c>
      <c r="AI310" t="s">
        <v>1732</v>
      </c>
      <c r="EC310" t="s">
        <v>1733</v>
      </c>
      <c r="ED310" t="str">
        <f>HYPERLINK("https://d33htgqikc2pj4.cloudfront.net/5c59a34b-dbf1-40b1-8db6-ab11c7083fb3.jpeg", "Александр Светашов: Ссылка на изображение")</f>
        <v>Александр Светашов: Ссылка на изображение</v>
      </c>
      <c r="EE310" t="str">
        <f>HYPERLINK("https://d33htgqikc2pj4.cloudfront.net/55ae8336-7d55-43af-892b-18131e0ec9ea.jpeg", "Александр Светашов: Ссылка на изображение")</f>
        <v>Александр Светашов: Ссылка на изображение</v>
      </c>
      <c r="EF310" t="str">
        <f>HYPERLINK("https://d33htgqikc2pj4.cloudfront.net/c46eb72e-da2e-42f3-ba85-6d1d90f234d4.jpeg", "Александр Светашов: Ссылка на изображение")</f>
        <v>Александр Светашов: Ссылка на изображение</v>
      </c>
      <c r="EG310" t="str">
        <f>HYPERLINK("https://d33htgqikc2pj4.cloudfront.net/ba22030d-b2c7-4ec3-bde2-b8119c413888.jpeg", "Александр Светашов: Ссылка на изображение")</f>
        <v>Александр Светашов: Ссылка на изображение</v>
      </c>
      <c r="EH310" t="str">
        <f>HYPERLINK("https://d33htgqikc2pj4.cloudfront.net/525ce9f5-59dc-40c8-8007-60f6f56514fa.jpeg", "Александр Светашов: Ссылка на изображение")</f>
        <v>Александр Светашов: Ссылка на изображение</v>
      </c>
      <c r="EI310" t="str">
        <f>HYPERLINK("https://d33htgqikc2pj4.cloudfront.net/ed954e46-24b9-4de0-b08c-a5d5f4e85716.jpeg", "Александр Светашов: Ссылка на изображение")</f>
        <v>Александр Светашов: Ссылка на изображение</v>
      </c>
      <c r="EJ310" t="str">
        <f>HYPERLINK("https://d33htgqikc2pj4.cloudfront.net/d1b8d82b-6bcc-48a3-aeb1-e95eb7b84d18.jpeg", "Александр Светашов: Ссылка на изображение")</f>
        <v>Александр Светашов: Ссылка на изображение</v>
      </c>
      <c r="EK310" t="str">
        <f>HYPERLINK("https://d33htgqikc2pj4.cloudfront.net/f57e2d8b-248f-46ce-9eb9-88ed7fe5b5cf.jpeg", "Александр Светашов: Ссылка на изображение")</f>
        <v>Александр Светашов: Ссылка на изображение</v>
      </c>
      <c r="EL310" t="str">
        <f>HYPERLINK("https://d33htgqikc2pj4.cloudfront.net/3e441344-21b2-4b0b-b26f-795453a23d3d.jpeg", "Александр Светашов: Ссылка на изображение")</f>
        <v>Александр Светашов: Ссылка на изображение</v>
      </c>
      <c r="EM310" t="str">
        <f>HYPERLINK("https://d33htgqikc2pj4.cloudfront.net/559c7982-a881-4214-8e22-880366809e1f.jpeg", "Александр Светашов: Ссылка на изображение")</f>
        <v>Александр Светашов: Ссылка на изображение</v>
      </c>
      <c r="EN310" t="str">
        <f>HYPERLINK("https://d33htgqikc2pj4.cloudfront.net/5cad560c-6c80-48c7-9358-6feaec70a5d9.jpeg", "Александр Светашов: Ссылка на изображение")</f>
        <v>Александр Светашов: Ссылка на изображение</v>
      </c>
      <c r="EO310" t="str">
        <f>HYPERLINK("https://d33htgqikc2pj4.cloudfront.net/6fd541f3-c7c2-4478-8a21-579de38f198f.jpeg", "Александр Светашов: Ссылка на изображение")</f>
        <v>Александр Светашов: Ссылка на изображение</v>
      </c>
      <c r="EP310" t="str">
        <f>HYPERLINK("https://d33htgqikc2pj4.cloudfront.net/e48abccf-8291-42f4-b8b9-db8bb4a5c8a4.jpeg", "Александр Светашов: Ссылка на изображение")</f>
        <v>Александр Светашов: Ссылка на изображение</v>
      </c>
      <c r="EQ310" t="s">
        <v>1675</v>
      </c>
      <c r="ER310" t="s">
        <v>1734</v>
      </c>
      <c r="ES310" t="s">
        <v>1735</v>
      </c>
      <c r="ET310" t="s">
        <v>1736</v>
      </c>
      <c r="EU310" t="s">
        <v>1737</v>
      </c>
      <c r="EV310" t="s">
        <v>1738</v>
      </c>
      <c r="EW310" t="s">
        <v>1739</v>
      </c>
      <c r="EX310" t="s">
        <v>1728</v>
      </c>
      <c r="EY310" t="s">
        <v>1740</v>
      </c>
      <c r="EZ310" t="s">
        <v>1741</v>
      </c>
      <c r="FA310" t="s">
        <v>1742</v>
      </c>
      <c r="FB310" t="s">
        <v>794</v>
      </c>
    </row>
    <row r="311" spans="1:158" ht="15" customHeight="1" x14ac:dyDescent="0.35">
      <c r="A311">
        <v>766</v>
      </c>
      <c r="B311" t="s">
        <v>1743</v>
      </c>
      <c r="C311">
        <v>1</v>
      </c>
      <c r="D311" t="str">
        <f>VLOOKUP(source[[#This Row],[Приоритет]],тПриоритеты[],2,0)</f>
        <v>КРИТИЧЕСКОЕ</v>
      </c>
      <c r="E311" t="str">
        <f>IF(ISBLANK(source[[#This Row],[Проверенные]]),IF(ISBLANK(source[[#This Row],[Завершенные]]),source[[#This Row],[Приоритет_]],"Завершено"),"Проверено")</f>
        <v>Проверено</v>
      </c>
      <c r="F311" t="s">
        <v>1668</v>
      </c>
      <c r="G311" t="s">
        <v>1714</v>
      </c>
      <c r="H311" t="e">
        <f>VLOOKUP(source[[#This Row],[Отвественный]],тОтветственные[],2,0)</f>
        <v>#N/A</v>
      </c>
      <c r="I311" s="2">
        <v>43823</v>
      </c>
      <c r="J311" s="2">
        <v>43826</v>
      </c>
      <c r="K311" t="s">
        <v>1744</v>
      </c>
      <c r="L311">
        <v>17.96</v>
      </c>
      <c r="M311">
        <v>9.2899999999999991</v>
      </c>
      <c r="Q311" t="s">
        <v>789</v>
      </c>
      <c r="R311" t="str">
        <f>HYPERLINK("https://d28ji4sm1vmprj.cloudfront.net/fef8708b6596d839a8437c2d28fc7511/adfc34a5d467b3abd1a95fc5511d50ae.jpeg", "Ссылка на план")</f>
        <v>Ссылка на план</v>
      </c>
      <c r="S311" s="1">
        <v>43823.719942129632</v>
      </c>
      <c r="T311" s="1">
        <v>43824.355370370373</v>
      </c>
      <c r="U311" s="1">
        <v>43824.475381944445</v>
      </c>
      <c r="W311" s="1">
        <v>43824.475393518522</v>
      </c>
      <c r="AH311" t="s">
        <v>1745</v>
      </c>
      <c r="EC311" t="s">
        <v>1746</v>
      </c>
      <c r="ED311" t="str">
        <f>HYPERLINK("https://d33htgqikc2pj4.cloudfront.net/51007d32-d23a-40ff-8d1a-11242685f04d.jpeg", "Александр Светашов: Ссылка на изображение")</f>
        <v>Александр Светашов: Ссылка на изображение</v>
      </c>
      <c r="EE311" t="str">
        <f>HYPERLINK("https://d33htgqikc2pj4.cloudfront.net/67374a11-e764-4cb7-83c6-a0b4afd1da91.jpeg", "Александр Светашов: Ссылка на изображение")</f>
        <v>Александр Светашов: Ссылка на изображение</v>
      </c>
      <c r="EF311" t="str">
        <f>HYPERLINK("https://d33htgqikc2pj4.cloudfront.net/d35df805-1490-4bb8-886f-9108d5169699.jpeg", "Александр Светашов: Ссылка на изображение")</f>
        <v>Александр Светашов: Ссылка на изображение</v>
      </c>
      <c r="EG311" t="str">
        <f>HYPERLINK("https://d33htgqikc2pj4.cloudfront.net/44b3c06b-8fd2-427f-867c-c4aa4dfff8a3.jpeg", "Александр Светашов: Ссылка на изображение")</f>
        <v>Александр Светашов: Ссылка на изображение</v>
      </c>
      <c r="EH311" t="str">
        <f>HYPERLINK("https://d33htgqikc2pj4.cloudfront.net/20bf0ec8-5209-46e3-9e6b-d048e456c82f.jpeg", "Александр Светашов: Ссылка на изображение")</f>
        <v>Александр Светашов: Ссылка на изображение</v>
      </c>
      <c r="EI311" t="str">
        <f>HYPERLINK("https://d33htgqikc2pj4.cloudfront.net/4effa318-a632-46d1-a80d-2f361ad1bad2.jpeg", "Александр Светашов: Ссылка на изображение")</f>
        <v>Александр Светашов: Ссылка на изображение</v>
      </c>
      <c r="EJ311" t="str">
        <f>HYPERLINK("https://d33htgqikc2pj4.cloudfront.net/a5083af4-9b82-421e-81ad-ae09e6160fd9.jpeg", "Александр Светашов: Ссылка на изображение")</f>
        <v>Александр Светашов: Ссылка на изображение</v>
      </c>
      <c r="EK311" t="str">
        <f>HYPERLINK("https://d33htgqikc2pj4.cloudfront.net/5b0fc8e4-8f2e-431f-96ff-22cda97d7305.jpeg", "Александр Светашов: Ссылка на изображение")</f>
        <v>Александр Светашов: Ссылка на изображение</v>
      </c>
      <c r="EL311" t="str">
        <f>HYPERLINK("https://d33htgqikc2pj4.cloudfront.net/7701af34-3dba-4588-b5da-f2372d396451.jpeg", "Александр Светашов: Ссылка на изображение")</f>
        <v>Александр Светашов: Ссылка на изображение</v>
      </c>
      <c r="EM311" t="str">
        <f>HYPERLINK("https://d33htgqikc2pj4.cloudfront.net/27f5ed26-d56b-4c3b-80e5-141103af0f82.jpeg", "Александр Светашов: Ссылка на изображение")</f>
        <v>Александр Светашов: Ссылка на изображение</v>
      </c>
      <c r="EN311" t="str">
        <f>HYPERLINK("https://d33htgqikc2pj4.cloudfront.net/9aa36847-0718-4a65-b1aa-ebedfb893ff6.jpeg", "Александр Светашов: Ссылка на изображение")</f>
        <v>Александр Светашов: Ссылка на изображение</v>
      </c>
      <c r="EO311" t="str">
        <f>HYPERLINK("https://d33htgqikc2pj4.cloudfront.net/de69d293-fbe0-4c33-9f19-0974b0d740b2.jpeg", "Александр Светашов: Ссылка на изображение")</f>
        <v>Александр Светашов: Ссылка на изображение</v>
      </c>
      <c r="EP311" t="s">
        <v>1676</v>
      </c>
      <c r="EQ311" t="s">
        <v>1717</v>
      </c>
      <c r="ER311" t="s">
        <v>1675</v>
      </c>
      <c r="ES311" t="s">
        <v>1747</v>
      </c>
      <c r="ET311" t="s">
        <v>1748</v>
      </c>
      <c r="EU311" t="s">
        <v>1749</v>
      </c>
      <c r="EV311" t="s">
        <v>1750</v>
      </c>
      <c r="EW311" t="s">
        <v>1742</v>
      </c>
      <c r="EX311" t="s">
        <v>794</v>
      </c>
    </row>
    <row r="312" spans="1:158" ht="15" customHeight="1" x14ac:dyDescent="0.35">
      <c r="A312">
        <v>773</v>
      </c>
      <c r="B312" t="s">
        <v>1751</v>
      </c>
      <c r="C312">
        <v>1</v>
      </c>
      <c r="D312" t="str">
        <f>VLOOKUP(source[[#This Row],[Приоритет]],тПриоритеты[],2,0)</f>
        <v>КРИТИЧЕСКОЕ</v>
      </c>
      <c r="E312" t="str">
        <f>IF(ISBLANK(source[[#This Row],[Проверенные]]),IF(ISBLANK(source[[#This Row],[Завершенные]]),source[[#This Row],[Приоритет_]],"Завершено"),"Проверено")</f>
        <v>Проверено</v>
      </c>
      <c r="F312" t="s">
        <v>1668</v>
      </c>
      <c r="G312" t="s">
        <v>1714</v>
      </c>
      <c r="H312" t="e">
        <f>VLOOKUP(source[[#This Row],[Отвественный]],тОтветственные[],2,0)</f>
        <v>#N/A</v>
      </c>
      <c r="I312" s="2">
        <v>43824</v>
      </c>
      <c r="J312" s="2">
        <v>43826</v>
      </c>
      <c r="K312" t="s">
        <v>1752</v>
      </c>
      <c r="L312">
        <v>14.68</v>
      </c>
      <c r="M312">
        <v>55.24</v>
      </c>
      <c r="Q312" t="s">
        <v>789</v>
      </c>
      <c r="R312" t="str">
        <f>HYPERLINK("https://d28ji4sm1vmprj.cloudfront.net/b670843e50128b9d44a484693c793a37/eeeca288094079ac4145e6770b2946c4.jpeg", "Ссылка на план")</f>
        <v>Ссылка на план</v>
      </c>
      <c r="S312" s="1">
        <v>43824.614398148151</v>
      </c>
      <c r="T312" s="1">
        <v>43825.773321759261</v>
      </c>
      <c r="U312" s="1">
        <v>43825.781678240739</v>
      </c>
      <c r="W312" s="1">
        <v>43825.781689814816</v>
      </c>
      <c r="AH312" t="s">
        <v>1753</v>
      </c>
      <c r="EC312" t="s">
        <v>1754</v>
      </c>
      <c r="ED312" t="str">
        <f>HYPERLINK("https://d33htgqikc2pj4.cloudfront.net/600d5518-8be7-45ae-899c-7f1dacefc0db.jpeg", "Александр Светашов: Ссылка на изображение")</f>
        <v>Александр Светашов: Ссылка на изображение</v>
      </c>
      <c r="EE312" t="str">
        <f>HYPERLINK("https://d33htgqikc2pj4.cloudfront.net/93c702bb-a5c2-4fe1-83f0-034641e3fe38.jpeg", "Александр Светашов: Ссылка на изображение")</f>
        <v>Александр Светашов: Ссылка на изображение</v>
      </c>
      <c r="EF312" t="str">
        <f>HYPERLINK("https://d33htgqikc2pj4.cloudfront.net/83de3ca1-dd7d-4327-909b-efd4acfbde65.jpeg", "Александр Светашов: Ссылка на изображение")</f>
        <v>Александр Светашов: Ссылка на изображение</v>
      </c>
      <c r="EG312" t="str">
        <f>HYPERLINK("https://d33htgqikc2pj4.cloudfront.net/237dcfc2-7f8d-4881-a448-55250a133a8f.jpeg", "Александр Светашов: Ссылка на изображение")</f>
        <v>Александр Светашов: Ссылка на изображение</v>
      </c>
      <c r="EH312" t="s">
        <v>1676</v>
      </c>
      <c r="EI312" t="s">
        <v>1717</v>
      </c>
      <c r="EJ312" t="s">
        <v>1675</v>
      </c>
      <c r="EK312" t="s">
        <v>1755</v>
      </c>
      <c r="EL312" t="s">
        <v>1748</v>
      </c>
      <c r="EM312" t="str">
        <f>HYPERLINK("https://d33htgqikc2pj4.cloudfront.net/46a3fcf6-6281-431d-be7e-b269a4cb128f.jpeg", "Евгений Кузнецов: Ссылка на изображение")</f>
        <v>Евгений Кузнецов: Ссылка на изображение</v>
      </c>
      <c r="EN312" t="str">
        <f>HYPERLINK("https://d33htgqikc2pj4.cloudfront.net/737d56a6-d4a6-4fd3-8a8c-317e6e10f73a.jpeg", "Евгений Кузнецов: Ссылка на изображение")</f>
        <v>Евгений Кузнецов: Ссылка на изображение</v>
      </c>
      <c r="EO312" t="str">
        <f>HYPERLINK("https://d33htgqikc2pj4.cloudfront.net/b8758462-defb-488e-bad7-b74611f9a1ea.jpeg", "Евгений Кузнецов: Ссылка на изображение")</f>
        <v>Евгений Кузнецов: Ссылка на изображение</v>
      </c>
      <c r="EP312" t="str">
        <f>HYPERLINK("https://d33htgqikc2pj4.cloudfront.net/4a2a34c8-6790-4501-a6b5-b22397db4b62.jpeg", "Евгений Кузнецов: Ссылка на изображение")</f>
        <v>Евгений Кузнецов: Ссылка на изображение</v>
      </c>
      <c r="EQ312" t="s">
        <v>1756</v>
      </c>
      <c r="ER312" t="s">
        <v>1742</v>
      </c>
      <c r="ES312" t="s">
        <v>794</v>
      </c>
    </row>
    <row r="313" spans="1:158" ht="15" customHeight="1" x14ac:dyDescent="0.35">
      <c r="A313">
        <v>692</v>
      </c>
      <c r="B313" t="s">
        <v>1757</v>
      </c>
      <c r="C313">
        <v>2</v>
      </c>
      <c r="D313" t="str">
        <f>VLOOKUP(source[[#This Row],[Приоритет]],тПриоритеты[],2,0)</f>
        <v>Значительное</v>
      </c>
      <c r="E313" t="str">
        <f>IF(ISBLANK(source[[#This Row],[Проверенные]]),IF(ISBLANK(source[[#This Row],[Завершенные]]),source[[#This Row],[Приоритет_]],"Завершено"),"Проверено")</f>
        <v>Проверено</v>
      </c>
      <c r="F313" t="s">
        <v>1668</v>
      </c>
      <c r="G313" t="s">
        <v>1714</v>
      </c>
      <c r="H313" t="e">
        <f>VLOOKUP(source[[#This Row],[Отвественный]],тОтветственные[],2,0)</f>
        <v>#N/A</v>
      </c>
      <c r="I313" s="2">
        <v>43819</v>
      </c>
      <c r="J313" s="2">
        <v>43823</v>
      </c>
      <c r="K313" t="s">
        <v>1720</v>
      </c>
      <c r="L313">
        <v>47.41</v>
      </c>
      <c r="M313">
        <v>31.49</v>
      </c>
      <c r="Q313" t="s">
        <v>1721</v>
      </c>
      <c r="R313" t="str">
        <f>HYPERLINK("https://d28ji4sm1vmprj.cloudfront.net/c1c1b591ce77c82044efa6b5d6f7663a/cf818dc1bc24c008af413328cec2292d.jpeg", "Ссылка на план")</f>
        <v>Ссылка на план</v>
      </c>
      <c r="S313" s="1">
        <v>43819.639467592591</v>
      </c>
      <c r="T313" s="1">
        <v>43824.365763888891</v>
      </c>
      <c r="U313" s="1">
        <v>43826.412997685184</v>
      </c>
      <c r="W313" s="1">
        <v>43826.41300925926</v>
      </c>
      <c r="AH313" t="s">
        <v>1758</v>
      </c>
      <c r="AI313" t="s">
        <v>1759</v>
      </c>
      <c r="EC313" t="s">
        <v>1760</v>
      </c>
      <c r="ED313" t="str">
        <f>HYPERLINK("https://d33htgqikc2pj4.cloudfront.net/2ea461a4-79e0-4b2f-9710-72c481e017ae.jpeg", "Александр Светашов: Ссылка на изображение")</f>
        <v>Александр Светашов: Ссылка на изображение</v>
      </c>
      <c r="EE313" t="str">
        <f>HYPERLINK("https://d33htgqikc2pj4.cloudfront.net/ee2dc5f7-68e5-41fa-b21a-89ce7afbd4a2.jpeg", "Александр Светашов: Ссылка на изображение")</f>
        <v>Александр Светашов: Ссылка на изображение</v>
      </c>
      <c r="EF313" t="str">
        <f>HYPERLINK("https://d33htgqikc2pj4.cloudfront.net/199a6e7a-fb29-4870-b59e-8d4f90dde267.jpeg", "Александр Светашов: Ссылка на изображение")</f>
        <v>Александр Светашов: Ссылка на изображение</v>
      </c>
      <c r="EG313" t="str">
        <f>HYPERLINK("https://d33htgqikc2pj4.cloudfront.net/bb14e7f9-3e8c-4872-979d-f48d272d4c31.jpeg", "Александр Светашов: Ссылка на изображение")</f>
        <v>Александр Светашов: Ссылка на изображение</v>
      </c>
      <c r="EH313" t="str">
        <f>HYPERLINK("https://d33htgqikc2pj4.cloudfront.net/8a29fa60-2fea-4b36-b266-0e3ebb9fcf02.jpeg", "Александр Светашов: Ссылка на изображение")</f>
        <v>Александр Светашов: Ссылка на изображение</v>
      </c>
      <c r="EI313" t="str">
        <f>HYPERLINK("https://d33htgqikc2pj4.cloudfront.net/1aff10fe-7cc0-4c86-9aa3-764f431b390a.jpeg", "Александр Светашов: Ссылка на изображение")</f>
        <v>Александр Светашов: Ссылка на изображение</v>
      </c>
      <c r="EJ313" t="str">
        <f>HYPERLINK("https://d33htgqikc2pj4.cloudfront.net/6101320e-51d0-4d93-afaf-52fa61128c33.jpeg", "Александр Светашов: Ссылка на изображение")</f>
        <v>Александр Светашов: Ссылка на изображение</v>
      </c>
      <c r="EK313" t="str">
        <f>HYPERLINK("https://d33htgqikc2pj4.cloudfront.net/cfc3bcbe-3e1e-4ad4-8da0-ce1a4c918128.jpeg", "Александр Светашов: Ссылка на изображение")</f>
        <v>Александр Светашов: Ссылка на изображение</v>
      </c>
      <c r="EL313" t="s">
        <v>1717</v>
      </c>
      <c r="EM313" t="s">
        <v>1675</v>
      </c>
      <c r="EN313" t="s">
        <v>793</v>
      </c>
      <c r="EO313" t="s">
        <v>1761</v>
      </c>
      <c r="EP313" t="s">
        <v>1762</v>
      </c>
      <c r="EQ313" t="s">
        <v>1763</v>
      </c>
      <c r="ER313" t="s">
        <v>1742</v>
      </c>
      <c r="ES313" t="s">
        <v>794</v>
      </c>
    </row>
    <row r="314" spans="1:158" ht="15" customHeight="1" x14ac:dyDescent="0.35">
      <c r="A314">
        <v>512</v>
      </c>
      <c r="B314" t="s">
        <v>1764</v>
      </c>
      <c r="C314">
        <v>2</v>
      </c>
      <c r="D314" t="str">
        <f>VLOOKUP(source[[#This Row],[Приоритет]],тПриоритеты[],2,0)</f>
        <v>Значительное</v>
      </c>
      <c r="E314" t="str">
        <f>IF(ISBLANK(source[[#This Row],[Проверенные]]),IF(ISBLANK(source[[#This Row],[Завершенные]]),source[[#This Row],[Приоритет_]],"Завершено"),"Проверено")</f>
        <v>Проверено</v>
      </c>
      <c r="F314" t="s">
        <v>1668</v>
      </c>
      <c r="G314" t="s">
        <v>1714</v>
      </c>
      <c r="H314" t="e">
        <f>VLOOKUP(source[[#This Row],[Отвественный]],тОтветственные[],2,0)</f>
        <v>#N/A</v>
      </c>
      <c r="I314" s="2">
        <v>43802</v>
      </c>
      <c r="J314" s="2">
        <v>43805</v>
      </c>
      <c r="K314" t="s">
        <v>1670</v>
      </c>
      <c r="L314">
        <v>30.68</v>
      </c>
      <c r="M314">
        <v>49.2</v>
      </c>
      <c r="Q314" t="s">
        <v>789</v>
      </c>
      <c r="R314" t="str">
        <f>HYPERLINK("https://d28ji4sm1vmprj.cloudfront.net/ad15462a64f9a2745b54f51ce9154d41/1ae5aabc4102d9651fda668fc59d327e.jpeg", "Ссылка на план")</f>
        <v>Ссылка на план</v>
      </c>
      <c r="S314" s="1">
        <v>43802.438599537039</v>
      </c>
      <c r="T314" s="1">
        <v>43811.368252314816</v>
      </c>
      <c r="U314" s="1">
        <v>43811.746006944442</v>
      </c>
      <c r="W314" s="1">
        <v>43811.746006944442</v>
      </c>
      <c r="AH314" t="s">
        <v>1765</v>
      </c>
      <c r="EC314" t="s">
        <v>1766</v>
      </c>
      <c r="ED314" t="str">
        <f>HYPERLINK("https://d33htgqikc2pj4.cloudfront.net/4be0e90f-436d-4a94-ba31-678ffc166854.jpeg", "Александр Светашов: Ссылка на изображение")</f>
        <v>Александр Светашов: Ссылка на изображение</v>
      </c>
      <c r="EE314" t="str">
        <f>HYPERLINK("https://d33htgqikc2pj4.cloudfront.net/4d1db5a5-8bc6-4dba-aa5c-40686b8266f0.jpeg", "Александр Светашов: Ссылка на изображение")</f>
        <v>Александр Светашов: Ссылка на изображение</v>
      </c>
      <c r="EF314" t="str">
        <f>HYPERLINK("https://d33htgqikc2pj4.cloudfront.net/e7c3d80d-74ed-46b0-8ddb-1c717fdb4401.jpeg", "Александр Светашов: Ссылка на изображение")</f>
        <v>Александр Светашов: Ссылка на изображение</v>
      </c>
      <c r="EG314" t="str">
        <f>HYPERLINK("https://d33htgqikc2pj4.cloudfront.net/abc1dcb5-c717-42e1-8c0a-40c3661fc813.jpeg", "Александр Светашов: Ссылка на изображение")</f>
        <v>Александр Светашов: Ссылка на изображение</v>
      </c>
      <c r="EH314" t="str">
        <f>HYPERLINK("https://d33htgqikc2pj4.cloudfront.net/50b0a1a4-dd93-46d9-b2ac-1b74b16ce84c.jpeg", "Александр Светашов: Ссылка на изображение")</f>
        <v>Александр Светашов: Ссылка на изображение</v>
      </c>
      <c r="EI314" t="str">
        <f>HYPERLINK("https://d33htgqikc2pj4.cloudfront.net/afe2165a-9ab4-4389-be36-1ba06073ceec.jpeg", "Александр Светашов: Ссылка на изображение")</f>
        <v>Александр Светашов: Ссылка на изображение</v>
      </c>
      <c r="EJ314" t="s">
        <v>1767</v>
      </c>
      <c r="EK314" t="s">
        <v>1700</v>
      </c>
      <c r="EL314" t="s">
        <v>1701</v>
      </c>
      <c r="EM314" t="s">
        <v>1675</v>
      </c>
      <c r="EN314" t="s">
        <v>1768</v>
      </c>
      <c r="EO314" t="s">
        <v>1769</v>
      </c>
      <c r="EP314" t="s">
        <v>1742</v>
      </c>
      <c r="EQ314" t="s">
        <v>794</v>
      </c>
    </row>
    <row r="315" spans="1:158" ht="15" customHeight="1" x14ac:dyDescent="0.35">
      <c r="A315">
        <v>73</v>
      </c>
      <c r="B315" t="s">
        <v>1770</v>
      </c>
      <c r="C315">
        <v>2</v>
      </c>
      <c r="D315" t="str">
        <f>VLOOKUP(source[[#This Row],[Приоритет]],тПриоритеты[],2,0)</f>
        <v>Значительное</v>
      </c>
      <c r="E315" t="str">
        <f>IF(ISBLANK(source[[#This Row],[Проверенные]]),IF(ISBLANK(source[[#This Row],[Завершенные]]),source[[#This Row],[Приоритет_]],"Завершено"),"Проверено")</f>
        <v>Проверено</v>
      </c>
      <c r="F315" t="s">
        <v>1668</v>
      </c>
      <c r="G315" t="s">
        <v>1714</v>
      </c>
      <c r="H315" t="e">
        <f>VLOOKUP(source[[#This Row],[Отвественный]],тОтветственные[],2,0)</f>
        <v>#N/A</v>
      </c>
      <c r="I315" s="2">
        <v>43745</v>
      </c>
      <c r="J315" s="2">
        <v>43749</v>
      </c>
      <c r="N315" t="s">
        <v>1771</v>
      </c>
      <c r="S315" s="1">
        <v>43770.459537037037</v>
      </c>
      <c r="T315" s="1">
        <v>43781.359988425924</v>
      </c>
      <c r="U315" s="1">
        <v>43797.496087962965</v>
      </c>
      <c r="W315" s="1">
        <v>43797.496087962965</v>
      </c>
      <c r="EC315" s="3" t="s">
        <v>1772</v>
      </c>
      <c r="ED315" t="s">
        <v>1773</v>
      </c>
      <c r="EE315" t="s">
        <v>1774</v>
      </c>
      <c r="EF315" t="s">
        <v>1164</v>
      </c>
      <c r="EG315" t="s">
        <v>1728</v>
      </c>
      <c r="EH315" t="s">
        <v>1775</v>
      </c>
      <c r="EI315" t="str">
        <f>HYPERLINK("https://d33htgqikc2pj4.cloudfront.net/f9d723b5-0fd0-46c6-8fe6-68bbe70c2615.jpeg", "Евгений Кузнецов: Ссылка на изображение")</f>
        <v>Евгений Кузнецов: Ссылка на изображение</v>
      </c>
      <c r="EJ315" t="s">
        <v>1775</v>
      </c>
      <c r="EK315" t="s">
        <v>1775</v>
      </c>
      <c r="EL315" t="s">
        <v>1776</v>
      </c>
      <c r="EM315" t="s">
        <v>1777</v>
      </c>
      <c r="EN315" t="s">
        <v>794</v>
      </c>
    </row>
    <row r="316" spans="1:158" ht="15" customHeight="1" x14ac:dyDescent="0.35">
      <c r="A316">
        <v>77</v>
      </c>
      <c r="B316" t="s">
        <v>1778</v>
      </c>
      <c r="C316">
        <v>2</v>
      </c>
      <c r="D316" t="str">
        <f>VLOOKUP(source[[#This Row],[Приоритет]],тПриоритеты[],2,0)</f>
        <v>Значительное</v>
      </c>
      <c r="E316" t="str">
        <f>IF(ISBLANK(source[[#This Row],[Проверенные]]),IF(ISBLANK(source[[#This Row],[Завершенные]]),source[[#This Row],[Приоритет_]],"Завершено"),"Проверено")</f>
        <v>Проверено</v>
      </c>
      <c r="F316" t="s">
        <v>1668</v>
      </c>
      <c r="G316" t="s">
        <v>1714</v>
      </c>
      <c r="H316" t="e">
        <f>VLOOKUP(source[[#This Row],[Отвественный]],тОтветственные[],2,0)</f>
        <v>#N/A</v>
      </c>
      <c r="I316" s="2">
        <v>43756</v>
      </c>
      <c r="J316" s="2">
        <v>43759</v>
      </c>
      <c r="N316" t="s">
        <v>1779</v>
      </c>
      <c r="S316" s="1">
        <v>43770.459560185183</v>
      </c>
      <c r="T316" s="1">
        <v>43805.670266203706</v>
      </c>
      <c r="U316" s="1">
        <v>43808.740902777776</v>
      </c>
      <c r="W316" s="1">
        <v>43808.740902777776</v>
      </c>
      <c r="EC316" t="s">
        <v>1780</v>
      </c>
      <c r="ED316" t="s">
        <v>1781</v>
      </c>
      <c r="EE316" t="s">
        <v>1782</v>
      </c>
      <c r="EF316" t="s">
        <v>1164</v>
      </c>
      <c r="EG316" t="s">
        <v>1783</v>
      </c>
      <c r="EH316" t="s">
        <v>1784</v>
      </c>
      <c r="EI316" t="s">
        <v>1785</v>
      </c>
      <c r="EJ316" t="s">
        <v>1786</v>
      </c>
      <c r="EK316" t="s">
        <v>1787</v>
      </c>
      <c r="EL316" t="s">
        <v>1788</v>
      </c>
      <c r="EM316" t="s">
        <v>1789</v>
      </c>
      <c r="EN316" t="s">
        <v>1790</v>
      </c>
      <c r="EO316" t="s">
        <v>1791</v>
      </c>
      <c r="EP316" t="s">
        <v>1742</v>
      </c>
      <c r="EQ316" t="s">
        <v>836</v>
      </c>
    </row>
    <row r="317" spans="1:158" ht="15" customHeight="1" x14ac:dyDescent="0.35">
      <c r="A317">
        <v>163</v>
      </c>
      <c r="B317" t="s">
        <v>1792</v>
      </c>
      <c r="C317">
        <v>1</v>
      </c>
      <c r="D317" t="str">
        <f>VLOOKUP(source[[#This Row],[Приоритет]],тПриоритеты[],2,0)</f>
        <v>КРИТИЧЕСКОЕ</v>
      </c>
      <c r="E317" t="str">
        <f>IF(ISBLANK(source[[#This Row],[Проверенные]]),IF(ISBLANK(source[[#This Row],[Завершенные]]),source[[#This Row],[Приоритет_]],"Завершено"),"Проверено")</f>
        <v>Проверено</v>
      </c>
      <c r="F317" t="s">
        <v>1668</v>
      </c>
      <c r="G317" t="s">
        <v>1714</v>
      </c>
      <c r="H317" t="e">
        <f>VLOOKUP(source[[#This Row],[Отвественный]],тОтветственные[],2,0)</f>
        <v>#N/A</v>
      </c>
      <c r="S317" s="1">
        <v>43775.577094907407</v>
      </c>
      <c r="T317" s="1">
        <v>43791.170057870368</v>
      </c>
      <c r="U317" s="1">
        <v>43797.496238425927</v>
      </c>
      <c r="W317" s="1">
        <v>43797.496238425927</v>
      </c>
      <c r="X317" t="s">
        <v>1793</v>
      </c>
      <c r="AH317" t="s">
        <v>1794</v>
      </c>
      <c r="AI317" t="s">
        <v>1795</v>
      </c>
      <c r="AJ317" t="s">
        <v>1796</v>
      </c>
      <c r="AK317" t="s">
        <v>1797</v>
      </c>
      <c r="AL317" t="s">
        <v>1798</v>
      </c>
      <c r="AM317" t="s">
        <v>1799</v>
      </c>
      <c r="AN317" t="s">
        <v>1800</v>
      </c>
      <c r="AO317" t="s">
        <v>1801</v>
      </c>
      <c r="AP317" t="s">
        <v>1802</v>
      </c>
      <c r="AQ317" t="s">
        <v>1803</v>
      </c>
      <c r="AR317" t="s">
        <v>1804</v>
      </c>
      <c r="AS317" t="s">
        <v>1805</v>
      </c>
      <c r="AT317" t="s">
        <v>1806</v>
      </c>
      <c r="AU317" t="s">
        <v>1807</v>
      </c>
      <c r="AV317" t="s">
        <v>1808</v>
      </c>
      <c r="AW317" t="s">
        <v>1809</v>
      </c>
      <c r="AX317" t="s">
        <v>1810</v>
      </c>
      <c r="AY317" t="s">
        <v>1811</v>
      </c>
      <c r="AZ317" t="s">
        <v>1812</v>
      </c>
      <c r="BA317" t="s">
        <v>1813</v>
      </c>
      <c r="BB317" t="s">
        <v>1814</v>
      </c>
      <c r="BC317" t="s">
        <v>1815</v>
      </c>
      <c r="BD317" t="s">
        <v>1816</v>
      </c>
      <c r="BE317" t="s">
        <v>1817</v>
      </c>
      <c r="BF317" t="s">
        <v>1818</v>
      </c>
      <c r="BG317" t="s">
        <v>1819</v>
      </c>
      <c r="BH317" t="s">
        <v>1820</v>
      </c>
      <c r="BI317" t="s">
        <v>1821</v>
      </c>
      <c r="BJ317" t="s">
        <v>1822</v>
      </c>
      <c r="BK317" t="s">
        <v>1823</v>
      </c>
      <c r="BL317" t="s">
        <v>1824</v>
      </c>
      <c r="BM317" t="s">
        <v>1825</v>
      </c>
      <c r="BN317" t="s">
        <v>1826</v>
      </c>
      <c r="BO317" t="s">
        <v>1827</v>
      </c>
      <c r="BP317" t="s">
        <v>1828</v>
      </c>
      <c r="BQ317" t="s">
        <v>1829</v>
      </c>
      <c r="BR317" t="s">
        <v>1830</v>
      </c>
      <c r="BS317" t="s">
        <v>1831</v>
      </c>
      <c r="BT317" t="s">
        <v>1832</v>
      </c>
      <c r="BU317" t="s">
        <v>1833</v>
      </c>
      <c r="BV317" t="s">
        <v>1834</v>
      </c>
      <c r="BW317" t="s">
        <v>1835</v>
      </c>
      <c r="BX317" t="s">
        <v>1836</v>
      </c>
      <c r="BY317" t="s">
        <v>1837</v>
      </c>
      <c r="BZ317" t="s">
        <v>1838</v>
      </c>
      <c r="CA317" t="s">
        <v>1839</v>
      </c>
      <c r="CB317" t="s">
        <v>1840</v>
      </c>
      <c r="CC317" t="s">
        <v>1841</v>
      </c>
      <c r="CD317" t="s">
        <v>1842</v>
      </c>
      <c r="CE317" t="s">
        <v>1843</v>
      </c>
      <c r="CF317" t="s">
        <v>1844</v>
      </c>
      <c r="CG317" t="s">
        <v>1845</v>
      </c>
      <c r="CH317" t="s">
        <v>1846</v>
      </c>
      <c r="CI317" t="s">
        <v>1847</v>
      </c>
      <c r="CJ317" t="s">
        <v>1848</v>
      </c>
      <c r="CK317" t="s">
        <v>1849</v>
      </c>
      <c r="CL317" t="s">
        <v>1850</v>
      </c>
      <c r="CM317" t="s">
        <v>1851</v>
      </c>
      <c r="CN317" t="s">
        <v>1852</v>
      </c>
      <c r="CO317" t="s">
        <v>1853</v>
      </c>
      <c r="CP317" t="s">
        <v>1854</v>
      </c>
      <c r="CQ317" t="s">
        <v>1855</v>
      </c>
      <c r="CR317" t="s">
        <v>1856</v>
      </c>
      <c r="CS317" t="s">
        <v>1857</v>
      </c>
      <c r="CT317" t="s">
        <v>1858</v>
      </c>
      <c r="CU317" t="s">
        <v>1859</v>
      </c>
      <c r="CV317" t="s">
        <v>1860</v>
      </c>
      <c r="CW317" t="s">
        <v>1861</v>
      </c>
      <c r="CX317" t="s">
        <v>1862</v>
      </c>
      <c r="CY317" t="s">
        <v>1863</v>
      </c>
      <c r="CZ317" t="s">
        <v>1864</v>
      </c>
      <c r="DA317" t="s">
        <v>1865</v>
      </c>
      <c r="DB317" t="s">
        <v>1866</v>
      </c>
      <c r="DC317" t="s">
        <v>1867</v>
      </c>
      <c r="DD317" t="s">
        <v>1868</v>
      </c>
      <c r="DE317" t="s">
        <v>1869</v>
      </c>
      <c r="DF317" t="s">
        <v>1870</v>
      </c>
      <c r="DG317" t="s">
        <v>1871</v>
      </c>
      <c r="DH317" t="s">
        <v>1872</v>
      </c>
      <c r="DI317" t="s">
        <v>1873</v>
      </c>
      <c r="DJ317" t="s">
        <v>1874</v>
      </c>
      <c r="DK317" t="s">
        <v>1875</v>
      </c>
      <c r="DL317" t="s">
        <v>1876</v>
      </c>
      <c r="DM317" t="s">
        <v>1877</v>
      </c>
      <c r="DN317" t="s">
        <v>1878</v>
      </c>
      <c r="DO317" t="s">
        <v>1879</v>
      </c>
      <c r="DP317" t="s">
        <v>1880</v>
      </c>
      <c r="DQ317" t="s">
        <v>1881</v>
      </c>
      <c r="DR317" t="s">
        <v>1882</v>
      </c>
      <c r="DS317" t="s">
        <v>1883</v>
      </c>
      <c r="DT317" t="s">
        <v>1884</v>
      </c>
      <c r="DU317" t="s">
        <v>1885</v>
      </c>
      <c r="DV317" t="s">
        <v>1886</v>
      </c>
      <c r="DW317" t="s">
        <v>1887</v>
      </c>
      <c r="DX317" t="s">
        <v>1888</v>
      </c>
      <c r="DY317" t="s">
        <v>1889</v>
      </c>
      <c r="DZ317" t="s">
        <v>1890</v>
      </c>
      <c r="EA317" t="s">
        <v>1891</v>
      </c>
      <c r="EB317" t="s">
        <v>1892</v>
      </c>
      <c r="EC317" t="s">
        <v>1893</v>
      </c>
      <c r="ED317" t="s">
        <v>1894</v>
      </c>
      <c r="EE317" t="s">
        <v>1895</v>
      </c>
      <c r="EF317" t="s">
        <v>1896</v>
      </c>
      <c r="EG317" t="str">
        <f>HYPERLINK("https://d33htgqikc2pj4.cloudfront.net/95fdecd8-b8a1-4a86-b324-0ff8ee487a56.jpeg", "Алексей Бирюков: Ссылка на изображение")</f>
        <v>Алексей Бирюков: Ссылка на изображение</v>
      </c>
      <c r="EH317" t="str">
        <f>HYPERLINK("https://d33htgqikc2pj4.cloudfront.net/12c77016-7384-4c17-aa3a-86d15adaaa1d.jpeg", "Алексей Бирюков: Ссылка на изображение")</f>
        <v>Алексей Бирюков: Ссылка на изображение</v>
      </c>
      <c r="EI317" t="str">
        <f>HYPERLINK("https://d33htgqikc2pj4.cloudfront.net/e2c10eed-1d6c-4178-993a-3889eb46ebe4.jpeg", "Алексей Бирюков: Ссылка на изображение")</f>
        <v>Алексей Бирюков: Ссылка на изображение</v>
      </c>
      <c r="EJ317" t="str">
        <f>HYPERLINK("https://d33htgqikc2pj4.cloudfront.net/3c4cb107-0225-4006-9080-e14b9c89334e.jpeg", "Алексей Бирюков: Ссылка на изображение")</f>
        <v>Алексей Бирюков: Ссылка на изображение</v>
      </c>
      <c r="EK317" t="s">
        <v>1897</v>
      </c>
      <c r="EL317" t="s">
        <v>1898</v>
      </c>
      <c r="EM317" t="s">
        <v>1899</v>
      </c>
      <c r="EN317" t="s">
        <v>976</v>
      </c>
      <c r="EO317" t="s">
        <v>1900</v>
      </c>
      <c r="EP317" t="str">
        <f>HYPERLINK("https://d33htgqikc2pj4.cloudfront.net/1d3ba053-295d-48ac-9144-435c40a66eb6.jpeg", "Евгений Кузнецов: Ссылка на изображение")</f>
        <v>Евгений Кузнецов: Ссылка на изображение</v>
      </c>
      <c r="EQ317" t="str">
        <f>HYPERLINK("https://d33htgqikc2pj4.cloudfront.net/1ee45145-817a-45c8-993b-9cfae19449ed.jpeg", "Евгений Кузнецов: Ссылка на изображение")</f>
        <v>Евгений Кузнецов: Ссылка на изображение</v>
      </c>
      <c r="ER317" t="str">
        <f>HYPERLINK("https://d33htgqikc2pj4.cloudfront.net/df1bf9fc-ba0c-4862-96b2-b007181fde3b.jpeg", "Евгений Кузнецов: Ссылка на изображение")</f>
        <v>Евгений Кузнецов: Ссылка на изображение</v>
      </c>
      <c r="ES317" t="s">
        <v>1901</v>
      </c>
      <c r="ET317" t="s">
        <v>1902</v>
      </c>
      <c r="EU317" t="s">
        <v>1899</v>
      </c>
      <c r="EV317" t="s">
        <v>1902</v>
      </c>
      <c r="EW317" t="s">
        <v>836</v>
      </c>
      <c r="EX317" t="s">
        <v>1902</v>
      </c>
      <c r="EY317" t="s">
        <v>794</v>
      </c>
    </row>
    <row r="318" spans="1:158" ht="15" customHeight="1" x14ac:dyDescent="0.35">
      <c r="A318">
        <v>620</v>
      </c>
      <c r="B318" t="s">
        <v>1903</v>
      </c>
      <c r="C318">
        <v>1</v>
      </c>
      <c r="D318" t="str">
        <f>VLOOKUP(source[[#This Row],[Приоритет]],тПриоритеты[],2,0)</f>
        <v>КРИТИЧЕСКОЕ</v>
      </c>
      <c r="E318" t="str">
        <f>IF(ISBLANK(source[[#This Row],[Проверенные]]),IF(ISBLANK(source[[#This Row],[Завершенные]]),source[[#This Row],[Приоритет_]],"Завершено"),"Проверено")</f>
        <v>Проверено</v>
      </c>
      <c r="F318" t="s">
        <v>1668</v>
      </c>
      <c r="G318" t="s">
        <v>1714</v>
      </c>
      <c r="H318" t="e">
        <f>VLOOKUP(source[[#This Row],[Отвественный]],тОтветственные[],2,0)</f>
        <v>#N/A</v>
      </c>
      <c r="I318" s="2">
        <v>43812</v>
      </c>
      <c r="J318" s="2">
        <v>43812</v>
      </c>
      <c r="K318" t="s">
        <v>1720</v>
      </c>
      <c r="L318">
        <v>45.96</v>
      </c>
      <c r="M318">
        <v>47.59</v>
      </c>
      <c r="Q318" t="s">
        <v>1721</v>
      </c>
      <c r="R318" t="str">
        <f>HYPERLINK("https://d28ji4sm1vmprj.cloudfront.net/c1c1b591ce77c82044efa6b5d6f7663a/cf818dc1bc24c008af413328cec2292d.jpeg", "Ссылка на план")</f>
        <v>Ссылка на план</v>
      </c>
      <c r="S318" s="1">
        <v>43812.606666666667</v>
      </c>
      <c r="T318" s="1">
        <v>43817.350902777776</v>
      </c>
      <c r="U318" s="1">
        <v>43817.356689814813</v>
      </c>
      <c r="W318" s="1">
        <v>43817.356712962966</v>
      </c>
      <c r="AH318" t="s">
        <v>1904</v>
      </c>
      <c r="AI318" t="s">
        <v>1905</v>
      </c>
      <c r="EC318" t="s">
        <v>1906</v>
      </c>
      <c r="ED318" t="str">
        <f>HYPERLINK("https://d33htgqikc2pj4.cloudfront.net/665cfdbd-fe6b-48b8-af86-3ea692c3f1fe.jpeg", "Александр Светашов: Ссылка на изображение")</f>
        <v>Александр Светашов: Ссылка на изображение</v>
      </c>
      <c r="EE318" t="str">
        <f>HYPERLINK("https://d33htgqikc2pj4.cloudfront.net/3adc71fa-6cca-48a8-8828-5596e53864ec.jpeg", "Александр Светашов: Ссылка на изображение")</f>
        <v>Александр Светашов: Ссылка на изображение</v>
      </c>
      <c r="EF318" t="str">
        <f>HYPERLINK("https://d33htgqikc2pj4.cloudfront.net/fa0743dd-8bfb-43db-bc13-ed358144a7f4.jpeg", "Александр Светашов: Ссылка на изображение")</f>
        <v>Александр Светашов: Ссылка на изображение</v>
      </c>
      <c r="EG318" t="str">
        <f>HYPERLINK("https://d33htgqikc2pj4.cloudfront.net/7c9e10d6-3129-463c-acd8-f12f8cc52c64.jpeg", "Александр Светашов: Ссылка на изображение")</f>
        <v>Александр Светашов: Ссылка на изображение</v>
      </c>
      <c r="EH318" t="str">
        <f>HYPERLINK("https://d33htgqikc2pj4.cloudfront.net/39ccf9cd-df31-40df-bf98-a667f9cda48e.jpeg", "Александр Светашов: Ссылка на изображение")</f>
        <v>Александр Светашов: Ссылка на изображение</v>
      </c>
      <c r="EI318" t="str">
        <f>HYPERLINK("https://d33htgqikc2pj4.cloudfront.net/5b588a0d-4b64-4915-bbd0-2796e06f186b.jpeg", "Александр Светашов: Ссылка на изображение")</f>
        <v>Александр Светашов: Ссылка на изображение</v>
      </c>
      <c r="EJ318" t="s">
        <v>1717</v>
      </c>
      <c r="EK318" t="s">
        <v>1675</v>
      </c>
      <c r="EL318" t="s">
        <v>1907</v>
      </c>
      <c r="EM318" t="s">
        <v>1908</v>
      </c>
      <c r="EN318" t="s">
        <v>1909</v>
      </c>
      <c r="EO318" t="s">
        <v>1742</v>
      </c>
      <c r="EP318" t="s">
        <v>1910</v>
      </c>
      <c r="EQ318" t="s">
        <v>1676</v>
      </c>
      <c r="ER318" t="s">
        <v>1911</v>
      </c>
      <c r="ES318" t="s">
        <v>1742</v>
      </c>
      <c r="ET318" t="s">
        <v>794</v>
      </c>
    </row>
    <row r="319" spans="1:158" ht="15" customHeight="1" x14ac:dyDescent="0.35">
      <c r="A319">
        <v>1080</v>
      </c>
      <c r="B319" t="s">
        <v>1912</v>
      </c>
      <c r="C319">
        <v>1</v>
      </c>
      <c r="D319" t="str">
        <f>VLOOKUP(source[[#This Row],[Приоритет]],тПриоритеты[],2,0)</f>
        <v>КРИТИЧЕСКОЕ</v>
      </c>
      <c r="E319" t="str">
        <f>IF(ISBLANK(source[[#This Row],[Проверенные]]),IF(ISBLANK(source[[#This Row],[Завершенные]]),source[[#This Row],[Приоритет_]],"Завершено"),"Проверено")</f>
        <v>КРИТИЧЕСКОЕ</v>
      </c>
      <c r="F319" t="s">
        <v>1668</v>
      </c>
      <c r="G319" t="s">
        <v>269</v>
      </c>
      <c r="H319" t="e">
        <f>VLOOKUP(source[[#This Row],[Отвественный]],тОтветственные[],2,0)</f>
        <v>#N/A</v>
      </c>
      <c r="I319" s="2">
        <v>43859</v>
      </c>
      <c r="J319" s="2">
        <v>43866</v>
      </c>
      <c r="K319" t="s">
        <v>1913</v>
      </c>
      <c r="L319">
        <v>36.619999999999997</v>
      </c>
      <c r="M319">
        <v>32.94</v>
      </c>
      <c r="Q319" t="s">
        <v>789</v>
      </c>
      <c r="R319" t="str">
        <f>HYPERLINK("https://d28ji4sm1vmprj.cloudfront.net/66b42f802263492bba17f2ae7b1443c7/e21aa70d5981168508628998e6a067af.jpeg", "Ссылка на план")</f>
        <v>Ссылка на план</v>
      </c>
      <c r="S319" s="1">
        <v>43859.426203703704</v>
      </c>
      <c r="W319" s="1">
        <v>43865.493981481479</v>
      </c>
      <c r="EC319" t="s">
        <v>1914</v>
      </c>
      <c r="ED319" t="str">
        <f>HYPERLINK("https://d33htgqikc2pj4.cloudfront.net/05185eae-daef-4446-8931-04aa0e9b0cbd.jpeg", "Александр Светашов: Ссылка на изображение")</f>
        <v>Александр Светашов: Ссылка на изображение</v>
      </c>
      <c r="EE319" t="str">
        <f>HYPERLINK("https://d33htgqikc2pj4.cloudfront.net/1aef9369-e83e-4ab0-9220-0b21ee708d02.jpeg", "Александр Светашов: Ссылка на изображение")</f>
        <v>Александр Светашов: Ссылка на изображение</v>
      </c>
      <c r="EF319" t="str">
        <f>HYPERLINK("https://d33htgqikc2pj4.cloudfront.net/c015f2be-95f1-4bf8-b0b0-c692d842831d.jpeg", "Александр Светашов: Ссылка на изображение")</f>
        <v>Александр Светашов: Ссылка на изображение</v>
      </c>
      <c r="EG319" t="str">
        <f>HYPERLINK("https://d33htgqikc2pj4.cloudfront.net/ef10565e-5e52-4b9e-8866-88a366367b22.jpeg", "Александр Светашов: Ссылка на изображение")</f>
        <v>Александр Светашов: Ссылка на изображение</v>
      </c>
      <c r="EH319" t="str">
        <f>HYPERLINK("https://d33htgqikc2pj4.cloudfront.net/908af102-abbc-4bcf-a67d-56d417cd7dd4.jpeg", "Александр Светашов: Ссылка на изображение")</f>
        <v>Александр Светашов: Ссылка на изображение</v>
      </c>
      <c r="EI319" t="str">
        <f>HYPERLINK("https://d33htgqikc2pj4.cloudfront.net/574c7a7b-ef7a-4aa8-962c-4dae5639f7bc.jpeg", "Александр Светашов: Ссылка на изображение")</f>
        <v>Александр Светашов: Ссылка на изображение</v>
      </c>
      <c r="EJ319" t="s">
        <v>1915</v>
      </c>
      <c r="EK319" t="s">
        <v>1673</v>
      </c>
      <c r="EL319" t="s">
        <v>1676</v>
      </c>
      <c r="EM319" t="s">
        <v>1675</v>
      </c>
      <c r="EN319" t="s">
        <v>1916</v>
      </c>
      <c r="EO319" t="s">
        <v>1917</v>
      </c>
    </row>
    <row r="320" spans="1:158" ht="15" customHeight="1" x14ac:dyDescent="0.35">
      <c r="A320">
        <v>1241</v>
      </c>
      <c r="B320" t="s">
        <v>1918</v>
      </c>
      <c r="C320">
        <v>1</v>
      </c>
      <c r="D320" t="str">
        <f>VLOOKUP(source[[#This Row],[Приоритет]],тПриоритеты[],2,0)</f>
        <v>КРИТИЧЕСКОЕ</v>
      </c>
      <c r="E320" t="str">
        <f>IF(ISBLANK(source[[#This Row],[Проверенные]]),IF(ISBLANK(source[[#This Row],[Завершенные]]),source[[#This Row],[Приоритет_]],"Завершено"),"Проверено")</f>
        <v>КРИТИЧЕСКОЕ</v>
      </c>
      <c r="F320" t="s">
        <v>1668</v>
      </c>
      <c r="G320" t="s">
        <v>269</v>
      </c>
      <c r="H320" t="e">
        <f>VLOOKUP(source[[#This Row],[Отвественный]],тОтветственные[],2,0)</f>
        <v>#N/A</v>
      </c>
      <c r="I320" s="2">
        <v>43868</v>
      </c>
      <c r="J320" s="2">
        <v>43872</v>
      </c>
      <c r="S320" s="1">
        <v>43868.70957175926</v>
      </c>
      <c r="W320" s="1">
        <v>43868.710578703707</v>
      </c>
      <c r="EC320" t="s">
        <v>1919</v>
      </c>
      <c r="ED320" t="s">
        <v>1920</v>
      </c>
      <c r="EE320" t="s">
        <v>803</v>
      </c>
      <c r="EF320" t="s">
        <v>1921</v>
      </c>
      <c r="EG320" t="s">
        <v>1922</v>
      </c>
      <c r="EH320" t="str">
        <f>HYPERLINK("https://d33htgqikc2pj4.cloudfront.net/53f3a7d1-b22c-4468-a80d-3d14cc0e8210.jpeg", "Вячеслав Сорокин: Ссылка на изображение")</f>
        <v>Вячеслав Сорокин: Ссылка на изображение</v>
      </c>
      <c r="EI320" t="str">
        <f>HYPERLINK("https://d33htgqikc2pj4.cloudfront.net/e11895f0-1118-4e72-8460-7edac075bd3d.jpeg", "Вячеслав Сорокин: Ссылка на изображение")</f>
        <v>Вячеслав Сорокин: Ссылка на изображение</v>
      </c>
      <c r="EJ320" t="str">
        <f>HYPERLINK("https://d33htgqikc2pj4.cloudfront.net/23edb4d9-a1ba-483a-94c3-d1d0cdab93b8.jpeg", "Вячеслав Сорокин: Ссылка на изображение")</f>
        <v>Вячеслав Сорокин: Ссылка на изображение</v>
      </c>
      <c r="EK320" t="str">
        <f>HYPERLINK("https://d33htgqikc2pj4.cloudfront.net/7b8c04a7-e305-44d8-ab33-ea8a71bc2b46.jpeg", "Вячеслав Сорокин: Ссылка на изображение")</f>
        <v>Вячеслав Сорокин: Ссылка на изображение</v>
      </c>
      <c r="EL320" t="str">
        <f>HYPERLINK("https://d33htgqikc2pj4.cloudfront.net/0f53f5f6-f1f9-433b-9853-eac418245795.jpeg", "Вячеслав Сорокин: Ссылка на изображение")</f>
        <v>Вячеслав Сорокин: Ссылка на изображение</v>
      </c>
      <c r="EM320" t="str">
        <f>HYPERLINK("https://d33htgqikc2pj4.cloudfront.net/6fdec541-f9dc-438f-9a82-25c32dd951cd.jpeg", "Вячеслав Сорокин: Ссылка на изображение")</f>
        <v>Вячеслав Сорокин: Ссылка на изображение</v>
      </c>
    </row>
    <row r="321" spans="1:162" ht="15" customHeight="1" x14ac:dyDescent="0.35">
      <c r="A321">
        <v>910</v>
      </c>
      <c r="B321" t="s">
        <v>1923</v>
      </c>
      <c r="C321">
        <v>1</v>
      </c>
      <c r="D321" t="str">
        <f>VLOOKUP(source[[#This Row],[Приоритет]],тПриоритеты[],2,0)</f>
        <v>КРИТИЧЕСКОЕ</v>
      </c>
      <c r="E321" t="str">
        <f>IF(ISBLANK(source[[#This Row],[Проверенные]]),IF(ISBLANK(source[[#This Row],[Завершенные]]),source[[#This Row],[Приоритет_]],"Завершено"),"Проверено")</f>
        <v>КРИТИЧЕСКОЕ</v>
      </c>
      <c r="F321" t="s">
        <v>1668</v>
      </c>
      <c r="G321" t="s">
        <v>269</v>
      </c>
      <c r="H321" t="e">
        <f>VLOOKUP(source[[#This Row],[Отвественный]],тОтветственные[],2,0)</f>
        <v>#N/A</v>
      </c>
      <c r="I321" s="2">
        <v>43844</v>
      </c>
      <c r="J321" s="2">
        <v>43845</v>
      </c>
      <c r="S321" s="1">
        <v>43844.636319444442</v>
      </c>
      <c r="W321" s="1">
        <v>43851.467638888891</v>
      </c>
      <c r="EC321" t="s">
        <v>1924</v>
      </c>
      <c r="ED321" t="s">
        <v>1920</v>
      </c>
      <c r="EE321" t="s">
        <v>803</v>
      </c>
      <c r="EF321" t="s">
        <v>1925</v>
      </c>
      <c r="EG321" t="s">
        <v>1926</v>
      </c>
      <c r="EH321" t="str">
        <f>HYPERLINK("https://d33htgqikc2pj4.cloudfront.net/38f4b696203eace586dd40d91bcce9cf/77f2e76c866426ec59089be09821a02c-file.jpeg", "Вячеслав Сорокин: Ссылка на изображение")</f>
        <v>Вячеслав Сорокин: Ссылка на изображение</v>
      </c>
      <c r="EI321" t="str">
        <f>HYPERLINK("https://d33htgqikc2pj4.cloudfront.net/c79b7eb164fc483c0fdffca33a287151/48e65b04b356cbe86bee37b884878d6f-file.jpeg", "Вячеслав Сорокин: Ссылка на изображение")</f>
        <v>Вячеслав Сорокин: Ссылка на изображение</v>
      </c>
      <c r="EJ321" t="str">
        <f>HYPERLINK("https://d33htgqikc2pj4.cloudfront.net/bc4252461269f5124bb999d7fb05b93c/7f59fb6cfd2009c190a04e0e504f1872-file.jpeg", "Вячеслав Сорокин: Ссылка на изображение")</f>
        <v>Вячеслав Сорокин: Ссылка на изображение</v>
      </c>
      <c r="EK321" t="str">
        <f>HYPERLINK("https://d33htgqikc2pj4.cloudfront.net/082e635ddd8b7840ce08eb177cbfd4e9/36d99e6ebaea4e3a9eb82723aa6423fb-file.jpeg", "Вячеслав Сорокин: Ссылка на изображение")</f>
        <v>Вячеслав Сорокин: Ссылка на изображение</v>
      </c>
      <c r="EL321" t="s">
        <v>1927</v>
      </c>
    </row>
    <row r="322" spans="1:162" ht="15" customHeight="1" x14ac:dyDescent="0.35">
      <c r="A322">
        <v>965</v>
      </c>
      <c r="B322" t="s">
        <v>1928</v>
      </c>
      <c r="C322">
        <v>2</v>
      </c>
      <c r="D322" t="str">
        <f>VLOOKUP(source[[#This Row],[Приоритет]],тПриоритеты[],2,0)</f>
        <v>Значительное</v>
      </c>
      <c r="E322" t="str">
        <f>IF(ISBLANK(source[[#This Row],[Проверенные]]),IF(ISBLANK(source[[#This Row],[Завершенные]]),source[[#This Row],[Приоритет_]],"Завершено"),"Проверено")</f>
        <v>Значительное</v>
      </c>
      <c r="F322" t="s">
        <v>1668</v>
      </c>
      <c r="G322" t="s">
        <v>269</v>
      </c>
      <c r="H322" t="e">
        <f>VLOOKUP(source[[#This Row],[Отвественный]],тОтветственные[],2,0)</f>
        <v>#N/A</v>
      </c>
      <c r="I322" s="2">
        <v>43850</v>
      </c>
      <c r="J322" s="2">
        <v>43884</v>
      </c>
      <c r="K322" t="s">
        <v>1929</v>
      </c>
      <c r="L322">
        <v>37.07</v>
      </c>
      <c r="M322">
        <v>65.45</v>
      </c>
      <c r="Q322" t="s">
        <v>789</v>
      </c>
      <c r="R322" t="str">
        <f>HYPERLINK("https://d28ji4sm1vmprj.cloudfront.net/7446a2f5ce823f14d6caa916eb9a53b7/572060d4144487f43b3d4838b133b524.jpeg", "Ссылка на план")</f>
        <v>Ссылка на план</v>
      </c>
      <c r="S322" s="1">
        <v>43850.650219907409</v>
      </c>
      <c r="W322" s="1">
        <v>43865.494560185187</v>
      </c>
      <c r="EC322" t="s">
        <v>1930</v>
      </c>
      <c r="ED322" t="str">
        <f>HYPERLINK("https://d33htgqikc2pj4.cloudfront.net/fffcde82-d8c8-4804-bfe8-6461651b44c6.jpeg", "Александр Светашов: Ссылка на изображение")</f>
        <v>Александр Светашов: Ссылка на изображение</v>
      </c>
      <c r="EE322" t="str">
        <f>HYPERLINK("https://d33htgqikc2pj4.cloudfront.net/819dbdf2-23dc-4074-b114-dd5579c342a4.jpeg", "Александр Светашов: Ссылка на изображение")</f>
        <v>Александр Светашов: Ссылка на изображение</v>
      </c>
      <c r="EF322" t="str">
        <f>HYPERLINK("https://d33htgqikc2pj4.cloudfront.net/0fe033ed-290c-4618-a83a-7f17b3fcfcfb.jpeg", "Александр Светашов: Ссылка на изображение")</f>
        <v>Александр Светашов: Ссылка на изображение</v>
      </c>
      <c r="EG322" t="str">
        <f>HYPERLINK("https://d33htgqikc2pj4.cloudfront.net/ae47b4f7-a3bb-4a9a-8fe7-23f7c0573456.jpeg", "Александр Светашов: Ссылка на изображение")</f>
        <v>Александр Светашов: Ссылка на изображение</v>
      </c>
      <c r="EH322" t="str">
        <f>HYPERLINK("https://d33htgqikc2pj4.cloudfront.net/d3e2929c-9174-486d-9030-df9eb83bb6e5.jpeg", "Александр Светашов: Ссылка на изображение")</f>
        <v>Александр Светашов: Ссылка на изображение</v>
      </c>
      <c r="EI322" t="str">
        <f>HYPERLINK("https://d33htgqikc2pj4.cloudfront.net/185a7493-f194-45fa-b672-40b4d77255b8.jpeg", "Александр Светашов: Ссылка на изображение")</f>
        <v>Александр Светашов: Ссылка на изображение</v>
      </c>
      <c r="EJ322" t="s">
        <v>1931</v>
      </c>
      <c r="EK322" t="s">
        <v>1673</v>
      </c>
      <c r="EL322" t="s">
        <v>1932</v>
      </c>
      <c r="EM322" t="s">
        <v>1933</v>
      </c>
      <c r="EN322" t="s">
        <v>1675</v>
      </c>
      <c r="EO322" t="s">
        <v>1934</v>
      </c>
    </row>
    <row r="323" spans="1:162" ht="15" customHeight="1" x14ac:dyDescent="0.35">
      <c r="A323">
        <v>690</v>
      </c>
      <c r="B323" t="s">
        <v>1935</v>
      </c>
      <c r="C323">
        <v>1</v>
      </c>
      <c r="D323" t="str">
        <f>VLOOKUP(source[[#This Row],[Приоритет]],тПриоритеты[],2,0)</f>
        <v>КРИТИЧЕСКОЕ</v>
      </c>
      <c r="E323" t="str">
        <f>IF(ISBLANK(source[[#This Row],[Проверенные]]),IF(ISBLANK(source[[#This Row],[Завершенные]]),source[[#This Row],[Приоритет_]],"Завершено"),"Проверено")</f>
        <v>Завершено</v>
      </c>
      <c r="F323" t="s">
        <v>1668</v>
      </c>
      <c r="G323" t="s">
        <v>269</v>
      </c>
      <c r="H323" t="e">
        <f>VLOOKUP(source[[#This Row],[Отвественный]],тОтветственные[],2,0)</f>
        <v>#N/A</v>
      </c>
      <c r="I323" s="2">
        <v>43819</v>
      </c>
      <c r="J323" s="2">
        <v>43822</v>
      </c>
      <c r="K323" t="s">
        <v>788</v>
      </c>
      <c r="L323">
        <v>42.8</v>
      </c>
      <c r="M323">
        <v>38.78</v>
      </c>
      <c r="P323">
        <v>0</v>
      </c>
      <c r="Q323" t="s">
        <v>789</v>
      </c>
      <c r="R323" t="str">
        <f>HYPERLINK("https://d28ji4sm1vmprj.cloudfront.net/26de85bafe7c23f70cb88c56be016d87/3e17f1a1b4b7b77b7e9e8d2d30fe0863.jpeg", "Ссылка на план")</f>
        <v>Ссылка на план</v>
      </c>
      <c r="S323" s="1">
        <v>43819.460150462961</v>
      </c>
      <c r="T323" s="1">
        <v>43861.741863425923</v>
      </c>
      <c r="W323" s="1">
        <v>43865.495300925926</v>
      </c>
      <c r="AH323" t="s">
        <v>1936</v>
      </c>
      <c r="EC323" t="s">
        <v>1937</v>
      </c>
      <c r="ED323" t="str">
        <f>HYPERLINK("https://d33htgqikc2pj4.cloudfront.net/3c6ad6a5-fd40-47fe-a660-a7b1860a9f5c.jpeg", "Александр Светашов: Ссылка на изображение")</f>
        <v>Александр Светашов: Ссылка на изображение</v>
      </c>
      <c r="EE323" t="str">
        <f>HYPERLINK("https://d33htgqikc2pj4.cloudfront.net/54e64f45-1c2b-461c-a9e5-580232ec1beb.jpeg", "Александр Светашов: Ссылка на изображение")</f>
        <v>Александр Светашов: Ссылка на изображение</v>
      </c>
      <c r="EF323" t="str">
        <f>HYPERLINK("https://d33htgqikc2pj4.cloudfront.net/10dfbc49-4865-4bb6-ad5a-14509fd0df00.jpeg", "Александр Светашов: Ссылка на изображение")</f>
        <v>Александр Светашов: Ссылка на изображение</v>
      </c>
      <c r="EG323" t="str">
        <f>HYPERLINK("https://d33htgqikc2pj4.cloudfront.net/a7e05f93-e53f-490d-b5ff-f26e12bc1795.jpeg", "Александр Светашов: Ссылка на изображение")</f>
        <v>Александр Светашов: Ссылка на изображение</v>
      </c>
      <c r="EH323" t="str">
        <f>HYPERLINK("https://d33htgqikc2pj4.cloudfront.net/56d30c0d-e9aa-4f49-b1ef-a5954f0a1cb9.jpeg", "Александр Светашов: Ссылка на изображение")</f>
        <v>Александр Светашов: Ссылка на изображение</v>
      </c>
      <c r="EI323" t="str">
        <f>HYPERLINK("https://d33htgqikc2pj4.cloudfront.net/105f732f-b3a0-45eb-879b-fe2f9826ef0e.jpeg", "Александр Светашов: Ссылка на изображение")</f>
        <v>Александр Светашов: Ссылка на изображение</v>
      </c>
      <c r="EJ323" t="s">
        <v>1673</v>
      </c>
      <c r="EK323" t="s">
        <v>793</v>
      </c>
      <c r="EL323" t="s">
        <v>1938</v>
      </c>
      <c r="EM323" t="s">
        <v>1675</v>
      </c>
      <c r="EN323" t="s">
        <v>1939</v>
      </c>
      <c r="EO323" t="s">
        <v>275</v>
      </c>
      <c r="EP323" t="s">
        <v>1940</v>
      </c>
      <c r="EQ323" t="s">
        <v>1676</v>
      </c>
      <c r="ER323" t="s">
        <v>1941</v>
      </c>
      <c r="ES323" t="s">
        <v>1942</v>
      </c>
      <c r="ET323" t="s">
        <v>1943</v>
      </c>
      <c r="EU323" t="s">
        <v>275</v>
      </c>
      <c r="EV323" t="s">
        <v>1944</v>
      </c>
    </row>
    <row r="324" spans="1:162" ht="15" customHeight="1" x14ac:dyDescent="0.35">
      <c r="A324">
        <v>398</v>
      </c>
      <c r="B324" t="s">
        <v>1945</v>
      </c>
      <c r="C324">
        <v>3</v>
      </c>
      <c r="D324" t="str">
        <f>VLOOKUP(source[[#This Row],[Приоритет]],тПриоритеты[],2,0)</f>
        <v>Малозначительное</v>
      </c>
      <c r="E324" t="str">
        <f>IF(ISBLANK(source[[#This Row],[Проверенные]]),IF(ISBLANK(source[[#This Row],[Завершенные]]),source[[#This Row],[Приоритет_]],"Завершено"),"Проверено")</f>
        <v>Проверено</v>
      </c>
      <c r="F324" t="s">
        <v>1668</v>
      </c>
      <c r="G324" t="s">
        <v>269</v>
      </c>
      <c r="H324" t="e">
        <f>VLOOKUP(source[[#This Row],[Отвественный]],тОтветственные[],2,0)</f>
        <v>#N/A</v>
      </c>
      <c r="I324" s="2">
        <v>43791</v>
      </c>
      <c r="J324" s="2">
        <v>43854</v>
      </c>
      <c r="K324" t="s">
        <v>1929</v>
      </c>
      <c r="L324">
        <v>21.37</v>
      </c>
      <c r="M324">
        <v>37.39</v>
      </c>
      <c r="Q324" t="s">
        <v>789</v>
      </c>
      <c r="R324" t="str">
        <f>HYPERLINK("https://d28ji4sm1vmprj.cloudfront.net/7446a2f5ce823f14d6caa916eb9a53b7/572060d4144487f43b3d4838b133b524.jpeg", "Ссылка на план")</f>
        <v>Ссылка на план</v>
      </c>
      <c r="S324" s="1">
        <v>43791.678483796299</v>
      </c>
      <c r="T324" s="1">
        <v>43848.610694444447</v>
      </c>
      <c r="U324" s="1">
        <v>43848.651099537034</v>
      </c>
      <c r="W324" s="1">
        <v>43848.65111111111</v>
      </c>
      <c r="AH324" t="s">
        <v>1946</v>
      </c>
      <c r="AI324" t="s">
        <v>1946</v>
      </c>
      <c r="EC324" t="s">
        <v>1947</v>
      </c>
      <c r="ED324" t="s">
        <v>1948</v>
      </c>
      <c r="EE324" t="str">
        <f>HYPERLINK("https://d33htgqikc2pj4.cloudfront.net/qvHDimMUqxZcQnsj/229222fa-485b-49fa-a1d8-0c13f8533fae.jpeg", "Антон Федоров: Ссылка на изображение")</f>
        <v>Антон Федоров: Ссылка на изображение</v>
      </c>
      <c r="EF324" t="str">
        <f>HYPERLINK("https://d33htgqikc2pj4.cloudfront.net/qvHDimMUqxZcQnsj/b3bec9cc-d9f6-4d27-a0e5-19075bba82d9.jpeg", "Антон Федоров: Ссылка на изображение")</f>
        <v>Антон Федоров: Ссылка на изображение</v>
      </c>
      <c r="EG324" t="str">
        <f>HYPERLINK("https://d33htgqikc2pj4.cloudfront.net/qvHDimMUqxZcQnsj/0990f616-6b1c-4f4e-adb9-6a33a35b109d.jpeg", "Антон Федоров: Ссылка на изображение")</f>
        <v>Антон Федоров: Ссылка на изображение</v>
      </c>
      <c r="EH324" t="str">
        <f>HYPERLINK("https://d33htgqikc2pj4.cloudfront.net/qvHDimMUqxZcQnsj/6946d0fd-a4c3-445b-8f3f-4b488a815ed5.jpeg", "Антон Федоров: Ссылка на изображение")</f>
        <v>Антон Федоров: Ссылка на изображение</v>
      </c>
      <c r="EI324" t="str">
        <f>HYPERLINK("https://d33htgqikc2pj4.cloudfront.net/qvHDimMUqxZcQnsj/c45ce0f8-53f7-4411-b610-23af856ab49e.jpeg", "Антон Федоров: Ссылка на изображение")</f>
        <v>Антон Федоров: Ссылка на изображение</v>
      </c>
      <c r="EJ324" t="s">
        <v>1949</v>
      </c>
      <c r="EK324" t="s">
        <v>1950</v>
      </c>
      <c r="EL324" t="s">
        <v>1951</v>
      </c>
      <c r="EM324" t="s">
        <v>1952</v>
      </c>
      <c r="EN324" t="s">
        <v>1953</v>
      </c>
      <c r="EO324" t="s">
        <v>1954</v>
      </c>
      <c r="EP324" t="s">
        <v>1167</v>
      </c>
      <c r="EQ324" t="s">
        <v>1955</v>
      </c>
      <c r="ER324" t="s">
        <v>1956</v>
      </c>
      <c r="ES324" t="s">
        <v>275</v>
      </c>
      <c r="ET324" t="s">
        <v>1957</v>
      </c>
      <c r="EU324" t="s">
        <v>1958</v>
      </c>
      <c r="EV324" t="s">
        <v>1959</v>
      </c>
      <c r="EW324" t="s">
        <v>275</v>
      </c>
      <c r="EX324" t="s">
        <v>1910</v>
      </c>
      <c r="EY324" t="s">
        <v>1960</v>
      </c>
      <c r="EZ324" t="s">
        <v>1961</v>
      </c>
      <c r="FA324" t="s">
        <v>1962</v>
      </c>
      <c r="FB324" t="s">
        <v>275</v>
      </c>
      <c r="FC324" t="s">
        <v>794</v>
      </c>
    </row>
    <row r="325" spans="1:162" ht="15" customHeight="1" x14ac:dyDescent="0.35">
      <c r="A325">
        <v>677</v>
      </c>
      <c r="B325" t="s">
        <v>1963</v>
      </c>
      <c r="C325">
        <v>3</v>
      </c>
      <c r="D325" t="str">
        <f>VLOOKUP(source[[#This Row],[Приоритет]],тПриоритеты[],2,0)</f>
        <v>Малозначительное</v>
      </c>
      <c r="E325" t="str">
        <f>IF(ISBLANK(source[[#This Row],[Проверенные]]),IF(ISBLANK(source[[#This Row],[Завершенные]]),source[[#This Row],[Приоритет_]],"Завершено"),"Проверено")</f>
        <v>Проверено</v>
      </c>
      <c r="F325" t="s">
        <v>1668</v>
      </c>
      <c r="G325" t="s">
        <v>269</v>
      </c>
      <c r="H325" t="e">
        <f>VLOOKUP(source[[#This Row],[Отвественный]],тОтветственные[],2,0)</f>
        <v>#N/A</v>
      </c>
      <c r="I325" s="2">
        <v>43818</v>
      </c>
      <c r="J325" s="2">
        <v>43854</v>
      </c>
      <c r="K325" t="s">
        <v>1752</v>
      </c>
      <c r="L325">
        <v>12.36</v>
      </c>
      <c r="M325">
        <v>25.42</v>
      </c>
      <c r="Q325" t="s">
        <v>789</v>
      </c>
      <c r="R325" t="str">
        <f>HYPERLINK("https://d28ji4sm1vmprj.cloudfront.net/b670843e50128b9d44a484693c793a37/eeeca288094079ac4145e6770b2946c4.jpeg", "Ссылка на план")</f>
        <v>Ссылка на план</v>
      </c>
      <c r="S325" s="1">
        <v>43818.684918981482</v>
      </c>
      <c r="T325" s="1">
        <v>43851.377604166664</v>
      </c>
      <c r="U325" s="1">
        <v>43851.44871527778</v>
      </c>
      <c r="W325" s="1">
        <v>43851.44872685185</v>
      </c>
      <c r="EC325" t="s">
        <v>1964</v>
      </c>
      <c r="ED325" t="s">
        <v>1959</v>
      </c>
      <c r="EE325" t="s">
        <v>1965</v>
      </c>
      <c r="EF325" t="s">
        <v>1966</v>
      </c>
      <c r="EG325" t="str">
        <f>HYPERLINK("https://d33htgqikc2pj4.cloudfront.net/799ac73426cd9d895f00d3a32f5790a2/1f950d3bab7d8193d63daed4781cb71b-file.jpeg", "Антон Федоров: Ссылка на изображение")</f>
        <v>Антон Федоров: Ссылка на изображение</v>
      </c>
      <c r="EH325" t="str">
        <f>HYPERLINK("https://d33htgqikc2pj4.cloudfront.net/9cb914e69a01b40be1efbe38c69e1dc7/f549b486e668390b7d5343ac169c27e3-file.jpeg", "Антон Федоров: Ссылка на изображение")</f>
        <v>Антон Федоров: Ссылка на изображение</v>
      </c>
      <c r="EI325" t="str">
        <f>HYPERLINK("https://d33htgqikc2pj4.cloudfront.net/a340ebf1cc21861e49483d8bbb9af59d/50b33d4ad9f661770bd5664b06cebf4e-file.jpeg", "Антон Федоров: Ссылка на изображение")</f>
        <v>Антон Федоров: Ссылка на изображение</v>
      </c>
      <c r="EJ325" t="str">
        <f>HYPERLINK("https://d33htgqikc2pj4.cloudfront.net/b18185b5f6e221a1677f224aad062c00/328a690c200e5abaf04b7ce299107681-file.jpeg", "Антон Федоров: Ссылка на изображение")</f>
        <v>Антон Федоров: Ссылка на изображение</v>
      </c>
      <c r="EK325" t="s">
        <v>1967</v>
      </c>
      <c r="EL325" t="s">
        <v>1947</v>
      </c>
      <c r="EM325" s="3" t="s">
        <v>1968</v>
      </c>
      <c r="EN325" t="s">
        <v>1969</v>
      </c>
      <c r="EO325" t="s">
        <v>1960</v>
      </c>
      <c r="EP325" t="s">
        <v>1970</v>
      </c>
      <c r="EQ325" t="s">
        <v>1962</v>
      </c>
      <c r="ER325" t="s">
        <v>275</v>
      </c>
      <c r="ES325" t="s">
        <v>1971</v>
      </c>
      <c r="ET325" t="s">
        <v>1910</v>
      </c>
      <c r="EU325" t="s">
        <v>1972</v>
      </c>
      <c r="EV325" t="s">
        <v>1973</v>
      </c>
      <c r="EW325" t="s">
        <v>275</v>
      </c>
      <c r="EX325" t="s">
        <v>794</v>
      </c>
    </row>
    <row r="326" spans="1:162" ht="15" customHeight="1" x14ac:dyDescent="0.35">
      <c r="A326">
        <v>382</v>
      </c>
      <c r="B326" t="s">
        <v>1974</v>
      </c>
      <c r="C326">
        <v>1</v>
      </c>
      <c r="D326" t="str">
        <f>VLOOKUP(source[[#This Row],[Приоритет]],тПриоритеты[],2,0)</f>
        <v>КРИТИЧЕСКОЕ</v>
      </c>
      <c r="E326" t="str">
        <f>IF(ISBLANK(source[[#This Row],[Проверенные]]),IF(ISBLANK(source[[#This Row],[Завершенные]]),source[[#This Row],[Приоритет_]],"Завершено"),"Проверено")</f>
        <v>Проверено</v>
      </c>
      <c r="F326" t="s">
        <v>1668</v>
      </c>
      <c r="G326" t="s">
        <v>269</v>
      </c>
      <c r="H326" t="e">
        <f>VLOOKUP(source[[#This Row],[Отвественный]],тОтветственные[],2,0)</f>
        <v>#N/A</v>
      </c>
      <c r="I326" s="2">
        <v>43790</v>
      </c>
      <c r="J326" s="2">
        <v>43922</v>
      </c>
      <c r="K326" t="s">
        <v>1975</v>
      </c>
      <c r="L326">
        <v>43.07</v>
      </c>
      <c r="M326">
        <v>41.55</v>
      </c>
      <c r="Q326" t="s">
        <v>1976</v>
      </c>
      <c r="R326" t="str">
        <f>HYPERLINK("https://d28ji4sm1vmprj.cloudfront.net/e084f5fa344fbf883a97f5944011fd4d/b74e04176352178ba761ca280252ff5d.jpeg", "Ссылка на план")</f>
        <v>Ссылка на план</v>
      </c>
      <c r="S326" s="1">
        <v>43790.435127314813</v>
      </c>
      <c r="T326" s="1">
        <v>43853.458460648151</v>
      </c>
      <c r="U326" s="1">
        <v>43853.458460648151</v>
      </c>
      <c r="W326" s="1">
        <v>43853.713460648149</v>
      </c>
      <c r="AH326" t="s">
        <v>1977</v>
      </c>
      <c r="EC326" t="s">
        <v>1978</v>
      </c>
      <c r="ED326" t="s">
        <v>1979</v>
      </c>
      <c r="EE326" t="s">
        <v>1980</v>
      </c>
      <c r="EF326" t="s">
        <v>1675</v>
      </c>
      <c r="EG326" t="s">
        <v>1981</v>
      </c>
      <c r="EH326" t="s">
        <v>1982</v>
      </c>
      <c r="EI326" t="s">
        <v>1983</v>
      </c>
      <c r="EJ326" t="str">
        <f>HYPERLINK("https://d33htgqikc2pj4.cloudfront.net/492daa84164a5bf643a73291b2c52a50/90b273683b9c72fa7238ba28d23292a1-file.jpeg", "Александр Светашов: Ссылка на изображение")</f>
        <v>Александр Светашов: Ссылка на изображение</v>
      </c>
      <c r="EK326" t="str">
        <f>HYPERLINK("https://d33htgqikc2pj4.cloudfront.net/9a753eab82580d53148858b202dde0bd/993cd32ae72ec014e0def2b11b5c0331-file.jpeg", "Александр Светашов: Ссылка на изображение")</f>
        <v>Александр Светашов: Ссылка на изображение</v>
      </c>
      <c r="EL326" t="str">
        <f>HYPERLINK("https://d33htgqikc2pj4.cloudfront.net/9211b3a40ff99281b37d377b22ca9b22/c5d0a7533eb3bd8ddb6cc274eaccfe69-file.jpeg", "Александр Светашов: Ссылка на изображение")</f>
        <v>Александр Светашов: Ссылка на изображение</v>
      </c>
      <c r="EM326" t="str">
        <f>HYPERLINK("https://d33htgqikc2pj4.cloudfront.net/e41ddf0e26a2b4301648412679abec7b/b14353bfcb925a98e37526142a6e053f-file.jpeg", "Александр Светашов: Ссылка на изображение")</f>
        <v>Александр Светашов: Ссылка на изображение</v>
      </c>
      <c r="EN326" t="str">
        <f>HYPERLINK("https://d33htgqikc2pj4.cloudfront.net/ae13c036807373553f5a55cde4c1ddd4/9292df56a110972113a673f626867893-file.jpeg", "Александр Светашов: Ссылка на изображение")</f>
        <v>Александр Светашов: Ссылка на изображение</v>
      </c>
      <c r="EO326" t="str">
        <f>HYPERLINK("https://d33htgqikc2pj4.cloudfront.net/73960354bac3b2d65270b5acc43d0ce3/264851edb6ac8c5ac768960b4be51ad3-file.jpeg", "Александр Светашов: Ссылка на изображение")</f>
        <v>Александр Светашов: Ссылка на изображение</v>
      </c>
      <c r="EP326" t="str">
        <f>HYPERLINK("https://d33htgqikc2pj4.cloudfront.net/4366b1ed65c48ddcf2a65c350d8b2cb6/605337b2822156bb13f67162aed21e8c-file.jpeg", "Александр Светашов: Ссылка на изображение")</f>
        <v>Александр Светашов: Ссылка на изображение</v>
      </c>
      <c r="EQ326" t="str">
        <f>HYPERLINK("https://d33htgqikc2pj4.cloudfront.net/f62ca7e7386755fe2f05ca246227292c/f64c80559ddafc4abe8e9c6ac1fe64ed-file.jpeg", "Александр Светашов: Ссылка на изображение")</f>
        <v>Александр Светашов: Ссылка на изображение</v>
      </c>
      <c r="ER326" t="str">
        <f>HYPERLINK("https://d33htgqikc2pj4.cloudfront.net/a2ab3f75e059441e3c0f0f185bd3eb07/c656cc06bc61d50404e2c5fc837e86f8-file.jpeg", "Александр Светашов: Ссылка на изображение")</f>
        <v>Александр Светашов: Ссылка на изображение</v>
      </c>
      <c r="ES326" t="str">
        <f>HYPERLINK("https://d33htgqikc2pj4.cloudfront.net/3fb0c0c60221134557b5f1643f9e4a47/447e9cdd1a942b9d0f971df67a258f33-file.jpeg", "Александр Светашов: Ссылка на изображение")</f>
        <v>Александр Светашов: Ссылка на изображение</v>
      </c>
      <c r="ET326" t="str">
        <f>HYPERLINK("https://d33htgqikc2pj4.cloudfront.net/540c736fd2fdb4550d96325a8dddd8d3/c70b9cb591b30c5d37adde1d2eaa8809-file.jpeg", "Александр Светашов: Ссылка на изображение")</f>
        <v>Александр Светашов: Ссылка на изображение</v>
      </c>
      <c r="EU326" t="str">
        <f>HYPERLINK("https://d33htgqikc2pj4.cloudfront.net/f295c2dea24d4b1f9b845ea1a63f6f7e/820eab94fe8ec7e6a7ebb577217b9815-file.jpeg", "Александр Светашов: Ссылка на изображение")</f>
        <v>Александр Светашов: Ссылка на изображение</v>
      </c>
      <c r="EV326" t="str">
        <f>HYPERLINK("https://d33htgqikc2pj4.cloudfront.net/e0998ff7bb7c3e462b256a5259ba6c74/8905df140a3216cb21b2249e0d0f1ff2-file.jpeg", "Александр Светашов: Ссылка на изображение")</f>
        <v>Александр Светашов: Ссылка на изображение</v>
      </c>
      <c r="EW326" t="str">
        <f>HYPERLINK("https://d33htgqikc2pj4.cloudfront.net/6feb584e08499e764f72f1c3de7b4624/19868509dca0c81a2605c070b037e185-file.jpeg", "Александр Светашов: Ссылка на изображение")</f>
        <v>Александр Светашов: Ссылка на изображение</v>
      </c>
      <c r="EX326" t="str">
        <f>HYPERLINK("https://d33htgqikc2pj4.cloudfront.net/98347a75bc93953a2041d71ee9b89d42/6857ac7f30740ab2d9bb9c47c769ce59-file.jpeg", "Александр Светашов: Ссылка на изображение")</f>
        <v>Александр Светашов: Ссылка на изображение</v>
      </c>
      <c r="EY326" t="str">
        <f>HYPERLINK("https://d33htgqikc2pj4.cloudfront.net/7a43ebcff33e04549d23aaa6b0082b3f/46b0b03a7748511a7c9775b84ca53daa-file.jpeg", "Александр Светашов: Ссылка на изображение")</f>
        <v>Александр Светашов: Ссылка на изображение</v>
      </c>
      <c r="EZ326" t="str">
        <f>HYPERLINK("https://d33htgqikc2pj4.cloudfront.net/454a2baa1898857057cfeada9a4a60b0/36a7090f75cb3e7f67669a01e3ab7a14-file.jpeg", "Александр Светашов: Ссылка на изображение")</f>
        <v>Александр Светашов: Ссылка на изображение</v>
      </c>
      <c r="FA326" t="str">
        <f>HYPERLINK("https://d33htgqikc2pj4.cloudfront.net/2addf5b5d7676ff593a50ddc48270577/23ec00b7bbf75e22a397dcc6f6d3f732-file.jpeg", "Александр Светашов: Ссылка на изображение")</f>
        <v>Александр Светашов: Ссылка на изображение</v>
      </c>
      <c r="FB326" t="str">
        <f>HYPERLINK("https://d33htgqikc2pj4.cloudfront.net/dec2ecbc13bc26a3763a12de4ca3b3ff/09220424a29b177e3d03223cb83c027c-file.jpeg", "Александр Светашов: Ссылка на изображение")</f>
        <v>Александр Светашов: Ссылка на изображение</v>
      </c>
      <c r="FC326" t="s">
        <v>1984</v>
      </c>
      <c r="FD326" t="s">
        <v>1180</v>
      </c>
      <c r="FE326" t="s">
        <v>1985</v>
      </c>
      <c r="FF326" t="s">
        <v>794</v>
      </c>
    </row>
    <row r="327" spans="1:162" ht="15" customHeight="1" x14ac:dyDescent="0.35">
      <c r="A327">
        <v>634</v>
      </c>
      <c r="B327" t="s">
        <v>1986</v>
      </c>
      <c r="C327">
        <v>1</v>
      </c>
      <c r="D327" t="str">
        <f>VLOOKUP(source[[#This Row],[Приоритет]],тПриоритеты[],2,0)</f>
        <v>КРИТИЧЕСКОЕ</v>
      </c>
      <c r="E327" t="str">
        <f>IF(ISBLANK(source[[#This Row],[Проверенные]]),IF(ISBLANK(source[[#This Row],[Завершенные]]),source[[#This Row],[Приоритет_]],"Завершено"),"Проверено")</f>
        <v>Проверено</v>
      </c>
      <c r="F327" t="s">
        <v>1668</v>
      </c>
      <c r="G327" t="s">
        <v>269</v>
      </c>
      <c r="H327" t="e">
        <f>VLOOKUP(source[[#This Row],[Отвественный]],тОтветственные[],2,0)</f>
        <v>#N/A</v>
      </c>
      <c r="I327" s="2">
        <v>43815</v>
      </c>
      <c r="J327" s="2">
        <v>43859</v>
      </c>
      <c r="S327" s="1">
        <v>43815.500787037039</v>
      </c>
      <c r="T327" s="1">
        <v>43859.417615740742</v>
      </c>
      <c r="U327" s="1">
        <v>43859.449583333335</v>
      </c>
      <c r="W327" s="1">
        <v>43859.449594907404</v>
      </c>
      <c r="EC327" t="s">
        <v>1959</v>
      </c>
      <c r="ED327" t="s">
        <v>1987</v>
      </c>
      <c r="EE327" t="s">
        <v>1965</v>
      </c>
      <c r="EF327" t="str">
        <f>HYPERLINK("https://d33htgqikc2pj4.cloudfront.net/34e0a81c66f061423d904e8972402198/4d7c6edda09f094b407bed6507cbc8f3-file.jpeg", "Антон Федоров: Ссылка на изображение")</f>
        <v>Антон Федоров: Ссылка на изображение</v>
      </c>
      <c r="EG327" t="str">
        <f>HYPERLINK("https://d33htgqikc2pj4.cloudfront.net/97624907dd67c8337a5d452956b5fabd/e199d92ee5cea0f2e08a7e17be7ebed0-file.jpeg", "Антон Федоров: Ссылка на изображение")</f>
        <v>Антон Федоров: Ссылка на изображение</v>
      </c>
      <c r="EH327" t="str">
        <f>HYPERLINK("https://d33htgqikc2pj4.cloudfront.net/5dc4825c32f2bb85d6023d89f9ba9772/23a4572f62563934e5012520ddcc4b5c-file.jpeg", "Антон Федоров: Ссылка на изображение")</f>
        <v>Антон Федоров: Ссылка на изображение</v>
      </c>
      <c r="EI327" t="s">
        <v>1988</v>
      </c>
      <c r="EJ327" t="s">
        <v>1989</v>
      </c>
      <c r="EK327" t="s">
        <v>1990</v>
      </c>
      <c r="EL327" t="s">
        <v>1991</v>
      </c>
      <c r="EM327" t="s">
        <v>1992</v>
      </c>
      <c r="EN327" t="s">
        <v>1993</v>
      </c>
      <c r="EO327" t="s">
        <v>1969</v>
      </c>
      <c r="EP327" t="s">
        <v>1994</v>
      </c>
      <c r="EQ327" t="s">
        <v>1995</v>
      </c>
      <c r="ER327" t="s">
        <v>1996</v>
      </c>
      <c r="ES327" t="s">
        <v>275</v>
      </c>
      <c r="ET327" t="s">
        <v>794</v>
      </c>
    </row>
    <row r="328" spans="1:162" ht="15" customHeight="1" x14ac:dyDescent="0.35">
      <c r="A328">
        <v>520</v>
      </c>
      <c r="B328" t="s">
        <v>1997</v>
      </c>
      <c r="C328">
        <v>1</v>
      </c>
      <c r="D328" t="str">
        <f>VLOOKUP(source[[#This Row],[Приоритет]],тПриоритеты[],2,0)</f>
        <v>КРИТИЧЕСКОЕ</v>
      </c>
      <c r="E328" t="str">
        <f>IF(ISBLANK(source[[#This Row],[Проверенные]]),IF(ISBLANK(source[[#This Row],[Завершенные]]),source[[#This Row],[Приоритет_]],"Завершено"),"Проверено")</f>
        <v>Проверено</v>
      </c>
      <c r="F328" t="s">
        <v>1668</v>
      </c>
      <c r="G328" t="s">
        <v>269</v>
      </c>
      <c r="H328" t="e">
        <f>VLOOKUP(source[[#This Row],[Отвественный]],тОтветственные[],2,0)</f>
        <v>#N/A</v>
      </c>
      <c r="I328" s="2">
        <v>43802</v>
      </c>
      <c r="J328" s="2">
        <v>43802</v>
      </c>
      <c r="S328" s="1">
        <v>43802.689988425926</v>
      </c>
      <c r="T328" s="1">
        <v>43852.392789351848</v>
      </c>
      <c r="U328" s="1">
        <v>43852.392789351848</v>
      </c>
      <c r="W328" s="1">
        <v>43852.392800925925</v>
      </c>
      <c r="EC328" t="s">
        <v>1998</v>
      </c>
      <c r="ED328" t="s">
        <v>1900</v>
      </c>
      <c r="EE328" t="s">
        <v>1999</v>
      </c>
      <c r="EF328" s="3" t="s">
        <v>2000</v>
      </c>
      <c r="EG328" t="str">
        <f>HYPERLINK("https://d33htgqikc2pj4.cloudfront.net/25fa3098016f0bd7c788ac04d2743768/736b745115992de4a0e066cbf4055cde-file.jpeg", "Алексей Бирюков: Ссылка на изображение")</f>
        <v>Алексей Бирюков: Ссылка на изображение</v>
      </c>
      <c r="EH328" t="str">
        <f>HYPERLINK("https://d33htgqikc2pj4.cloudfront.net/qvHDimMUqxZcQnsj/da6124ef-3fb3-4abc-a868-9d7d3ea78c1f.jpeg", "Алексей Бирюков: Ссылка на изображение")</f>
        <v>Алексей Бирюков: Ссылка на изображение</v>
      </c>
      <c r="EI328" t="str">
        <f>HYPERLINK("https://d33htgqikc2pj4.cloudfront.net/19f8de20464605dbeb859ee16e86279a/493b5bcde3c98b8174f0c348fcd4579a-file.jpeg", "Алексей Бирюков: Ссылка на изображение")</f>
        <v>Алексей Бирюков: Ссылка на изображение</v>
      </c>
      <c r="EJ328" t="str">
        <f>HYPERLINK("https://d33htgqikc2pj4.cloudfront.net/d68a49b519d1efcaffb71afd8dc586eb/91443dbafbf32e94ca08e4c25985b968-file.jpeg", "Алексей Бирюков: Ссылка на изображение")</f>
        <v>Алексей Бирюков: Ссылка на изображение</v>
      </c>
      <c r="EK328" t="str">
        <f>HYPERLINK("https://d33htgqikc2pj4.cloudfront.net/660dc822d8dc99fa73b4887becb8f8f3/845c00d30d65bca171859f75c05a7ccc-file.jpeg", "Алексей Бирюков: Ссылка на изображение")</f>
        <v>Алексей Бирюков: Ссылка на изображение</v>
      </c>
      <c r="EL328" t="str">
        <f>HYPERLINK("https://d33htgqikc2pj4.cloudfront.net/528162e962aa4df77b1297234de77e05/4fd214aeaf99fec8dee549d43f68abcb-file.jpeg", "Алексей Бирюков: Ссылка на изображение")</f>
        <v>Алексей Бирюков: Ссылка на изображение</v>
      </c>
      <c r="EM328" t="str">
        <f>HYPERLINK("https://d33htgqikc2pj4.cloudfront.net/ca2a3b55fe941ae069fef66f44f708c6/d3776ca9cad619beee24307f3da7ae4a-file.jpeg", "Алексей Бирюков: Ссылка на изображение")</f>
        <v>Алексей Бирюков: Ссылка на изображение</v>
      </c>
      <c r="EN328" t="s">
        <v>2001</v>
      </c>
      <c r="EO328" t="str">
        <f>HYPERLINK("https://d33htgqikc2pj4.cloudfront.net/qvHDimMUqxZcQnsj/a9e90853-eaca-4d67-afd7-f6ab88adacaa.jpeg", "Алексей Бирюков: Ссылка на изображение")</f>
        <v>Алексей Бирюков: Ссылка на изображение</v>
      </c>
      <c r="EP328" t="s">
        <v>1164</v>
      </c>
      <c r="EQ328" t="s">
        <v>2002</v>
      </c>
      <c r="ER328" t="s">
        <v>1902</v>
      </c>
      <c r="ES328" t="s">
        <v>1899</v>
      </c>
    </row>
    <row r="329" spans="1:162" ht="15" customHeight="1" x14ac:dyDescent="0.35">
      <c r="A329">
        <v>48</v>
      </c>
      <c r="B329" t="s">
        <v>2003</v>
      </c>
      <c r="C329">
        <v>2</v>
      </c>
      <c r="D329" t="str">
        <f>VLOOKUP(source[[#This Row],[Приоритет]],тПриоритеты[],2,0)</f>
        <v>Значительное</v>
      </c>
      <c r="E329" t="str">
        <f>IF(ISBLANK(source[[#This Row],[Проверенные]]),IF(ISBLANK(source[[#This Row],[Завершенные]]),source[[#This Row],[Приоритет_]],"Завершено"),"Проверено")</f>
        <v>Проверено</v>
      </c>
      <c r="F329" t="s">
        <v>1668</v>
      </c>
      <c r="G329" t="s">
        <v>269</v>
      </c>
      <c r="H329" t="e">
        <f>VLOOKUP(source[[#This Row],[Отвественный]],тОтветственные[],2,0)</f>
        <v>#N/A</v>
      </c>
      <c r="I329" s="2">
        <v>43621</v>
      </c>
      <c r="J329" s="2">
        <v>43624</v>
      </c>
      <c r="N329" t="s">
        <v>2004</v>
      </c>
      <c r="S329" s="1">
        <v>43770.459409722222</v>
      </c>
      <c r="T329" s="1">
        <v>43794.372025462966</v>
      </c>
      <c r="U329" s="1">
        <v>43797.496030092596</v>
      </c>
      <c r="W329" s="1">
        <v>43797.496030092596</v>
      </c>
      <c r="EC329" t="s">
        <v>2005</v>
      </c>
      <c r="ED329" t="s">
        <v>2006</v>
      </c>
      <c r="EE329" t="s">
        <v>2007</v>
      </c>
      <c r="EF329" t="s">
        <v>1164</v>
      </c>
      <c r="EG329" t="s">
        <v>2002</v>
      </c>
      <c r="EH329" t="s">
        <v>275</v>
      </c>
      <c r="EI329" t="s">
        <v>794</v>
      </c>
    </row>
    <row r="330" spans="1:162" ht="15" customHeight="1" x14ac:dyDescent="0.35">
      <c r="A330">
        <v>69</v>
      </c>
      <c r="B330" t="s">
        <v>2008</v>
      </c>
      <c r="C330">
        <v>2</v>
      </c>
      <c r="D330" t="str">
        <f>VLOOKUP(source[[#This Row],[Приоритет]],тПриоритеты[],2,0)</f>
        <v>Значительное</v>
      </c>
      <c r="E330" t="str">
        <f>IF(ISBLANK(source[[#This Row],[Проверенные]]),IF(ISBLANK(source[[#This Row],[Завершенные]]),source[[#This Row],[Приоритет_]],"Завершено"),"Проверено")</f>
        <v>Проверено</v>
      </c>
      <c r="F330" t="s">
        <v>1668</v>
      </c>
      <c r="G330" t="s">
        <v>269</v>
      </c>
      <c r="H330" t="e">
        <f>VLOOKUP(source[[#This Row],[Отвественный]],тОтветственные[],2,0)</f>
        <v>#N/A</v>
      </c>
      <c r="I330" s="2">
        <v>43735</v>
      </c>
      <c r="J330" s="2">
        <v>43738</v>
      </c>
      <c r="N330" t="s">
        <v>2009</v>
      </c>
      <c r="S330" s="1">
        <v>43770.459513888891</v>
      </c>
      <c r="T330" s="1">
        <v>43781.397893518515</v>
      </c>
      <c r="U330" s="1">
        <v>43797.496076388888</v>
      </c>
      <c r="W330" s="1">
        <v>43797.496076388888</v>
      </c>
      <c r="EC330" s="3" t="s">
        <v>2010</v>
      </c>
      <c r="ED330" t="s">
        <v>2011</v>
      </c>
      <c r="EE330" t="s">
        <v>2012</v>
      </c>
      <c r="EF330" t="s">
        <v>1164</v>
      </c>
      <c r="EG330" t="s">
        <v>2002</v>
      </c>
      <c r="EH330" t="s">
        <v>2013</v>
      </c>
      <c r="EI330" t="s">
        <v>2014</v>
      </c>
      <c r="EJ330" t="s">
        <v>275</v>
      </c>
      <c r="EK330" t="s">
        <v>275</v>
      </c>
      <c r="EL330" t="s">
        <v>794</v>
      </c>
    </row>
    <row r="331" spans="1:162" ht="15" customHeight="1" x14ac:dyDescent="0.35">
      <c r="A331">
        <v>68</v>
      </c>
      <c r="B331" t="s">
        <v>2015</v>
      </c>
      <c r="C331">
        <v>2</v>
      </c>
      <c r="D331" t="str">
        <f>VLOOKUP(source[[#This Row],[Приоритет]],тПриоритеты[],2,0)</f>
        <v>Значительное</v>
      </c>
      <c r="E331" t="str">
        <f>IF(ISBLANK(source[[#This Row],[Проверенные]]),IF(ISBLANK(source[[#This Row],[Завершенные]]),source[[#This Row],[Приоритет_]],"Завершено"),"Проверено")</f>
        <v>Проверено</v>
      </c>
      <c r="F331" t="s">
        <v>1668</v>
      </c>
      <c r="G331" t="s">
        <v>269</v>
      </c>
      <c r="H331" t="e">
        <f>VLOOKUP(source[[#This Row],[Отвественный]],тОтветственные[],2,0)</f>
        <v>#N/A</v>
      </c>
      <c r="I331" s="2">
        <v>43735</v>
      </c>
      <c r="J331" s="2">
        <v>43738</v>
      </c>
      <c r="S331" s="1">
        <v>43770.459513888891</v>
      </c>
      <c r="T331" s="1">
        <v>43791.570856481485</v>
      </c>
      <c r="U331" s="1">
        <v>43797.496053240742</v>
      </c>
      <c r="W331" s="1">
        <v>43797.496064814812</v>
      </c>
      <c r="EC331" s="3" t="s">
        <v>2016</v>
      </c>
      <c r="ED331" t="s">
        <v>2017</v>
      </c>
      <c r="EE331" t="s">
        <v>1164</v>
      </c>
      <c r="EF331" t="s">
        <v>2002</v>
      </c>
      <c r="EG331" t="s">
        <v>275</v>
      </c>
      <c r="EH331" t="s">
        <v>794</v>
      </c>
    </row>
    <row r="332" spans="1:162" ht="15" customHeight="1" x14ac:dyDescent="0.35">
      <c r="A332">
        <v>192</v>
      </c>
      <c r="B332" t="s">
        <v>2018</v>
      </c>
      <c r="C332">
        <v>1</v>
      </c>
      <c r="D332" t="str">
        <f>VLOOKUP(source[[#This Row],[Приоритет]],тПриоритеты[],2,0)</f>
        <v>КРИТИЧЕСКОЕ</v>
      </c>
      <c r="E332" t="str">
        <f>IF(ISBLANK(source[[#This Row],[Проверенные]]),IF(ISBLANK(source[[#This Row],[Завершенные]]),source[[#This Row],[Приоритет_]],"Завершено"),"Проверено")</f>
        <v>Проверено</v>
      </c>
      <c r="F332" t="s">
        <v>1668</v>
      </c>
      <c r="G332" t="s">
        <v>269</v>
      </c>
      <c r="H332" t="e">
        <f>VLOOKUP(source[[#This Row],[Отвественный]],тОтветственные[],2,0)</f>
        <v>#N/A</v>
      </c>
      <c r="I332" s="2">
        <v>43777</v>
      </c>
      <c r="J332" s="2">
        <v>43780</v>
      </c>
      <c r="S332" s="1">
        <v>43777.53087962963</v>
      </c>
      <c r="T332" s="1">
        <v>43788.429502314815</v>
      </c>
      <c r="U332" s="1">
        <v>43797.496180555558</v>
      </c>
      <c r="W332" s="1">
        <v>43797.496180555558</v>
      </c>
      <c r="EC332" t="s">
        <v>2019</v>
      </c>
      <c r="ED332" t="s">
        <v>2020</v>
      </c>
      <c r="EE332" t="s">
        <v>2021</v>
      </c>
      <c r="EF332" t="str">
        <f>HYPERLINK("https://d33htgqikc2pj4.cloudfront.net/bac4b8fc-a8bc-4e6c-9d44-0cb6e3b2da4a.jpeg", "Святослав Грохольский: Ссылка на изображение")</f>
        <v>Святослав Грохольский: Ссылка на изображение</v>
      </c>
      <c r="EG332" t="str">
        <f>HYPERLINK("https://d33htgqikc2pj4.cloudfront.net/0d5bd6c0-3162-4d61-b1f3-ce0bc17e5205.jpeg", "Святослав Грохольский: Ссылка на изображение")</f>
        <v>Святослав Грохольский: Ссылка на изображение</v>
      </c>
      <c r="EH332" t="str">
        <f>HYPERLINK("https://d33htgqikc2pj4.cloudfront.net/d0978703-f6aa-47ec-b348-0fadccd8cb0e.jpeg", "Святослав Грохольский: Ссылка на изображение")</f>
        <v>Святослав Грохольский: Ссылка на изображение</v>
      </c>
      <c r="EI332" t="s">
        <v>2022</v>
      </c>
      <c r="EJ332" s="3" t="s">
        <v>2023</v>
      </c>
      <c r="EK332" t="s">
        <v>2024</v>
      </c>
      <c r="EL332" t="s">
        <v>1164</v>
      </c>
      <c r="EM332" t="s">
        <v>2002</v>
      </c>
      <c r="EN332" t="s">
        <v>275</v>
      </c>
      <c r="EO332" t="s">
        <v>2025</v>
      </c>
      <c r="EP332" t="s">
        <v>794</v>
      </c>
    </row>
    <row r="333" spans="1:162" ht="15" customHeight="1" x14ac:dyDescent="0.35">
      <c r="A333">
        <v>504</v>
      </c>
      <c r="B333" t="s">
        <v>2026</v>
      </c>
      <c r="C333">
        <v>2</v>
      </c>
      <c r="D333" t="str">
        <f>VLOOKUP(source[[#This Row],[Приоритет]],тПриоритеты[],2,0)</f>
        <v>Значительное</v>
      </c>
      <c r="E333" t="str">
        <f>IF(ISBLANK(source[[#This Row],[Проверенные]]),IF(ISBLANK(source[[#This Row],[Завершенные]]),source[[#This Row],[Приоритет_]],"Завершено"),"Проверено")</f>
        <v>Проверено</v>
      </c>
      <c r="F333" t="s">
        <v>1668</v>
      </c>
      <c r="G333" t="s">
        <v>269</v>
      </c>
      <c r="H333" t="e">
        <f>VLOOKUP(source[[#This Row],[Отвественный]],тОтветственные[],2,0)</f>
        <v>#N/A</v>
      </c>
      <c r="I333" s="2">
        <v>43809</v>
      </c>
      <c r="J333" s="2">
        <v>43817</v>
      </c>
      <c r="N333" t="s">
        <v>2027</v>
      </c>
      <c r="S333" s="1">
        <v>43801.631701388891</v>
      </c>
      <c r="T333" s="1">
        <v>43854.725254629629</v>
      </c>
      <c r="U333" s="1">
        <v>43860.578657407408</v>
      </c>
      <c r="W333" s="1">
        <v>43860.578668981485</v>
      </c>
      <c r="EC333" t="s">
        <v>2028</v>
      </c>
      <c r="ED333" t="s">
        <v>2029</v>
      </c>
      <c r="EE333" t="s">
        <v>2030</v>
      </c>
      <c r="EF333" t="s">
        <v>2031</v>
      </c>
      <c r="EG333" t="s">
        <v>2032</v>
      </c>
      <c r="EH333" t="s">
        <v>2033</v>
      </c>
      <c r="EI333" t="s">
        <v>2034</v>
      </c>
      <c r="EJ333" t="str">
        <f>HYPERLINK("https://d33htgqikc2pj4.cloudfront.net/fb1cf3f746cbd50754d069aa9e690c8a/d302fc04145ad0477bfdd9787748a903-file.jpeg", "Александр Лесюта: Ссылка на изображение")</f>
        <v>Александр Лесюта: Ссылка на изображение</v>
      </c>
      <c r="EK333" t="str">
        <f>HYPERLINK("https://d33htgqikc2pj4.cloudfront.net/f716179531db38358cc6fd889a00d0c5/5d46478401cc00266953f3ba00fe5176-file.jpeg", "Александр Лесюта: Ссылка на изображение")</f>
        <v>Александр Лесюта: Ссылка на изображение</v>
      </c>
      <c r="EL333" t="str">
        <f>HYPERLINK("https://d33htgqikc2pj4.cloudfront.net/674d0f63bb5ca12688476b330f501299/a845e5e31d8a8ee96f1ff0dacc270c7d-file.jpeg", "Александр Лесюта: Ссылка на изображение")</f>
        <v>Александр Лесюта: Ссылка на изображение</v>
      </c>
      <c r="EM333" t="s">
        <v>2035</v>
      </c>
      <c r="EN333" t="s">
        <v>2036</v>
      </c>
      <c r="EO333" t="s">
        <v>1673</v>
      </c>
      <c r="EP333" t="s">
        <v>2037</v>
      </c>
      <c r="EQ333" t="s">
        <v>2038</v>
      </c>
      <c r="ER333" t="s">
        <v>2039</v>
      </c>
      <c r="ES333" t="s">
        <v>2040</v>
      </c>
      <c r="ET333" t="s">
        <v>2041</v>
      </c>
      <c r="EU333" t="s">
        <v>275</v>
      </c>
      <c r="EV333" t="s">
        <v>2042</v>
      </c>
      <c r="EW333" t="s">
        <v>794</v>
      </c>
    </row>
    <row r="334" spans="1:162" ht="15" customHeight="1" x14ac:dyDescent="0.35">
      <c r="A334">
        <v>64</v>
      </c>
      <c r="B334" t="s">
        <v>2043</v>
      </c>
      <c r="C334">
        <v>2</v>
      </c>
      <c r="D334" t="str">
        <f>VLOOKUP(source[[#This Row],[Приоритет]],тПриоритеты[],2,0)</f>
        <v>Значительное</v>
      </c>
      <c r="E334" t="str">
        <f>IF(ISBLANK(source[[#This Row],[Проверенные]]),IF(ISBLANK(source[[#This Row],[Завершенные]]),source[[#This Row],[Приоритет_]],"Завершено"),"Проверено")</f>
        <v>Проверено</v>
      </c>
      <c r="F334" t="s">
        <v>1668</v>
      </c>
      <c r="G334" t="s">
        <v>269</v>
      </c>
      <c r="H334" t="e">
        <f>VLOOKUP(source[[#This Row],[Отвественный]],тОтветственные[],2,0)</f>
        <v>#N/A</v>
      </c>
      <c r="I334" s="2">
        <v>43701</v>
      </c>
      <c r="J334" s="2">
        <v>43705</v>
      </c>
      <c r="N334" t="s">
        <v>2004</v>
      </c>
      <c r="S334" s="1">
        <v>43770.459490740737</v>
      </c>
      <c r="T334" s="1">
        <v>43788.427442129629</v>
      </c>
      <c r="U334" s="1">
        <v>43797.496041666665</v>
      </c>
      <c r="W334" s="1">
        <v>43797.496041666665</v>
      </c>
      <c r="EC334" t="s">
        <v>2044</v>
      </c>
      <c r="ED334" t="s">
        <v>2006</v>
      </c>
      <c r="EE334" t="s">
        <v>2045</v>
      </c>
      <c r="EF334" t="s">
        <v>1164</v>
      </c>
      <c r="EG334" t="s">
        <v>2002</v>
      </c>
      <c r="EH334" t="s">
        <v>2046</v>
      </c>
      <c r="EI334" t="s">
        <v>275</v>
      </c>
      <c r="EJ334" t="s">
        <v>275</v>
      </c>
      <c r="EK334" t="s">
        <v>794</v>
      </c>
    </row>
    <row r="335" spans="1:162" ht="15" customHeight="1" x14ac:dyDescent="0.35">
      <c r="A335">
        <v>385</v>
      </c>
      <c r="B335" t="s">
        <v>819</v>
      </c>
      <c r="C335">
        <v>2</v>
      </c>
      <c r="D335" t="str">
        <f>VLOOKUP(source[[#This Row],[Приоритет]],тПриоритеты[],2,0)</f>
        <v>Значительное</v>
      </c>
      <c r="E335" t="str">
        <f>IF(ISBLANK(source[[#This Row],[Проверенные]]),IF(ISBLANK(source[[#This Row],[Завершенные]]),source[[#This Row],[Приоритет_]],"Завершено"),"Проверено")</f>
        <v>Проверено</v>
      </c>
      <c r="F335" t="s">
        <v>1668</v>
      </c>
      <c r="G335" t="s">
        <v>269</v>
      </c>
      <c r="H335" t="e">
        <f>VLOOKUP(source[[#This Row],[Отвественный]],тОтветственные[],2,0)</f>
        <v>#N/A</v>
      </c>
      <c r="I335" s="2">
        <v>43790</v>
      </c>
      <c r="J335" s="2">
        <v>43794</v>
      </c>
      <c r="S335" s="1">
        <v>43790.74732638889</v>
      </c>
      <c r="T335" s="1">
        <v>43812.62636574074</v>
      </c>
      <c r="U335" s="1">
        <v>43812.62636574074</v>
      </c>
      <c r="W335" s="1">
        <v>43812.626377314817</v>
      </c>
      <c r="AA335" t="s">
        <v>818</v>
      </c>
      <c r="EC335" t="s">
        <v>2047</v>
      </c>
      <c r="ED335" t="s">
        <v>2048</v>
      </c>
      <c r="EE335" t="s">
        <v>1164</v>
      </c>
      <c r="EF335" t="s">
        <v>2049</v>
      </c>
      <c r="EG335" t="s">
        <v>2050</v>
      </c>
      <c r="EH335" t="s">
        <v>2002</v>
      </c>
      <c r="EI335" t="s">
        <v>836</v>
      </c>
    </row>
    <row r="336" spans="1:162" ht="15" customHeight="1" x14ac:dyDescent="0.35">
      <c r="A336">
        <v>317</v>
      </c>
      <c r="B336" t="s">
        <v>2051</v>
      </c>
      <c r="C336">
        <v>2</v>
      </c>
      <c r="D336" t="str">
        <f>VLOOKUP(source[[#This Row],[Приоритет]],тПриоритеты[],2,0)</f>
        <v>Значительное</v>
      </c>
      <c r="E336" t="str">
        <f>IF(ISBLANK(source[[#This Row],[Проверенные]]),IF(ISBLANK(source[[#This Row],[Завершенные]]),source[[#This Row],[Приоритет_]],"Завершено"),"Проверено")</f>
        <v>Проверено</v>
      </c>
      <c r="F336" t="s">
        <v>1668</v>
      </c>
      <c r="G336" t="s">
        <v>269</v>
      </c>
      <c r="H336" t="e">
        <f>VLOOKUP(source[[#This Row],[Отвественный]],тОтветственные[],2,0)</f>
        <v>#N/A</v>
      </c>
      <c r="I336" s="2">
        <v>43787</v>
      </c>
      <c r="J336" s="2">
        <v>43790</v>
      </c>
      <c r="S336" s="1">
        <v>43787.140208333331</v>
      </c>
      <c r="T336" s="1">
        <v>43794.381666666668</v>
      </c>
      <c r="U336" s="1">
        <v>43797.496203703704</v>
      </c>
      <c r="W336" s="1">
        <v>43797.496203703704</v>
      </c>
      <c r="EC336" t="s">
        <v>2052</v>
      </c>
      <c r="ED336" t="str">
        <f>HYPERLINK("https://d33htgqikc2pj4.cloudfront.net/qvHDimMUqxZcQnsj/5973e683-0b10-4d80-b989-f8db5813020b.jpeg", "Юрий Прасолов: Ссылка на изображение")</f>
        <v>Юрий Прасолов: Ссылка на изображение</v>
      </c>
      <c r="EE336" t="str">
        <f>HYPERLINK("https://d33htgqikc2pj4.cloudfront.net/qvHDimMUqxZcQnsj/1c3fa729-7f0b-4366-9f73-87726aec36d8.jpeg", "Юрий Прасолов: Ссылка на изображение")</f>
        <v>Юрий Прасолов: Ссылка на изображение</v>
      </c>
      <c r="EF336" t="str">
        <f>HYPERLINK("https://d33htgqikc2pj4.cloudfront.net/qvHDimMUqxZcQnsj/f7eb29a5-5096-4ac7-b1db-7f9a44018a19.jpeg", "Юрий Прасолов: Ссылка на изображение")</f>
        <v>Юрий Прасолов: Ссылка на изображение</v>
      </c>
      <c r="EG336" t="s">
        <v>2053</v>
      </c>
      <c r="EH336" t="str">
        <f>HYPERLINK("https://d33htgqikc2pj4.cloudfront.net/qvHDimMUqxZcQnsj/d9d8f76c-5edd-40af-b46d-af0e5b1ad700.jpeg", "Юрий Прасолов: Ссылка на изображение")</f>
        <v>Юрий Прасолов: Ссылка на изображение</v>
      </c>
      <c r="EI336" t="s">
        <v>2054</v>
      </c>
      <c r="EJ336" t="s">
        <v>2055</v>
      </c>
      <c r="EK336" t="s">
        <v>1164</v>
      </c>
      <c r="EL336" t="s">
        <v>2002</v>
      </c>
      <c r="EM336" t="s">
        <v>275</v>
      </c>
      <c r="EN336" t="s">
        <v>2056</v>
      </c>
      <c r="EO336" t="s">
        <v>794</v>
      </c>
    </row>
    <row r="337" spans="1:156" ht="15" customHeight="1" x14ac:dyDescent="0.35">
      <c r="A337">
        <v>916</v>
      </c>
      <c r="B337" t="s">
        <v>2057</v>
      </c>
      <c r="C337">
        <v>2</v>
      </c>
      <c r="D337" t="str">
        <f>VLOOKUP(source[[#This Row],[Приоритет]],тПриоритеты[],2,0)</f>
        <v>Значительное</v>
      </c>
      <c r="E337" t="str">
        <f>IF(ISBLANK(source[[#This Row],[Проверенные]]),IF(ISBLANK(source[[#This Row],[Завершенные]]),source[[#This Row],[Приоритет_]],"Завершено"),"Проверено")</f>
        <v>Проверено</v>
      </c>
      <c r="F337" t="s">
        <v>1668</v>
      </c>
      <c r="G337" t="s">
        <v>269</v>
      </c>
      <c r="H337" t="e">
        <f>VLOOKUP(source[[#This Row],[Отвественный]],тОтветственные[],2,0)</f>
        <v>#N/A</v>
      </c>
      <c r="I337" s="2">
        <v>43845</v>
      </c>
      <c r="J337" s="2">
        <v>43852</v>
      </c>
      <c r="S337" s="1">
        <v>43845.577581018515</v>
      </c>
      <c r="T337" s="1">
        <v>43852.390902777777</v>
      </c>
      <c r="U337" s="1">
        <v>43852.390902777777</v>
      </c>
      <c r="W337" s="1">
        <v>43852.390914351854</v>
      </c>
      <c r="EC337" t="s">
        <v>2058</v>
      </c>
      <c r="ED337" t="s">
        <v>2059</v>
      </c>
      <c r="EE337" t="str">
        <f>HYPERLINK("https://d33htgqikc2pj4.cloudfront.net/1d2cfa9315c52e3c228c9b17a8892228/a1a378b4e59cb9b36cd690f1c79b5526-file.jpeg", "Александр Лесюта: Ссылка на изображение")</f>
        <v>Александр Лесюта: Ссылка на изображение</v>
      </c>
      <c r="EF337" t="s">
        <v>2060</v>
      </c>
      <c r="EG337" t="s">
        <v>2061</v>
      </c>
      <c r="EH337" t="s">
        <v>2062</v>
      </c>
      <c r="EI337" t="s">
        <v>794</v>
      </c>
    </row>
    <row r="338" spans="1:156" ht="15" customHeight="1" x14ac:dyDescent="0.35">
      <c r="A338">
        <v>960</v>
      </c>
      <c r="B338" t="s">
        <v>2063</v>
      </c>
      <c r="C338">
        <v>1</v>
      </c>
      <c r="D338" t="str">
        <f>VLOOKUP(source[[#This Row],[Приоритет]],тПриоритеты[],2,0)</f>
        <v>КРИТИЧЕСКОЕ</v>
      </c>
      <c r="E338" t="str">
        <f>IF(ISBLANK(source[[#This Row],[Проверенные]]),IF(ISBLANK(source[[#This Row],[Завершенные]]),source[[#This Row],[Приоритет_]],"Завершено"),"Проверено")</f>
        <v>Проверено</v>
      </c>
      <c r="F338" t="s">
        <v>1668</v>
      </c>
      <c r="G338" t="s">
        <v>269</v>
      </c>
      <c r="H338" t="e">
        <f>VLOOKUP(source[[#This Row],[Отвественный]],тОтветственные[],2,0)</f>
        <v>#N/A</v>
      </c>
      <c r="I338" s="2">
        <v>43850</v>
      </c>
      <c r="J338" s="2">
        <v>43853</v>
      </c>
      <c r="K338" t="s">
        <v>1929</v>
      </c>
      <c r="L338">
        <v>34.76</v>
      </c>
      <c r="M338">
        <v>59.62</v>
      </c>
      <c r="Q338" t="s">
        <v>789</v>
      </c>
      <c r="R338" t="str">
        <f>HYPERLINK("https://d28ji4sm1vmprj.cloudfront.net/7446a2f5ce823f14d6caa916eb9a53b7/572060d4144487f43b3d4838b133b524.jpeg", "Ссылка на план")</f>
        <v>Ссылка на план</v>
      </c>
      <c r="S338" s="1">
        <v>43850.423321759263</v>
      </c>
      <c r="T338" s="1">
        <v>43850.707245370373</v>
      </c>
      <c r="U338" s="1">
        <v>43850.72859953704</v>
      </c>
      <c r="W338" s="1">
        <v>43850.72861111111</v>
      </c>
      <c r="AH338" t="s">
        <v>2064</v>
      </c>
      <c r="EC338" t="s">
        <v>2065</v>
      </c>
      <c r="ED338" t="str">
        <f>HYPERLINK("https://d33htgqikc2pj4.cloudfront.net/c5d69c80-686e-4db8-809a-968362f9be41.jpeg", "Александр Светашов: Ссылка на изображение")</f>
        <v>Александр Светашов: Ссылка на изображение</v>
      </c>
      <c r="EE338" t="str">
        <f>HYPERLINK("https://d33htgqikc2pj4.cloudfront.net/b2f689fe-08e5-4dd9-a6fc-4c8a9ffac84b.jpeg", "Александр Светашов: Ссылка на изображение")</f>
        <v>Александр Светашов: Ссылка на изображение</v>
      </c>
      <c r="EF338" t="str">
        <f>HYPERLINK("https://d33htgqikc2pj4.cloudfront.net/839101d9-9836-4b53-9700-03d416bf9968.jpeg", "Александр Светашов: Ссылка на изображение")</f>
        <v>Александр Светашов: Ссылка на изображение</v>
      </c>
      <c r="EG338" t="str">
        <f>HYPERLINK("https://d33htgqikc2pj4.cloudfront.net/87879246-599f-499b-aefa-d2481c96ef07.jpeg", "Александр Светашов: Ссылка на изображение")</f>
        <v>Александр Светашов: Ссылка на изображение</v>
      </c>
      <c r="EH338" t="str">
        <f>HYPERLINK("https://d33htgqikc2pj4.cloudfront.net/c0d699c3-170e-4eb4-aa84-ce4e6683c692.jpeg", "Александр Светашов: Ссылка на изображение")</f>
        <v>Александр Светашов: Ссылка на изображение</v>
      </c>
      <c r="EI338" t="str">
        <f>HYPERLINK("https://d33htgqikc2pj4.cloudfront.net/39aa438d-3b7d-4494-a48c-9159b00c359b.jpeg", "Александр Светашов: Ссылка на изображение")</f>
        <v>Александр Светашов: Ссылка на изображение</v>
      </c>
      <c r="EJ338" t="str">
        <f>HYPERLINK("https://d33htgqikc2pj4.cloudfront.net/a48ee70e-eee5-402e-8cab-a5fa013c9b74.jpeg", "Александр Светашов: Ссылка на изображение")</f>
        <v>Александр Светашов: Ссылка на изображение</v>
      </c>
      <c r="EK338" t="s">
        <v>1673</v>
      </c>
      <c r="EL338" t="s">
        <v>1676</v>
      </c>
      <c r="EM338" t="s">
        <v>1675</v>
      </c>
      <c r="EN338" t="s">
        <v>1932</v>
      </c>
      <c r="EO338" t="s">
        <v>1933</v>
      </c>
      <c r="EP338" t="s">
        <v>2066</v>
      </c>
      <c r="EQ338" t="s">
        <v>275</v>
      </c>
      <c r="ER338" t="s">
        <v>2067</v>
      </c>
      <c r="ES338" t="s">
        <v>794</v>
      </c>
    </row>
    <row r="339" spans="1:156" ht="15" customHeight="1" x14ac:dyDescent="0.35">
      <c r="A339">
        <v>693</v>
      </c>
      <c r="B339" t="s">
        <v>2068</v>
      </c>
      <c r="C339">
        <v>1</v>
      </c>
      <c r="D339" t="str">
        <f>VLOOKUP(source[[#This Row],[Приоритет]],тПриоритеты[],2,0)</f>
        <v>КРИТИЧЕСКОЕ</v>
      </c>
      <c r="E339" t="str">
        <f>IF(ISBLANK(source[[#This Row],[Проверенные]]),IF(ISBLANK(source[[#This Row],[Завершенные]]),source[[#This Row],[Приоритет_]],"Завершено"),"Проверено")</f>
        <v>КРИТИЧЕСКОЕ</v>
      </c>
      <c r="F339" t="s">
        <v>1668</v>
      </c>
      <c r="G339" t="s">
        <v>478</v>
      </c>
      <c r="H339" t="e">
        <f>VLOOKUP(source[[#This Row],[Отвественный]],тОтветственные[],2,0)</f>
        <v>#N/A</v>
      </c>
      <c r="I339" s="2">
        <v>43819</v>
      </c>
      <c r="J339" s="2">
        <v>43834</v>
      </c>
      <c r="K339" t="s">
        <v>1695</v>
      </c>
      <c r="L339">
        <v>29.13</v>
      </c>
      <c r="M339">
        <v>20.63</v>
      </c>
      <c r="N339" t="s">
        <v>2069</v>
      </c>
      <c r="Q339" t="s">
        <v>1696</v>
      </c>
      <c r="R339" t="str">
        <f>HYPERLINK("https://d28ji4sm1vmprj.cloudfront.net/ae1b9da1b8d7f5336d12f9bd78b659a4/35f68b92eee726bc006589ba1c51b72c.jpeg", "Ссылка на план")</f>
        <v>Ссылка на план</v>
      </c>
      <c r="S339" s="1">
        <v>43819.727662037039</v>
      </c>
      <c r="W339" s="1">
        <v>43865.491180555553</v>
      </c>
      <c r="AH339" t="s">
        <v>2070</v>
      </c>
      <c r="AI339" t="s">
        <v>2071</v>
      </c>
      <c r="AJ339" t="s">
        <v>2072</v>
      </c>
      <c r="EC339" t="s">
        <v>2073</v>
      </c>
      <c r="ED339" t="str">
        <f>HYPERLINK("https://d33htgqikc2pj4.cloudfront.net/870779b9-1169-46cd-baf3-e0073ff5010a.jpeg", "Александр Светашов: Ссылка на изображение")</f>
        <v>Александр Светашов: Ссылка на изображение</v>
      </c>
      <c r="EE339" t="str">
        <f>HYPERLINK("https://d33htgqikc2pj4.cloudfront.net/63804772-26b2-4363-8767-9e08cb41bf3e.jpeg", "Александр Светашов: Ссылка на изображение")</f>
        <v>Александр Светашов: Ссылка на изображение</v>
      </c>
      <c r="EF339" t="s">
        <v>699</v>
      </c>
      <c r="EG339" t="s">
        <v>1675</v>
      </c>
      <c r="EH339" t="s">
        <v>793</v>
      </c>
      <c r="EI339" t="s">
        <v>2074</v>
      </c>
      <c r="EJ339" t="s">
        <v>2075</v>
      </c>
      <c r="EK339" s="3" t="s">
        <v>2076</v>
      </c>
      <c r="EL339" t="s">
        <v>2035</v>
      </c>
      <c r="EM339" t="s">
        <v>1676</v>
      </c>
    </row>
    <row r="340" spans="1:156" ht="15" customHeight="1" x14ac:dyDescent="0.35">
      <c r="A340">
        <v>1072</v>
      </c>
      <c r="B340" t="s">
        <v>2077</v>
      </c>
      <c r="C340">
        <v>1</v>
      </c>
      <c r="D340" t="str">
        <f>VLOOKUP(source[[#This Row],[Приоритет]],тПриоритеты[],2,0)</f>
        <v>КРИТИЧЕСКОЕ</v>
      </c>
      <c r="E340" t="str">
        <f>IF(ISBLANK(source[[#This Row],[Проверенные]]),IF(ISBLANK(source[[#This Row],[Завершенные]]),source[[#This Row],[Приоритет_]],"Завершено"),"Проверено")</f>
        <v>КРИТИЧЕСКОЕ</v>
      </c>
      <c r="F340" t="s">
        <v>1668</v>
      </c>
      <c r="G340" t="s">
        <v>478</v>
      </c>
      <c r="H340" t="e">
        <f>VLOOKUP(source[[#This Row],[Отвественный]],тОтветственные[],2,0)</f>
        <v>#N/A</v>
      </c>
      <c r="I340" s="2">
        <v>43858</v>
      </c>
      <c r="J340" s="2">
        <v>43858</v>
      </c>
      <c r="K340" t="s">
        <v>1670</v>
      </c>
      <c r="L340">
        <v>27.28</v>
      </c>
      <c r="M340">
        <v>24.2</v>
      </c>
      <c r="Q340" t="s">
        <v>789</v>
      </c>
      <c r="R340" t="str">
        <f>HYPERLINK("https://d28ji4sm1vmprj.cloudfront.net/ad15462a64f9a2745b54f51ce9154d41/1ae5aabc4102d9651fda668fc59d327e.jpeg", "Ссылка на план")</f>
        <v>Ссылка на план</v>
      </c>
      <c r="S340" s="1">
        <v>43858.431562500002</v>
      </c>
      <c r="W340" s="1">
        <v>43865.490798611114</v>
      </c>
      <c r="EC340" t="s">
        <v>2078</v>
      </c>
      <c r="ED340" t="s">
        <v>2079</v>
      </c>
      <c r="EE340" t="s">
        <v>2080</v>
      </c>
      <c r="EF340" t="str">
        <f>HYPERLINK("https://d33htgqikc2pj4.cloudfront.net/604e5896-5fde-4b55-b9e7-5089f8bd3f3f.jpeg", "Александр Светашов: Ссылка на изображение")</f>
        <v>Александр Светашов: Ссылка на изображение</v>
      </c>
      <c r="EG340" t="str">
        <f>HYPERLINK("https://d33htgqikc2pj4.cloudfront.net/87e7777f-a901-4411-b32a-b63f76fffcbc.jpeg", "Александр Светашов: Ссылка на изображение")</f>
        <v>Александр Светашов: Ссылка на изображение</v>
      </c>
      <c r="EH340" t="str">
        <f>HYPERLINK("https://d33htgqikc2pj4.cloudfront.net/e9a50936-9c2b-4a8d-a23c-49a79ad1995f.jpeg", "Александр Светашов: Ссылка на изображение")</f>
        <v>Александр Светашов: Ссылка на изображение</v>
      </c>
      <c r="EI340" t="str">
        <f>HYPERLINK("https://d33htgqikc2pj4.cloudfront.net/0db8c737-8d51-40d7-9ce2-b43cdd8c079f.jpeg", "Александр Светашов: Ссылка на изображение")</f>
        <v>Александр Светашов: Ссылка на изображение</v>
      </c>
      <c r="EJ340" t="s">
        <v>699</v>
      </c>
      <c r="EK340" t="s">
        <v>2081</v>
      </c>
      <c r="EL340" t="s">
        <v>1676</v>
      </c>
    </row>
    <row r="341" spans="1:156" ht="15" customHeight="1" x14ac:dyDescent="0.35">
      <c r="A341">
        <v>1073</v>
      </c>
      <c r="B341" t="s">
        <v>2082</v>
      </c>
      <c r="C341">
        <v>1</v>
      </c>
      <c r="D341" t="str">
        <f>VLOOKUP(source[[#This Row],[Приоритет]],тПриоритеты[],2,0)</f>
        <v>КРИТИЧЕСКОЕ</v>
      </c>
      <c r="E341" t="str">
        <f>IF(ISBLANK(source[[#This Row],[Проверенные]]),IF(ISBLANK(source[[#This Row],[Завершенные]]),source[[#This Row],[Приоритет_]],"Завершено"),"Проверено")</f>
        <v>КРИТИЧЕСКОЕ</v>
      </c>
      <c r="F341" t="s">
        <v>1668</v>
      </c>
      <c r="G341" t="s">
        <v>478</v>
      </c>
      <c r="H341" t="e">
        <f>VLOOKUP(source[[#This Row],[Отвественный]],тОтветственные[],2,0)</f>
        <v>#N/A</v>
      </c>
      <c r="I341" s="2">
        <v>43858</v>
      </c>
      <c r="J341" s="2">
        <v>43858</v>
      </c>
      <c r="K341" t="s">
        <v>1670</v>
      </c>
      <c r="L341">
        <v>27.96</v>
      </c>
      <c r="M341">
        <v>23.91</v>
      </c>
      <c r="Q341" t="s">
        <v>789</v>
      </c>
      <c r="R341" t="str">
        <f>HYPERLINK("https://d28ji4sm1vmprj.cloudfront.net/ad15462a64f9a2745b54f51ce9154d41/1ae5aabc4102d9651fda668fc59d327e.jpeg", "Ссылка на план")</f>
        <v>Ссылка на план</v>
      </c>
      <c r="S341" s="1">
        <v>43858.432858796295</v>
      </c>
      <c r="W341" s="1">
        <v>43858.433703703704</v>
      </c>
      <c r="EC341" t="s">
        <v>2083</v>
      </c>
      <c r="ED341" t="s">
        <v>2084</v>
      </c>
      <c r="EE341" t="s">
        <v>2080</v>
      </c>
      <c r="EF341" t="str">
        <f>HYPERLINK("https://d33htgqikc2pj4.cloudfront.net/be2abd44-1244-42d0-b38b-caa3a4f15459.jpeg", "Александр Светашов: Ссылка на изображение")</f>
        <v>Александр Светашов: Ссылка на изображение</v>
      </c>
      <c r="EG341" t="str">
        <f>HYPERLINK("https://d33htgqikc2pj4.cloudfront.net/69aa3620-b10d-4f8a-a1a4-6af57b156847.jpeg", "Александр Светашов: Ссылка на изображение")</f>
        <v>Александр Светашов: Ссылка на изображение</v>
      </c>
      <c r="EH341" t="str">
        <f>HYPERLINK("https://d33htgqikc2pj4.cloudfront.net/648fa47d-bbad-413a-83fd-2cb42e01407e.jpeg", "Александр Светашов: Ссылка на изображение")</f>
        <v>Александр Светашов: Ссылка на изображение</v>
      </c>
      <c r="EI341" t="str">
        <f>HYPERLINK("https://d33htgqikc2pj4.cloudfront.net/74fa426f-c9a7-403b-9117-9c60decd3a43.jpeg", "Александр Светашов: Ссылка на изображение")</f>
        <v>Александр Светашов: Ссылка на изображение</v>
      </c>
      <c r="EJ341" t="s">
        <v>2081</v>
      </c>
      <c r="EK341" t="s">
        <v>1676</v>
      </c>
      <c r="EL341" t="s">
        <v>699</v>
      </c>
    </row>
    <row r="342" spans="1:156" ht="15" customHeight="1" x14ac:dyDescent="0.35">
      <c r="A342">
        <v>756</v>
      </c>
      <c r="B342" t="s">
        <v>2085</v>
      </c>
      <c r="C342">
        <v>1</v>
      </c>
      <c r="D342" t="str">
        <f>VLOOKUP(source[[#This Row],[Приоритет]],тПриоритеты[],2,0)</f>
        <v>КРИТИЧЕСКОЕ</v>
      </c>
      <c r="E342" t="str">
        <f>IF(ISBLANK(source[[#This Row],[Проверенные]]),IF(ISBLANK(source[[#This Row],[Завершенные]]),source[[#This Row],[Приоритет_]],"Завершено"),"Проверено")</f>
        <v>КРИТИЧЕСКОЕ</v>
      </c>
      <c r="F342" t="s">
        <v>1668</v>
      </c>
      <c r="G342" t="s">
        <v>478</v>
      </c>
      <c r="H342" t="e">
        <f>VLOOKUP(source[[#This Row],[Отвественный]],тОтветственные[],2,0)</f>
        <v>#N/A</v>
      </c>
      <c r="I342" s="2">
        <v>43823</v>
      </c>
      <c r="J342" s="2">
        <v>43849</v>
      </c>
      <c r="K342" t="s">
        <v>1670</v>
      </c>
      <c r="L342">
        <v>16.45</v>
      </c>
      <c r="M342">
        <v>28.21</v>
      </c>
      <c r="Q342" t="s">
        <v>789</v>
      </c>
      <c r="R342" t="str">
        <f>HYPERLINK("https://d28ji4sm1vmprj.cloudfront.net/ad15462a64f9a2745b54f51ce9154d41/1ae5aabc4102d9651fda668fc59d327e.jpeg", "Ссылка на план")</f>
        <v>Ссылка на план</v>
      </c>
      <c r="S342" s="1">
        <v>43823.431018518517</v>
      </c>
      <c r="W342" s="1">
        <v>43823.466793981483</v>
      </c>
      <c r="AH342" t="s">
        <v>2086</v>
      </c>
      <c r="EC342" t="s">
        <v>1676</v>
      </c>
      <c r="ED342" t="s">
        <v>2087</v>
      </c>
      <c r="EE342" t="str">
        <f>HYPERLINK("https://d33htgqikc2pj4.cloudfront.net/de1ecc74-029c-447c-9f62-806e507bd49a.jpeg", "Александр Светашов: Ссылка на изображение")</f>
        <v>Александр Светашов: Ссылка на изображение</v>
      </c>
      <c r="EF342" t="str">
        <f>HYPERLINK("https://d33htgqikc2pj4.cloudfront.net/d67bc8f8-7337-4fbe-9b54-914cee1fa3a4.jpeg", "Александр Светашов: Ссылка на изображение")</f>
        <v>Александр Светашов: Ссылка на изображение</v>
      </c>
      <c r="EG342" t="str">
        <f>HYPERLINK("https://d33htgqikc2pj4.cloudfront.net/7f204c53-44b4-4e2c-b0c3-0fb0359f5518.jpeg", "Александр Светашов: Ссылка на изображение")</f>
        <v>Александр Светашов: Ссылка на изображение</v>
      </c>
      <c r="EH342" t="str">
        <f>HYPERLINK("https://d33htgqikc2pj4.cloudfront.net/b144453e-5d5b-4b77-991d-6e5433e833b3.jpeg", "Александр Светашов: Ссылка на изображение")</f>
        <v>Александр Светашов: Ссылка на изображение</v>
      </c>
      <c r="EI342" t="str">
        <f>HYPERLINK("https://d33htgqikc2pj4.cloudfront.net/1018a98e-0f93-4f22-8728-9e9109fedd31.jpeg", "Александр Светашов: Ссылка на изображение")</f>
        <v>Александр Светашов: Ссылка на изображение</v>
      </c>
      <c r="EJ342" t="str">
        <f>HYPERLINK("https://d33htgqikc2pj4.cloudfront.net/6dae007a-a842-4042-931c-4f7096bb26b8.jpeg", "Александр Светашов: Ссылка на изображение")</f>
        <v>Александр Светашов: Ссылка на изображение</v>
      </c>
      <c r="EK342" t="str">
        <f>HYPERLINK("https://d33htgqikc2pj4.cloudfront.net/a24c3d31-f448-40a2-b89c-5226a7f693e2.jpeg", "Александр Светашов: Ссылка на изображение")</f>
        <v>Александр Светашов: Ссылка на изображение</v>
      </c>
      <c r="EL342" t="str">
        <f>HYPERLINK("https://d33htgqikc2pj4.cloudfront.net/baa0c3db-e1d1-45af-8577-6f7ed4d0d523.jpeg", "Александр Светашов: Ссылка на изображение")</f>
        <v>Александр Светашов: Ссылка на изображение</v>
      </c>
      <c r="EM342" t="str">
        <f>HYPERLINK("https://d33htgqikc2pj4.cloudfront.net/a9e51827-09df-4534-b9c2-5fc19ab99bfe.jpeg", "Александр Светашов: Ссылка на изображение")</f>
        <v>Александр Светашов: Ссылка на изображение</v>
      </c>
      <c r="EN342" t="str">
        <f>HYPERLINK("https://d33htgqikc2pj4.cloudfront.net/20dff10a-8ddd-4d93-8d73-512ba2c7da9c.jpeg", "Александр Светашов: Ссылка на изображение")</f>
        <v>Александр Светашов: Ссылка на изображение</v>
      </c>
      <c r="EO342" t="str">
        <f>HYPERLINK("https://d33htgqikc2pj4.cloudfront.net/7410befb-cf0f-42f4-927e-32a033b263e9.jpeg", "Александр Светашов: Ссылка на изображение")</f>
        <v>Александр Светашов: Ссылка на изображение</v>
      </c>
      <c r="EP342" t="str">
        <f>HYPERLINK("https://d33htgqikc2pj4.cloudfront.net/292d5129-297c-4bd1-81d8-323e405dbaf3.jpeg", "Александр Светашов: Ссылка на изображение")</f>
        <v>Александр Светашов: Ссылка на изображение</v>
      </c>
      <c r="EQ342" t="str">
        <f>HYPERLINK("https://d33htgqikc2pj4.cloudfront.net/2c08c192-2858-43d5-bc98-51a0c9f77fda.jpeg", "Александр Светашов: Ссылка на изображение")</f>
        <v>Александр Светашов: Ссылка на изображение</v>
      </c>
      <c r="ER342" t="str">
        <f>HYPERLINK("https://d33htgqikc2pj4.cloudfront.net/b943f2e8-07cb-473d-af03-d46678498bdd.jpeg", "Александр Светашов: Ссылка на изображение")</f>
        <v>Александр Светашов: Ссылка на изображение</v>
      </c>
      <c r="ES342" t="str">
        <f>HYPERLINK("https://d33htgqikc2pj4.cloudfront.net/2229b5ee-c459-4a5b-a80f-aecc19db9467.jpeg", "Александр Светашов: Ссылка на изображение")</f>
        <v>Александр Светашов: Ссылка на изображение</v>
      </c>
      <c r="ET342" t="str">
        <f>HYPERLINK("https://d33htgqikc2pj4.cloudfront.net/b2b2817f-06d3-4e16-8dcb-2e3a6045bb1b.jpeg", "Александр Светашов: Ссылка на изображение")</f>
        <v>Александр Светашов: Ссылка на изображение</v>
      </c>
      <c r="EU342" t="str">
        <f>HYPERLINK("https://d33htgqikc2pj4.cloudfront.net/18a4338c-8a18-4447-9f45-396ba9ce41a5.jpeg", "Александр Светашов: Ссылка на изображение")</f>
        <v>Александр Светашов: Ссылка на изображение</v>
      </c>
      <c r="EV342" t="str">
        <f>HYPERLINK("https://d33htgqikc2pj4.cloudfront.net/d9255c14-005b-4ac2-9455-31db542adedc.jpeg", "Александр Светашов: Ссылка на изображение")</f>
        <v>Александр Светашов: Ссылка на изображение</v>
      </c>
      <c r="EW342" t="s">
        <v>699</v>
      </c>
      <c r="EX342" t="s">
        <v>1747</v>
      </c>
      <c r="EY342" t="s">
        <v>2074</v>
      </c>
      <c r="EZ342" t="s">
        <v>2088</v>
      </c>
    </row>
    <row r="343" spans="1:156" ht="15" customHeight="1" x14ac:dyDescent="0.35">
      <c r="A343">
        <v>760</v>
      </c>
      <c r="B343" t="s">
        <v>2089</v>
      </c>
      <c r="C343">
        <v>1</v>
      </c>
      <c r="D343" t="str">
        <f>VLOOKUP(source[[#This Row],[Приоритет]],тПриоритеты[],2,0)</f>
        <v>КРИТИЧЕСКОЕ</v>
      </c>
      <c r="E343" t="str">
        <f>IF(ISBLANK(source[[#This Row],[Проверенные]]),IF(ISBLANK(source[[#This Row],[Завершенные]]),source[[#This Row],[Приоритет_]],"Завершено"),"Проверено")</f>
        <v>КРИТИЧЕСКОЕ</v>
      </c>
      <c r="F343" t="s">
        <v>1668</v>
      </c>
      <c r="G343" t="s">
        <v>478</v>
      </c>
      <c r="H343" t="e">
        <f>VLOOKUP(source[[#This Row],[Отвественный]],тОтветственные[],2,0)</f>
        <v>#N/A</v>
      </c>
      <c r="I343" s="2">
        <v>43823</v>
      </c>
      <c r="J343" s="2">
        <v>43836</v>
      </c>
      <c r="K343" t="s">
        <v>1929</v>
      </c>
      <c r="L343">
        <v>20.03</v>
      </c>
      <c r="M343">
        <v>42.27</v>
      </c>
      <c r="Q343" t="s">
        <v>789</v>
      </c>
      <c r="R343" t="str">
        <f>HYPERLINK("https://d28ji4sm1vmprj.cloudfront.net/7446a2f5ce823f14d6caa916eb9a53b7/572060d4144487f43b3d4838b133b524.jpeg", "Ссылка на план")</f>
        <v>Ссылка на план</v>
      </c>
      <c r="S343" s="1">
        <v>43823.465833333335</v>
      </c>
      <c r="W343" s="1">
        <v>43865.491284722222</v>
      </c>
      <c r="AH343" t="s">
        <v>2090</v>
      </c>
      <c r="EC343" t="s">
        <v>2091</v>
      </c>
      <c r="ED343" t="str">
        <f>HYPERLINK("https://d33htgqikc2pj4.cloudfront.net/059f1b5f-2521-4d11-bad1-21a904770771.jpeg", "Александр Светашов: Ссылка на изображение")</f>
        <v>Александр Светашов: Ссылка на изображение</v>
      </c>
      <c r="EE343" t="str">
        <f>HYPERLINK("https://d33htgqikc2pj4.cloudfront.net/1f233b6a-f0b6-40cb-9153-96cd08bb5152.jpeg", "Александр Светашов: Ссылка на изображение")</f>
        <v>Александр Светашов: Ссылка на изображение</v>
      </c>
      <c r="EF343" t="str">
        <f>HYPERLINK("https://d33htgqikc2pj4.cloudfront.net/eab30aa8-5125-4e00-aae3-54d3cf60eca8.jpeg", "Александр Светашов: Ссылка на изображение")</f>
        <v>Александр Светашов: Ссылка на изображение</v>
      </c>
      <c r="EG343" t="str">
        <f>HYPERLINK("https://d33htgqikc2pj4.cloudfront.net/a5345150-1e31-4dba-ad46-b512fa31da00.jpeg", "Александр Светашов: Ссылка на изображение")</f>
        <v>Александр Светашов: Ссылка на изображение</v>
      </c>
      <c r="EH343" t="s">
        <v>1676</v>
      </c>
      <c r="EI343" t="s">
        <v>1747</v>
      </c>
      <c r="EJ343" t="s">
        <v>1748</v>
      </c>
      <c r="EK343" t="s">
        <v>699</v>
      </c>
      <c r="EL343" t="str">
        <f>HYPERLINK("https://d33htgqikc2pj4.cloudfront.net/98d9bc07-7cae-459d-b5d2-49cf1ececa09.jpeg", "Отделка Renaissance Construction: Ссылка на изображение")</f>
        <v>Отделка Renaissance Construction: Ссылка на изображение</v>
      </c>
      <c r="EM343" t="s">
        <v>2092</v>
      </c>
      <c r="EN343" t="s">
        <v>2093</v>
      </c>
      <c r="EO343" t="s">
        <v>2094</v>
      </c>
    </row>
    <row r="344" spans="1:156" ht="15" customHeight="1" x14ac:dyDescent="0.35">
      <c r="A344">
        <v>758</v>
      </c>
      <c r="B344" t="s">
        <v>2095</v>
      </c>
      <c r="C344">
        <v>1</v>
      </c>
      <c r="D344" t="str">
        <f>VLOOKUP(source[[#This Row],[Приоритет]],тПриоритеты[],2,0)</f>
        <v>КРИТИЧЕСКОЕ</v>
      </c>
      <c r="E344" t="str">
        <f>IF(ISBLANK(source[[#This Row],[Проверенные]]),IF(ISBLANK(source[[#This Row],[Завершенные]]),source[[#This Row],[Приоритет_]],"Завершено"),"Проверено")</f>
        <v>КРИТИЧЕСКОЕ</v>
      </c>
      <c r="F344" t="s">
        <v>1668</v>
      </c>
      <c r="G344" t="s">
        <v>478</v>
      </c>
      <c r="H344" t="e">
        <f>VLOOKUP(source[[#This Row],[Отвественный]],тОтветственные[],2,0)</f>
        <v>#N/A</v>
      </c>
      <c r="I344" s="2">
        <v>43823</v>
      </c>
      <c r="J344" s="2">
        <v>43848</v>
      </c>
      <c r="K344" t="s">
        <v>1913</v>
      </c>
      <c r="L344">
        <v>14.74</v>
      </c>
      <c r="M344">
        <v>34.18</v>
      </c>
      <c r="Q344" t="s">
        <v>789</v>
      </c>
      <c r="R344" t="str">
        <f>HYPERLINK("https://d28ji4sm1vmprj.cloudfront.net/66b42f802263492bba17f2ae7b1443c7/e21aa70d5981168508628998e6a067af.jpeg", "Ссылка на план")</f>
        <v>Ссылка на план</v>
      </c>
      <c r="S344" s="1">
        <v>43823.454560185186</v>
      </c>
      <c r="W344" s="1">
        <v>43823.593831018516</v>
      </c>
      <c r="AH344" t="s">
        <v>2096</v>
      </c>
      <c r="EC344" t="s">
        <v>2097</v>
      </c>
      <c r="ED344" t="str">
        <f>HYPERLINK("https://d33htgqikc2pj4.cloudfront.net/eea020b4-6a1a-4569-9a19-82931a359f79.jpeg", "Александр Светашов: Ссылка на изображение")</f>
        <v>Александр Светашов: Ссылка на изображение</v>
      </c>
      <c r="EE344" t="str">
        <f>HYPERLINK("https://d33htgqikc2pj4.cloudfront.net/0389cd17-d19d-4e18-9794-5ed0afe6f1c4.jpeg", "Александр Светашов: Ссылка на изображение")</f>
        <v>Александр Светашов: Ссылка на изображение</v>
      </c>
      <c r="EF344" t="str">
        <f>HYPERLINK("https://d33htgqikc2pj4.cloudfront.net/dfa80280-c378-4d0a-8c1f-1c812fc5124b.jpeg", "Александр Светашов: Ссылка на изображение")</f>
        <v>Александр Светашов: Ссылка на изображение</v>
      </c>
      <c r="EG344" t="str">
        <f>HYPERLINK("https://d33htgqikc2pj4.cloudfront.net/a1fa66a4-abd8-4d37-aa88-2551ee015c0b.jpeg", "Александр Светашов: Ссылка на изображение")</f>
        <v>Александр Светашов: Ссылка на изображение</v>
      </c>
      <c r="EH344" t="str">
        <f>HYPERLINK("https://d33htgqikc2pj4.cloudfront.net/93d95622-ff5e-47a1-b751-f0a57b90f33d.jpeg", "Александр Светашов: Ссылка на изображение")</f>
        <v>Александр Светашов: Ссылка на изображение</v>
      </c>
      <c r="EI344" t="str">
        <f>HYPERLINK("https://d33htgqikc2pj4.cloudfront.net/16200902-4854-4923-b3d8-aec1c03a9a94.jpeg", "Александр Светашов: Ссылка на изображение")</f>
        <v>Александр Светашов: Ссылка на изображение</v>
      </c>
      <c r="EJ344" t="str">
        <f>HYPERLINK("https://d33htgqikc2pj4.cloudfront.net/5d8cebe5-053c-4999-966b-20b684637400.jpeg", "Александр Светашов: Ссылка на изображение")</f>
        <v>Александр Светашов: Ссылка на изображение</v>
      </c>
      <c r="EK344" t="str">
        <f>HYPERLINK("https://d33htgqikc2pj4.cloudfront.net/219a3176-1d91-4a3d-b0f2-d741619b35d4.jpeg", "Александр Светашов: Ссылка на изображение")</f>
        <v>Александр Светашов: Ссылка на изображение</v>
      </c>
      <c r="EL344" t="str">
        <f>HYPERLINK("https://d33htgqikc2pj4.cloudfront.net/32be35c6-aed4-4830-89d7-462028c40207.jpeg", "Александр Светашов: Ссылка на изображение")</f>
        <v>Александр Светашов: Ссылка на изображение</v>
      </c>
      <c r="EM344" t="str">
        <f>HYPERLINK("https://d33htgqikc2pj4.cloudfront.net/acab94df-3e36-4026-a8d8-16e55dad1cb7.jpeg", "Александр Светашов: Ссылка на изображение")</f>
        <v>Александр Светашов: Ссылка на изображение</v>
      </c>
      <c r="EN344" t="str">
        <f>HYPERLINK("https://d33htgqikc2pj4.cloudfront.net/6a38a6d0-34c6-4e30-a4f5-23e094528573.jpeg", "Александр Светашов: Ссылка на изображение")</f>
        <v>Александр Светашов: Ссылка на изображение</v>
      </c>
      <c r="EO344" t="str">
        <f>HYPERLINK("https://d33htgqikc2pj4.cloudfront.net/176b73c7-4c96-4516-88d1-db918df1e550.jpeg", "Александр Светашов: Ссылка на изображение")</f>
        <v>Александр Светашов: Ссылка на изображение</v>
      </c>
      <c r="EP344" t="s">
        <v>1676</v>
      </c>
      <c r="EQ344" t="s">
        <v>699</v>
      </c>
      <c r="ER344" t="s">
        <v>1747</v>
      </c>
      <c r="ES344" t="s">
        <v>2098</v>
      </c>
      <c r="ET344" t="s">
        <v>2099</v>
      </c>
    </row>
    <row r="345" spans="1:156" ht="15" customHeight="1" x14ac:dyDescent="0.35">
      <c r="A345">
        <v>489</v>
      </c>
      <c r="B345" t="s">
        <v>2100</v>
      </c>
      <c r="C345">
        <v>1</v>
      </c>
      <c r="D345" t="str">
        <f>VLOOKUP(source[[#This Row],[Приоритет]],тПриоритеты[],2,0)</f>
        <v>КРИТИЧЕСКОЕ</v>
      </c>
      <c r="E345" t="str">
        <f>IF(ISBLANK(source[[#This Row],[Проверенные]]),IF(ISBLANK(source[[#This Row],[Завершенные]]),source[[#This Row],[Приоритет_]],"Завершено"),"Проверено")</f>
        <v>КРИТИЧЕСКОЕ</v>
      </c>
      <c r="F345" t="s">
        <v>1668</v>
      </c>
      <c r="G345" t="s">
        <v>478</v>
      </c>
      <c r="H345" t="e">
        <f>VLOOKUP(source[[#This Row],[Отвественный]],тОтветственные[],2,0)</f>
        <v>#N/A</v>
      </c>
      <c r="I345" s="2">
        <v>43799</v>
      </c>
      <c r="J345" s="2">
        <v>43833</v>
      </c>
      <c r="S345" s="1">
        <v>43799.480439814812</v>
      </c>
      <c r="W345" s="1">
        <v>43810.36917824074</v>
      </c>
      <c r="EC345" t="s">
        <v>2101</v>
      </c>
      <c r="ED345" t="s">
        <v>2102</v>
      </c>
      <c r="EE345" t="s">
        <v>2103</v>
      </c>
      <c r="EF345" s="3" t="s">
        <v>2104</v>
      </c>
      <c r="EG345" t="str">
        <f>HYPERLINK("https://d33htgqikc2pj4.cloudfront.net/cc69c2375430398394e89b093e6ebfec/dabceaa72654e23b147cc1018d2377cc-file.jpeg", "Александр Олуферов: Ссылка на изображение")</f>
        <v>Александр Олуферов: Ссылка на изображение</v>
      </c>
      <c r="EH345" t="str">
        <f>HYPERLINK("https://d33htgqikc2pj4.cloudfront.net/21604d9cc97283c2d07511a480ccae15/26d3d5400c48fe228da4f76c68648f6e-file.jpeg", "Александр Олуферов: Ссылка на изображение")</f>
        <v>Александр Олуферов: Ссылка на изображение</v>
      </c>
      <c r="EI345" t="str">
        <f>HYPERLINK("https://d33htgqikc2pj4.cloudfront.net/c96ff8319aae732d895c32e76ccef9ee/3fe8c0aa993beb4bc64215ce13244f66-file.jpeg", "Александр Олуферов: Ссылка на изображение")</f>
        <v>Александр Олуферов: Ссылка на изображение</v>
      </c>
      <c r="EJ345" t="s">
        <v>2105</v>
      </c>
      <c r="EK345" t="s">
        <v>770</v>
      </c>
      <c r="EL345" t="s">
        <v>2106</v>
      </c>
      <c r="EM345" t="s">
        <v>2107</v>
      </c>
      <c r="EN345" t="s">
        <v>2108</v>
      </c>
      <c r="EO345" t="s">
        <v>2109</v>
      </c>
      <c r="EP345" t="s">
        <v>2110</v>
      </c>
      <c r="EQ345" t="s">
        <v>2111</v>
      </c>
    </row>
    <row r="346" spans="1:156" ht="15" customHeight="1" x14ac:dyDescent="0.35">
      <c r="A346">
        <v>1089</v>
      </c>
      <c r="B346" t="s">
        <v>2112</v>
      </c>
      <c r="C346">
        <v>1</v>
      </c>
      <c r="D346" t="str">
        <f>VLOOKUP(source[[#This Row],[Приоритет]],тПриоритеты[],2,0)</f>
        <v>КРИТИЧЕСКОЕ</v>
      </c>
      <c r="E346" t="str">
        <f>IF(ISBLANK(source[[#This Row],[Проверенные]]),IF(ISBLANK(source[[#This Row],[Завершенные]]),source[[#This Row],[Приоритет_]],"Завершено"),"Проверено")</f>
        <v>КРИТИЧЕСКОЕ</v>
      </c>
      <c r="F346" t="s">
        <v>1668</v>
      </c>
      <c r="G346" t="s">
        <v>478</v>
      </c>
      <c r="H346" t="e">
        <f>VLOOKUP(source[[#This Row],[Отвественный]],тОтветственные[],2,0)</f>
        <v>#N/A</v>
      </c>
      <c r="I346" s="2">
        <v>43859</v>
      </c>
      <c r="J346" s="2">
        <v>43859</v>
      </c>
      <c r="K346" t="s">
        <v>2113</v>
      </c>
      <c r="L346">
        <v>37.17</v>
      </c>
      <c r="M346">
        <v>28.21</v>
      </c>
      <c r="Q346" t="s">
        <v>2114</v>
      </c>
      <c r="R346" t="str">
        <f>HYPERLINK("https://d28ji4sm1vmprj.cloudfront.net/3021cb41417a6407c6d00c02f6a24f54/260a2324e0f0083a3c1fc6e8517e8511.jpeg", "Ссылка на план")</f>
        <v>Ссылка на план</v>
      </c>
      <c r="S346" s="1">
        <v>43859.594386574077</v>
      </c>
      <c r="W346" s="1">
        <v>43859.595729166664</v>
      </c>
      <c r="EC346" t="s">
        <v>2115</v>
      </c>
      <c r="ED346" t="s">
        <v>2116</v>
      </c>
      <c r="EE346" t="s">
        <v>699</v>
      </c>
      <c r="EF346" t="s">
        <v>1916</v>
      </c>
      <c r="EG346" t="s">
        <v>1676</v>
      </c>
    </row>
    <row r="347" spans="1:156" ht="15" customHeight="1" x14ac:dyDescent="0.35">
      <c r="A347">
        <v>50</v>
      </c>
      <c r="B347" t="s">
        <v>2117</v>
      </c>
      <c r="C347">
        <v>1</v>
      </c>
      <c r="D347" t="str">
        <f>VLOOKUP(source[[#This Row],[Приоритет]],тПриоритеты[],2,0)</f>
        <v>КРИТИЧЕСКОЕ</v>
      </c>
      <c r="E347" t="str">
        <f>IF(ISBLANK(source[[#This Row],[Проверенные]]),IF(ISBLANK(source[[#This Row],[Завершенные]]),source[[#This Row],[Приоритет_]],"Завершено"),"Проверено")</f>
        <v>КРИТИЧЕСКОЕ</v>
      </c>
      <c r="F347" t="s">
        <v>1668</v>
      </c>
      <c r="G347" t="s">
        <v>478</v>
      </c>
      <c r="H347" t="e">
        <f>VLOOKUP(source[[#This Row],[Отвественный]],тОтветственные[],2,0)</f>
        <v>#N/A</v>
      </c>
      <c r="I347" s="2">
        <v>43641</v>
      </c>
      <c r="J347" s="2">
        <v>43843</v>
      </c>
      <c r="N347" t="s">
        <v>2118</v>
      </c>
      <c r="S347" s="1">
        <v>43770.459421296298</v>
      </c>
      <c r="W347" s="1">
        <v>43812.626805555556</v>
      </c>
      <c r="EC347" s="3" t="s">
        <v>2119</v>
      </c>
      <c r="ED347" t="s">
        <v>2120</v>
      </c>
      <c r="EE347" t="s">
        <v>2121</v>
      </c>
      <c r="EF347" t="s">
        <v>1164</v>
      </c>
      <c r="EG347" t="s">
        <v>2122</v>
      </c>
      <c r="EH347" t="s">
        <v>2123</v>
      </c>
      <c r="EI347" t="s">
        <v>2124</v>
      </c>
      <c r="EJ347" t="s">
        <v>2050</v>
      </c>
      <c r="EK347" t="s">
        <v>2125</v>
      </c>
      <c r="EL347" t="s">
        <v>2035</v>
      </c>
      <c r="EM347" t="s">
        <v>1676</v>
      </c>
      <c r="EN347" t="s">
        <v>2126</v>
      </c>
      <c r="EO347" t="s">
        <v>2127</v>
      </c>
    </row>
    <row r="348" spans="1:156" ht="15" customHeight="1" x14ac:dyDescent="0.35">
      <c r="A348">
        <v>210</v>
      </c>
      <c r="B348" t="s">
        <v>2128</v>
      </c>
      <c r="C348">
        <v>1</v>
      </c>
      <c r="D348" t="str">
        <f>VLOOKUP(source[[#This Row],[Приоритет]],тПриоритеты[],2,0)</f>
        <v>КРИТИЧЕСКОЕ</v>
      </c>
      <c r="E348" t="str">
        <f>IF(ISBLANK(source[[#This Row],[Проверенные]]),IF(ISBLANK(source[[#This Row],[Завершенные]]),source[[#This Row],[Приоритет_]],"Завершено"),"Проверено")</f>
        <v>КРИТИЧЕСКОЕ</v>
      </c>
      <c r="F348" t="s">
        <v>1668</v>
      </c>
      <c r="G348" t="s">
        <v>478</v>
      </c>
      <c r="H348" t="e">
        <f>VLOOKUP(source[[#This Row],[Отвественный]],тОтветственные[],2,0)</f>
        <v>#N/A</v>
      </c>
      <c r="I348" s="2">
        <v>43776</v>
      </c>
      <c r="J348" s="2">
        <v>43843</v>
      </c>
      <c r="S348" s="1">
        <v>43780.712060185186</v>
      </c>
      <c r="W348" s="1">
        <v>43859.735034722224</v>
      </c>
      <c r="AH348" t="s">
        <v>2129</v>
      </c>
      <c r="EC348" t="str">
        <f>HYPERLINK("https://d33htgqikc2pj4.cloudfront.net/a40c33f1-f79d-4ee6-aab1-2d3d11bca9de.jpeg", "Александр Светашов: Ссылка на изображение")</f>
        <v>Александр Светашов: Ссылка на изображение</v>
      </c>
      <c r="ED348" t="str">
        <f>HYPERLINK("https://d33htgqikc2pj4.cloudfront.net/cb0d0c61-e148-4b97-999c-defb2d7efefb.jpeg", "Александр Светашов: Ссылка на изображение")</f>
        <v>Александр Светашов: Ссылка на изображение</v>
      </c>
      <c r="EE348" t="str">
        <f>HYPERLINK("https://d33htgqikc2pj4.cloudfront.net/59a1df5c-5ddb-474a-930f-0590dccb2a15.jpeg", "Александр Светашов: Ссылка на изображение")</f>
        <v>Александр Светашов: Ссылка на изображение</v>
      </c>
      <c r="EF348" t="s">
        <v>2130</v>
      </c>
      <c r="EG348" t="s">
        <v>2131</v>
      </c>
      <c r="EH348" t="s">
        <v>2132</v>
      </c>
      <c r="EI348" t="s">
        <v>2133</v>
      </c>
      <c r="EJ348" t="s">
        <v>2035</v>
      </c>
      <c r="EK348" t="s">
        <v>1676</v>
      </c>
      <c r="EL348" t="s">
        <v>2134</v>
      </c>
      <c r="EM348" t="s">
        <v>1167</v>
      </c>
      <c r="EN348" t="s">
        <v>2135</v>
      </c>
      <c r="EO348" t="s">
        <v>2136</v>
      </c>
      <c r="EP348" t="s">
        <v>2137</v>
      </c>
      <c r="EQ348" t="s">
        <v>1742</v>
      </c>
      <c r="ER348" t="s">
        <v>699</v>
      </c>
      <c r="ES348" t="s">
        <v>1676</v>
      </c>
      <c r="ET348" t="s">
        <v>2138</v>
      </c>
      <c r="EU348" t="s">
        <v>2139</v>
      </c>
      <c r="EV348" t="s">
        <v>2140</v>
      </c>
    </row>
    <row r="349" spans="1:156" ht="15" customHeight="1" x14ac:dyDescent="0.35">
      <c r="A349">
        <v>869</v>
      </c>
      <c r="B349" t="s">
        <v>2141</v>
      </c>
      <c r="C349">
        <v>1</v>
      </c>
      <c r="D349" t="str">
        <f>VLOOKUP(source[[#This Row],[Приоритет]],тПриоритеты[],2,0)</f>
        <v>КРИТИЧЕСКОЕ</v>
      </c>
      <c r="E349" t="str">
        <f>IF(ISBLANK(source[[#This Row],[Проверенные]]),IF(ISBLANK(source[[#This Row],[Завершенные]]),source[[#This Row],[Приоритет_]],"Завершено"),"Проверено")</f>
        <v>КРИТИЧЕСКОЕ</v>
      </c>
      <c r="F349" t="s">
        <v>1668</v>
      </c>
      <c r="G349" t="s">
        <v>478</v>
      </c>
      <c r="H349" t="e">
        <f>VLOOKUP(source[[#This Row],[Отвественный]],тОтветственные[],2,0)</f>
        <v>#N/A</v>
      </c>
      <c r="I349" s="2">
        <v>43839</v>
      </c>
      <c r="J349" s="2">
        <v>43844</v>
      </c>
      <c r="K349" t="s">
        <v>1720</v>
      </c>
      <c r="L349">
        <v>16.66</v>
      </c>
      <c r="M349">
        <v>64.87</v>
      </c>
      <c r="Q349" t="s">
        <v>1721</v>
      </c>
      <c r="R349" t="str">
        <f>HYPERLINK("https://d28ji4sm1vmprj.cloudfront.net/c1c1b591ce77c82044efa6b5d6f7663a/cf818dc1bc24c008af413328cec2292d.jpeg", "Ссылка на план")</f>
        <v>Ссылка на план</v>
      </c>
      <c r="S349" s="1">
        <v>43839.636041666665</v>
      </c>
      <c r="W349" s="1">
        <v>43846.496655092589</v>
      </c>
      <c r="AH349" t="s">
        <v>2142</v>
      </c>
      <c r="AI349" t="s">
        <v>2143</v>
      </c>
      <c r="EC349" t="s">
        <v>2144</v>
      </c>
      <c r="ED349" t="str">
        <f>HYPERLINK("https://d33htgqikc2pj4.cloudfront.net/4eb923c9-241b-42c8-9ee2-0e063cc89bd8.jpeg", "Александр Светашов: Ссылка на изображение")</f>
        <v>Александр Светашов: Ссылка на изображение</v>
      </c>
      <c r="EE349" t="str">
        <f>HYPERLINK("https://d33htgqikc2pj4.cloudfront.net/8bf60d7d-5247-46c8-a8d5-75868778f984.jpeg", "Александр Светашов: Ссылка на изображение")</f>
        <v>Александр Светашов: Ссылка на изображение</v>
      </c>
      <c r="EF349" t="s">
        <v>699</v>
      </c>
      <c r="EG349" t="s">
        <v>1675</v>
      </c>
      <c r="EH349" t="s">
        <v>1708</v>
      </c>
      <c r="EI349" t="s">
        <v>2145</v>
      </c>
      <c r="EJ349" t="str">
        <f>HYPERLINK("https://d33htgqikc2pj4.cloudfront.net/e3e5ad4d-a874-4c45-bf03-1100f473e4be.jpeg", "Отделка Renaissance Construction: Ссылка на изображение")</f>
        <v>Отделка Renaissance Construction: Ссылка на изображение</v>
      </c>
      <c r="EK349" t="str">
        <f>HYPERLINK("https://d33htgqikc2pj4.cloudfront.net/9142086d-fdb6-4c31-8bf3-dabab76e1ba3.jpeg", "Отделка Renaissance Construction: Ссылка на изображение")</f>
        <v>Отделка Renaissance Construction: Ссылка на изображение</v>
      </c>
      <c r="EL349" t="s">
        <v>2146</v>
      </c>
      <c r="EM349" t="s">
        <v>2035</v>
      </c>
      <c r="EN349" t="str">
        <f>HYPERLINK("https://d33htgqikc2pj4.cloudfront.net/2462a093-6b28-4701-9949-94a762cf3069.jpeg", "Александр Светашов: Ссылка на изображение")</f>
        <v>Александр Светашов: Ссылка на изображение</v>
      </c>
      <c r="EO349" t="s">
        <v>1676</v>
      </c>
    </row>
    <row r="350" spans="1:156" ht="15" customHeight="1" x14ac:dyDescent="0.35">
      <c r="A350">
        <v>1198</v>
      </c>
      <c r="B350" t="s">
        <v>2147</v>
      </c>
      <c r="C350">
        <v>1</v>
      </c>
      <c r="D350" t="str">
        <f>VLOOKUP(source[[#This Row],[Приоритет]],тПриоритеты[],2,0)</f>
        <v>КРИТИЧЕСКОЕ</v>
      </c>
      <c r="E350" t="str">
        <f>IF(ISBLANK(source[[#This Row],[Проверенные]]),IF(ISBLANK(source[[#This Row],[Завершенные]]),source[[#This Row],[Приоритет_]],"Завершено"),"Проверено")</f>
        <v>КРИТИЧЕСКОЕ</v>
      </c>
      <c r="F350" t="s">
        <v>1668</v>
      </c>
      <c r="G350" t="s">
        <v>478</v>
      </c>
      <c r="H350" t="e">
        <f>VLOOKUP(source[[#This Row],[Отвественный]],тОтветственные[],2,0)</f>
        <v>#N/A</v>
      </c>
      <c r="I350" s="2">
        <v>43866</v>
      </c>
      <c r="J350" s="2">
        <v>43866</v>
      </c>
      <c r="K350" t="s">
        <v>2148</v>
      </c>
      <c r="L350">
        <v>11.68</v>
      </c>
      <c r="M350">
        <v>63.48</v>
      </c>
      <c r="Q350" t="s">
        <v>553</v>
      </c>
      <c r="R350" t="str">
        <f>HYPERLINK("https://d28ji4sm1vmprj.cloudfront.net/e7e6222e39142ee9c014531663a55b8d/9f441e50b3dbdf29ba40cf69016a740a.jpeg", "Ссылка на план")</f>
        <v>Ссылка на план</v>
      </c>
      <c r="S350" s="1">
        <v>43866.66306712963</v>
      </c>
      <c r="W350" s="1">
        <v>43866.663090277776</v>
      </c>
      <c r="EC350" t="s">
        <v>2149</v>
      </c>
      <c r="ED350" t="str">
        <f>HYPERLINK("https://d33htgqikc2pj4.cloudfront.net/eb61d70a-001a-4d3d-9db1-64d0b4693b61.jpeg", "Александр Светашов: Ссылка на изображение")</f>
        <v>Александр Светашов: Ссылка на изображение</v>
      </c>
      <c r="EE350" t="str">
        <f>HYPERLINK("https://d33htgqikc2pj4.cloudfront.net/b2ca0efc-8c39-4749-9ddb-a282d7cb2014.jpeg", "Александр Светашов: Ссылка на изображение")</f>
        <v>Александр Светашов: Ссылка на изображение</v>
      </c>
      <c r="EF350" t="str">
        <f>HYPERLINK("https://d33htgqikc2pj4.cloudfront.net/86b5c088-b03d-4560-bc2b-e1ebb82b1dbb.jpeg", "Александр Светашов: Ссылка на изображение")</f>
        <v>Александр Светашов: Ссылка на изображение</v>
      </c>
      <c r="EG350" t="str">
        <f>HYPERLINK("https://d33htgqikc2pj4.cloudfront.net/d2c1c6e1-b335-4310-b346-4dc998e49790.jpeg", "Александр Светашов: Ссылка на изображение")</f>
        <v>Александр Светашов: Ссылка на изображение</v>
      </c>
      <c r="EH350" t="str">
        <f>HYPERLINK("https://d33htgqikc2pj4.cloudfront.net/268bfbd8-fea0-48e0-abf0-19fb10a8ec30.jpeg", "Александр Светашов: Ссылка на изображение")</f>
        <v>Александр Светашов: Ссылка на изображение</v>
      </c>
      <c r="EI350" t="s">
        <v>2150</v>
      </c>
      <c r="EJ350" t="s">
        <v>699</v>
      </c>
      <c r="EK350" t="s">
        <v>1675</v>
      </c>
      <c r="EL350" t="s">
        <v>2151</v>
      </c>
      <c r="EM350" t="s">
        <v>1676</v>
      </c>
    </row>
    <row r="351" spans="1:156" ht="15" customHeight="1" x14ac:dyDescent="0.35">
      <c r="A351">
        <v>1263</v>
      </c>
      <c r="B351" t="s">
        <v>2152</v>
      </c>
      <c r="C351">
        <v>1</v>
      </c>
      <c r="D351" t="str">
        <f>VLOOKUP(source[[#This Row],[Приоритет]],тПриоритеты[],2,0)</f>
        <v>КРИТИЧЕСКОЕ</v>
      </c>
      <c r="E351" t="str">
        <f>IF(ISBLANK(source[[#This Row],[Проверенные]]),IF(ISBLANK(source[[#This Row],[Завершенные]]),source[[#This Row],[Приоритет_]],"Завершено"),"Проверено")</f>
        <v>КРИТИЧЕСКОЕ</v>
      </c>
      <c r="F351" t="s">
        <v>1668</v>
      </c>
      <c r="G351" t="s">
        <v>478</v>
      </c>
      <c r="H351" t="e">
        <f>VLOOKUP(source[[#This Row],[Отвественный]],тОтветственные[],2,0)</f>
        <v>#N/A</v>
      </c>
      <c r="I351" s="2">
        <v>43871</v>
      </c>
      <c r="J351" s="2">
        <v>43871</v>
      </c>
      <c r="K351" t="s">
        <v>2153</v>
      </c>
      <c r="L351">
        <v>37.89</v>
      </c>
      <c r="M351">
        <v>52.86</v>
      </c>
      <c r="Q351" t="s">
        <v>789</v>
      </c>
      <c r="R351" t="str">
        <f>HYPERLINK("https://d28ji4sm1vmprj.cloudfront.net/9afa71efe848c5ff9580b600038aa7af/14edaa3d25f0daa766ed0408a1d8595b.jpeg", "Ссылка на план")</f>
        <v>Ссылка на план</v>
      </c>
      <c r="S351" s="1">
        <v>43871.430092592593</v>
      </c>
      <c r="W351" s="1">
        <v>43871.440879629627</v>
      </c>
      <c r="EC351" t="s">
        <v>2154</v>
      </c>
      <c r="ED351" t="str">
        <f>HYPERLINK("https://d33htgqikc2pj4.cloudfront.net/7eddb7c9-fae8-4b97-850f-e2ca1c4f55e1.jpeg", "Александр Светашов: Ссылка на изображение")</f>
        <v>Александр Светашов: Ссылка на изображение</v>
      </c>
      <c r="EE351" t="str">
        <f>HYPERLINK("https://d33htgqikc2pj4.cloudfront.net/6bf15d2b-1f92-4f17-a694-9e3648fef332.jpeg", "Александр Светашов: Ссылка на изображение")</f>
        <v>Александр Светашов: Ссылка на изображение</v>
      </c>
      <c r="EF351" t="str">
        <f>HYPERLINK("https://d33htgqikc2pj4.cloudfront.net/474eedcf-becc-40eb-969a-8cf9dc8ffcf5.jpeg", "Александр Светашов: Ссылка на изображение")</f>
        <v>Александр Светашов: Ссылка на изображение</v>
      </c>
      <c r="EG351" t="str">
        <f>HYPERLINK("https://d33htgqikc2pj4.cloudfront.net/5b36749b-fa0e-4439-9888-4f7bb2eb2fd2.jpeg", "Александр Светашов: Ссылка на изображение")</f>
        <v>Александр Светашов: Ссылка на изображение</v>
      </c>
      <c r="EH351" t="str">
        <f>HYPERLINK("https://d33htgqikc2pj4.cloudfront.net/abd4ab28-1d66-4523-a7b5-60936c281f62.jpeg", "Александр Светашов: Ссылка на изображение")</f>
        <v>Александр Светашов: Ссылка на изображение</v>
      </c>
      <c r="EI351" t="str">
        <f>HYPERLINK("https://d33htgqikc2pj4.cloudfront.net/e9a0c99d-337e-4e9a-883b-c65ec8b3f0c7.jpeg", "Александр Светашов: Ссылка на изображение")</f>
        <v>Александр Светашов: Ссылка на изображение</v>
      </c>
      <c r="EJ351" t="str">
        <f>HYPERLINK("https://d33htgqikc2pj4.cloudfront.net/048e5cb7-770c-4029-8e3d-697a2a17d44b.jpeg", "Александр Светашов: Ссылка на изображение")</f>
        <v>Александр Светашов: Ссылка на изображение</v>
      </c>
      <c r="EK351" t="str">
        <f>HYPERLINK("https://d33htgqikc2pj4.cloudfront.net/220eb540-b6a8-4f1f-beaf-dbaf68038baa.jpeg", "Александр Светашов: Ссылка на изображение")</f>
        <v>Александр Светашов: Ссылка на изображение</v>
      </c>
      <c r="EL351" t="str">
        <f>HYPERLINK("https://d33htgqikc2pj4.cloudfront.net/e4fa3a4d-e3e9-4223-9974-e67515c29eed.jpeg", "Александр Светашов: Ссылка на изображение")</f>
        <v>Александр Светашов: Ссылка на изображение</v>
      </c>
      <c r="EM351" t="s">
        <v>2155</v>
      </c>
      <c r="EN351" t="str">
        <f>HYPERLINK("https://d33htgqikc2pj4.cloudfront.net/3408322a-d5ba-456e-9fe8-decb8a784edd.jpeg", "Александр Светашов: Ссылка на изображение")</f>
        <v>Александр Светашов: Ссылка на изображение</v>
      </c>
      <c r="EO351" t="s">
        <v>1675</v>
      </c>
      <c r="EP351" t="s">
        <v>699</v>
      </c>
      <c r="EQ351" t="s">
        <v>1676</v>
      </c>
      <c r="ER351" t="s">
        <v>1724</v>
      </c>
    </row>
    <row r="352" spans="1:156" ht="15" customHeight="1" x14ac:dyDescent="0.35">
      <c r="A352">
        <v>921</v>
      </c>
      <c r="B352" t="s">
        <v>2112</v>
      </c>
      <c r="C352">
        <v>1</v>
      </c>
      <c r="D352" t="str">
        <f>VLOOKUP(source[[#This Row],[Приоритет]],тПриоритеты[],2,0)</f>
        <v>КРИТИЧЕСКОЕ</v>
      </c>
      <c r="E352" t="str">
        <f>IF(ISBLANK(source[[#This Row],[Проверенные]]),IF(ISBLANK(source[[#This Row],[Завершенные]]),source[[#This Row],[Приоритет_]],"Завершено"),"Проверено")</f>
        <v>КРИТИЧЕСКОЕ</v>
      </c>
      <c r="F352" t="s">
        <v>1668</v>
      </c>
      <c r="G352" t="s">
        <v>478</v>
      </c>
      <c r="H352" t="e">
        <f>VLOOKUP(source[[#This Row],[Отвественный]],тОтветственные[],2,0)</f>
        <v>#N/A</v>
      </c>
      <c r="I352" s="2">
        <v>43845</v>
      </c>
      <c r="J352" s="2">
        <v>43854</v>
      </c>
      <c r="K352" t="s">
        <v>2148</v>
      </c>
      <c r="L352">
        <v>21.47</v>
      </c>
      <c r="M352">
        <v>38.340000000000003</v>
      </c>
      <c r="Q352" t="s">
        <v>553</v>
      </c>
      <c r="R352" t="str">
        <f>HYPERLINK("https://d28ji4sm1vmprj.cloudfront.net/e7e6222e39142ee9c014531663a55b8d/9f441e50b3dbdf29ba40cf69016a740a.jpeg", "Ссылка на план")</f>
        <v>Ссылка на план</v>
      </c>
      <c r="S352" s="1">
        <v>43845.732442129629</v>
      </c>
      <c r="W352" s="1">
        <v>43858.409421296295</v>
      </c>
      <c r="AH352" t="s">
        <v>2156</v>
      </c>
      <c r="AI352" t="s">
        <v>2157</v>
      </c>
      <c r="AJ352" t="s">
        <v>2158</v>
      </c>
      <c r="AK352" t="s">
        <v>2159</v>
      </c>
      <c r="EC352" t="s">
        <v>2115</v>
      </c>
      <c r="ED352" t="str">
        <f>HYPERLINK("https://d33htgqikc2pj4.cloudfront.net/bd4603ef-295e-41b8-a224-6b0948965b75.jpeg", "Александр Светашов: Ссылка на изображение")</f>
        <v>Александр Светашов: Ссылка на изображение</v>
      </c>
      <c r="EE352" t="str">
        <f>HYPERLINK("https://d33htgqikc2pj4.cloudfront.net/1674bfe0-dbe6-47a3-9a66-adf7e30065e6.jpeg", "Александр Светашов: Ссылка на изображение")</f>
        <v>Александр Светашов: Ссылка на изображение</v>
      </c>
      <c r="EF352" t="str">
        <f>HYPERLINK("https://d33htgqikc2pj4.cloudfront.net/f5e18f08-5c56-4c33-bdca-87029f345d2b.jpeg", "Александр Светашов: Ссылка на изображение")</f>
        <v>Александр Светашов: Ссылка на изображение</v>
      </c>
      <c r="EG352" t="str">
        <f>HYPERLINK("https://d33htgqikc2pj4.cloudfront.net/54f90ab1-89cd-453d-a348-a620edb68cf1.jpeg", "Александр Светашов: Ссылка на изображение")</f>
        <v>Александр Светашов: Ссылка на изображение</v>
      </c>
      <c r="EH352" t="s">
        <v>699</v>
      </c>
      <c r="EI352" t="s">
        <v>1675</v>
      </c>
      <c r="EJ352" t="s">
        <v>2160</v>
      </c>
      <c r="EK352" t="s">
        <v>1676</v>
      </c>
      <c r="EL352" t="str">
        <f>HYPERLINK("https://d33htgqikc2pj4.cloudfront.net/7110dc07-8fcd-4ed2-a793-62143843d095.jpeg", "Александр Светашов: Ссылка на изображение")</f>
        <v>Александр Светашов: Ссылка на изображение</v>
      </c>
      <c r="EM352" t="s">
        <v>1960</v>
      </c>
    </row>
    <row r="353" spans="1:160" ht="15" customHeight="1" x14ac:dyDescent="0.35">
      <c r="A353">
        <v>987</v>
      </c>
      <c r="B353" t="s">
        <v>2161</v>
      </c>
      <c r="C353">
        <v>1</v>
      </c>
      <c r="D353" t="str">
        <f>VLOOKUP(source[[#This Row],[Приоритет]],тПриоритеты[],2,0)</f>
        <v>КРИТИЧЕСКОЕ</v>
      </c>
      <c r="E353" t="str">
        <f>IF(ISBLANK(source[[#This Row],[Проверенные]]),IF(ISBLANK(source[[#This Row],[Завершенные]]),source[[#This Row],[Приоритет_]],"Завершено"),"Проверено")</f>
        <v>КРИТИЧЕСКОЕ</v>
      </c>
      <c r="F353" t="s">
        <v>1668</v>
      </c>
      <c r="G353" t="s">
        <v>478</v>
      </c>
      <c r="H353" t="e">
        <f>VLOOKUP(source[[#This Row],[Отвественный]],тОтветственные[],2,0)</f>
        <v>#N/A</v>
      </c>
      <c r="I353" s="2">
        <v>43851</v>
      </c>
      <c r="J353" s="2">
        <v>43851</v>
      </c>
      <c r="K353" t="s">
        <v>2113</v>
      </c>
      <c r="L353">
        <v>16.66</v>
      </c>
      <c r="M353">
        <v>17.71</v>
      </c>
      <c r="Q353" t="s">
        <v>2114</v>
      </c>
      <c r="R353" t="str">
        <f>HYPERLINK("https://d28ji4sm1vmprj.cloudfront.net/3021cb41417a6407c6d00c02f6a24f54/260a2324e0f0083a3c1fc6e8517e8511.jpeg", "Ссылка на план")</f>
        <v>Ссылка на план</v>
      </c>
      <c r="S353" s="1">
        <v>43851.670648148145</v>
      </c>
      <c r="W353" s="1">
        <v>43865.492314814815</v>
      </c>
      <c r="EC353" t="s">
        <v>2162</v>
      </c>
      <c r="ED353" t="str">
        <f>HYPERLINK("https://d33htgqikc2pj4.cloudfront.net/b76b3fc3-d3bf-421b-b94c-772b404736d7.jpeg", "Александр Светашов: Ссылка на изображение")</f>
        <v>Александр Светашов: Ссылка на изображение</v>
      </c>
      <c r="EE353" t="str">
        <f>HYPERLINK("https://d33htgqikc2pj4.cloudfront.net/d3173ba4-4a92-4a9d-b012-e6b486d19e57.jpeg", "Александр Светашов: Ссылка на изображение")</f>
        <v>Александр Светашов: Ссылка на изображение</v>
      </c>
      <c r="EF353" t="str">
        <f>HYPERLINK("https://d33htgqikc2pj4.cloudfront.net/748a6eae-bb2f-4e25-be05-1d9d1a53fca3.jpeg", "Александр Светашов: Ссылка на изображение")</f>
        <v>Александр Светашов: Ссылка на изображение</v>
      </c>
      <c r="EG353" t="str">
        <f>HYPERLINK("https://d33htgqikc2pj4.cloudfront.net/fbf45312-e29b-4c0c-ba02-19630f229ab5.jpeg", "Александр Светашов: Ссылка на изображение")</f>
        <v>Александр Светашов: Ссылка на изображение</v>
      </c>
      <c r="EH353" t="s">
        <v>699</v>
      </c>
      <c r="EI353" t="s">
        <v>1676</v>
      </c>
      <c r="EJ353" t="s">
        <v>1675</v>
      </c>
      <c r="EK353" t="s">
        <v>2163</v>
      </c>
      <c r="EL353" t="str">
        <f>HYPERLINK("https://d33htgqikc2pj4.cloudfront.net/82282a99-4289-4d15-82f2-011c759f2880.jpeg", "Александр Светашов: Ссылка на изображение")</f>
        <v>Александр Светашов: Ссылка на изображение</v>
      </c>
    </row>
    <row r="354" spans="1:160" ht="15" customHeight="1" x14ac:dyDescent="0.35">
      <c r="A354">
        <v>463</v>
      </c>
      <c r="B354" t="s">
        <v>2164</v>
      </c>
      <c r="C354">
        <v>2</v>
      </c>
      <c r="D354" t="str">
        <f>VLOOKUP(source[[#This Row],[Приоритет]],тПриоритеты[],2,0)</f>
        <v>Значительное</v>
      </c>
      <c r="E354" t="str">
        <f>IF(ISBLANK(source[[#This Row],[Проверенные]]),IF(ISBLANK(source[[#This Row],[Завершенные]]),source[[#This Row],[Приоритет_]],"Завершено"),"Проверено")</f>
        <v>Значительное</v>
      </c>
      <c r="F354" t="s">
        <v>1668</v>
      </c>
      <c r="G354" t="s">
        <v>478</v>
      </c>
      <c r="H354" t="e">
        <f>VLOOKUP(source[[#This Row],[Отвественный]],тОтветственные[],2,0)</f>
        <v>#N/A</v>
      </c>
      <c r="I354" s="2">
        <v>43796</v>
      </c>
      <c r="J354" s="2">
        <v>43842</v>
      </c>
      <c r="K354" t="s">
        <v>2165</v>
      </c>
      <c r="L354">
        <v>20.03</v>
      </c>
      <c r="M354">
        <v>44.17</v>
      </c>
      <c r="Q354" t="s">
        <v>789</v>
      </c>
      <c r="R354" t="str">
        <f>HYPERLINK("https://d28ji4sm1vmprj.cloudfront.net/0ca5a36e9332229d981e0a78477cba62/4c55d5df90ce77f042dad1d5758e38cd.jpeg", "Ссылка на план")</f>
        <v>Ссылка на план</v>
      </c>
      <c r="S354" s="1">
        <v>43797.40724537037</v>
      </c>
      <c r="W354" s="1">
        <v>43811.714780092596</v>
      </c>
      <c r="AH354" t="s">
        <v>2166</v>
      </c>
      <c r="EC354" t="s">
        <v>2167</v>
      </c>
      <c r="ED354" t="s">
        <v>699</v>
      </c>
      <c r="EE354" t="s">
        <v>1675</v>
      </c>
      <c r="EF354" t="s">
        <v>1734</v>
      </c>
      <c r="EG354" t="s">
        <v>2168</v>
      </c>
      <c r="EH354" t="str">
        <f>HYPERLINK("https://d33htgqikc2pj4.cloudfront.net/ed69b6d1-44f1-4861-82d7-a29d9e9027f2.jpeg", "Александр Светашов: Ссылка на изображение")</f>
        <v>Александр Светашов: Ссылка на изображение</v>
      </c>
      <c r="EI354" t="str">
        <f>HYPERLINK("https://d33htgqikc2pj4.cloudfront.net/d84155a2-fd85-482c-b9b1-87a9eb5c74bf.jpeg", "Александр Светашов: Ссылка на изображение")</f>
        <v>Александр Светашов: Ссылка на изображение</v>
      </c>
      <c r="EJ354" t="str">
        <f>HYPERLINK("https://d33htgqikc2pj4.cloudfront.net/3425e8f1-2615-42eb-aa88-afbb157a9979.jpeg", "Александр Светашов: Ссылка на изображение")</f>
        <v>Александр Светашов: Ссылка на изображение</v>
      </c>
      <c r="EK354" t="str">
        <f>HYPERLINK("https://d33htgqikc2pj4.cloudfront.net/29fd2e8c-5ccc-472d-a5b1-4317695de9d3.jpeg", "Александр Светашов: Ссылка на изображение")</f>
        <v>Александр Светашов: Ссылка на изображение</v>
      </c>
      <c r="EL354" t="str">
        <f>HYPERLINK("https://d33htgqikc2pj4.cloudfront.net/d70aca3f-a715-4c1d-945d-82cd8095a67d.jpeg", "Александр Светашов: Ссылка на изображение")</f>
        <v>Александр Светашов: Ссылка на изображение</v>
      </c>
      <c r="EM354" t="str">
        <f>HYPERLINK("https://d33htgqikc2pj4.cloudfront.net/033cc2b2-3cbc-4524-862e-31d6751961bd.jpeg", "Александр Светашов: Ссылка на изображение")</f>
        <v>Александр Светашов: Ссылка на изображение</v>
      </c>
      <c r="EN354" t="str">
        <f>HYPERLINK("https://d33htgqikc2pj4.cloudfront.net/eee68790-8157-4bd9-91c7-0b599565a321.jpeg", "Александр Светашов: Ссылка на изображение")</f>
        <v>Александр Светашов: Ссылка на изображение</v>
      </c>
      <c r="EO354" t="str">
        <f>HYPERLINK("https://d33htgqikc2pj4.cloudfront.net/613c6192-c607-4e93-a897-63e6dfb1db4d.jpeg", "Александр Светашов: Ссылка на изображение")</f>
        <v>Александр Светашов: Ссылка на изображение</v>
      </c>
      <c r="EP354" t="str">
        <f>HYPERLINK("https://d33htgqikc2pj4.cloudfront.net/52045c38-e056-4823-86e0-d79c956983bb.jpeg", "Александр Светашов: Ссылка на изображение")</f>
        <v>Александр Светашов: Ссылка на изображение</v>
      </c>
      <c r="EQ354" t="s">
        <v>2169</v>
      </c>
      <c r="ER354" t="s">
        <v>2170</v>
      </c>
    </row>
    <row r="355" spans="1:160" ht="15" customHeight="1" x14ac:dyDescent="0.35">
      <c r="A355">
        <v>920</v>
      </c>
      <c r="B355" t="s">
        <v>2171</v>
      </c>
      <c r="C355">
        <v>2</v>
      </c>
      <c r="D355" t="str">
        <f>VLOOKUP(source[[#This Row],[Приоритет]],тПриоритеты[],2,0)</f>
        <v>Значительное</v>
      </c>
      <c r="E355" t="str">
        <f>IF(ISBLANK(source[[#This Row],[Проверенные]]),IF(ISBLANK(source[[#This Row],[Завершенные]]),source[[#This Row],[Приоритет_]],"Завершено"),"Проверено")</f>
        <v>Значительное</v>
      </c>
      <c r="F355" t="s">
        <v>1668</v>
      </c>
      <c r="G355" t="s">
        <v>478</v>
      </c>
      <c r="H355" t="e">
        <f>VLOOKUP(source[[#This Row],[Отвественный]],тОтветственные[],2,0)</f>
        <v>#N/A</v>
      </c>
      <c r="I355" s="2">
        <v>43845</v>
      </c>
      <c r="J355" s="2">
        <v>43854</v>
      </c>
      <c r="K355" t="s">
        <v>2148</v>
      </c>
      <c r="L355">
        <v>20.61</v>
      </c>
      <c r="M355">
        <v>44.53</v>
      </c>
      <c r="Q355" t="s">
        <v>553</v>
      </c>
      <c r="R355" t="str">
        <f>HYPERLINK("https://d28ji4sm1vmprj.cloudfront.net/e7e6222e39142ee9c014531663a55b8d/9f441e50b3dbdf29ba40cf69016a740a.jpeg", "Ссылка на план")</f>
        <v>Ссылка на план</v>
      </c>
      <c r="S355" s="1">
        <v>43845.732407407406</v>
      </c>
      <c r="W355" s="1">
        <v>43858.409143518518</v>
      </c>
      <c r="AH355" t="s">
        <v>2172</v>
      </c>
      <c r="EC355" t="str">
        <f>HYPERLINK("https://d33htgqikc2pj4.cloudfront.net/5754d9c3-8005-480e-9eb5-4f5c96df490a.jpeg", "Александр Светашов: Ссылка на изображение")</f>
        <v>Александр Светашов: Ссылка на изображение</v>
      </c>
      <c r="ED355" t="str">
        <f>HYPERLINK("https://d33htgqikc2pj4.cloudfront.net/712ad33f-6bdc-4814-b76b-e1df9875c608.jpeg", "Александр Светашов: Ссылка на изображение")</f>
        <v>Александр Светашов: Ссылка на изображение</v>
      </c>
      <c r="EE355" t="str">
        <f>HYPERLINK("https://d33htgqikc2pj4.cloudfront.net/bedbd1cb-e3bd-491a-9372-f79fd91f52db.jpeg", "Александр Светашов: Ссылка на изображение")</f>
        <v>Александр Светашов: Ссылка на изображение</v>
      </c>
      <c r="EF355" t="str">
        <f>HYPERLINK("https://d33htgqikc2pj4.cloudfront.net/5fa7bc9b-7e0a-4b2b-a7b5-5d11c594c2fc.jpeg", "Александр Светашов: Ссылка на изображение")</f>
        <v>Александр Светашов: Ссылка на изображение</v>
      </c>
      <c r="EG355" t="str">
        <f>HYPERLINK("https://d33htgqikc2pj4.cloudfront.net/dec6af4b-bea0-4452-a14e-4913e27154f2.jpeg", "Александр Светашов: Ссылка на изображение")</f>
        <v>Александр Светашов: Ссылка на изображение</v>
      </c>
      <c r="EH355" t="s">
        <v>2173</v>
      </c>
      <c r="EI355" t="s">
        <v>2160</v>
      </c>
      <c r="EJ355" t="s">
        <v>2174</v>
      </c>
      <c r="EK355" t="s">
        <v>1675</v>
      </c>
      <c r="EL355" t="s">
        <v>699</v>
      </c>
      <c r="EM355" t="s">
        <v>1960</v>
      </c>
    </row>
    <row r="356" spans="1:160" ht="15" customHeight="1" x14ac:dyDescent="0.35">
      <c r="A356">
        <v>919</v>
      </c>
      <c r="B356" t="s">
        <v>2175</v>
      </c>
      <c r="C356">
        <v>2</v>
      </c>
      <c r="D356" t="str">
        <f>VLOOKUP(source[[#This Row],[Приоритет]],тПриоритеты[],2,0)</f>
        <v>Значительное</v>
      </c>
      <c r="E356" t="str">
        <f>IF(ISBLANK(source[[#This Row],[Проверенные]]),IF(ISBLANK(source[[#This Row],[Завершенные]]),source[[#This Row],[Приоритет_]],"Завершено"),"Проверено")</f>
        <v>Значительное</v>
      </c>
      <c r="F356" t="s">
        <v>1668</v>
      </c>
      <c r="G356" t="s">
        <v>478</v>
      </c>
      <c r="H356" t="e">
        <f>VLOOKUP(source[[#This Row],[Отвественный]],тОтветственные[],2,0)</f>
        <v>#N/A</v>
      </c>
      <c r="I356" s="2">
        <v>43845</v>
      </c>
      <c r="J356" s="2">
        <v>43854</v>
      </c>
      <c r="K356" t="s">
        <v>2148</v>
      </c>
      <c r="L356">
        <v>20.68</v>
      </c>
      <c r="M356">
        <v>46.43</v>
      </c>
      <c r="Q356" t="s">
        <v>553</v>
      </c>
      <c r="R356" t="str">
        <f>HYPERLINK("https://d28ji4sm1vmprj.cloudfront.net/e7e6222e39142ee9c014531663a55b8d/9f441e50b3dbdf29ba40cf69016a740a.jpeg", "Ссылка на план")</f>
        <v>Ссылка на план</v>
      </c>
      <c r="S356" s="1">
        <v>43845.732314814813</v>
      </c>
      <c r="W356" s="1">
        <v>43858.409594907411</v>
      </c>
      <c r="AH356" t="s">
        <v>2176</v>
      </c>
      <c r="AI356" t="s">
        <v>2177</v>
      </c>
      <c r="EC356" t="s">
        <v>2173</v>
      </c>
      <c r="ED356" t="str">
        <f>HYPERLINK("https://d33htgqikc2pj4.cloudfront.net/811be56f-c4d8-4eb3-833c-b86c6f378a6a.jpeg", "Александр Светашов: Ссылка на изображение")</f>
        <v>Александр Светашов: Ссылка на изображение</v>
      </c>
      <c r="EE356" t="str">
        <f>HYPERLINK("https://d33htgqikc2pj4.cloudfront.net/441b4d13-00a6-4d17-b3b9-7ae7d9873ee5.jpeg", "Александр Светашов: Ссылка на изображение")</f>
        <v>Александр Светашов: Ссылка на изображение</v>
      </c>
      <c r="EF356" t="str">
        <f>HYPERLINK("https://d33htgqikc2pj4.cloudfront.net/baa38cd3-6daf-47bf-a052-0c4bf007d9e3.jpeg", "Александр Светашов: Ссылка на изображение")</f>
        <v>Александр Светашов: Ссылка на изображение</v>
      </c>
      <c r="EG356" t="str">
        <f>HYPERLINK("https://d33htgqikc2pj4.cloudfront.net/772866c6-e3f2-48bc-a7ee-1449c732c917.jpeg", "Александр Светашов: Ссылка на изображение")</f>
        <v>Александр Светашов: Ссылка на изображение</v>
      </c>
      <c r="EH356" t="s">
        <v>699</v>
      </c>
      <c r="EI356" t="s">
        <v>2178</v>
      </c>
      <c r="EJ356" t="s">
        <v>1675</v>
      </c>
      <c r="EK356" t="s">
        <v>2160</v>
      </c>
      <c r="EL356" t="s">
        <v>2174</v>
      </c>
      <c r="EM356" t="s">
        <v>1960</v>
      </c>
    </row>
    <row r="357" spans="1:160" ht="15" customHeight="1" x14ac:dyDescent="0.35">
      <c r="A357">
        <v>511</v>
      </c>
      <c r="B357" t="s">
        <v>2179</v>
      </c>
      <c r="C357">
        <v>3</v>
      </c>
      <c r="D357" t="str">
        <f>VLOOKUP(source[[#This Row],[Приоритет]],тПриоритеты[],2,0)</f>
        <v>Малозначительное</v>
      </c>
      <c r="E357" t="str">
        <f>IF(ISBLANK(source[[#This Row],[Проверенные]]),IF(ISBLANK(source[[#This Row],[Завершенные]]),source[[#This Row],[Приоритет_]],"Завершено"),"Проверено")</f>
        <v>Малозначительное</v>
      </c>
      <c r="F357" t="s">
        <v>1668</v>
      </c>
      <c r="G357" t="s">
        <v>478</v>
      </c>
      <c r="H357" t="e">
        <f>VLOOKUP(source[[#This Row],[Отвественный]],тОтветственные[],2,0)</f>
        <v>#N/A</v>
      </c>
      <c r="I357" s="2">
        <v>43802</v>
      </c>
      <c r="J357" s="2">
        <v>43881</v>
      </c>
      <c r="K357" t="s">
        <v>1670</v>
      </c>
      <c r="L357">
        <v>33.6</v>
      </c>
      <c r="M357">
        <v>27.77</v>
      </c>
      <c r="Q357" t="s">
        <v>789</v>
      </c>
      <c r="R357" t="str">
        <f>HYPERLINK("https://d28ji4sm1vmprj.cloudfront.net/ad15462a64f9a2745b54f51ce9154d41/1ae5aabc4102d9651fda668fc59d327e.jpeg", "Ссылка на план")</f>
        <v>Ссылка на план</v>
      </c>
      <c r="S357" s="1">
        <v>43802.432569444441</v>
      </c>
      <c r="W357" s="1">
        <v>43843.64371527778</v>
      </c>
      <c r="AH357" t="s">
        <v>2180</v>
      </c>
      <c r="AI357" t="s">
        <v>2181</v>
      </c>
      <c r="AJ357" t="s">
        <v>2182</v>
      </c>
      <c r="EC357" t="s">
        <v>2183</v>
      </c>
      <c r="ED357" t="str">
        <f>HYPERLINK("https://d33htgqikc2pj4.cloudfront.net/b8df55b9-9de9-4641-ad0f-93f3eddb823f.jpeg", "Александр Светашов: Ссылка на изображение")</f>
        <v>Александр Светашов: Ссылка на изображение</v>
      </c>
      <c r="EE357" t="str">
        <f>HYPERLINK("https://d33htgqikc2pj4.cloudfront.net/170d3752-8363-490d-b7b8-d16dcc891944.jpeg", "Александр Светашов: Ссылка на изображение")</f>
        <v>Александр Светашов: Ссылка на изображение</v>
      </c>
      <c r="EF357" t="str">
        <f>HYPERLINK("https://d33htgqikc2pj4.cloudfront.net/4e9fce60-e157-4f01-9af4-8bbbd7cba42c.jpeg", "Александр Светашов: Ссылка на изображение")</f>
        <v>Александр Светашов: Ссылка на изображение</v>
      </c>
      <c r="EG357" t="str">
        <f>HYPERLINK("https://d33htgqikc2pj4.cloudfront.net/b18641f9-be7e-47eb-88a7-dd0d8854c01d.jpeg", "Александр Светашов: Ссылка на изображение")</f>
        <v>Александр Светашов: Ссылка на изображение</v>
      </c>
      <c r="EH357" t="str">
        <f>HYPERLINK("https://d33htgqikc2pj4.cloudfront.net/0c22cc7a-1995-4e7c-9d63-b0e33b3aefe1.jpeg", "Александр Светашов: Ссылка на изображение")</f>
        <v>Александр Светашов: Ссылка на изображение</v>
      </c>
      <c r="EI357" t="str">
        <f>HYPERLINK("https://d33htgqikc2pj4.cloudfront.net/fa933cca-b960-45b0-ba0b-015d2ba4437d.jpeg", "Александр Светашов: Ссылка на изображение")</f>
        <v>Александр Светашов: Ссылка на изображение</v>
      </c>
      <c r="EJ357" t="str">
        <f>HYPERLINK("https://d33htgqikc2pj4.cloudfront.net/f1e5062d-b8a5-4d6a-a78d-5cf172992bcb.jpeg", "Александр Светашов: Ссылка на изображение")</f>
        <v>Александр Светашов: Ссылка на изображение</v>
      </c>
      <c r="EK357" t="str">
        <f>HYPERLINK("https://d33htgqikc2pj4.cloudfront.net/32832eba-0158-4d69-944f-d12522cc228f.jpeg", "Александр Светашов: Ссылка на изображение")</f>
        <v>Александр Светашов: Ссылка на изображение</v>
      </c>
      <c r="EL357" t="str">
        <f>HYPERLINK("https://d33htgqikc2pj4.cloudfront.net/31093eae-5ebc-402c-acd1-72dde84318bd.jpeg", "Александр Светашов: Ссылка на изображение")</f>
        <v>Александр Светашов: Ссылка на изображение</v>
      </c>
      <c r="EM357" t="str">
        <f>HYPERLINK("https://d33htgqikc2pj4.cloudfront.net/4c336006-09b8-4219-9ecf-20a19a02f23a.jpeg", "Александр Светашов: Ссылка на изображение")</f>
        <v>Александр Светашов: Ссылка на изображение</v>
      </c>
      <c r="EN357" t="str">
        <f>HYPERLINK("https://d33htgqikc2pj4.cloudfront.net/83401e96-37e5-4d89-a596-a32c104d4922.jpeg", "Александр Светашов: Ссылка на изображение")</f>
        <v>Александр Светашов: Ссылка на изображение</v>
      </c>
      <c r="EO357" t="str">
        <f>HYPERLINK("https://d33htgqikc2pj4.cloudfront.net/d68bcfe0-aa46-4b0d-8193-c671fb78c3eb.jpeg", "Александр Светашов: Ссылка на изображение")</f>
        <v>Александр Светашов: Ссылка на изображение</v>
      </c>
      <c r="EP357" t="s">
        <v>1700</v>
      </c>
      <c r="EQ357" t="s">
        <v>2184</v>
      </c>
      <c r="ER357" t="s">
        <v>2185</v>
      </c>
      <c r="ES357" t="s">
        <v>699</v>
      </c>
      <c r="ET357" t="s">
        <v>1675</v>
      </c>
      <c r="EU357" t="s">
        <v>2186</v>
      </c>
      <c r="EV357" t="s">
        <v>2035</v>
      </c>
      <c r="EW357" t="s">
        <v>1676</v>
      </c>
      <c r="EX357" t="s">
        <v>2170</v>
      </c>
      <c r="EY357" t="s">
        <v>1910</v>
      </c>
      <c r="EZ357" t="s">
        <v>2187</v>
      </c>
      <c r="FA357" t="s">
        <v>2188</v>
      </c>
      <c r="FB357" t="s">
        <v>2035</v>
      </c>
      <c r="FC357" t="s">
        <v>2189</v>
      </c>
      <c r="FD357" t="s">
        <v>1910</v>
      </c>
    </row>
    <row r="358" spans="1:160" ht="15" customHeight="1" x14ac:dyDescent="0.35">
      <c r="A358">
        <v>964</v>
      </c>
      <c r="B358" t="s">
        <v>2152</v>
      </c>
      <c r="C358">
        <v>3</v>
      </c>
      <c r="D358" t="str">
        <f>VLOOKUP(source[[#This Row],[Приоритет]],тПриоритеты[],2,0)</f>
        <v>Малозначительное</v>
      </c>
      <c r="E358" t="str">
        <f>IF(ISBLANK(source[[#This Row],[Проверенные]]),IF(ISBLANK(source[[#This Row],[Завершенные]]),source[[#This Row],[Приоритет_]],"Завершено"),"Проверено")</f>
        <v>Малозначительное</v>
      </c>
      <c r="F358" t="s">
        <v>1668</v>
      </c>
      <c r="G358" t="s">
        <v>478</v>
      </c>
      <c r="H358" t="e">
        <f>VLOOKUP(source[[#This Row],[Отвественный]],тОтветственные[],2,0)</f>
        <v>#N/A</v>
      </c>
      <c r="I358" s="2">
        <v>43850</v>
      </c>
      <c r="J358" s="2">
        <v>43857</v>
      </c>
      <c r="K358" t="s">
        <v>1929</v>
      </c>
      <c r="L358">
        <v>37.340000000000003</v>
      </c>
      <c r="M358">
        <v>65.23</v>
      </c>
      <c r="Q358" t="s">
        <v>789</v>
      </c>
      <c r="R358" t="str">
        <f>HYPERLINK("https://d28ji4sm1vmprj.cloudfront.net/7446a2f5ce823f14d6caa916eb9a53b7/572060d4144487f43b3d4838b133b524.jpeg", "Ссылка на план")</f>
        <v>Ссылка на план</v>
      </c>
      <c r="S358" s="1">
        <v>43850.646932870368</v>
      </c>
      <c r="W358" s="1">
        <v>43858.409247685187</v>
      </c>
      <c r="EC358" t="s">
        <v>2154</v>
      </c>
      <c r="ED358" t="str">
        <f>HYPERLINK("https://d33htgqikc2pj4.cloudfront.net/adb79a17-33cd-4df3-8764-959366d9984c.jpeg", "Александр Светашов: Ссылка на изображение")</f>
        <v>Александр Светашов: Ссылка на изображение</v>
      </c>
      <c r="EE358" t="str">
        <f>HYPERLINK("https://d33htgqikc2pj4.cloudfront.net/f1d7b617-5f2e-4505-88bd-81a4028f4b21.jpeg", "Александр Светашов: Ссылка на изображение")</f>
        <v>Александр Светашов: Ссылка на изображение</v>
      </c>
      <c r="EF358" t="str">
        <f>HYPERLINK("https://d33htgqikc2pj4.cloudfront.net/9be45e5d-b8e4-49b4-8dbc-7882f17522b2.jpeg", "Александр Светашов: Ссылка на изображение")</f>
        <v>Александр Светашов: Ссылка на изображение</v>
      </c>
      <c r="EG358" t="str">
        <f>HYPERLINK("https://d33htgqikc2pj4.cloudfront.net/8a3f4f75-946a-4219-ae14-08399cbda54c.jpeg", "Александр Светашов: Ссылка на изображение")</f>
        <v>Александр Светашов: Ссылка на изображение</v>
      </c>
      <c r="EH358" t="s">
        <v>2190</v>
      </c>
      <c r="EI358" t="s">
        <v>1910</v>
      </c>
      <c r="EJ358" t="s">
        <v>699</v>
      </c>
      <c r="EK358" t="s">
        <v>1675</v>
      </c>
      <c r="EL358" t="s">
        <v>1932</v>
      </c>
      <c r="EM358" t="s">
        <v>2191</v>
      </c>
    </row>
    <row r="359" spans="1:160" ht="15" customHeight="1" x14ac:dyDescent="0.35">
      <c r="A359">
        <v>1069</v>
      </c>
      <c r="B359" t="s">
        <v>2192</v>
      </c>
      <c r="C359">
        <v>2</v>
      </c>
      <c r="D359" t="str">
        <f>VLOOKUP(source[[#This Row],[Приоритет]],тПриоритеты[],2,0)</f>
        <v>Значительное</v>
      </c>
      <c r="E359" t="str">
        <f>IF(ISBLANK(source[[#This Row],[Проверенные]]),IF(ISBLANK(source[[#This Row],[Завершенные]]),source[[#This Row],[Приоритет_]],"Завершено"),"Проверено")</f>
        <v>Завершено</v>
      </c>
      <c r="F359" t="s">
        <v>1668</v>
      </c>
      <c r="G359" t="s">
        <v>478</v>
      </c>
      <c r="H359" t="e">
        <f>VLOOKUP(source[[#This Row],[Отвественный]],тОтветственные[],2,0)</f>
        <v>#N/A</v>
      </c>
      <c r="I359" s="2">
        <v>43858</v>
      </c>
      <c r="J359" s="2">
        <v>43859</v>
      </c>
      <c r="K359" t="s">
        <v>1913</v>
      </c>
      <c r="L359">
        <v>41.81</v>
      </c>
      <c r="M359">
        <v>33.6</v>
      </c>
      <c r="Q359" t="s">
        <v>789</v>
      </c>
      <c r="R359" t="str">
        <f>HYPERLINK("https://d28ji4sm1vmprj.cloudfront.net/66b42f802263492bba17f2ae7b1443c7/e21aa70d5981168508628998e6a067af.jpeg", "Ссылка на план")</f>
        <v>Ссылка на план</v>
      </c>
      <c r="S359" s="1">
        <v>43858.414976851855</v>
      </c>
      <c r="T359" s="1">
        <v>43867.49046296296</v>
      </c>
      <c r="W359" s="1">
        <v>43867.490057870367</v>
      </c>
      <c r="AH359" t="s">
        <v>2193</v>
      </c>
      <c r="EC359" t="s">
        <v>2194</v>
      </c>
      <c r="ED359" t="str">
        <f>HYPERLINK("https://d33htgqikc2pj4.cloudfront.net/c3574b46-ee01-41b2-9446-00c3ecfc854a.jpeg", "Александр Светашов: Ссылка на изображение")</f>
        <v>Александр Светашов: Ссылка на изображение</v>
      </c>
      <c r="EE359" t="str">
        <f>HYPERLINK("https://d33htgqikc2pj4.cloudfront.net/7f33deed-b4fc-4307-a706-6427bcbb0cb2.jpeg", "Александр Светашов: Ссылка на изображение")</f>
        <v>Александр Светашов: Ссылка на изображение</v>
      </c>
      <c r="EF359" t="str">
        <f>HYPERLINK("https://d33htgqikc2pj4.cloudfront.net/58d61220-349a-46ac-ae7b-27d89c4bd7ee.jpeg", "Александр Светашов: Ссылка на изображение")</f>
        <v>Александр Светашов: Ссылка на изображение</v>
      </c>
      <c r="EG359" t="str">
        <f>HYPERLINK("https://d33htgqikc2pj4.cloudfront.net/34f15606-5434-4e42-a957-6e2f52931f6b.jpeg", "Александр Светашов: Ссылка на изображение")</f>
        <v>Александр Светашов: Ссылка на изображение</v>
      </c>
      <c r="EH359" t="str">
        <f>HYPERLINK("https://d33htgqikc2pj4.cloudfront.net/fbd99b27-76bb-4f0f-9a3a-3a49a19d71ab.jpeg", "Александр Светашов: Ссылка на изображение")</f>
        <v>Александр Светашов: Ссылка на изображение</v>
      </c>
      <c r="EI359" t="s">
        <v>699</v>
      </c>
      <c r="EJ359" t="s">
        <v>2195</v>
      </c>
      <c r="EK359" t="s">
        <v>1675</v>
      </c>
      <c r="EL359" t="s">
        <v>2081</v>
      </c>
      <c r="EM359" t="s">
        <v>2196</v>
      </c>
      <c r="EN359" t="str">
        <f>HYPERLINK("https://d33htgqikc2pj4.cloudfront.net/e1d2a01e-52b7-43a0-9405-592744e4eef3.jpeg", "Отделка Renaissance Construction: Ссылка на изображение")</f>
        <v>Отделка Renaissance Construction: Ссылка на изображение</v>
      </c>
      <c r="EO359" t="s">
        <v>2197</v>
      </c>
      <c r="EP359" t="s">
        <v>2035</v>
      </c>
    </row>
    <row r="360" spans="1:160" ht="15" customHeight="1" x14ac:dyDescent="0.35">
      <c r="A360">
        <v>1173</v>
      </c>
      <c r="B360" t="s">
        <v>2198</v>
      </c>
      <c r="C360">
        <v>2</v>
      </c>
      <c r="D360" t="str">
        <f>VLOOKUP(source[[#This Row],[Приоритет]],тПриоритеты[],2,0)</f>
        <v>Значительное</v>
      </c>
      <c r="E360" t="str">
        <f>IF(ISBLANK(source[[#This Row],[Проверенные]]),IF(ISBLANK(source[[#This Row],[Завершенные]]),source[[#This Row],[Приоритет_]],"Завершено"),"Проверено")</f>
        <v>Завершено</v>
      </c>
      <c r="F360" t="s">
        <v>1668</v>
      </c>
      <c r="G360" t="s">
        <v>478</v>
      </c>
      <c r="H360" t="e">
        <f>VLOOKUP(source[[#This Row],[Отвественный]],тОтветственные[],2,0)</f>
        <v>#N/A</v>
      </c>
      <c r="I360" s="2">
        <v>43865</v>
      </c>
      <c r="J360" s="2">
        <v>43865</v>
      </c>
      <c r="K360" t="s">
        <v>1670</v>
      </c>
      <c r="L360">
        <v>37.380000000000003</v>
      </c>
      <c r="M360">
        <v>30.39</v>
      </c>
      <c r="Q360" t="s">
        <v>789</v>
      </c>
      <c r="R360" t="str">
        <f>HYPERLINK("https://d28ji4sm1vmprj.cloudfront.net/ad15462a64f9a2745b54f51ce9154d41/1ae5aabc4102d9651fda668fc59d327e.jpeg", "Ссылка на план")</f>
        <v>Ссылка на план</v>
      </c>
      <c r="S360" s="1">
        <v>43865.609942129631</v>
      </c>
      <c r="T360" s="1">
        <v>43866.695671296293</v>
      </c>
      <c r="W360" s="1">
        <v>43866.695254629631</v>
      </c>
      <c r="EC360" t="s">
        <v>2199</v>
      </c>
      <c r="ED360" t="str">
        <f>HYPERLINK("https://d33htgqikc2pj4.cloudfront.net/80e8372c-8c7a-4345-bbf4-41a7979839d2.jpeg", "Александр Светашов: Ссылка на изображение")</f>
        <v>Александр Светашов: Ссылка на изображение</v>
      </c>
      <c r="EE360" t="str">
        <f>HYPERLINK("https://d33htgqikc2pj4.cloudfront.net/6e62c728-29de-4ac3-8538-aa519f884eb4.jpeg", "Александр Светашов: Ссылка на изображение")</f>
        <v>Александр Светашов: Ссылка на изображение</v>
      </c>
      <c r="EF360" t="str">
        <f>HYPERLINK("https://d33htgqikc2pj4.cloudfront.net/6c945a55-51b9-4578-a5ee-7aa242e5e2d3.jpeg", "Александр Светашов: Ссылка на изображение")</f>
        <v>Александр Светашов: Ссылка на изображение</v>
      </c>
      <c r="EG360" t="str">
        <f>HYPERLINK("https://d33htgqikc2pj4.cloudfront.net/1456d057-5c7f-42f6-b038-b2be06eec719.jpeg", "Александр Светашов: Ссылка на изображение")</f>
        <v>Александр Светашов: Ссылка на изображение</v>
      </c>
      <c r="EH360" t="s">
        <v>2200</v>
      </c>
      <c r="EI360" t="s">
        <v>699</v>
      </c>
      <c r="EJ360" t="s">
        <v>1674</v>
      </c>
      <c r="EK360" t="s">
        <v>1675</v>
      </c>
      <c r="EL360" t="str">
        <f>HYPERLINK("https://d33htgqikc2pj4.cloudfront.net/fad49096-6944-46ea-bd36-9e99d65e02ed.jpeg", "Отделка Renaissance Construction: Ссылка на изображение")</f>
        <v>Отделка Renaissance Construction: Ссылка на изображение</v>
      </c>
      <c r="EM360" t="str">
        <f>HYPERLINK("https://d33htgqikc2pj4.cloudfront.net/ea4bd792-a438-4934-b227-1919afc278f4.jpeg", "Отделка Renaissance Construction: Ссылка на изображение")</f>
        <v>Отделка Renaissance Construction: Ссылка на изображение</v>
      </c>
      <c r="EN360" t="s">
        <v>2201</v>
      </c>
      <c r="EO360" t="s">
        <v>2035</v>
      </c>
    </row>
    <row r="361" spans="1:160" ht="15" customHeight="1" x14ac:dyDescent="0.35">
      <c r="A361">
        <v>418</v>
      </c>
      <c r="B361" t="s">
        <v>2202</v>
      </c>
      <c r="C361">
        <v>1</v>
      </c>
      <c r="D361" t="str">
        <f>VLOOKUP(source[[#This Row],[Приоритет]],тПриоритеты[],2,0)</f>
        <v>КРИТИЧЕСКОЕ</v>
      </c>
      <c r="E361" t="str">
        <f>IF(ISBLANK(source[[#This Row],[Проверенные]]),IF(ISBLANK(source[[#This Row],[Завершенные]]),source[[#This Row],[Приоритет_]],"Завершено"),"Проверено")</f>
        <v>Проверено</v>
      </c>
      <c r="F361" t="s">
        <v>1668</v>
      </c>
      <c r="G361" t="s">
        <v>478</v>
      </c>
      <c r="H361" t="e">
        <f>VLOOKUP(source[[#This Row],[Отвественный]],тОтветственные[],2,0)</f>
        <v>#N/A</v>
      </c>
      <c r="I361" s="2">
        <v>43792</v>
      </c>
      <c r="J361" s="2">
        <v>43798</v>
      </c>
      <c r="S361" s="1">
        <v>43793.727187500001</v>
      </c>
      <c r="T361" s="1">
        <v>43809.601840277777</v>
      </c>
      <c r="U361" s="1">
        <v>43809.601840277777</v>
      </c>
      <c r="W361" s="1">
        <v>43809.606909722221</v>
      </c>
      <c r="EC361" t="s">
        <v>2203</v>
      </c>
      <c r="ED361" s="3" t="s">
        <v>2204</v>
      </c>
      <c r="EE361" t="s">
        <v>2105</v>
      </c>
      <c r="EF361" t="s">
        <v>2205</v>
      </c>
      <c r="EG361" t="s">
        <v>2105</v>
      </c>
      <c r="EH361" t="s">
        <v>2206</v>
      </c>
      <c r="EI361" t="s">
        <v>2207</v>
      </c>
      <c r="EJ361" t="str">
        <f>HYPERLINK("https://www.filepicker.io/api/file/3NEwEhMsRySEzAHVMacx", "Александр Олуферов: Ссылка на файл")</f>
        <v>Александр Олуферов: Ссылка на файл</v>
      </c>
      <c r="EK361" t="str">
        <f>HYPERLINK("https://www.filepicker.io/api/file/E8rMuBCTEmNJLBzjStCg", "Александр Олуферов: Ссылка на файл")</f>
        <v>Александр Олуферов: Ссылка на файл</v>
      </c>
      <c r="EL361" t="str">
        <f>HYPERLINK("https://www.filepicker.io/api/file/z9D66GojRTOq5r87ZtHC", "Александр Олуферов: Ссылка на файл")</f>
        <v>Александр Олуферов: Ссылка на файл</v>
      </c>
      <c r="EM361" t="str">
        <f>HYPERLINK("https://www.filepicker.io/api/file/i46ODAPkQgCuUH8yaAU5", "Александр Олуферов: Ссылка на файл")</f>
        <v>Александр Олуферов: Ссылка на файл</v>
      </c>
      <c r="EN361" t="str">
        <f>HYPERLINK("https://www.filepicker.io/api/file/qta5iMvDRhyTb7RQkmq9", "Александр Олуферов: Ссылка на файл")</f>
        <v>Александр Олуферов: Ссылка на файл</v>
      </c>
      <c r="EO361" t="str">
        <f>HYPERLINK("https://www.filepicker.io/api/file/BClEHIyDThbG8yL1oQoj", "Александр Олуферов: Ссылка на файл")</f>
        <v>Александр Олуферов: Ссылка на файл</v>
      </c>
      <c r="EP361" t="str">
        <f>HYPERLINK("https://www.filepicker.io/api/file/4XomaCmVS4OLZ70bxba3", "Александр Олуферов: Ссылка на файл")</f>
        <v>Александр Олуферов: Ссылка на файл</v>
      </c>
      <c r="EQ361" t="s">
        <v>2109</v>
      </c>
      <c r="ER361" t="s">
        <v>2208</v>
      </c>
      <c r="ES361" t="s">
        <v>2209</v>
      </c>
      <c r="ET361" s="3" t="s">
        <v>2210</v>
      </c>
      <c r="EU361" t="s">
        <v>2035</v>
      </c>
      <c r="EV361" t="s">
        <v>2211</v>
      </c>
      <c r="EW361" t="s">
        <v>2105</v>
      </c>
      <c r="EX361" t="s">
        <v>794</v>
      </c>
    </row>
    <row r="362" spans="1:160" ht="15" customHeight="1" x14ac:dyDescent="0.35">
      <c r="A362">
        <v>464</v>
      </c>
      <c r="B362" t="s">
        <v>2212</v>
      </c>
      <c r="C362">
        <v>1</v>
      </c>
      <c r="D362" t="str">
        <f>VLOOKUP(source[[#This Row],[Приоритет]],тПриоритеты[],2,0)</f>
        <v>КРИТИЧЕСКОЕ</v>
      </c>
      <c r="E362" t="str">
        <f>IF(ISBLANK(source[[#This Row],[Проверенные]]),IF(ISBLANK(source[[#This Row],[Завершенные]]),source[[#This Row],[Приоритет_]],"Завершено"),"Проверено")</f>
        <v>Проверено</v>
      </c>
      <c r="F362" t="s">
        <v>1668</v>
      </c>
      <c r="G362" t="s">
        <v>478</v>
      </c>
      <c r="H362" t="e">
        <f>VLOOKUP(source[[#This Row],[Отвественный]],тОтветственные[],2,0)</f>
        <v>#N/A</v>
      </c>
      <c r="I362" s="2">
        <v>43797</v>
      </c>
      <c r="J362" s="2">
        <v>43797</v>
      </c>
      <c r="K362" t="s">
        <v>2113</v>
      </c>
      <c r="L362">
        <v>24.42</v>
      </c>
      <c r="M362">
        <v>65.739999999999995</v>
      </c>
      <c r="Q362" t="s">
        <v>2114</v>
      </c>
      <c r="R362" t="str">
        <f>HYPERLINK("https://d28ji4sm1vmprj.cloudfront.net/3021cb41417a6407c6d00c02f6a24f54/260a2324e0f0083a3c1fc6e8517e8511.jpeg", "Ссылка на план")</f>
        <v>Ссылка на план</v>
      </c>
      <c r="S362" s="1">
        <v>43797.419085648151</v>
      </c>
      <c r="T362" s="1">
        <v>43809.748159722221</v>
      </c>
      <c r="U362" s="1">
        <v>43809.751863425925</v>
      </c>
      <c r="W362" s="1">
        <v>43809.751875000002</v>
      </c>
      <c r="AH362" t="s">
        <v>2213</v>
      </c>
      <c r="EC362" t="s">
        <v>2214</v>
      </c>
      <c r="ED362" t="str">
        <f>HYPERLINK("https://d33htgqikc2pj4.cloudfront.net/8922cdb8-b87c-4e37-aae6-fca5dcb92220.jpeg", "Александр Светашов: Ссылка на изображение")</f>
        <v>Александр Светашов: Ссылка на изображение</v>
      </c>
      <c r="EE362" t="str">
        <f>HYPERLINK("https://d33htgqikc2pj4.cloudfront.net/3ad4e544-96e1-44ae-bf04-ccf8eb6862dd.jpeg", "Александр Светашов: Ссылка на изображение")</f>
        <v>Александр Светашов: Ссылка на изображение</v>
      </c>
      <c r="EF362" t="s">
        <v>699</v>
      </c>
      <c r="EG362" t="s">
        <v>1675</v>
      </c>
      <c r="EH362" t="s">
        <v>2215</v>
      </c>
      <c r="EI362" t="s">
        <v>2208</v>
      </c>
      <c r="EJ362" t="s">
        <v>2216</v>
      </c>
      <c r="EK362" t="s">
        <v>2217</v>
      </c>
      <c r="EL362" t="s">
        <v>2217</v>
      </c>
      <c r="EM362" t="s">
        <v>2218</v>
      </c>
      <c r="EN362" t="s">
        <v>2219</v>
      </c>
      <c r="EO362" t="s">
        <v>2035</v>
      </c>
      <c r="EP362" t="s">
        <v>2220</v>
      </c>
      <c r="EQ362" t="s">
        <v>2221</v>
      </c>
      <c r="ER362" t="s">
        <v>1676</v>
      </c>
      <c r="ES362" t="s">
        <v>2222</v>
      </c>
      <c r="ET362" t="s">
        <v>2035</v>
      </c>
      <c r="EU362" t="s">
        <v>794</v>
      </c>
    </row>
    <row r="363" spans="1:160" ht="15" customHeight="1" x14ac:dyDescent="0.35">
      <c r="A363">
        <v>757</v>
      </c>
      <c r="B363" t="s">
        <v>2223</v>
      </c>
      <c r="C363">
        <v>1</v>
      </c>
      <c r="D363" t="str">
        <f>VLOOKUP(source[[#This Row],[Приоритет]],тПриоритеты[],2,0)</f>
        <v>КРИТИЧЕСКОЕ</v>
      </c>
      <c r="E363" t="str">
        <f>IF(ISBLANK(source[[#This Row],[Проверенные]]),IF(ISBLANK(source[[#This Row],[Завершенные]]),source[[#This Row],[Приоритет_]],"Завершено"),"Проверено")</f>
        <v>Проверено</v>
      </c>
      <c r="F363" t="s">
        <v>1668</v>
      </c>
      <c r="G363" t="s">
        <v>478</v>
      </c>
      <c r="H363" t="e">
        <f>VLOOKUP(source[[#This Row],[Отвественный]],тОтветственные[],2,0)</f>
        <v>#N/A</v>
      </c>
      <c r="I363" s="2">
        <v>43823</v>
      </c>
      <c r="J363" s="2">
        <v>43847</v>
      </c>
      <c r="K363" t="s">
        <v>1670</v>
      </c>
      <c r="L363">
        <v>17.59</v>
      </c>
      <c r="M363">
        <v>27.26</v>
      </c>
      <c r="Q363" t="s">
        <v>789</v>
      </c>
      <c r="R363" t="str">
        <f>HYPERLINK("https://d28ji4sm1vmprj.cloudfront.net/ad15462a64f9a2745b54f51ce9154d41/1ae5aabc4102d9651fda668fc59d327e.jpeg", "Ссылка на план")</f>
        <v>Ссылка на план</v>
      </c>
      <c r="S363" s="1">
        <v>43823.439143518517</v>
      </c>
      <c r="T363" s="1">
        <v>43837.614305555559</v>
      </c>
      <c r="U363" s="1">
        <v>43839.404699074075</v>
      </c>
      <c r="W363" s="1">
        <v>43839.404722222222</v>
      </c>
      <c r="AH363" t="s">
        <v>2224</v>
      </c>
      <c r="EC363" t="s">
        <v>2225</v>
      </c>
      <c r="ED363" t="str">
        <f>HYPERLINK("https://d33htgqikc2pj4.cloudfront.net/b40bca34-5e84-4143-810f-dfb0e7313713.jpeg", "Александр Светашов: Ссылка на изображение")</f>
        <v>Александр Светашов: Ссылка на изображение</v>
      </c>
      <c r="EE363" t="str">
        <f>HYPERLINK("https://d33htgqikc2pj4.cloudfront.net/41d0e158-5726-45ff-a01f-e47a2de7f87c.jpeg", "Александр Светашов: Ссылка на изображение")</f>
        <v>Александр Светашов: Ссылка на изображение</v>
      </c>
      <c r="EF363" t="s">
        <v>1676</v>
      </c>
      <c r="EG363" t="s">
        <v>699</v>
      </c>
      <c r="EH363" t="s">
        <v>1747</v>
      </c>
      <c r="EI363" t="s">
        <v>2074</v>
      </c>
      <c r="EJ363" t="s">
        <v>2139</v>
      </c>
      <c r="EK363" t="str">
        <f>HYPERLINK("https://d33htgqikc2pj4.cloudfront.net/c1f9e392-eac6-4ab4-897f-6de50fa1e04d.jpeg", "Отделка Renaissance Construction: Ссылка на изображение")</f>
        <v>Отделка Renaissance Construction: Ссылка на изображение</v>
      </c>
      <c r="EL363" t="s">
        <v>2226</v>
      </c>
      <c r="EM363" t="s">
        <v>2035</v>
      </c>
      <c r="EN363" t="s">
        <v>794</v>
      </c>
    </row>
    <row r="364" spans="1:160" ht="15" customHeight="1" x14ac:dyDescent="0.35">
      <c r="A364">
        <v>762</v>
      </c>
      <c r="B364" t="s">
        <v>2227</v>
      </c>
      <c r="C364">
        <v>1</v>
      </c>
      <c r="D364" t="str">
        <f>VLOOKUP(source[[#This Row],[Приоритет]],тПриоритеты[],2,0)</f>
        <v>КРИТИЧЕСКОЕ</v>
      </c>
      <c r="E364" t="str">
        <f>IF(ISBLANK(source[[#This Row],[Проверенные]]),IF(ISBLANK(source[[#This Row],[Завершенные]]),source[[#This Row],[Приоритет_]],"Завершено"),"Проверено")</f>
        <v>Проверено</v>
      </c>
      <c r="F364" t="s">
        <v>1668</v>
      </c>
      <c r="G364" t="s">
        <v>478</v>
      </c>
      <c r="H364" t="e">
        <f>VLOOKUP(source[[#This Row],[Отвественный]],тОтветственные[],2,0)</f>
        <v>#N/A</v>
      </c>
      <c r="I364" s="2">
        <v>43823</v>
      </c>
      <c r="J364" s="2">
        <v>43826</v>
      </c>
      <c r="K364" t="s">
        <v>2153</v>
      </c>
      <c r="L364">
        <v>19.43</v>
      </c>
      <c r="M364">
        <v>33.57</v>
      </c>
      <c r="Q364" t="s">
        <v>789</v>
      </c>
      <c r="R364" t="str">
        <f>HYPERLINK("https://d28ji4sm1vmprj.cloudfront.net/9afa71efe848c5ff9580b600038aa7af/14edaa3d25f0daa766ed0408a1d8595b.jpeg", "Ссылка на план")</f>
        <v>Ссылка на план</v>
      </c>
      <c r="S364" s="1">
        <v>43823.475451388891</v>
      </c>
      <c r="T364" s="1">
        <v>43825.74659722222</v>
      </c>
      <c r="U364" s="1">
        <v>43826.412395833337</v>
      </c>
      <c r="W364" s="1">
        <v>43826.412395833337</v>
      </c>
      <c r="AH364" t="s">
        <v>2228</v>
      </c>
      <c r="AI364" t="s">
        <v>2229</v>
      </c>
      <c r="AJ364" t="s">
        <v>2230</v>
      </c>
      <c r="EC364" t="s">
        <v>2231</v>
      </c>
      <c r="ED364" t="str">
        <f>HYPERLINK("https://d33htgqikc2pj4.cloudfront.net/f3ed3a38-8dc5-4824-ad23-102896ce743a.jpeg", "Александр Светашов: Ссылка на изображение")</f>
        <v>Александр Светашов: Ссылка на изображение</v>
      </c>
      <c r="EE364" t="str">
        <f>HYPERLINK("https://d33htgqikc2pj4.cloudfront.net/ac5b82b5-10b9-4c50-87ad-f83c88c072d9.jpeg", "Александр Светашов: Ссылка на изображение")</f>
        <v>Александр Светашов: Ссылка на изображение</v>
      </c>
      <c r="EF364" t="str">
        <f>HYPERLINK("https://d33htgqikc2pj4.cloudfront.net/adf51761-d0e1-4134-b770-2fb0d53cb77a.jpeg", "Александр Светашов: Ссылка на изображение")</f>
        <v>Александр Светашов: Ссылка на изображение</v>
      </c>
      <c r="EG364" t="s">
        <v>1676</v>
      </c>
      <c r="EH364" t="s">
        <v>699</v>
      </c>
      <c r="EI364" t="s">
        <v>1747</v>
      </c>
      <c r="EJ364" t="s">
        <v>1748</v>
      </c>
      <c r="EK364" t="str">
        <f>HYPERLINK("https://d33htgqikc2pj4.cloudfront.net/fd4b9733-7469-437f-8b81-cb8fb632c391.jpeg", "Отделка Renaissance Construction: Ссылка на изображение")</f>
        <v>Отделка Renaissance Construction: Ссылка на изображение</v>
      </c>
      <c r="EL364" t="s">
        <v>2201</v>
      </c>
      <c r="EM364" t="s">
        <v>2035</v>
      </c>
      <c r="EN364" t="s">
        <v>794</v>
      </c>
    </row>
    <row r="365" spans="1:160" ht="15" customHeight="1" x14ac:dyDescent="0.35">
      <c r="A365">
        <v>763</v>
      </c>
      <c r="B365" t="s">
        <v>2232</v>
      </c>
      <c r="C365">
        <v>1</v>
      </c>
      <c r="D365" t="str">
        <f>VLOOKUP(source[[#This Row],[Приоритет]],тПриоритеты[],2,0)</f>
        <v>КРИТИЧЕСКОЕ</v>
      </c>
      <c r="E365" t="str">
        <f>IF(ISBLANK(source[[#This Row],[Проверенные]]),IF(ISBLANK(source[[#This Row],[Завершенные]]),source[[#This Row],[Приоритет_]],"Завершено"),"Проверено")</f>
        <v>Проверено</v>
      </c>
      <c r="F365" t="s">
        <v>1668</v>
      </c>
      <c r="G365" t="s">
        <v>478</v>
      </c>
      <c r="H365" t="e">
        <f>VLOOKUP(source[[#This Row],[Отвественный]],тОтветственные[],2,0)</f>
        <v>#N/A</v>
      </c>
      <c r="I365" s="2">
        <v>43823</v>
      </c>
      <c r="J365" s="2">
        <v>43826</v>
      </c>
      <c r="K365" t="s">
        <v>1752</v>
      </c>
      <c r="L365">
        <v>14.84</v>
      </c>
      <c r="M365">
        <v>45.24</v>
      </c>
      <c r="Q365" t="s">
        <v>789</v>
      </c>
      <c r="R365" t="str">
        <f>HYPERLINK("https://d28ji4sm1vmprj.cloudfront.net/b670843e50128b9d44a484693c793a37/eeeca288094079ac4145e6770b2946c4.jpeg", "Ссылка на план")</f>
        <v>Ссылка на план</v>
      </c>
      <c r="S365" s="1">
        <v>43823.490231481483</v>
      </c>
      <c r="T365" s="1">
        <v>43825.747835648152</v>
      </c>
      <c r="U365" s="1">
        <v>43826.412280092591</v>
      </c>
      <c r="W365" s="1">
        <v>43826.412280092591</v>
      </c>
      <c r="AH365" t="s">
        <v>2233</v>
      </c>
      <c r="EC365" t="s">
        <v>2234</v>
      </c>
      <c r="ED365" t="str">
        <f>HYPERLINK("https://d33htgqikc2pj4.cloudfront.net/9639832b-3578-44e7-b7a9-e4a2af58c437.jpeg", "Александр Светашов: Ссылка на изображение")</f>
        <v>Александр Светашов: Ссылка на изображение</v>
      </c>
      <c r="EE365" t="str">
        <f>HYPERLINK("https://d33htgqikc2pj4.cloudfront.net/519ade31-8168-458a-8f0a-1f6c1b462602.jpeg", "Александр Светашов: Ссылка на изображение")</f>
        <v>Александр Светашов: Ссылка на изображение</v>
      </c>
      <c r="EF365" t="str">
        <f>HYPERLINK("https://d33htgqikc2pj4.cloudfront.net/5874ce97-d72b-40f0-9835-2203eee6e37b.jpeg", "Александр Светашов: Ссылка на изображение")</f>
        <v>Александр Светашов: Ссылка на изображение</v>
      </c>
      <c r="EG365" t="str">
        <f>HYPERLINK("https://d33htgqikc2pj4.cloudfront.net/4f1e37d0-e88c-4f8b-aa99-cad9a87dd7d9.jpeg", "Александр Светашов: Ссылка на изображение")</f>
        <v>Александр Светашов: Ссылка на изображение</v>
      </c>
      <c r="EH365" t="str">
        <f>HYPERLINK("https://d33htgqikc2pj4.cloudfront.net/b692af85-2bbf-41e3-93af-eeffe152b9e4.jpeg", "Александр Светашов: Ссылка на изображение")</f>
        <v>Александр Светашов: Ссылка на изображение</v>
      </c>
      <c r="EI365" t="s">
        <v>699</v>
      </c>
      <c r="EJ365" t="s">
        <v>1676</v>
      </c>
      <c r="EK365" t="s">
        <v>1747</v>
      </c>
      <c r="EL365" t="s">
        <v>1748</v>
      </c>
      <c r="EM365" t="str">
        <f>HYPERLINK("https://d33htgqikc2pj4.cloudfront.net/6f89f482-515d-48c9-bce5-6c90f4394694.jpeg", "Отделка Renaissance Construction: Ссылка на изображение")</f>
        <v>Отделка Renaissance Construction: Ссылка на изображение</v>
      </c>
      <c r="EN365" t="s">
        <v>2201</v>
      </c>
      <c r="EO365" t="s">
        <v>2035</v>
      </c>
      <c r="EP365" t="s">
        <v>794</v>
      </c>
    </row>
    <row r="366" spans="1:160" ht="15" customHeight="1" x14ac:dyDescent="0.35">
      <c r="A366">
        <v>759</v>
      </c>
      <c r="B366" t="s">
        <v>2235</v>
      </c>
      <c r="C366">
        <v>1</v>
      </c>
      <c r="D366" t="str">
        <f>VLOOKUP(source[[#This Row],[Приоритет]],тПриоритеты[],2,0)</f>
        <v>КРИТИЧЕСКОЕ</v>
      </c>
      <c r="E366" t="str">
        <f>IF(ISBLANK(source[[#This Row],[Проверенные]]),IF(ISBLANK(source[[#This Row],[Завершенные]]),source[[#This Row],[Приоритет_]],"Завершено"),"Проверено")</f>
        <v>Проверено</v>
      </c>
      <c r="F366" t="s">
        <v>1668</v>
      </c>
      <c r="G366" t="s">
        <v>478</v>
      </c>
      <c r="H366" t="e">
        <f>VLOOKUP(source[[#This Row],[Отвественный]],тОтветственные[],2,0)</f>
        <v>#N/A</v>
      </c>
      <c r="I366" s="2">
        <v>43823</v>
      </c>
      <c r="J366" s="2">
        <v>43856</v>
      </c>
      <c r="K366" t="s">
        <v>788</v>
      </c>
      <c r="L366">
        <v>17.66</v>
      </c>
      <c r="M366">
        <v>38.119999999999997</v>
      </c>
      <c r="Q366" t="s">
        <v>789</v>
      </c>
      <c r="R366" t="str">
        <f>HYPERLINK("https://d28ji4sm1vmprj.cloudfront.net/26de85bafe7c23f70cb88c56be016d87/3e17f1a1b4b7b77b7e9e8d2d30fe0863.jpeg", "Ссылка на план")</f>
        <v>Ссылка на план</v>
      </c>
      <c r="S366" s="1">
        <v>43823.461770833332</v>
      </c>
      <c r="T366" s="1">
        <v>43825.432511574072</v>
      </c>
      <c r="U366" s="1">
        <v>43825.442175925928</v>
      </c>
      <c r="W366" s="1">
        <v>43825.442187499997</v>
      </c>
      <c r="AH366" t="s">
        <v>2236</v>
      </c>
      <c r="EC366" t="s">
        <v>2237</v>
      </c>
      <c r="ED366" t="str">
        <f>HYPERLINK("https://d33htgqikc2pj4.cloudfront.net/833d0901-dc4e-44cf-b8a9-23840f34a5b6.jpeg", "Александр Светашов: Ссылка на изображение")</f>
        <v>Александр Светашов: Ссылка на изображение</v>
      </c>
      <c r="EE366" t="str">
        <f>HYPERLINK("https://d33htgqikc2pj4.cloudfront.net/fa863d9b-dcd8-409d-96f7-edcfe99ca6c1.jpeg", "Александр Светашов: Ссылка на изображение")</f>
        <v>Александр Светашов: Ссылка на изображение</v>
      </c>
      <c r="EF366" t="str">
        <f>HYPERLINK("https://d33htgqikc2pj4.cloudfront.net/360cd58a-19be-4e43-a37b-2369e9351b9f.jpeg", "Александр Светашов: Ссылка на изображение")</f>
        <v>Александр Светашов: Ссылка на изображение</v>
      </c>
      <c r="EG366" t="str">
        <f>HYPERLINK("https://d33htgqikc2pj4.cloudfront.net/eca5eab9-7280-4e26-a04a-b2dc45f646be.jpeg", "Александр Светашов: Ссылка на изображение")</f>
        <v>Александр Светашов: Ссылка на изображение</v>
      </c>
      <c r="EH366" t="str">
        <f>HYPERLINK("https://d33htgqikc2pj4.cloudfront.net/f1608d79-7352-4d70-8509-71103d838783.jpeg", "Александр Светашов: Ссылка на изображение")</f>
        <v>Александр Светашов: Ссылка на изображение</v>
      </c>
      <c r="EI366" t="str">
        <f>HYPERLINK("https://d33htgqikc2pj4.cloudfront.net/c82944b2-c565-4543-b6ac-24c3cdc7bd1c.jpeg", "Александр Светашов: Ссылка на изображение")</f>
        <v>Александр Светашов: Ссылка на изображение</v>
      </c>
      <c r="EJ366" t="str">
        <f>HYPERLINK("https://d33htgqikc2pj4.cloudfront.net/94e587b6-70e0-4691-89b4-71afaedaeaf2.jpeg", "Александр Светашов: Ссылка на изображение")</f>
        <v>Александр Светашов: Ссылка на изображение</v>
      </c>
      <c r="EK366" t="str">
        <f>HYPERLINK("https://d33htgqikc2pj4.cloudfront.net/77454b05-6d5b-411f-901b-171b15612839.jpeg", "Александр Светашов: Ссылка на изображение")</f>
        <v>Александр Светашов: Ссылка на изображение</v>
      </c>
      <c r="EL366" t="str">
        <f>HYPERLINK("https://d33htgqikc2pj4.cloudfront.net/c896208a-9463-4cb0-ae22-e9a1daffa940.jpeg", "Александр Светашов: Ссылка на изображение")</f>
        <v>Александр Светашов: Ссылка на изображение</v>
      </c>
      <c r="EM366" t="s">
        <v>1676</v>
      </c>
      <c r="EN366" t="s">
        <v>699</v>
      </c>
      <c r="EO366" t="s">
        <v>1747</v>
      </c>
      <c r="EP366" t="s">
        <v>2098</v>
      </c>
      <c r="EQ366" t="s">
        <v>2238</v>
      </c>
      <c r="ER366" t="s">
        <v>2239</v>
      </c>
      <c r="ES366" t="s">
        <v>2240</v>
      </c>
      <c r="ET366" t="s">
        <v>2241</v>
      </c>
      <c r="EU366" t="str">
        <f>HYPERLINK("https://d33htgqikc2pj4.cloudfront.net/d2df06db-482d-454c-bfd1-c19efb80dea2.jpeg", "Отделка Renaissance Construction: Ссылка на изображение")</f>
        <v>Отделка Renaissance Construction: Ссылка на изображение</v>
      </c>
      <c r="EV366" t="str">
        <f>HYPERLINK("https://d33htgqikc2pj4.cloudfront.net/f1f6d757-2b6f-408a-92a1-b74003c880c9.jpeg", "Отделка Renaissance Construction: Ссылка на изображение")</f>
        <v>Отделка Renaissance Construction: Ссылка на изображение</v>
      </c>
      <c r="EW366" s="3" t="s">
        <v>2242</v>
      </c>
      <c r="EX366" t="s">
        <v>2035</v>
      </c>
      <c r="EY366" t="s">
        <v>794</v>
      </c>
    </row>
    <row r="367" spans="1:160" ht="15" customHeight="1" x14ac:dyDescent="0.35">
      <c r="A367">
        <v>1088</v>
      </c>
      <c r="B367" t="s">
        <v>2112</v>
      </c>
      <c r="C367">
        <v>1</v>
      </c>
      <c r="D367" t="str">
        <f>VLOOKUP(source[[#This Row],[Приоритет]],тПриоритеты[],2,0)</f>
        <v>КРИТИЧЕСКОЕ</v>
      </c>
      <c r="E367" t="str">
        <f>IF(ISBLANK(source[[#This Row],[Проверенные]]),IF(ISBLANK(source[[#This Row],[Завершенные]]),source[[#This Row],[Приоритет_]],"Завершено"),"Проверено")</f>
        <v>Проверено</v>
      </c>
      <c r="F367" t="s">
        <v>1668</v>
      </c>
      <c r="G367" t="s">
        <v>478</v>
      </c>
      <c r="H367" t="e">
        <f>VLOOKUP(source[[#This Row],[Отвественный]],тОтветственные[],2,0)</f>
        <v>#N/A</v>
      </c>
      <c r="I367" s="2">
        <v>43859</v>
      </c>
      <c r="J367" s="2">
        <v>43859</v>
      </c>
      <c r="K367" t="s">
        <v>2113</v>
      </c>
      <c r="L367">
        <v>37.17</v>
      </c>
      <c r="M367">
        <v>27.33</v>
      </c>
      <c r="Q367" t="s">
        <v>2114</v>
      </c>
      <c r="R367" t="str">
        <f>HYPERLINK("https://d28ji4sm1vmprj.cloudfront.net/3021cb41417a6407c6d00c02f6a24f54/260a2324e0f0083a3c1fc6e8517e8511.jpeg", "Ссылка на план")</f>
        <v>Ссылка на план</v>
      </c>
      <c r="S367" s="1">
        <v>43859.59138888889</v>
      </c>
      <c r="T367" s="1">
        <v>43866.698530092595</v>
      </c>
      <c r="U367" s="1">
        <v>43866.733483796299</v>
      </c>
      <c r="W367" s="1">
        <v>43866.733495370368</v>
      </c>
      <c r="EC367" t="s">
        <v>2115</v>
      </c>
      <c r="ED367" t="s">
        <v>2243</v>
      </c>
      <c r="EE367" t="s">
        <v>1676</v>
      </c>
      <c r="EF367" t="s">
        <v>699</v>
      </c>
      <c r="EG367" t="s">
        <v>1916</v>
      </c>
      <c r="EH367" t="s">
        <v>2201</v>
      </c>
      <c r="EI367" t="s">
        <v>2035</v>
      </c>
      <c r="EJ367" t="s">
        <v>794</v>
      </c>
    </row>
    <row r="368" spans="1:160" ht="15" customHeight="1" x14ac:dyDescent="0.35">
      <c r="A368">
        <v>1095</v>
      </c>
      <c r="B368" t="s">
        <v>2112</v>
      </c>
      <c r="C368">
        <v>1</v>
      </c>
      <c r="D368" t="str">
        <f>VLOOKUP(source[[#This Row],[Приоритет]],тПриоритеты[],2,0)</f>
        <v>КРИТИЧЕСКОЕ</v>
      </c>
      <c r="E368" t="str">
        <f>IF(ISBLANK(source[[#This Row],[Проверенные]]),IF(ISBLANK(source[[#This Row],[Завершенные]]),source[[#This Row],[Приоритет_]],"Завершено"),"Проверено")</f>
        <v>Проверено</v>
      </c>
      <c r="F368" t="s">
        <v>1668</v>
      </c>
      <c r="G368" t="s">
        <v>478</v>
      </c>
      <c r="H368" t="e">
        <f>VLOOKUP(source[[#This Row],[Отвественный]],тОтветственные[],2,0)</f>
        <v>#N/A</v>
      </c>
      <c r="I368" s="2">
        <v>43859</v>
      </c>
      <c r="J368" s="2">
        <v>43859</v>
      </c>
      <c r="K368" t="s">
        <v>2148</v>
      </c>
      <c r="L368">
        <v>21.02</v>
      </c>
      <c r="M368">
        <v>37.97</v>
      </c>
      <c r="Q368" t="s">
        <v>553</v>
      </c>
      <c r="R368" t="str">
        <f t="shared" ref="R368:R373" si="2">HYPERLINK("https://d28ji4sm1vmprj.cloudfront.net/e7e6222e39142ee9c014531663a55b8d/9f441e50b3dbdf29ba40cf69016a740a.jpeg", "Ссылка на план")</f>
        <v>Ссылка на план</v>
      </c>
      <c r="S368" s="1">
        <v>43859.605879629627</v>
      </c>
      <c r="T368" s="1">
        <v>43866.696643518517</v>
      </c>
      <c r="U368" s="1">
        <v>43866.734039351853</v>
      </c>
      <c r="W368" s="1">
        <v>43866.734050925923</v>
      </c>
      <c r="EC368" t="s">
        <v>2115</v>
      </c>
      <c r="ED368" t="s">
        <v>2116</v>
      </c>
      <c r="EE368" t="s">
        <v>1676</v>
      </c>
      <c r="EF368" t="s">
        <v>1916</v>
      </c>
      <c r="EG368" t="s">
        <v>699</v>
      </c>
      <c r="EH368" t="str">
        <f>HYPERLINK("https://d33htgqikc2pj4.cloudfront.net/673b843b-d732-44fe-911e-f88cb9605340.jpeg", "Отделка Renaissance Construction: Ссылка на изображение")</f>
        <v>Отделка Renaissance Construction: Ссылка на изображение</v>
      </c>
      <c r="EI368" t="s">
        <v>2244</v>
      </c>
      <c r="EJ368" t="s">
        <v>2035</v>
      </c>
      <c r="EK368" t="s">
        <v>794</v>
      </c>
    </row>
    <row r="369" spans="1:167" ht="15" customHeight="1" x14ac:dyDescent="0.35">
      <c r="A369">
        <v>1091</v>
      </c>
      <c r="B369" t="s">
        <v>2112</v>
      </c>
      <c r="C369">
        <v>1</v>
      </c>
      <c r="D369" t="str">
        <f>VLOOKUP(source[[#This Row],[Приоритет]],тПриоритеты[],2,0)</f>
        <v>КРИТИЧЕСКОЕ</v>
      </c>
      <c r="E369" t="str">
        <f>IF(ISBLANK(source[[#This Row],[Проверенные]]),IF(ISBLANK(source[[#This Row],[Завершенные]]),source[[#This Row],[Приоритет_]],"Завершено"),"Проверено")</f>
        <v>Проверено</v>
      </c>
      <c r="F369" t="s">
        <v>1668</v>
      </c>
      <c r="G369" t="s">
        <v>478</v>
      </c>
      <c r="H369" t="e">
        <f>VLOOKUP(source[[#This Row],[Отвественный]],тОтветственные[],2,0)</f>
        <v>#N/A</v>
      </c>
      <c r="I369" s="2">
        <v>43859</v>
      </c>
      <c r="J369" s="2">
        <v>43859</v>
      </c>
      <c r="K369" t="s">
        <v>2148</v>
      </c>
      <c r="L369">
        <v>20.85</v>
      </c>
      <c r="M369">
        <v>57.8</v>
      </c>
      <c r="Q369" t="s">
        <v>553</v>
      </c>
      <c r="R369" t="str">
        <f t="shared" si="2"/>
        <v>Ссылка на план</v>
      </c>
      <c r="S369" s="1">
        <v>43859.598796296297</v>
      </c>
      <c r="T369" s="1">
        <v>43866.698217592595</v>
      </c>
      <c r="U369" s="1">
        <v>43866.733587962961</v>
      </c>
      <c r="W369" s="1">
        <v>43866.733599537038</v>
      </c>
      <c r="EC369" t="s">
        <v>2115</v>
      </c>
      <c r="ED369" t="s">
        <v>2116</v>
      </c>
      <c r="EE369" t="s">
        <v>1676</v>
      </c>
      <c r="EF369" t="s">
        <v>699</v>
      </c>
      <c r="EG369" t="s">
        <v>1916</v>
      </c>
      <c r="EH369" t="s">
        <v>2201</v>
      </c>
      <c r="EI369" t="s">
        <v>2035</v>
      </c>
      <c r="EJ369" t="s">
        <v>794</v>
      </c>
    </row>
    <row r="370" spans="1:167" ht="15" customHeight="1" x14ac:dyDescent="0.35">
      <c r="A370">
        <v>1090</v>
      </c>
      <c r="B370" t="s">
        <v>2112</v>
      </c>
      <c r="C370">
        <v>1</v>
      </c>
      <c r="D370" t="str">
        <f>VLOOKUP(source[[#This Row],[Приоритет]],тПриоритеты[],2,0)</f>
        <v>КРИТИЧЕСКОЕ</v>
      </c>
      <c r="E370" t="str">
        <f>IF(ISBLANK(source[[#This Row],[Проверенные]]),IF(ISBLANK(source[[#This Row],[Завершенные]]),source[[#This Row],[Приоритет_]],"Завершено"),"Проверено")</f>
        <v>Проверено</v>
      </c>
      <c r="F370" t="s">
        <v>1668</v>
      </c>
      <c r="G370" t="s">
        <v>478</v>
      </c>
      <c r="H370" t="e">
        <f>VLOOKUP(source[[#This Row],[Отвественный]],тОтветственные[],2,0)</f>
        <v>#N/A</v>
      </c>
      <c r="I370" s="2">
        <v>43859</v>
      </c>
      <c r="J370" s="2">
        <v>43859</v>
      </c>
      <c r="K370" t="s">
        <v>2148</v>
      </c>
      <c r="L370">
        <v>12.09</v>
      </c>
      <c r="M370">
        <v>63.41</v>
      </c>
      <c r="Q370" t="s">
        <v>553</v>
      </c>
      <c r="R370" t="str">
        <f t="shared" si="2"/>
        <v>Ссылка на план</v>
      </c>
      <c r="S370" s="1">
        <v>43859.596944444442</v>
      </c>
      <c r="T370" s="1">
        <v>43866.617280092592</v>
      </c>
      <c r="U370" s="1">
        <v>43866.617280092592</v>
      </c>
      <c r="W370" s="1">
        <v>43866.663090277776</v>
      </c>
      <c r="EC370" t="s">
        <v>2115</v>
      </c>
      <c r="ED370" t="s">
        <v>2116</v>
      </c>
      <c r="EE370" t="s">
        <v>1676</v>
      </c>
      <c r="EF370" t="s">
        <v>699</v>
      </c>
      <c r="EG370" t="s">
        <v>1916</v>
      </c>
      <c r="EH370" t="s">
        <v>794</v>
      </c>
    </row>
    <row r="371" spans="1:167" ht="15" customHeight="1" x14ac:dyDescent="0.35">
      <c r="A371">
        <v>1093</v>
      </c>
      <c r="B371" t="s">
        <v>2112</v>
      </c>
      <c r="C371">
        <v>1</v>
      </c>
      <c r="D371" t="str">
        <f>VLOOKUP(source[[#This Row],[Приоритет]],тПриоритеты[],2,0)</f>
        <v>КРИТИЧЕСКОЕ</v>
      </c>
      <c r="E371" t="str">
        <f>IF(ISBLANK(source[[#This Row],[Проверенные]]),IF(ISBLANK(source[[#This Row],[Завершенные]]),source[[#This Row],[Приоритет_]],"Завершено"),"Проверено")</f>
        <v>Проверено</v>
      </c>
      <c r="F371" t="s">
        <v>1668</v>
      </c>
      <c r="G371" t="s">
        <v>478</v>
      </c>
      <c r="H371" t="e">
        <f>VLOOKUP(source[[#This Row],[Отвественный]],тОтветственные[],2,0)</f>
        <v>#N/A</v>
      </c>
      <c r="I371" s="2">
        <v>43859</v>
      </c>
      <c r="J371" s="2">
        <v>43859</v>
      </c>
      <c r="K371" t="s">
        <v>2148</v>
      </c>
      <c r="L371">
        <v>27.83</v>
      </c>
      <c r="M371">
        <v>49.71</v>
      </c>
      <c r="Q371" t="s">
        <v>553</v>
      </c>
      <c r="R371" t="str">
        <f t="shared" si="2"/>
        <v>Ссылка на план</v>
      </c>
      <c r="S371" s="1">
        <v>43859.602465277778</v>
      </c>
      <c r="T371" s="1">
        <v>43866.69771990741</v>
      </c>
      <c r="U371" s="1">
        <v>43866.733842592592</v>
      </c>
      <c r="W371" s="1">
        <v>43866.733854166669</v>
      </c>
      <c r="EC371" t="s">
        <v>2115</v>
      </c>
      <c r="ED371" t="s">
        <v>2116</v>
      </c>
      <c r="EE371" t="s">
        <v>1676</v>
      </c>
      <c r="EF371" t="s">
        <v>699</v>
      </c>
      <c r="EG371" t="s">
        <v>1916</v>
      </c>
      <c r="EH371" t="s">
        <v>2201</v>
      </c>
      <c r="EI371" t="s">
        <v>2035</v>
      </c>
      <c r="EJ371" t="s">
        <v>794</v>
      </c>
    </row>
    <row r="372" spans="1:167" ht="15" customHeight="1" x14ac:dyDescent="0.35">
      <c r="A372">
        <v>1094</v>
      </c>
      <c r="B372" t="s">
        <v>2112</v>
      </c>
      <c r="C372">
        <v>1</v>
      </c>
      <c r="D372" t="str">
        <f>VLOOKUP(source[[#This Row],[Приоритет]],тПриоритеты[],2,0)</f>
        <v>КРИТИЧЕСКОЕ</v>
      </c>
      <c r="E372" t="str">
        <f>IF(ISBLANK(source[[#This Row],[Проверенные]]),IF(ISBLANK(source[[#This Row],[Завершенные]]),source[[#This Row],[Приоритет_]],"Завершено"),"Проверено")</f>
        <v>Проверено</v>
      </c>
      <c r="F372" t="s">
        <v>1668</v>
      </c>
      <c r="G372" t="s">
        <v>478</v>
      </c>
      <c r="H372" t="e">
        <f>VLOOKUP(source[[#This Row],[Отвественный]],тОтветственные[],2,0)</f>
        <v>#N/A</v>
      </c>
      <c r="I372" s="2">
        <v>43859</v>
      </c>
      <c r="J372" s="2">
        <v>43859</v>
      </c>
      <c r="K372" t="s">
        <v>2148</v>
      </c>
      <c r="L372">
        <v>28.34</v>
      </c>
      <c r="M372">
        <v>49.78</v>
      </c>
      <c r="Q372" t="s">
        <v>553</v>
      </c>
      <c r="R372" t="str">
        <f t="shared" si="2"/>
        <v>Ссылка на план</v>
      </c>
      <c r="S372" s="1">
        <v>43859.603692129633</v>
      </c>
      <c r="T372" s="1">
        <v>43866.697442129633</v>
      </c>
      <c r="U372" s="1">
        <v>43866.733912037038</v>
      </c>
      <c r="W372" s="1">
        <v>43866.733923611115</v>
      </c>
      <c r="EC372" t="s">
        <v>2115</v>
      </c>
      <c r="ED372" t="s">
        <v>2245</v>
      </c>
      <c r="EE372" t="s">
        <v>1676</v>
      </c>
      <c r="EF372" t="s">
        <v>699</v>
      </c>
      <c r="EG372" t="s">
        <v>1916</v>
      </c>
      <c r="EH372" t="s">
        <v>2201</v>
      </c>
      <c r="EI372" t="s">
        <v>2035</v>
      </c>
      <c r="EJ372" t="s">
        <v>794</v>
      </c>
    </row>
    <row r="373" spans="1:167" ht="15" customHeight="1" x14ac:dyDescent="0.35">
      <c r="A373">
        <v>1092</v>
      </c>
      <c r="B373" t="s">
        <v>2112</v>
      </c>
      <c r="C373">
        <v>1</v>
      </c>
      <c r="D373" t="str">
        <f>VLOOKUP(source[[#This Row],[Приоритет]],тПриоритеты[],2,0)</f>
        <v>КРИТИЧЕСКОЕ</v>
      </c>
      <c r="E373" t="str">
        <f>IF(ISBLANK(source[[#This Row],[Проверенные]]),IF(ISBLANK(source[[#This Row],[Завершенные]]),source[[#This Row],[Приоритет_]],"Завершено"),"Проверено")</f>
        <v>Проверено</v>
      </c>
      <c r="F373" t="s">
        <v>1668</v>
      </c>
      <c r="G373" t="s">
        <v>478</v>
      </c>
      <c r="H373" t="e">
        <f>VLOOKUP(source[[#This Row],[Отвественный]],тОтветственные[],2,0)</f>
        <v>#N/A</v>
      </c>
      <c r="I373" s="2">
        <v>43859</v>
      </c>
      <c r="J373" s="2">
        <v>43859</v>
      </c>
      <c r="K373" t="s">
        <v>2148</v>
      </c>
      <c r="L373">
        <v>27.38</v>
      </c>
      <c r="M373">
        <v>49.85</v>
      </c>
      <c r="Q373" t="s">
        <v>553</v>
      </c>
      <c r="R373" t="str">
        <f t="shared" si="2"/>
        <v>Ссылка на план</v>
      </c>
      <c r="S373" s="1">
        <v>43859.601469907408</v>
      </c>
      <c r="T373" s="1">
        <v>43866.697997685187</v>
      </c>
      <c r="U373" s="1">
        <v>43866.73369212963</v>
      </c>
      <c r="W373" s="1">
        <v>43866.733703703707</v>
      </c>
      <c r="EC373" t="s">
        <v>2115</v>
      </c>
      <c r="ED373" t="s">
        <v>2116</v>
      </c>
      <c r="EE373" t="s">
        <v>1676</v>
      </c>
      <c r="EF373" t="s">
        <v>699</v>
      </c>
      <c r="EG373" t="s">
        <v>1916</v>
      </c>
      <c r="EH373" t="s">
        <v>2201</v>
      </c>
      <c r="EI373" t="s">
        <v>2035</v>
      </c>
      <c r="EJ373" t="s">
        <v>794</v>
      </c>
    </row>
    <row r="374" spans="1:167" ht="15" customHeight="1" x14ac:dyDescent="0.35">
      <c r="A374">
        <v>76</v>
      </c>
      <c r="B374" t="s">
        <v>2246</v>
      </c>
      <c r="C374">
        <v>2</v>
      </c>
      <c r="D374" t="str">
        <f>VLOOKUP(source[[#This Row],[Приоритет]],тПриоритеты[],2,0)</f>
        <v>Значительное</v>
      </c>
      <c r="E374" t="str">
        <f>IF(ISBLANK(source[[#This Row],[Проверенные]]),IF(ISBLANK(source[[#This Row],[Завершенные]]),source[[#This Row],[Приоритет_]],"Завершено"),"Проверено")</f>
        <v>Проверено</v>
      </c>
      <c r="F374" t="s">
        <v>1668</v>
      </c>
      <c r="G374" t="s">
        <v>478</v>
      </c>
      <c r="H374" t="e">
        <f>VLOOKUP(source[[#This Row],[Отвественный]],тОтветственные[],2,0)</f>
        <v>#N/A</v>
      </c>
      <c r="I374" s="2">
        <v>43747</v>
      </c>
      <c r="J374" s="2">
        <v>43749</v>
      </c>
      <c r="N374" t="s">
        <v>2247</v>
      </c>
      <c r="S374" s="1">
        <v>43770.459548611114</v>
      </c>
      <c r="T374" s="1">
        <v>43787.715567129628</v>
      </c>
      <c r="U374" s="1">
        <v>43797.496122685188</v>
      </c>
      <c r="W374" s="1">
        <v>43797.496122685188</v>
      </c>
      <c r="EC374" s="3" t="s">
        <v>2248</v>
      </c>
      <c r="ED374" t="s">
        <v>2249</v>
      </c>
      <c r="EE374" t="s">
        <v>2250</v>
      </c>
      <c r="EF374" t="s">
        <v>1164</v>
      </c>
      <c r="EG374" t="s">
        <v>2122</v>
      </c>
      <c r="EH374" t="s">
        <v>2251</v>
      </c>
      <c r="EI374" t="s">
        <v>2252</v>
      </c>
      <c r="EJ374" t="s">
        <v>2035</v>
      </c>
      <c r="EK374" t="s">
        <v>794</v>
      </c>
    </row>
    <row r="375" spans="1:167" ht="15" customHeight="1" x14ac:dyDescent="0.35">
      <c r="A375">
        <v>70</v>
      </c>
      <c r="B375" t="s">
        <v>2253</v>
      </c>
      <c r="C375">
        <v>2</v>
      </c>
      <c r="D375" t="str">
        <f>VLOOKUP(source[[#This Row],[Приоритет]],тПриоритеты[],2,0)</f>
        <v>Значительное</v>
      </c>
      <c r="E375" t="str">
        <f>IF(ISBLANK(source[[#This Row],[Проверенные]]),IF(ISBLANK(source[[#This Row],[Завершенные]]),source[[#This Row],[Приоритет_]],"Завершено"),"Проверено")</f>
        <v>Проверено</v>
      </c>
      <c r="F375" t="s">
        <v>1668</v>
      </c>
      <c r="G375" t="s">
        <v>478</v>
      </c>
      <c r="H375" t="e">
        <f>VLOOKUP(source[[#This Row],[Отвественный]],тОтветственные[],2,0)</f>
        <v>#N/A</v>
      </c>
      <c r="I375" s="2">
        <v>43741</v>
      </c>
      <c r="J375" s="2">
        <v>43742</v>
      </c>
      <c r="N375" t="s">
        <v>2254</v>
      </c>
      <c r="S375" s="1">
        <v>43770.45952546296</v>
      </c>
      <c r="T375" s="1">
        <v>43788.695196759261</v>
      </c>
      <c r="U375" s="1">
        <v>43797.496111111112</v>
      </c>
      <c r="W375" s="1">
        <v>43797.496111111112</v>
      </c>
      <c r="EC375" s="3" t="s">
        <v>2255</v>
      </c>
      <c r="ED375" t="s">
        <v>2256</v>
      </c>
      <c r="EE375" t="s">
        <v>2257</v>
      </c>
      <c r="EF375" t="s">
        <v>1164</v>
      </c>
      <c r="EG375" t="s">
        <v>2122</v>
      </c>
      <c r="EH375" t="s">
        <v>2258</v>
      </c>
      <c r="EI375" t="s">
        <v>2259</v>
      </c>
      <c r="EJ375" t="s">
        <v>2035</v>
      </c>
      <c r="EK375" t="s">
        <v>794</v>
      </c>
    </row>
    <row r="376" spans="1:167" ht="15" customHeight="1" x14ac:dyDescent="0.35">
      <c r="A376">
        <v>514</v>
      </c>
      <c r="B376" t="s">
        <v>2260</v>
      </c>
      <c r="C376">
        <v>2</v>
      </c>
      <c r="D376" t="str">
        <f>VLOOKUP(source[[#This Row],[Приоритет]],тПриоритеты[],2,0)</f>
        <v>Значительное</v>
      </c>
      <c r="E376" t="str">
        <f>IF(ISBLANK(source[[#This Row],[Проверенные]]),IF(ISBLANK(source[[#This Row],[Завершенные]]),source[[#This Row],[Приоритет_]],"Завершено"),"Проверено")</f>
        <v>Проверено</v>
      </c>
      <c r="F376" t="s">
        <v>1668</v>
      </c>
      <c r="G376" t="s">
        <v>478</v>
      </c>
      <c r="H376" t="e">
        <f>VLOOKUP(source[[#This Row],[Отвественный]],тОтветственные[],2,0)</f>
        <v>#N/A</v>
      </c>
      <c r="I376" s="2">
        <v>43802</v>
      </c>
      <c r="J376" s="2">
        <v>43825</v>
      </c>
      <c r="K376" t="s">
        <v>2113</v>
      </c>
      <c r="L376">
        <v>40.81</v>
      </c>
      <c r="M376">
        <v>42.78</v>
      </c>
      <c r="Q376" t="s">
        <v>2114</v>
      </c>
      <c r="R376" t="str">
        <f>HYPERLINK("https://d28ji4sm1vmprj.cloudfront.net/3021cb41417a6407c6d00c02f6a24f54/260a2324e0f0083a3c1fc6e8517e8511.jpeg", "Ссылка на план")</f>
        <v>Ссылка на план</v>
      </c>
      <c r="S376" s="1">
        <v>43802.498333333337</v>
      </c>
      <c r="T376" s="1">
        <v>43824.371192129627</v>
      </c>
      <c r="U376" s="1">
        <v>43824.388067129628</v>
      </c>
      <c r="W376" s="1">
        <v>43824.388078703705</v>
      </c>
      <c r="AH376" t="s">
        <v>2261</v>
      </c>
      <c r="EC376" t="s">
        <v>2262</v>
      </c>
      <c r="ED376" t="str">
        <f>HYPERLINK("https://d33htgqikc2pj4.cloudfront.net/33efe690-ef87-48aa-b061-5f4a832ce600.jpeg", "Александр Светашов: Ссылка на изображение")</f>
        <v>Александр Светашов: Ссылка на изображение</v>
      </c>
      <c r="EE376" t="str">
        <f>HYPERLINK("https://d33htgqikc2pj4.cloudfront.net/a58c90f3-7435-41d3-acd1-23501e274896.jpeg", "Александр Светашов: Ссылка на изображение")</f>
        <v>Александр Светашов: Ссылка на изображение</v>
      </c>
      <c r="EF376" t="str">
        <f>HYPERLINK("https://d33htgqikc2pj4.cloudfront.net/3c828e25-2f40-499e-ac63-16cadeb1514e.jpeg", "Александр Светашов: Ссылка на изображение")</f>
        <v>Александр Светашов: Ссылка на изображение</v>
      </c>
      <c r="EG376" t="str">
        <f>HYPERLINK("https://d33htgqikc2pj4.cloudfront.net/bb9f1b5a-65d6-4259-b93e-b28619ed5b99.jpeg", "Александр Светашов: Ссылка на изображение")</f>
        <v>Александр Светашов: Ссылка на изображение</v>
      </c>
      <c r="EH376" t="str">
        <f>HYPERLINK("https://d33htgqikc2pj4.cloudfront.net/cc7e1c08-9e0b-48f5-93a9-0fa907557c80.jpeg", "Александр Светашов: Ссылка на изображение")</f>
        <v>Александр Светашов: Ссылка на изображение</v>
      </c>
      <c r="EI376" t="str">
        <f>HYPERLINK("https://d33htgqikc2pj4.cloudfront.net/18ddc6bd-ae0c-4013-b0f5-1991d4994040.jpeg", "Александр Светашов: Ссылка на изображение")</f>
        <v>Александр Светашов: Ссылка на изображение</v>
      </c>
      <c r="EJ376" t="s">
        <v>699</v>
      </c>
      <c r="EK376" t="s">
        <v>1675</v>
      </c>
      <c r="EL376" t="s">
        <v>1700</v>
      </c>
      <c r="EM376" t="s">
        <v>2263</v>
      </c>
      <c r="EN376" t="s">
        <v>2264</v>
      </c>
      <c r="EO376" t="s">
        <v>2265</v>
      </c>
      <c r="EP376" t="str">
        <f>HYPERLINK("https://d33htgqikc2pj4.cloudfront.net/9870d117-3a20-48ef-8dc3-a7e19de84e05.jpeg", "Отделка Renaissance Construction: Ссылка на изображение")</f>
        <v>Отделка Renaissance Construction: Ссылка на изображение</v>
      </c>
      <c r="EQ376" t="s">
        <v>2266</v>
      </c>
      <c r="ER376" t="s">
        <v>2035</v>
      </c>
      <c r="ES376" t="s">
        <v>794</v>
      </c>
    </row>
    <row r="377" spans="1:167" ht="15" customHeight="1" x14ac:dyDescent="0.35">
      <c r="A377">
        <v>114</v>
      </c>
      <c r="B377" t="s">
        <v>2267</v>
      </c>
      <c r="C377">
        <v>3</v>
      </c>
      <c r="D377" t="str">
        <f>VLOOKUP(source[[#This Row],[Приоритет]],тПриоритеты[],2,0)</f>
        <v>Малозначительное</v>
      </c>
      <c r="E377" t="str">
        <f>IF(ISBLANK(source[[#This Row],[Проверенные]]),IF(ISBLANK(source[[#This Row],[Завершенные]]),source[[#This Row],[Приоритет_]],"Завершено"),"Проверено")</f>
        <v>Проверено</v>
      </c>
      <c r="F377" t="s">
        <v>1668</v>
      </c>
      <c r="G377" t="s">
        <v>478</v>
      </c>
      <c r="H377" t="e">
        <f>VLOOKUP(source[[#This Row],[Отвественный]],тОтветственные[],2,0)</f>
        <v>#N/A</v>
      </c>
      <c r="S377" s="1">
        <v>43773.460393518515</v>
      </c>
      <c r="T377" s="1">
        <v>43816.646122685182</v>
      </c>
      <c r="U377" s="1">
        <v>43816.646122685182</v>
      </c>
      <c r="W377" s="1">
        <v>43816.646145833336</v>
      </c>
      <c r="X377" t="s">
        <v>2268</v>
      </c>
      <c r="AH377" t="s">
        <v>2269</v>
      </c>
      <c r="AI377" t="s">
        <v>2270</v>
      </c>
      <c r="AJ377" t="s">
        <v>2271</v>
      </c>
      <c r="AK377" t="s">
        <v>2272</v>
      </c>
      <c r="AL377" t="s">
        <v>2273</v>
      </c>
      <c r="AM377" t="s">
        <v>2274</v>
      </c>
      <c r="AN377" t="s">
        <v>2275</v>
      </c>
      <c r="AO377" t="s">
        <v>2276</v>
      </c>
      <c r="AP377" t="s">
        <v>2277</v>
      </c>
      <c r="AQ377" t="s">
        <v>2278</v>
      </c>
      <c r="AR377" t="s">
        <v>2279</v>
      </c>
      <c r="EC377" t="s">
        <v>816</v>
      </c>
      <c r="ED377" t="s">
        <v>807</v>
      </c>
      <c r="EE377" t="s">
        <v>2280</v>
      </c>
      <c r="EF377" t="s">
        <v>2281</v>
      </c>
      <c r="EG377" t="s">
        <v>2282</v>
      </c>
      <c r="EH377" t="s">
        <v>2283</v>
      </c>
      <c r="EI377" t="s">
        <v>2284</v>
      </c>
      <c r="EJ377" t="str">
        <f>HYPERLINK("https://d33htgqikc2pj4.cloudfront.net/ca00e8c9-6ba1-4085-97a7-74d17547d803.jpeg", "Святослав Грохольский: Ссылка на изображение")</f>
        <v>Святослав Грохольский: Ссылка на изображение</v>
      </c>
      <c r="EK377" t="str">
        <f>HYPERLINK("https://d33htgqikc2pj4.cloudfront.net/c242f7d9-a65f-4f54-893b-9d3cabbbc500.jpeg", "Святослав Грохольский: Ссылка на изображение")</f>
        <v>Святослав Грохольский: Ссылка на изображение</v>
      </c>
      <c r="EL377" t="str">
        <f>HYPERLINK("https://d33htgqikc2pj4.cloudfront.net/64bb7c7d-353f-4e1c-9911-63e0361ff5e8.jpeg", "Святослав Грохольский: Ссылка на изображение")</f>
        <v>Святослав Грохольский: Ссылка на изображение</v>
      </c>
      <c r="EM377" t="str">
        <f>HYPERLINK("https://d33htgqikc2pj4.cloudfront.net/e8cc8055-20b9-4d3e-832b-2e557b1a7d54.jpeg", "Святослав Грохольский: Ссылка на изображение")</f>
        <v>Святослав Грохольский: Ссылка на изображение</v>
      </c>
      <c r="EN377" t="str">
        <f>HYPERLINK("https://d33htgqikc2pj4.cloudfront.net/633b7db3-e785-4a5e-b204-44e5b299c39a.jpeg", "Святослав Грохольский: Ссылка на изображение")</f>
        <v>Святослав Грохольский: Ссылка на изображение</v>
      </c>
      <c r="EO377" t="str">
        <f>HYPERLINK("https://d33htgqikc2pj4.cloudfront.net/2de343cd-95ac-4be6-bf8c-c36156d34e56.jpeg", "Святослав Грохольский: Ссылка на изображение")</f>
        <v>Святослав Грохольский: Ссылка на изображение</v>
      </c>
      <c r="EP377" t="s">
        <v>2048</v>
      </c>
      <c r="EQ377" t="s">
        <v>488</v>
      </c>
      <c r="ER377" t="s">
        <v>1712</v>
      </c>
      <c r="ES377" t="s">
        <v>1676</v>
      </c>
      <c r="ET377" t="s">
        <v>1712</v>
      </c>
      <c r="EU377" t="s">
        <v>1910</v>
      </c>
      <c r="EV377" t="s">
        <v>794</v>
      </c>
    </row>
    <row r="378" spans="1:167" ht="15" customHeight="1" x14ac:dyDescent="0.35">
      <c r="A378">
        <v>117</v>
      </c>
      <c r="B378" t="s">
        <v>2285</v>
      </c>
      <c r="C378">
        <v>3</v>
      </c>
      <c r="D378" t="str">
        <f>VLOOKUP(source[[#This Row],[Приоритет]],тПриоритеты[],2,0)</f>
        <v>Малозначительное</v>
      </c>
      <c r="E378" t="str">
        <f>IF(ISBLANK(source[[#This Row],[Проверенные]]),IF(ISBLANK(source[[#This Row],[Завершенные]]),source[[#This Row],[Приоритет_]],"Завершено"),"Проверено")</f>
        <v>Проверено</v>
      </c>
      <c r="F378" t="s">
        <v>1668</v>
      </c>
      <c r="G378" t="s">
        <v>478</v>
      </c>
      <c r="H378" t="e">
        <f>VLOOKUP(source[[#This Row],[Отвественный]],тОтветственные[],2,0)</f>
        <v>#N/A</v>
      </c>
      <c r="I378" s="2">
        <v>43773</v>
      </c>
      <c r="J378" s="2">
        <v>43780</v>
      </c>
      <c r="S378" s="1">
        <v>43773.495335648149</v>
      </c>
      <c r="T378" s="1">
        <v>43787.714918981481</v>
      </c>
      <c r="U378" s="1">
        <v>43797.496157407404</v>
      </c>
      <c r="W378" s="1">
        <v>43797.496157407404</v>
      </c>
      <c r="EC378" t="s">
        <v>833</v>
      </c>
      <c r="ED378" t="s">
        <v>2280</v>
      </c>
      <c r="EE378" t="s">
        <v>2286</v>
      </c>
      <c r="EF378" t="s">
        <v>2287</v>
      </c>
      <c r="EG378" t="s">
        <v>2288</v>
      </c>
      <c r="EH378" t="str">
        <f>HYPERLINK("https://d33htgqikc2pj4.cloudfront.net/b776b6cf-a49a-474d-b32a-38f55164ae9c.jpeg", "Святослав Грохольский: Ссылка на изображение")</f>
        <v>Святослав Грохольский: Ссылка на изображение</v>
      </c>
      <c r="EI378" t="str">
        <f>HYPERLINK("https://d33htgqikc2pj4.cloudfront.net/097386df-3509-439c-8ac8-e60ffe264b49.jpeg", "Святослав Грохольский: Ссылка на изображение")</f>
        <v>Святослав Грохольский: Ссылка на изображение</v>
      </c>
      <c r="EJ378" t="str">
        <f>HYPERLINK("https://d33htgqikc2pj4.cloudfront.net/73e4a976-9526-4114-b4ef-3170d5bb753d.jpeg", "Святослав Грохольский: Ссылка на изображение")</f>
        <v>Святослав Грохольский: Ссылка на изображение</v>
      </c>
      <c r="EK378" t="str">
        <f>HYPERLINK("https://d33htgqikc2pj4.cloudfront.net/a430d474-6540-4187-a3c6-3225f1e28d09.jpeg", "Святослав Грохольский: Ссылка на изображение")</f>
        <v>Святослав Грохольский: Ссылка на изображение</v>
      </c>
      <c r="EL378" t="s">
        <v>2286</v>
      </c>
      <c r="EM378" t="s">
        <v>2286</v>
      </c>
      <c r="EN378" t="s">
        <v>816</v>
      </c>
      <c r="EO378" t="s">
        <v>2286</v>
      </c>
      <c r="EP378" t="s">
        <v>833</v>
      </c>
      <c r="EQ378" t="s">
        <v>2289</v>
      </c>
      <c r="ER378" t="s">
        <v>834</v>
      </c>
      <c r="ES378" t="s">
        <v>816</v>
      </c>
      <c r="ET378" t="s">
        <v>833</v>
      </c>
      <c r="EU378" t="s">
        <v>816</v>
      </c>
      <c r="EV378" t="s">
        <v>833</v>
      </c>
      <c r="EW378" t="s">
        <v>807</v>
      </c>
      <c r="EX378" t="s">
        <v>2286</v>
      </c>
      <c r="EY378" t="s">
        <v>2290</v>
      </c>
      <c r="EZ378" t="s">
        <v>816</v>
      </c>
      <c r="FA378" t="s">
        <v>833</v>
      </c>
      <c r="FB378" t="s">
        <v>2286</v>
      </c>
      <c r="FC378" t="s">
        <v>2291</v>
      </c>
      <c r="FD378" t="s">
        <v>2024</v>
      </c>
      <c r="FE378" t="s">
        <v>1164</v>
      </c>
      <c r="FF378" t="s">
        <v>2048</v>
      </c>
      <c r="FG378" t="s">
        <v>2292</v>
      </c>
      <c r="FH378" t="s">
        <v>2208</v>
      </c>
      <c r="FI378" t="s">
        <v>2252</v>
      </c>
      <c r="FJ378" t="s">
        <v>2035</v>
      </c>
      <c r="FK378" t="s">
        <v>794</v>
      </c>
    </row>
    <row r="379" spans="1:167" ht="15" customHeight="1" x14ac:dyDescent="0.35">
      <c r="A379">
        <v>584</v>
      </c>
      <c r="B379" t="s">
        <v>2293</v>
      </c>
      <c r="C379">
        <v>2</v>
      </c>
      <c r="D379" t="str">
        <f>VLOOKUP(source[[#This Row],[Приоритет]],тПриоритеты[],2,0)</f>
        <v>Значительное</v>
      </c>
      <c r="E379" t="str">
        <f>IF(ISBLANK(source[[#This Row],[Проверенные]]),IF(ISBLANK(source[[#This Row],[Завершенные]]),source[[#This Row],[Приоритет_]],"Завершено"),"Проверено")</f>
        <v>Проверено</v>
      </c>
      <c r="F379" t="s">
        <v>1668</v>
      </c>
      <c r="G379" t="s">
        <v>478</v>
      </c>
      <c r="H379" t="e">
        <f>VLOOKUP(source[[#This Row],[Отвественный]],тОтветственные[],2,0)</f>
        <v>#N/A</v>
      </c>
      <c r="I379" s="2">
        <v>43809</v>
      </c>
      <c r="J379" s="2">
        <v>43809</v>
      </c>
      <c r="K379" t="s">
        <v>2294</v>
      </c>
      <c r="L379">
        <v>0</v>
      </c>
      <c r="M379">
        <v>0</v>
      </c>
      <c r="Q379" t="s">
        <v>2114</v>
      </c>
      <c r="R379" t="str">
        <f>HYPERLINK("https://d28ji4sm1vmprj.cloudfront.net/3c8bc6d6c1b671d6579659ab4ed4a184/76d4d7b21bb1756e38a98a5626e95c23.jpeg", "Ссылка на план")</f>
        <v>Ссылка на план</v>
      </c>
      <c r="S379" s="1">
        <v>43809.637025462966</v>
      </c>
      <c r="T379" s="1">
        <v>43810.460057870368</v>
      </c>
      <c r="U379" s="1">
        <v>43810.460057870368</v>
      </c>
      <c r="W379" s="1">
        <v>43810.460081018522</v>
      </c>
      <c r="EC379" t="s">
        <v>2020</v>
      </c>
      <c r="ED379" t="s">
        <v>2295</v>
      </c>
      <c r="EE379" t="str">
        <f>HYPERLINK("https://d33htgqikc2pj4.cloudfront.net/a4aa9825-8e5e-4ae3-82d0-c3f98e84ad70.jpeg", "Святослав Грохольский: Ссылка на изображение")</f>
        <v>Святослав Грохольский: Ссылка на изображение</v>
      </c>
      <c r="EF379" t="str">
        <f>HYPERLINK("https://d33htgqikc2pj4.cloudfront.net/7c692968-6119-4576-8758-1a01308bdeab.jpeg", "Святослав Грохольский: Ссылка на изображение")</f>
        <v>Святослав Грохольский: Ссылка на изображение</v>
      </c>
      <c r="EG379" t="str">
        <f>HYPERLINK("https://d33htgqikc2pj4.cloudfront.net/a86318e3-4499-4cfe-8cfd-37d39609ca10.jpeg", "Святослав Грохольский: Ссылка на изображение")</f>
        <v>Святослав Грохольский: Ссылка на изображение</v>
      </c>
      <c r="EH379" t="s">
        <v>2296</v>
      </c>
      <c r="EI379" t="s">
        <v>2297</v>
      </c>
      <c r="EJ379" t="s">
        <v>2298</v>
      </c>
      <c r="EK379" t="s">
        <v>2299</v>
      </c>
      <c r="EL379" t="s">
        <v>2300</v>
      </c>
      <c r="EM379" t="s">
        <v>2301</v>
      </c>
      <c r="EN379" t="s">
        <v>2300</v>
      </c>
      <c r="EO379" t="s">
        <v>2208</v>
      </c>
      <c r="EP379" s="3" t="s">
        <v>2302</v>
      </c>
      <c r="EQ379" t="s">
        <v>794</v>
      </c>
      <c r="ER379" t="s">
        <v>2303</v>
      </c>
    </row>
    <row r="380" spans="1:167" ht="15" customHeight="1" x14ac:dyDescent="0.35">
      <c r="A380">
        <v>577</v>
      </c>
      <c r="B380" t="s">
        <v>2304</v>
      </c>
      <c r="C380">
        <v>2</v>
      </c>
      <c r="D380" t="str">
        <f>VLOOKUP(source[[#This Row],[Приоритет]],тПриоритеты[],2,0)</f>
        <v>Значительное</v>
      </c>
      <c r="E380" t="str">
        <f>IF(ISBLANK(source[[#This Row],[Проверенные]]),IF(ISBLANK(source[[#This Row],[Завершенные]]),source[[#This Row],[Приоритет_]],"Завершено"),"Проверено")</f>
        <v>Проверено</v>
      </c>
      <c r="F380" t="s">
        <v>1668</v>
      </c>
      <c r="G380" t="s">
        <v>478</v>
      </c>
      <c r="H380" t="e">
        <f>VLOOKUP(source[[#This Row],[Отвественный]],тОтветственные[],2,0)</f>
        <v>#N/A</v>
      </c>
      <c r="I380" s="2">
        <v>43809</v>
      </c>
      <c r="J380" s="2">
        <v>43812</v>
      </c>
      <c r="N380" t="s">
        <v>2305</v>
      </c>
      <c r="S380" s="1">
        <v>43809.465173611112</v>
      </c>
      <c r="T380" s="1">
        <v>43810.459224537037</v>
      </c>
      <c r="U380" s="1">
        <v>43810.459224537037</v>
      </c>
      <c r="W380" s="1">
        <v>43810.459247685183</v>
      </c>
      <c r="AH380" t="s">
        <v>2306</v>
      </c>
      <c r="EC380" t="str">
        <f>HYPERLINK("https://d33htgqikc2pj4.cloudfront.net/416d0545-2421-4fdc-904b-c889754a647a.jpeg", "Александр Светашов: Ссылка на изображение")</f>
        <v>Александр Светашов: Ссылка на изображение</v>
      </c>
      <c r="ED380" t="str">
        <f>HYPERLINK("https://d33htgqikc2pj4.cloudfront.net/5bf5d3c0-37fe-4636-a757-57db83730de5.jpeg", "Александр Светашов: Ссылка на изображение")</f>
        <v>Александр Светашов: Ссылка на изображение</v>
      </c>
      <c r="EE380" t="str">
        <f>HYPERLINK("https://d33htgqikc2pj4.cloudfront.net/51631a41-fb13-4555-b1f8-aa9e55182417.jpeg", "Александр Светашов: Ссылка на изображение")</f>
        <v>Александр Светашов: Ссылка на изображение</v>
      </c>
      <c r="EF380" t="str">
        <f>HYPERLINK("https://d33htgqikc2pj4.cloudfront.net/cf7e4d9d-e057-4a63-a989-80741fd0300b.jpeg", "Александр Светашов: Ссылка на изображение")</f>
        <v>Александр Светашов: Ссылка на изображение</v>
      </c>
      <c r="EG380" t="str">
        <f>HYPERLINK("https://d33htgqikc2pj4.cloudfront.net/44a1b49c-b07b-4ec4-9228-bf13f47731fe.jpeg", "Александр Светашов: Ссылка на изображение")</f>
        <v>Александр Светашов: Ссылка на изображение</v>
      </c>
      <c r="EH380" t="str">
        <f>HYPERLINK("https://d33htgqikc2pj4.cloudfront.net/94662886-b133-40fc-aa44-e94bf8292317.jpeg", "Александр Светашов: Ссылка на изображение")</f>
        <v>Александр Светашов: Ссылка на изображение</v>
      </c>
      <c r="EI380" t="str">
        <f>HYPERLINK("https://d33htgqikc2pj4.cloudfront.net/02dab3df-dd85-4f2b-bcc0-70ccc2484433.jpeg", "Александр Светашов: Ссылка на изображение")</f>
        <v>Александр Светашов: Ссылка на изображение</v>
      </c>
      <c r="EJ380" t="str">
        <f>HYPERLINK("https://d33htgqikc2pj4.cloudfront.net/c650bf72-446b-4aad-afa3-c797bfdfa029.jpeg", "Александр Светашов: Ссылка на изображение")</f>
        <v>Александр Светашов: Ссылка на изображение</v>
      </c>
      <c r="EK380" t="s">
        <v>2307</v>
      </c>
      <c r="EL380" t="s">
        <v>2308</v>
      </c>
      <c r="EM380" t="s">
        <v>699</v>
      </c>
      <c r="EN380" t="s">
        <v>1675</v>
      </c>
      <c r="EO380" t="s">
        <v>2309</v>
      </c>
      <c r="EP380" t="s">
        <v>2310</v>
      </c>
      <c r="EQ380" t="s">
        <v>2208</v>
      </c>
      <c r="ER380" t="s">
        <v>794</v>
      </c>
    </row>
    <row r="381" spans="1:167" ht="15" customHeight="1" x14ac:dyDescent="0.35">
      <c r="A381">
        <v>986</v>
      </c>
      <c r="B381" t="s">
        <v>2311</v>
      </c>
      <c r="C381">
        <v>2</v>
      </c>
      <c r="D381" t="str">
        <f>VLOOKUP(source[[#This Row],[Приоритет]],тПриоритеты[],2,0)</f>
        <v>Значительное</v>
      </c>
      <c r="E381" t="str">
        <f>IF(ISBLANK(source[[#This Row],[Проверенные]]),IF(ISBLANK(source[[#This Row],[Завершенные]]),source[[#This Row],[Приоритет_]],"Завершено"),"Проверено")</f>
        <v>Проверено</v>
      </c>
      <c r="F381" t="s">
        <v>1668</v>
      </c>
      <c r="G381" t="s">
        <v>478</v>
      </c>
      <c r="H381" t="e">
        <f>VLOOKUP(source[[#This Row],[Отвественный]],тОтветственные[],2,0)</f>
        <v>#N/A</v>
      </c>
      <c r="I381" s="2">
        <v>43851</v>
      </c>
      <c r="J381" s="2">
        <v>43851</v>
      </c>
      <c r="K381" t="s">
        <v>1720</v>
      </c>
      <c r="L381">
        <v>15.87</v>
      </c>
      <c r="M381">
        <v>60.13</v>
      </c>
      <c r="Q381" t="s">
        <v>1721</v>
      </c>
      <c r="R381" t="str">
        <f>HYPERLINK("https://d28ji4sm1vmprj.cloudfront.net/c1c1b591ce77c82044efa6b5d6f7663a/cf818dc1bc24c008af413328cec2292d.jpeg", "Ссылка на план")</f>
        <v>Ссылка на план</v>
      </c>
      <c r="S381" s="1">
        <v>43851.670567129629</v>
      </c>
      <c r="T381" s="1">
        <v>43861.566331018519</v>
      </c>
      <c r="U381" s="1">
        <v>43861.566331018519</v>
      </c>
      <c r="W381" s="1">
        <v>43861.566342592596</v>
      </c>
      <c r="EC381" t="s">
        <v>2312</v>
      </c>
      <c r="ED381" t="s">
        <v>2313</v>
      </c>
      <c r="EE381" t="str">
        <f>HYPERLINK("https://d33htgqikc2pj4.cloudfront.net/a5989153-90b8-48e0-990c-958246376254.jpeg", "Александр Светашов: Ссылка на изображение")</f>
        <v>Александр Светашов: Ссылка на изображение</v>
      </c>
      <c r="EF381" t="str">
        <f>HYPERLINK("https://d33htgqikc2pj4.cloudfront.net/4982a590-e5e4-422f-951f-9e4e75adc884.jpeg", "Александр Светашов: Ссылка на изображение")</f>
        <v>Александр Светашов: Ссылка на изображение</v>
      </c>
      <c r="EG381" t="str">
        <f>HYPERLINK("https://d33htgqikc2pj4.cloudfront.net/0cbfb269-981e-4a59-826e-7a4f53175db7.jpeg", "Александр Светашов: Ссылка на изображение")</f>
        <v>Александр Светашов: Ссылка на изображение</v>
      </c>
      <c r="EH381" t="s">
        <v>699</v>
      </c>
      <c r="EI381" t="s">
        <v>2163</v>
      </c>
      <c r="EJ381" t="s">
        <v>1675</v>
      </c>
      <c r="EK381" t="s">
        <v>2314</v>
      </c>
      <c r="EL381" t="s">
        <v>794</v>
      </c>
    </row>
    <row r="382" spans="1:167" ht="15" customHeight="1" x14ac:dyDescent="0.35">
      <c r="A382">
        <v>1124</v>
      </c>
      <c r="B382" t="s">
        <v>2315</v>
      </c>
      <c r="C382">
        <v>2</v>
      </c>
      <c r="D382" t="str">
        <f>VLOOKUP(source[[#This Row],[Приоритет]],тПриоритеты[],2,0)</f>
        <v>Значительное</v>
      </c>
      <c r="E382" t="str">
        <f>IF(ISBLANK(source[[#This Row],[Проверенные]]),IF(ISBLANK(source[[#This Row],[Завершенные]]),source[[#This Row],[Приоритет_]],"Завершено"),"Проверено")</f>
        <v>Проверено</v>
      </c>
      <c r="F382" t="s">
        <v>1668</v>
      </c>
      <c r="G382" t="s">
        <v>478</v>
      </c>
      <c r="H382" t="e">
        <f>VLOOKUP(source[[#This Row],[Отвественный]],тОтветственные[],2,0)</f>
        <v>#N/A</v>
      </c>
      <c r="I382" s="2">
        <v>43861</v>
      </c>
      <c r="J382" s="2">
        <v>43861</v>
      </c>
      <c r="K382" t="s">
        <v>2113</v>
      </c>
      <c r="L382">
        <v>11.16</v>
      </c>
      <c r="M382">
        <v>49.78</v>
      </c>
      <c r="Q382" t="s">
        <v>2114</v>
      </c>
      <c r="R382" t="str">
        <f>HYPERLINK("https://d28ji4sm1vmprj.cloudfront.net/3021cb41417a6407c6d00c02f6a24f54/260a2324e0f0083a3c1fc6e8517e8511.jpeg", "Ссылка на план")</f>
        <v>Ссылка на план</v>
      </c>
      <c r="S382" s="1">
        <v>43861.571273148147</v>
      </c>
      <c r="T382" s="1">
        <v>43866.499513888892</v>
      </c>
      <c r="U382" s="1">
        <v>43866.545486111114</v>
      </c>
      <c r="W382" s="1">
        <v>43866.545497685183</v>
      </c>
      <c r="EC382" t="s">
        <v>2316</v>
      </c>
      <c r="ED382" t="s">
        <v>1675</v>
      </c>
      <c r="EE382" t="s">
        <v>699</v>
      </c>
      <c r="EF382" t="str">
        <f>HYPERLINK("https://d33htgqikc2pj4.cloudfront.net/a3d0d8ca-cd7b-4ee5-bb9d-a21f64c73464.jpeg", "Александр Светашов: Ссылка на изображение")</f>
        <v>Александр Светашов: Ссылка на изображение</v>
      </c>
      <c r="EG382" t="str">
        <f>HYPERLINK("https://d33htgqikc2pj4.cloudfront.net/90633d3d-e715-4613-9c4b-5b430eda3163.jpeg", "Александр Светашов: Ссылка на изображение")</f>
        <v>Александр Светашов: Ссылка на изображение</v>
      </c>
      <c r="EH382" t="str">
        <f>HYPERLINK("https://d33htgqikc2pj4.cloudfront.net/89ad0fe6-78d9-405c-a9f0-5a85ddf55123.jpeg", "Александр Светашов: Ссылка на изображение")</f>
        <v>Александр Светашов: Ссылка на изображение</v>
      </c>
      <c r="EI382" t="s">
        <v>2317</v>
      </c>
      <c r="EJ382" t="s">
        <v>2318</v>
      </c>
      <c r="EK382" t="s">
        <v>2319</v>
      </c>
      <c r="EL382" t="s">
        <v>2320</v>
      </c>
      <c r="EM382" t="s">
        <v>2035</v>
      </c>
      <c r="EN382" t="s">
        <v>794</v>
      </c>
    </row>
    <row r="383" spans="1:167" ht="15" customHeight="1" x14ac:dyDescent="0.35">
      <c r="A383">
        <v>621</v>
      </c>
      <c r="B383" t="s">
        <v>2321</v>
      </c>
      <c r="C383">
        <v>2</v>
      </c>
      <c r="D383" t="str">
        <f>VLOOKUP(source[[#This Row],[Приоритет]],тПриоритеты[],2,0)</f>
        <v>Значительное</v>
      </c>
      <c r="E383" t="str">
        <f>IF(ISBLANK(source[[#This Row],[Проверенные]]),IF(ISBLANK(source[[#This Row],[Завершенные]]),source[[#This Row],[Приоритет_]],"Завершено"),"Проверено")</f>
        <v>Проверено</v>
      </c>
      <c r="F383" t="s">
        <v>1668</v>
      </c>
      <c r="G383" t="s">
        <v>478</v>
      </c>
      <c r="H383" t="e">
        <f>VLOOKUP(source[[#This Row],[Отвественный]],тОтветственные[],2,0)</f>
        <v>#N/A</v>
      </c>
      <c r="I383" s="2">
        <v>43812</v>
      </c>
      <c r="J383" s="2">
        <v>43817</v>
      </c>
      <c r="K383" t="s">
        <v>1720</v>
      </c>
      <c r="L383">
        <v>6.94</v>
      </c>
      <c r="M383">
        <v>28.57</v>
      </c>
      <c r="Q383" t="s">
        <v>1721</v>
      </c>
      <c r="R383" t="str">
        <f>HYPERLINK("https://d28ji4sm1vmprj.cloudfront.net/c1c1b591ce77c82044efa6b5d6f7663a/cf818dc1bc24c008af413328cec2292d.jpeg", "Ссылка на план")</f>
        <v>Ссылка на план</v>
      </c>
      <c r="S383" s="1">
        <v>43812.607141203705</v>
      </c>
      <c r="T383" s="1">
        <v>43838.777222222219</v>
      </c>
      <c r="U383" s="1">
        <v>43838.777222222219</v>
      </c>
      <c r="W383" s="1">
        <v>43838.777233796296</v>
      </c>
      <c r="AH383" t="s">
        <v>2322</v>
      </c>
      <c r="EC383" t="s">
        <v>2323</v>
      </c>
      <c r="ED383" t="str">
        <f>HYPERLINK("https://d33htgqikc2pj4.cloudfront.net/e024e2be-d782-4fd2-b228-562c17c91d6c.jpeg", "Александр Светашов: Ссылка на изображение")</f>
        <v>Александр Светашов: Ссылка на изображение</v>
      </c>
      <c r="EE383" t="str">
        <f>HYPERLINK("https://d33htgqikc2pj4.cloudfront.net/75994c7d-5cd7-4d43-95b7-0a52de6bbc7b.jpeg", "Александр Светашов: Ссылка на изображение")</f>
        <v>Александр Светашов: Ссылка на изображение</v>
      </c>
      <c r="EF383" t="str">
        <f>HYPERLINK("https://d33htgqikc2pj4.cloudfront.net/5741e391-be79-4499-bd1f-270fa10220c6.jpeg", "Александр Светашов: Ссылка на изображение")</f>
        <v>Александр Светашов: Ссылка на изображение</v>
      </c>
      <c r="EG383" t="str">
        <f>HYPERLINK("https://d33htgqikc2pj4.cloudfront.net/ebfef0b1-9352-4299-a95a-e3cc6e4a641e.jpeg", "Александр Светашов: Ссылка на изображение")</f>
        <v>Александр Светашов: Ссылка на изображение</v>
      </c>
      <c r="EH383" t="str">
        <f>HYPERLINK("https://d33htgqikc2pj4.cloudfront.net/70d1179f-da43-426b-b98c-01413855b1f8.jpeg", "Александр Светашов: Ссылка на изображение")</f>
        <v>Александр Светашов: Ссылка на изображение</v>
      </c>
      <c r="EI383" t="str">
        <f>HYPERLINK("https://d33htgqikc2pj4.cloudfront.net/b7237ed8-67ac-40fa-ae47-fa0d7592596e.jpeg", "Александр Светашов: Ссылка на изображение")</f>
        <v>Александр Светашов: Ссылка на изображение</v>
      </c>
      <c r="EJ383" t="s">
        <v>2195</v>
      </c>
      <c r="EK383" t="s">
        <v>1675</v>
      </c>
      <c r="EL383" t="s">
        <v>1673</v>
      </c>
      <c r="EM383" t="s">
        <v>1907</v>
      </c>
      <c r="EN383" t="s">
        <v>2324</v>
      </c>
      <c r="EO383" t="str">
        <f>HYPERLINK("https://d33htgqikc2pj4.cloudfront.net/7f7272ca-2b42-4873-9ce2-f67be42af16c.jpeg", "Александр Светашов: Ссылка на изображение")</f>
        <v>Александр Светашов: Ссылка на изображение</v>
      </c>
      <c r="EP383" t="str">
        <f>HYPERLINK("https://d33htgqikc2pj4.cloudfront.net/83b30766-9f25-4fff-b4ac-043d3adda9ab.jpeg", "Александр Светашов: Ссылка на изображение")</f>
        <v>Александр Светашов: Ссылка на изображение</v>
      </c>
      <c r="EQ383" t="str">
        <f>HYPERLINK("https://d33htgqikc2pj4.cloudfront.net/030c7b51-a013-400d-ac71-bbd53051f523.jpeg", "Александр Светашов: Ссылка на изображение")</f>
        <v>Александр Светашов: Ссылка на изображение</v>
      </c>
      <c r="ER383" t="str">
        <f>HYPERLINK("https://d33htgqikc2pj4.cloudfront.net/c879b2dc-d22a-4f58-9d4a-2e16762bc42c.jpeg", "Александр Светашов: Ссылка на изображение")</f>
        <v>Александр Светашов: Ссылка на изображение</v>
      </c>
      <c r="ES383" t="s">
        <v>2325</v>
      </c>
      <c r="ET383" t="s">
        <v>2326</v>
      </c>
      <c r="EU383" t="str">
        <f>HYPERLINK("https://cdn.filestackcontent.com/9GmpcIoMRueCm8BYJZKh", "Отделка Renaissance Construction: Ссылка на файл")</f>
        <v>Отделка Renaissance Construction: Ссылка на файл</v>
      </c>
      <c r="EV383" t="s">
        <v>2327</v>
      </c>
      <c r="EW383" t="s">
        <v>2328</v>
      </c>
      <c r="EX383" t="s">
        <v>794</v>
      </c>
    </row>
    <row r="384" spans="1:167" ht="15" customHeight="1" x14ac:dyDescent="0.35">
      <c r="A384">
        <v>631</v>
      </c>
      <c r="B384" t="s">
        <v>2329</v>
      </c>
      <c r="C384">
        <v>2</v>
      </c>
      <c r="D384" t="str">
        <f>VLOOKUP(source[[#This Row],[Приоритет]],тПриоритеты[],2,0)</f>
        <v>Значительное</v>
      </c>
      <c r="E384" t="str">
        <f>IF(ISBLANK(source[[#This Row],[Проверенные]]),IF(ISBLANK(source[[#This Row],[Завершенные]]),source[[#This Row],[Приоритет_]],"Завершено"),"Проверено")</f>
        <v>Проверено</v>
      </c>
      <c r="F384" t="s">
        <v>1668</v>
      </c>
      <c r="G384" t="s">
        <v>478</v>
      </c>
      <c r="H384" t="e">
        <f>VLOOKUP(source[[#This Row],[Отвественный]],тОтветственные[],2,0)</f>
        <v>#N/A</v>
      </c>
      <c r="I384" s="2">
        <v>43815</v>
      </c>
      <c r="J384" s="2">
        <v>43827</v>
      </c>
      <c r="K384" t="s">
        <v>1670</v>
      </c>
      <c r="L384">
        <v>31.43</v>
      </c>
      <c r="M384">
        <v>43.44</v>
      </c>
      <c r="Q384" t="s">
        <v>789</v>
      </c>
      <c r="R384" t="str">
        <f>HYPERLINK("https://d28ji4sm1vmprj.cloudfront.net/ad15462a64f9a2745b54f51ce9154d41/1ae5aabc4102d9651fda668fc59d327e.jpeg", "Ссылка на план")</f>
        <v>Ссылка на план</v>
      </c>
      <c r="S384" s="1">
        <v>43815.40902777778</v>
      </c>
      <c r="T384" s="1">
        <v>43816.372256944444</v>
      </c>
      <c r="U384" s="1">
        <v>43821.759166666663</v>
      </c>
      <c r="W384" s="1">
        <v>43821.759189814817</v>
      </c>
      <c r="AH384" t="s">
        <v>2330</v>
      </c>
      <c r="EC384" t="s">
        <v>2331</v>
      </c>
      <c r="ED384" t="str">
        <f>HYPERLINK("https://d33htgqikc2pj4.cloudfront.net/eadd9c59-3447-4069-8898-64e450e70e87.jpeg", "Александр Светашов: Ссылка на изображение")</f>
        <v>Александр Светашов: Ссылка на изображение</v>
      </c>
      <c r="EE384" t="str">
        <f>HYPERLINK("https://d33htgqikc2pj4.cloudfront.net/42a87a7a-24f4-4820-9a04-fef4400ea82a.jpeg", "Александр Светашов: Ссылка на изображение")</f>
        <v>Александр Светашов: Ссылка на изображение</v>
      </c>
      <c r="EF384" t="str">
        <f>HYPERLINK("https://d33htgqikc2pj4.cloudfront.net/ca5062ef-7f76-4b5b-b862-60559e945969.jpeg", "Александр Светашов: Ссылка на изображение")</f>
        <v>Александр Светашов: Ссылка на изображение</v>
      </c>
      <c r="EG384" t="str">
        <f>HYPERLINK("https://d33htgqikc2pj4.cloudfront.net/03523285-1815-4872-a88a-06d1a67c8119.jpeg", "Александр Светашов: Ссылка на изображение")</f>
        <v>Александр Светашов: Ссылка на изображение</v>
      </c>
      <c r="EH384" t="str">
        <f>HYPERLINK("https://d33htgqikc2pj4.cloudfront.net/c28d8871-2d14-45e6-94ab-ae5bb9b9b254.jpeg", "Александр Светашов: Ссылка на изображение")</f>
        <v>Александр Светашов: Ссылка на изображение</v>
      </c>
      <c r="EI384" t="str">
        <f>HYPERLINK("https://d33htgqikc2pj4.cloudfront.net/cfbc44ed-cc8a-4f68-aa07-9528184cbc66.jpeg", "Александр Светашов: Ссылка на изображение")</f>
        <v>Александр Светашов: Ссылка на изображение</v>
      </c>
      <c r="EJ384" t="s">
        <v>699</v>
      </c>
      <c r="EK384" t="s">
        <v>1675</v>
      </c>
      <c r="EL384" t="s">
        <v>2332</v>
      </c>
      <c r="EM384" t="s">
        <v>2333</v>
      </c>
      <c r="EN384" t="s">
        <v>2035</v>
      </c>
      <c r="EO384" t="s">
        <v>794</v>
      </c>
    </row>
    <row r="385" spans="1:152" ht="15" customHeight="1" x14ac:dyDescent="0.35">
      <c r="A385">
        <v>867</v>
      </c>
      <c r="B385" t="s">
        <v>2334</v>
      </c>
      <c r="C385">
        <v>2</v>
      </c>
      <c r="D385" t="str">
        <f>VLOOKUP(source[[#This Row],[Приоритет]],тПриоритеты[],2,0)</f>
        <v>Значительное</v>
      </c>
      <c r="E385" t="str">
        <f>IF(ISBLANK(source[[#This Row],[Проверенные]]),IF(ISBLANK(source[[#This Row],[Завершенные]]),source[[#This Row],[Приоритет_]],"Завершено"),"Проверено")</f>
        <v>Проверено</v>
      </c>
      <c r="F385" t="s">
        <v>1668</v>
      </c>
      <c r="G385" t="s">
        <v>478</v>
      </c>
      <c r="H385" t="e">
        <f>VLOOKUP(source[[#This Row],[Отвественный]],тОтветственные[],2,0)</f>
        <v>#N/A</v>
      </c>
      <c r="I385" s="2">
        <v>43839</v>
      </c>
      <c r="J385" s="2">
        <v>43842</v>
      </c>
      <c r="K385" t="s">
        <v>1720</v>
      </c>
      <c r="L385">
        <v>15.77</v>
      </c>
      <c r="M385">
        <v>64.94</v>
      </c>
      <c r="Q385" t="s">
        <v>1721</v>
      </c>
      <c r="R385" t="str">
        <f>HYPERLINK("https://d28ji4sm1vmprj.cloudfront.net/c1c1b591ce77c82044efa6b5d6f7663a/cf818dc1bc24c008af413328cec2292d.jpeg", "Ссылка на план")</f>
        <v>Ссылка на план</v>
      </c>
      <c r="S385" s="1">
        <v>43839.634004629632</v>
      </c>
      <c r="T385" s="1">
        <v>43852.689212962963</v>
      </c>
      <c r="U385" s="1">
        <v>43853.40216435185</v>
      </c>
      <c r="W385" s="1">
        <v>43853.402187500003</v>
      </c>
      <c r="AH385" t="s">
        <v>2335</v>
      </c>
      <c r="EC385" t="s">
        <v>2336</v>
      </c>
      <c r="ED385" t="str">
        <f>HYPERLINK("https://d33htgqikc2pj4.cloudfront.net/e355a7f5-7a8a-433e-9345-862432d75ffa.jpeg", "Александр Светашов: Ссылка на изображение")</f>
        <v>Александр Светашов: Ссылка на изображение</v>
      </c>
      <c r="EE385" t="str">
        <f>HYPERLINK("https://d33htgqikc2pj4.cloudfront.net/57f1cdc9-6b0e-4f72-a19d-72451d854da4.jpeg", "Александр Светашов: Ссылка на изображение")</f>
        <v>Александр Светашов: Ссылка на изображение</v>
      </c>
      <c r="EF385" t="str">
        <f>HYPERLINK("https://d33htgqikc2pj4.cloudfront.net/c15c9cf5-08be-41b4-9a1e-4f3c26005615.jpeg", "Александр Светашов: Ссылка на изображение")</f>
        <v>Александр Светашов: Ссылка на изображение</v>
      </c>
      <c r="EG385" t="str">
        <f>HYPERLINK("https://d33htgqikc2pj4.cloudfront.net/2b2dd878-851a-45a4-9a7c-8c03c2cfc0b5.jpeg", "Александр Светашов: Ссылка на изображение")</f>
        <v>Александр Светашов: Ссылка на изображение</v>
      </c>
      <c r="EH385" t="str">
        <f>HYPERLINK("https://d33htgqikc2pj4.cloudfront.net/c47e58cd-b201-4e1e-b300-d7080b4f6174.jpeg", "Александр Светашов: Ссылка на изображение")</f>
        <v>Александр Светашов: Ссылка на изображение</v>
      </c>
      <c r="EI385" t="str">
        <f>HYPERLINK("https://d33htgqikc2pj4.cloudfront.net/4a70b005-f2e4-49df-b027-bb2ad2b4b5cd.jpeg", "Александр Светашов: Ссылка на изображение")</f>
        <v>Александр Светашов: Ссылка на изображение</v>
      </c>
      <c r="EJ385" t="str">
        <f>HYPERLINK("https://d33htgqikc2pj4.cloudfront.net/b3279e36-2ecf-49ba-844b-f4d2b300c049.jpeg", "Александр Светашов: Ссылка на изображение")</f>
        <v>Александр Светашов: Ссылка на изображение</v>
      </c>
      <c r="EK385" t="str">
        <f>HYPERLINK("https://d33htgqikc2pj4.cloudfront.net/bea23a69-25b9-472c-8539-72c558aa8a23.jpeg", "Александр Светашов: Ссылка на изображение")</f>
        <v>Александр Светашов: Ссылка на изображение</v>
      </c>
      <c r="EL385" t="str">
        <f>HYPERLINK("https://d33htgqikc2pj4.cloudfront.net/c2387c90-780b-462e-b8a1-be39883a28ac.jpeg", "Александр Светашов: Ссылка на изображение")</f>
        <v>Александр Светашов: Ссылка на изображение</v>
      </c>
      <c r="EM385" t="str">
        <f>HYPERLINK("https://d33htgqikc2pj4.cloudfront.net/b69c7275-1de0-418a-b188-60b2d364c946.jpeg", "Александр Светашов: Ссылка на изображение")</f>
        <v>Александр Светашов: Ссылка на изображение</v>
      </c>
      <c r="EN385" t="s">
        <v>699</v>
      </c>
      <c r="EO385" t="s">
        <v>1675</v>
      </c>
      <c r="EP385" t="s">
        <v>1708</v>
      </c>
      <c r="EQ385" t="s">
        <v>2337</v>
      </c>
      <c r="ER385" t="str">
        <f>HYPERLINK("https://d33htgqikc2pj4.cloudfront.net/91c54ca5-fc26-4def-951b-8056e3d6747d.jpeg", "Отделка Renaissance Construction: Ссылка на изображение")</f>
        <v>Отделка Renaissance Construction: Ссылка на изображение</v>
      </c>
      <c r="ES385" t="str">
        <f>HYPERLINK("https://d33htgqikc2pj4.cloudfront.net/3f6216f8-bffb-4751-b1db-361838450a6d.jpeg", "Отделка Renaissance Construction: Ссылка на изображение")</f>
        <v>Отделка Renaissance Construction: Ссылка на изображение</v>
      </c>
      <c r="ET385" t="str">
        <f>HYPERLINK("https://d33htgqikc2pj4.cloudfront.net/38fc9271-5990-4cf1-81db-c82626d113cb.jpeg", "Отделка Renaissance Construction: Ссылка на изображение")</f>
        <v>Отделка Renaissance Construction: Ссылка на изображение</v>
      </c>
      <c r="EU385" t="s">
        <v>2035</v>
      </c>
      <c r="EV385" t="s">
        <v>794</v>
      </c>
    </row>
    <row r="386" spans="1:152" ht="15" customHeight="1" x14ac:dyDescent="0.35">
      <c r="A386">
        <v>323</v>
      </c>
      <c r="B386" t="s">
        <v>2338</v>
      </c>
      <c r="C386">
        <v>1</v>
      </c>
      <c r="D386" t="str">
        <f>VLOOKUP(source[[#This Row],[Приоритет]],тПриоритеты[],2,0)</f>
        <v>КРИТИЧЕСКОЕ</v>
      </c>
      <c r="E386" t="str">
        <f>IF(ISBLANK(source[[#This Row],[Проверенные]]),IF(ISBLANK(source[[#This Row],[Завершенные]]),source[[#This Row],[Приоритет_]],"Завершено"),"Проверено")</f>
        <v>Проверено</v>
      </c>
      <c r="F386" t="s">
        <v>1668</v>
      </c>
      <c r="G386" t="s">
        <v>478</v>
      </c>
      <c r="H386" t="e">
        <f>VLOOKUP(source[[#This Row],[Отвественный]],тОтветственные[],2,0)</f>
        <v>#N/A</v>
      </c>
      <c r="I386" s="2">
        <v>43787</v>
      </c>
      <c r="J386" s="2">
        <v>43842</v>
      </c>
      <c r="K386" t="s">
        <v>1720</v>
      </c>
      <c r="L386">
        <v>21.2</v>
      </c>
      <c r="M386">
        <v>15.16</v>
      </c>
      <c r="Q386" t="s">
        <v>1721</v>
      </c>
      <c r="R386" t="str">
        <f>HYPERLINK("https://d28ji4sm1vmprj.cloudfront.net/c1c1b591ce77c82044efa6b5d6f7663a/cf818dc1bc24c008af413328cec2292d.jpeg", "Ссылка на план")</f>
        <v>Ссылка на план</v>
      </c>
      <c r="S386" s="1">
        <v>43787.658379629633</v>
      </c>
      <c r="T386" s="1">
        <v>43824.371759259258</v>
      </c>
      <c r="U386" s="1">
        <v>43824.387870370374</v>
      </c>
      <c r="W386" s="1">
        <v>43824.38789351852</v>
      </c>
      <c r="X386" t="s">
        <v>2339</v>
      </c>
      <c r="AH386" t="s">
        <v>2340</v>
      </c>
      <c r="EC386" t="s">
        <v>2341</v>
      </c>
      <c r="ED386" t="str">
        <f>HYPERLINK("https://d33htgqikc2pj4.cloudfront.net/beaacae2-5812-4626-9a98-4e47e56fe2e8.jpeg", "Александр Светашов: Ссылка на изображение")</f>
        <v>Александр Светашов: Ссылка на изображение</v>
      </c>
      <c r="EE386" t="str">
        <f>HYPERLINK("https://d33htgqikc2pj4.cloudfront.net/040ea562-b42d-42bf-8a4a-b14c59376da9.jpeg", "Александр Светашов: Ссылка на изображение")</f>
        <v>Александр Светашов: Ссылка на изображение</v>
      </c>
      <c r="EF386" t="str">
        <f>HYPERLINK("https://d33htgqikc2pj4.cloudfront.net/59b17db8-eb67-494e-aa20-e3d4f1a13ecb.jpeg", "Александр Светашов: Ссылка на изображение")</f>
        <v>Александр Светашов: Ссылка на изображение</v>
      </c>
      <c r="EG386" t="str">
        <f>HYPERLINK("https://d33htgqikc2pj4.cloudfront.net/e6d1d339-3530-44b9-9929-9c692b25db22.jpeg", "Александр Светашов: Ссылка на изображение")</f>
        <v>Александр Светашов: Ссылка на изображение</v>
      </c>
      <c r="EH386" t="s">
        <v>699</v>
      </c>
      <c r="EI386" t="s">
        <v>2342</v>
      </c>
      <c r="EJ386" t="s">
        <v>2343</v>
      </c>
      <c r="EK386" t="s">
        <v>1675</v>
      </c>
      <c r="EL386" t="str">
        <f>HYPERLINK("https://d33htgqikc2pj4.cloudfront.net/61904d06-af4a-4481-b4e8-cc3f345f6024.jpeg", "Александр Светашов: Ссылка на изображение")</f>
        <v>Александр Светашов: Ссылка на изображение</v>
      </c>
      <c r="EM386" t="s">
        <v>2344</v>
      </c>
      <c r="EN386" t="s">
        <v>2035</v>
      </c>
      <c r="EO386" t="s">
        <v>2345</v>
      </c>
      <c r="EP386" t="s">
        <v>1676</v>
      </c>
      <c r="EQ386" t="s">
        <v>2346</v>
      </c>
      <c r="ER386" t="s">
        <v>2170</v>
      </c>
      <c r="ES386" t="str">
        <f>HYPERLINK("https://d33htgqikc2pj4.cloudfront.net/76b2f8ad-6ebf-4888-9ef2-2c750165530b.jpeg", "Отделка Renaissance Construction: Ссылка на изображение")</f>
        <v>Отделка Renaissance Construction: Ссылка на изображение</v>
      </c>
      <c r="ET386" t="s">
        <v>2201</v>
      </c>
      <c r="EU386" t="s">
        <v>2035</v>
      </c>
      <c r="EV386" t="s">
        <v>794</v>
      </c>
    </row>
    <row r="387" spans="1:152" ht="15" customHeight="1" x14ac:dyDescent="0.35">
      <c r="A387">
        <v>336</v>
      </c>
      <c r="B387" t="s">
        <v>2347</v>
      </c>
      <c r="C387">
        <v>1</v>
      </c>
      <c r="D387" t="str">
        <f>VLOOKUP(source[[#This Row],[Приоритет]],тПриоритеты[],2,0)</f>
        <v>КРИТИЧЕСКОЕ</v>
      </c>
      <c r="E387" t="str">
        <f>IF(ISBLANK(source[[#This Row],[Проверенные]]),IF(ISBLANK(source[[#This Row],[Завершенные]]),source[[#This Row],[Приоритет_]],"Завершено"),"Проверено")</f>
        <v>Проверено</v>
      </c>
      <c r="F387" t="s">
        <v>1668</v>
      </c>
      <c r="G387" t="s">
        <v>478</v>
      </c>
      <c r="H387" t="e">
        <f>VLOOKUP(source[[#This Row],[Отвественный]],тОтветственные[],2,0)</f>
        <v>#N/A</v>
      </c>
      <c r="I387" s="2">
        <v>43788</v>
      </c>
      <c r="J387" s="2">
        <v>43815</v>
      </c>
      <c r="S387" s="1">
        <v>43788.185428240744</v>
      </c>
      <c r="T387" s="1">
        <v>43816.727372685185</v>
      </c>
      <c r="U387" s="1">
        <v>43823.409872685188</v>
      </c>
      <c r="W387" s="1">
        <v>43823.409884259258</v>
      </c>
      <c r="EC387" t="s">
        <v>2348</v>
      </c>
      <c r="ED387" t="str">
        <f>HYPERLINK("https://d33htgqikc2pj4.cloudfront.net/qvHDimMUqxZcQnsj/1ffabcbf-7158-41f8-bfad-6cb9f014a774.jpeg", "Юрий Прасолов: Ссылка на изображение")</f>
        <v>Юрий Прасолов: Ссылка на изображение</v>
      </c>
      <c r="EE387" t="str">
        <f>HYPERLINK("https://d33htgqikc2pj4.cloudfront.net/qvHDimMUqxZcQnsj/23445d76-d55e-4ed2-aaf2-15d5631a8d8a.jpeg", "Юрий Прасолов: Ссылка на изображение")</f>
        <v>Юрий Прасолов: Ссылка на изображение</v>
      </c>
      <c r="EF387" t="s">
        <v>2349</v>
      </c>
      <c r="EG387" t="s">
        <v>2350</v>
      </c>
      <c r="EH387" t="s">
        <v>428</v>
      </c>
      <c r="EI387" t="s">
        <v>2351</v>
      </c>
      <c r="EJ387" t="s">
        <v>1164</v>
      </c>
      <c r="EK387" t="s">
        <v>425</v>
      </c>
      <c r="EL387" t="s">
        <v>488</v>
      </c>
      <c r="EM387" t="s">
        <v>2208</v>
      </c>
      <c r="EN387" t="s">
        <v>2352</v>
      </c>
      <c r="EO387" t="s">
        <v>2035</v>
      </c>
      <c r="EP387" t="s">
        <v>2353</v>
      </c>
      <c r="EQ387" t="s">
        <v>1676</v>
      </c>
      <c r="ER387" t="s">
        <v>1167</v>
      </c>
      <c r="ES387" t="s">
        <v>2354</v>
      </c>
      <c r="ET387" t="s">
        <v>2035</v>
      </c>
      <c r="EU387" t="s">
        <v>794</v>
      </c>
    </row>
    <row r="388" spans="1:152" ht="15" customHeight="1" x14ac:dyDescent="0.35">
      <c r="A388">
        <v>862</v>
      </c>
      <c r="B388" t="s">
        <v>2355</v>
      </c>
      <c r="C388">
        <v>2</v>
      </c>
      <c r="D388" t="str">
        <f>VLOOKUP(source[[#This Row],[Приоритет]],тПриоритеты[],2,0)</f>
        <v>Значительное</v>
      </c>
      <c r="E388" t="str">
        <f>IF(ISBLANK(source[[#This Row],[Проверенные]]),IF(ISBLANK(source[[#This Row],[Завершенные]]),source[[#This Row],[Приоритет_]],"Завершено"),"Проверено")</f>
        <v>Проверено</v>
      </c>
      <c r="F388" t="s">
        <v>1668</v>
      </c>
      <c r="G388" t="s">
        <v>478</v>
      </c>
      <c r="H388" t="e">
        <f>VLOOKUP(source[[#This Row],[Отвественный]],тОтветственные[],2,0)</f>
        <v>#N/A</v>
      </c>
      <c r="I388" s="2">
        <v>43838</v>
      </c>
      <c r="J388" s="2">
        <v>43852</v>
      </c>
      <c r="S388" s="1">
        <v>43838.713356481479</v>
      </c>
      <c r="T388" s="1">
        <v>43839.531053240738</v>
      </c>
      <c r="U388" s="1">
        <v>43843.643275462964</v>
      </c>
      <c r="W388" s="1">
        <v>43843.64329861111</v>
      </c>
      <c r="EC388" t="s">
        <v>1947</v>
      </c>
      <c r="ED388" t="s">
        <v>2356</v>
      </c>
      <c r="EE388" t="str">
        <f>HYPERLINK("https://d33htgqikc2pj4.cloudfront.net/33c49384ee6d915eadcd102b1da5ca95/70d1acf162c9a1b28f95b77fc59074dc-file.jpeg", "Антон Федоров: Ссылка на изображение")</f>
        <v>Антон Федоров: Ссылка на изображение</v>
      </c>
      <c r="EF388" t="s">
        <v>236</v>
      </c>
      <c r="EG388" t="s">
        <v>1994</v>
      </c>
      <c r="EH388" t="s">
        <v>2357</v>
      </c>
      <c r="EI388" t="str">
        <f>HYPERLINK("https://d33htgqikc2pj4.cloudfront.net/89a01afc-4468-4bcf-b478-82238266c17b.jpeg", "Отделка Renaissance Construction: Ссылка на изображение")</f>
        <v>Отделка Renaissance Construction: Ссылка на изображение</v>
      </c>
      <c r="EJ388" t="s">
        <v>2266</v>
      </c>
      <c r="EK388" t="s">
        <v>2035</v>
      </c>
      <c r="EL388" t="s">
        <v>794</v>
      </c>
    </row>
    <row r="389" spans="1:152" ht="15" customHeight="1" x14ac:dyDescent="0.35">
      <c r="A389">
        <v>1166</v>
      </c>
      <c r="B389" t="s">
        <v>2358</v>
      </c>
      <c r="C389">
        <v>1</v>
      </c>
      <c r="D389" t="str">
        <f>VLOOKUP(source[[#This Row],[Приоритет]],тПриоритеты[],2,0)</f>
        <v>КРИТИЧЕСКОЕ</v>
      </c>
      <c r="E389" t="str">
        <f>IF(ISBLANK(source[[#This Row],[Проверенные]]),IF(ISBLANK(source[[#This Row],[Завершенные]]),source[[#This Row],[Приоритет_]],"Завершено"),"Проверено")</f>
        <v>Проверено</v>
      </c>
      <c r="F389" t="s">
        <v>1668</v>
      </c>
      <c r="G389" t="s">
        <v>478</v>
      </c>
      <c r="H389" t="e">
        <f>VLOOKUP(source[[#This Row],[Отвественный]],тОтветственные[],2,0)</f>
        <v>#N/A</v>
      </c>
      <c r="I389" s="2">
        <v>43865</v>
      </c>
      <c r="J389" s="2">
        <v>43865</v>
      </c>
      <c r="K389" t="s">
        <v>1913</v>
      </c>
      <c r="L389">
        <v>39.06</v>
      </c>
      <c r="M389">
        <v>33.090000000000003</v>
      </c>
      <c r="Q389" t="s">
        <v>789</v>
      </c>
      <c r="R389" t="str">
        <f>HYPERLINK("https://d28ji4sm1vmprj.cloudfront.net/66b42f802263492bba17f2ae7b1443c7/e21aa70d5981168508628998e6a067af.jpeg", "Ссылка на план")</f>
        <v>Ссылка на план</v>
      </c>
      <c r="S389" s="1">
        <v>43865.427152777775</v>
      </c>
      <c r="T389" s="1">
        <v>43866.498831018522</v>
      </c>
      <c r="U389" s="1">
        <v>43866.546273148146</v>
      </c>
      <c r="W389" s="1">
        <v>43866.546284722222</v>
      </c>
      <c r="EC389" t="s">
        <v>2359</v>
      </c>
      <c r="ED389" t="str">
        <f>HYPERLINK("https://d33htgqikc2pj4.cloudfront.net/bf377953-6926-4e6f-97f2-28e2a4770d6c.jpeg", "Александр Светашов: Ссылка на изображение")</f>
        <v>Александр Светашов: Ссылка на изображение</v>
      </c>
      <c r="EE389" t="str">
        <f>HYPERLINK("https://d33htgqikc2pj4.cloudfront.net/d66461c9-2f37-414d-a20e-bd17f70bbb9d.jpeg", "Александр Светашов: Ссылка на изображение")</f>
        <v>Александр Светашов: Ссылка на изображение</v>
      </c>
      <c r="EF389" t="str">
        <f>HYPERLINK("https://d33htgqikc2pj4.cloudfront.net/6aa0eefe-06d6-4c2e-bf0b-10a2f23c9d97.jpeg", "Александр Светашов: Ссылка на изображение")</f>
        <v>Александр Светашов: Ссылка на изображение</v>
      </c>
      <c r="EG389" t="str">
        <f>HYPERLINK("https://d33htgqikc2pj4.cloudfront.net/79147204-67c1-4525-a45d-61d610f9f115.jpeg", "Александр Светашов: Ссылка на изображение")</f>
        <v>Александр Светашов: Ссылка на изображение</v>
      </c>
      <c r="EH389" t="str">
        <f>HYPERLINK("https://d33htgqikc2pj4.cloudfront.net/a04f12c7-06cf-4026-abec-0e03a5218a12.jpeg", "Александр Светашов: Ссылка на изображение")</f>
        <v>Александр Светашов: Ссылка на изображение</v>
      </c>
      <c r="EI389" t="str">
        <f>HYPERLINK("https://d33htgqikc2pj4.cloudfront.net/35ccfce8-1668-443c-8dd6-1eb5854ccf08.jpeg", "Александр Светашов: Ссылка на изображение")</f>
        <v>Александр Светашов: Ссылка на изображение</v>
      </c>
      <c r="EJ389" t="str">
        <f>HYPERLINK("https://d33htgqikc2pj4.cloudfront.net/37f9671d-e8b6-444a-8142-1a7e0a59ab65.jpeg", "Александр Светашов: Ссылка на изображение")</f>
        <v>Александр Светашов: Ссылка на изображение</v>
      </c>
      <c r="EK389" t="str">
        <f>HYPERLINK("https://d33htgqikc2pj4.cloudfront.net/0d53771a-d481-47bd-8360-f2ccfec913c4.jpeg", "Александр Светашов: Ссылка на изображение")</f>
        <v>Александр Светашов: Ссылка на изображение</v>
      </c>
      <c r="EL389" t="str">
        <f>HYPERLINK("https://d33htgqikc2pj4.cloudfront.net/da355304-51ed-4eb2-af7b-4f2a814f52db.jpeg", "Александр Светашов: Ссылка на изображение")</f>
        <v>Александр Светашов: Ссылка на изображение</v>
      </c>
      <c r="EM389" t="s">
        <v>2360</v>
      </c>
      <c r="EN389" t="s">
        <v>1910</v>
      </c>
      <c r="EO389" t="s">
        <v>1676</v>
      </c>
      <c r="EP389" t="s">
        <v>1674</v>
      </c>
      <c r="EQ389" t="s">
        <v>699</v>
      </c>
      <c r="ER389" t="s">
        <v>1675</v>
      </c>
      <c r="ES389" t="str">
        <f>HYPERLINK("https://d33htgqikc2pj4.cloudfront.net/6c5697ac-a235-4afc-9d1a-1178c99757c1.jpeg", "Отделка Renaissance Construction: Ссылка на изображение")</f>
        <v>Отделка Renaissance Construction: Ссылка на изображение</v>
      </c>
      <c r="ET389" t="s">
        <v>2361</v>
      </c>
      <c r="EU389" t="s">
        <v>2035</v>
      </c>
      <c r="EV389" t="s">
        <v>794</v>
      </c>
    </row>
    <row r="390" spans="1:152" ht="15" customHeight="1" x14ac:dyDescent="0.35">
      <c r="A390">
        <v>868</v>
      </c>
      <c r="B390" t="s">
        <v>2362</v>
      </c>
      <c r="C390">
        <v>2</v>
      </c>
      <c r="D390" t="str">
        <f>VLOOKUP(source[[#This Row],[Приоритет]],тПриоритеты[],2,0)</f>
        <v>Значительное</v>
      </c>
      <c r="E390" t="str">
        <f>IF(ISBLANK(source[[#This Row],[Проверенные]]),IF(ISBLANK(source[[#This Row],[Завершенные]]),source[[#This Row],[Приоритет_]],"Завершено"),"Проверено")</f>
        <v>Проверено</v>
      </c>
      <c r="F390" t="s">
        <v>1668</v>
      </c>
      <c r="G390" t="s">
        <v>478</v>
      </c>
      <c r="H390" t="e">
        <f>VLOOKUP(source[[#This Row],[Отвественный]],тОтветственные[],2,0)</f>
        <v>#N/A</v>
      </c>
      <c r="I390" s="2">
        <v>43839</v>
      </c>
      <c r="J390" s="2">
        <v>43844</v>
      </c>
      <c r="K390" t="s">
        <v>1720</v>
      </c>
      <c r="L390">
        <v>17.350000000000001</v>
      </c>
      <c r="M390">
        <v>64.72</v>
      </c>
      <c r="Q390" t="s">
        <v>1721</v>
      </c>
      <c r="R390" t="str">
        <f>HYPERLINK("https://d28ji4sm1vmprj.cloudfront.net/c1c1b591ce77c82044efa6b5d6f7663a/cf818dc1bc24c008af413328cec2292d.jpeg", "Ссылка на план")</f>
        <v>Ссылка на план</v>
      </c>
      <c r="S390" s="1">
        <v>43839.636018518519</v>
      </c>
      <c r="T390" s="1">
        <v>43852.688784722224</v>
      </c>
      <c r="U390" s="1">
        <v>43853.402256944442</v>
      </c>
      <c r="W390" s="1">
        <v>43853.402268518519</v>
      </c>
      <c r="AH390" t="s">
        <v>2335</v>
      </c>
      <c r="EC390" t="s">
        <v>2363</v>
      </c>
      <c r="ED390" t="str">
        <f>HYPERLINK("https://d33htgqikc2pj4.cloudfront.net/12d0c1f7-8940-484e-b2ac-2187caf25bc6.jpeg", "Александр Светашов: Ссылка на изображение")</f>
        <v>Александр Светашов: Ссылка на изображение</v>
      </c>
      <c r="EE390" t="str">
        <f>HYPERLINK("https://d33htgqikc2pj4.cloudfront.net/9a790ba3-25c7-4ca9-ac23-472c3f4db73e.jpeg", "Александр Светашов: Ссылка на изображение")</f>
        <v>Александр Светашов: Ссылка на изображение</v>
      </c>
      <c r="EF390" t="s">
        <v>699</v>
      </c>
      <c r="EG390" t="s">
        <v>1675</v>
      </c>
      <c r="EH390" t="s">
        <v>1708</v>
      </c>
      <c r="EI390" t="s">
        <v>2145</v>
      </c>
      <c r="EJ390" t="s">
        <v>2364</v>
      </c>
      <c r="EK390" t="str">
        <f>HYPERLINK("https://d33htgqikc2pj4.cloudfront.net/adbb52c1-b105-4cbc-8aa8-6708031122a8.jpeg", "Отделка Renaissance Construction: Ссылка на изображение")</f>
        <v>Отделка Renaissance Construction: Ссылка на изображение</v>
      </c>
      <c r="EL390" t="s">
        <v>2266</v>
      </c>
      <c r="EM390" t="s">
        <v>2035</v>
      </c>
      <c r="EN390" t="s">
        <v>794</v>
      </c>
    </row>
    <row r="391" spans="1:152" ht="15" customHeight="1" x14ac:dyDescent="0.35">
      <c r="A391">
        <v>935</v>
      </c>
      <c r="B391" t="s">
        <v>2365</v>
      </c>
      <c r="C391">
        <v>1</v>
      </c>
      <c r="D391" t="str">
        <f>VLOOKUP(source[[#This Row],[Приоритет]],тПриоритеты[],2,0)</f>
        <v>КРИТИЧЕСКОЕ</v>
      </c>
      <c r="E391" t="str">
        <f>IF(ISBLANK(source[[#This Row],[Проверенные]]),IF(ISBLANK(source[[#This Row],[Завершенные]]),source[[#This Row],[Приоритет_]],"Завершено"),"Проверено")</f>
        <v>Проверено</v>
      </c>
      <c r="F391" t="s">
        <v>1668</v>
      </c>
      <c r="G391" t="s">
        <v>478</v>
      </c>
      <c r="H391" t="e">
        <f>VLOOKUP(source[[#This Row],[Отвественный]],тОтветственные[],2,0)</f>
        <v>#N/A</v>
      </c>
      <c r="I391" s="2">
        <v>43846</v>
      </c>
      <c r="J391" s="2">
        <v>43854</v>
      </c>
      <c r="K391" t="s">
        <v>2113</v>
      </c>
      <c r="L391">
        <v>19.579999999999998</v>
      </c>
      <c r="M391">
        <v>43</v>
      </c>
      <c r="Q391" t="s">
        <v>2114</v>
      </c>
      <c r="R391" t="str">
        <f>HYPERLINK("https://d28ji4sm1vmprj.cloudfront.net/3021cb41417a6407c6d00c02f6a24f54/260a2324e0f0083a3c1fc6e8517e8511.jpeg", "Ссылка на план")</f>
        <v>Ссылка на план</v>
      </c>
      <c r="S391" s="1">
        <v>43847.398020833331</v>
      </c>
      <c r="T391" s="1">
        <v>43866.699004629627</v>
      </c>
      <c r="U391" s="1">
        <v>43866.733344907407</v>
      </c>
      <c r="W391" s="1">
        <v>43866.733356481483</v>
      </c>
      <c r="AH391" t="s">
        <v>2366</v>
      </c>
      <c r="EC391" t="s">
        <v>2367</v>
      </c>
      <c r="ED391" t="str">
        <f>HYPERLINK("https://d33htgqikc2pj4.cloudfront.net/ceca8322-fc4e-4a5d-b396-817f9e5f8b9b.jpeg", "Александр Светашов: Ссылка на изображение")</f>
        <v>Александр Светашов: Ссылка на изображение</v>
      </c>
      <c r="EE391" t="str">
        <f>HYPERLINK("https://d33htgqikc2pj4.cloudfront.net/e03bf958-4247-47cf-960b-cf17d7a65b88.jpeg", "Александр Светашов: Ссылка на изображение")</f>
        <v>Александр Светашов: Ссылка на изображение</v>
      </c>
      <c r="EF391" t="str">
        <f>HYPERLINK("https://d33htgqikc2pj4.cloudfront.net/4ed38f54-0c4c-4148-b690-0cebf23d1aad.jpeg", "Александр Светашов: Ссылка на изображение")</f>
        <v>Александр Светашов: Ссылка на изображение</v>
      </c>
      <c r="EG391" t="str">
        <f>HYPERLINK("https://d33htgqikc2pj4.cloudfront.net/51dd6238-afee-4769-a694-d6b75baa87a7.jpeg", "Александр Светашов: Ссылка на изображение")</f>
        <v>Александр Светашов: Ссылка на изображение</v>
      </c>
      <c r="EH391" t="str">
        <f>HYPERLINK("https://d33htgqikc2pj4.cloudfront.net/a50f669f-d96c-42ad-b18a-2696599c1495.jpeg", "Александр Светашов: Ссылка на изображение")</f>
        <v>Александр Светашов: Ссылка на изображение</v>
      </c>
      <c r="EI391" t="s">
        <v>699</v>
      </c>
      <c r="EJ391" t="s">
        <v>1675</v>
      </c>
      <c r="EK391" t="s">
        <v>2368</v>
      </c>
      <c r="EL391" t="s">
        <v>1676</v>
      </c>
      <c r="EM391" t="s">
        <v>1960</v>
      </c>
      <c r="EN391" t="s">
        <v>2369</v>
      </c>
      <c r="EO391" t="s">
        <v>2035</v>
      </c>
      <c r="EP391" t="s">
        <v>794</v>
      </c>
    </row>
    <row r="392" spans="1:152" ht="15" customHeight="1" x14ac:dyDescent="0.35">
      <c r="A392">
        <v>938</v>
      </c>
      <c r="B392" t="s">
        <v>2370</v>
      </c>
      <c r="C392">
        <v>1</v>
      </c>
      <c r="D392" t="str">
        <f>VLOOKUP(source[[#This Row],[Приоритет]],тПриоритеты[],2,0)</f>
        <v>КРИТИЧЕСКОЕ</v>
      </c>
      <c r="E392" t="str">
        <f>IF(ISBLANK(source[[#This Row],[Проверенные]]),IF(ISBLANK(source[[#This Row],[Завершенные]]),source[[#This Row],[Приоритет_]],"Завершено"),"Проверено")</f>
        <v>Проверено</v>
      </c>
      <c r="F392" t="s">
        <v>1668</v>
      </c>
      <c r="G392" t="s">
        <v>478</v>
      </c>
      <c r="H392" t="e">
        <f>VLOOKUP(source[[#This Row],[Отвественный]],тОтветственные[],2,0)</f>
        <v>#N/A</v>
      </c>
      <c r="I392" s="2">
        <v>43847</v>
      </c>
      <c r="J392" s="2">
        <v>43851</v>
      </c>
      <c r="K392" t="s">
        <v>2371</v>
      </c>
      <c r="L392">
        <v>18.14</v>
      </c>
      <c r="M392">
        <v>32.020000000000003</v>
      </c>
      <c r="Q392" t="s">
        <v>2114</v>
      </c>
      <c r="R392" t="str">
        <f>HYPERLINK("https://d28ji4sm1vmprj.cloudfront.net/a250aef74709503d6e83445201ed7467/2700f855bc85eb2faa2ec2f26d572a91.jpeg", "Ссылка на план")</f>
        <v>Ссылка на план</v>
      </c>
      <c r="S392" s="1">
        <v>43847.71125</v>
      </c>
      <c r="T392" s="1">
        <v>43850.473460648151</v>
      </c>
      <c r="U392" s="1">
        <v>43850.473530092589</v>
      </c>
      <c r="W392" s="1">
        <v>43850.473541666666</v>
      </c>
      <c r="EC392" t="s">
        <v>2357</v>
      </c>
      <c r="ED392" t="s">
        <v>2372</v>
      </c>
      <c r="EE392" t="s">
        <v>2373</v>
      </c>
      <c r="EF392" t="s">
        <v>2374</v>
      </c>
      <c r="EG392" t="str">
        <f>HYPERLINK("https://d33htgqikc2pj4.cloudfront.net/57c3f352fb7ef5bf2fb2e51ab29ffeb0/71973b09ae769211b3ed1df8d1381cba-file.jpeg", "Антон Федоров: Ссылка на изображение")</f>
        <v>Антон Федоров: Ссылка на изображение</v>
      </c>
      <c r="EH392" t="str">
        <f>HYPERLINK("https://d33htgqikc2pj4.cloudfront.net/40afb23a73c45272d74e664e539af3c4/d25f6274bb96e8e009ab5a0ff3e533b6-file.jpeg", "Антон Федоров: Ссылка на изображение")</f>
        <v>Антон Федоров: Ссылка на изображение</v>
      </c>
      <c r="EI392" t="s">
        <v>1959</v>
      </c>
      <c r="EJ392" t="s">
        <v>2375</v>
      </c>
      <c r="EK392" t="s">
        <v>2376</v>
      </c>
      <c r="EL392" t="str">
        <f>HYPERLINK("https://d33htgqikc2pj4.cloudfront.net/ffdd61ad-6493-44c2-bf38-9b001d9f1df1.jpeg", "Отделка Renaissance Construction: Ссылка на изображение")</f>
        <v>Отделка Renaissance Construction: Ссылка на изображение</v>
      </c>
      <c r="EM392" t="str">
        <f>HYPERLINK("https://d33htgqikc2pj4.cloudfront.net/72c582d5-decf-48bb-9496-2866d171d0c3.jpeg", "Отделка Renaissance Construction: Ссылка на изображение")</f>
        <v>Отделка Renaissance Construction: Ссылка на изображение</v>
      </c>
      <c r="EN392" t="s">
        <v>2361</v>
      </c>
      <c r="EO392" t="s">
        <v>2035</v>
      </c>
      <c r="EP392" t="s">
        <v>794</v>
      </c>
    </row>
    <row r="393" spans="1:152" ht="15" customHeight="1" x14ac:dyDescent="0.35">
      <c r="A393">
        <v>642</v>
      </c>
      <c r="B393" t="s">
        <v>2377</v>
      </c>
      <c r="C393">
        <v>2</v>
      </c>
      <c r="D393" t="str">
        <f>VLOOKUP(source[[#This Row],[Приоритет]],тПриоритеты[],2,0)</f>
        <v>Значительное</v>
      </c>
      <c r="E393" t="str">
        <f>IF(ISBLANK(source[[#This Row],[Проверенные]]),IF(ISBLANK(source[[#This Row],[Завершенные]]),source[[#This Row],[Приоритет_]],"Завершено"),"Проверено")</f>
        <v>Проверено</v>
      </c>
      <c r="F393" t="s">
        <v>1668</v>
      </c>
      <c r="G393" t="s">
        <v>420</v>
      </c>
      <c r="H393" t="e">
        <f>VLOOKUP(source[[#This Row],[Отвественный]],тОтветственные[],2,0)</f>
        <v>#N/A</v>
      </c>
      <c r="I393" s="2">
        <v>43815</v>
      </c>
      <c r="J393" s="2">
        <v>43815</v>
      </c>
      <c r="K393" t="s">
        <v>1720</v>
      </c>
      <c r="L393">
        <v>13.12</v>
      </c>
      <c r="M393">
        <v>52.7</v>
      </c>
      <c r="Q393" t="s">
        <v>1721</v>
      </c>
      <c r="R393" t="str">
        <f>HYPERLINK("https://d28ji4sm1vmprj.cloudfront.net/c1c1b591ce77c82044efa6b5d6f7663a/cf818dc1bc24c008af413328cec2292d.jpeg", "Ссылка на план")</f>
        <v>Ссылка на план</v>
      </c>
      <c r="S393" s="1">
        <v>43816.436886574076</v>
      </c>
      <c r="T393" s="1">
        <v>43822.435335648152</v>
      </c>
      <c r="U393" s="1">
        <v>43822.461238425924</v>
      </c>
      <c r="W393" s="1">
        <v>43822.46125</v>
      </c>
      <c r="AH393" t="s">
        <v>2378</v>
      </c>
      <c r="EC393" t="s">
        <v>2379</v>
      </c>
      <c r="ED393" t="str">
        <f>HYPERLINK("https://d33htgqikc2pj4.cloudfront.net/36a1969c-df19-45b6-b4e2-d1b4a2dafd15.jpeg", "Александр Светашов: Ссылка на изображение")</f>
        <v>Александр Светашов: Ссылка на изображение</v>
      </c>
      <c r="EE393" t="str">
        <f>HYPERLINK("https://d33htgqikc2pj4.cloudfront.net/1ed445a6-609f-4ea8-9545-9542a6b5995c.jpeg", "Александр Светашов: Ссылка на изображение")</f>
        <v>Александр Светашов: Ссылка на изображение</v>
      </c>
      <c r="EF393" t="str">
        <f>HYPERLINK("https://d33htgqikc2pj4.cloudfront.net/90c7a1ca-6dfa-4d26-8cc3-75fcab41c4c3.jpeg", "Александр Светашов: Ссылка на изображение")</f>
        <v>Александр Светашов: Ссылка на изображение</v>
      </c>
      <c r="EG393" t="str">
        <f>HYPERLINK("https://d33htgqikc2pj4.cloudfront.net/ed3f5521-c5ad-4d76-8ab4-286c6ebe352d.jpeg", "Александр Светашов: Ссылка на изображение")</f>
        <v>Александр Светашов: Ссылка на изображение</v>
      </c>
      <c r="EH393" t="str">
        <f>HYPERLINK("https://d33htgqikc2pj4.cloudfront.net/d2878a09-7673-4715-944f-128cf609ef1e.jpeg", "Александр Светашов: Ссылка на изображение")</f>
        <v>Александр Светашов: Ссылка на изображение</v>
      </c>
      <c r="EI393" t="s">
        <v>1675</v>
      </c>
      <c r="EJ393" t="s">
        <v>2316</v>
      </c>
      <c r="EK393" t="s">
        <v>2332</v>
      </c>
      <c r="EL393" t="str">
        <f>HYPERLINK("https://d33htgqikc2pj4.cloudfront.net/4d9a51e9-7d4f-481a-a0b5-997f64e999c7.jpeg", "Отопление и Кондиционирование Renaissance: Ссылка на изображение")</f>
        <v>Отопление и Кондиционирование Renaissance: Ссылка на изображение</v>
      </c>
      <c r="EM393" t="str">
        <f>HYPERLINK("https://d33htgqikc2pj4.cloudfront.net/d1450407-7941-44e0-b043-02f0dace1846.jpeg", "Отопление и Кондиционирование Renaissance: Ссылка на изображение")</f>
        <v>Отопление и Кондиционирование Renaissance: Ссылка на изображение</v>
      </c>
      <c r="EN393" t="str">
        <f>HYPERLINK("https://d33htgqikc2pj4.cloudfront.net/3fc34e21-664a-40d8-9709-49df66fb43e6.jpeg", "Отопление и Кондиционирование Renaissance: Ссылка на изображение")</f>
        <v>Отопление и Кондиционирование Renaissance: Ссылка на изображение</v>
      </c>
      <c r="EO393" t="s">
        <v>2380</v>
      </c>
      <c r="EP393" t="s">
        <v>1306</v>
      </c>
      <c r="EQ393" t="s">
        <v>794</v>
      </c>
    </row>
    <row r="394" spans="1:152" ht="15" customHeight="1" x14ac:dyDescent="0.35">
      <c r="A394">
        <v>518</v>
      </c>
      <c r="B394" t="s">
        <v>2381</v>
      </c>
      <c r="C394">
        <v>2</v>
      </c>
      <c r="D394" t="str">
        <f>VLOOKUP(source[[#This Row],[Приоритет]],тПриоритеты[],2,0)</f>
        <v>Значительное</v>
      </c>
      <c r="E394" t="str">
        <f>IF(ISBLANK(source[[#This Row],[Проверенные]]),IF(ISBLANK(source[[#This Row],[Завершенные]]),source[[#This Row],[Приоритет_]],"Завершено"),"Проверено")</f>
        <v>Значительное</v>
      </c>
      <c r="F394" t="s">
        <v>1668</v>
      </c>
      <c r="G394" t="s">
        <v>2382</v>
      </c>
      <c r="H394" t="e">
        <f>VLOOKUP(source[[#This Row],[Отвественный]],тОтветственные[],2,0)</f>
        <v>#N/A</v>
      </c>
      <c r="I394" s="2">
        <v>43802</v>
      </c>
      <c r="J394" s="2">
        <v>43803</v>
      </c>
      <c r="K394" t="s">
        <v>1720</v>
      </c>
      <c r="L394">
        <v>17.97</v>
      </c>
      <c r="M394">
        <v>32.799999999999997</v>
      </c>
      <c r="Q394" t="s">
        <v>1721</v>
      </c>
      <c r="R394" t="str">
        <f>HYPERLINK("https://d28ji4sm1vmprj.cloudfront.net/c1c1b591ce77c82044efa6b5d6f7663a/cf818dc1bc24c008af413328cec2292d.jpeg", "Ссылка на план")</f>
        <v>Ссылка на план</v>
      </c>
      <c r="S394" s="1">
        <v>43802.687106481484</v>
      </c>
      <c r="W394" s="1">
        <v>43808.736956018518</v>
      </c>
      <c r="AH394" t="s">
        <v>2383</v>
      </c>
      <c r="EC394" t="s">
        <v>2384</v>
      </c>
      <c r="ED394" t="str">
        <f>HYPERLINK("https://d33htgqikc2pj4.cloudfront.net/b54b8f75-7187-4ede-9711-4773c8b22ee8.jpeg", "Александр Светашов: Ссылка на изображение")</f>
        <v>Александр Светашов: Ссылка на изображение</v>
      </c>
      <c r="EE394" t="str">
        <f>HYPERLINK("https://d33htgqikc2pj4.cloudfront.net/200d5945-eeff-4a91-9968-5a53b61f39b0.jpeg", "Александр Светашов: Ссылка на изображение")</f>
        <v>Александр Светашов: Ссылка на изображение</v>
      </c>
      <c r="EF394" t="str">
        <f>HYPERLINK("https://d33htgqikc2pj4.cloudfront.net/3f2081a7-3998-4537-bac0-4944d910e074.jpeg", "Александр Светашов: Ссылка на изображение")</f>
        <v>Александр Светашов: Ссылка на изображение</v>
      </c>
      <c r="EG394" t="str">
        <f>HYPERLINK("https://d33htgqikc2pj4.cloudfront.net/b3e6aa5f-1906-4499-86a2-6b4cb4154409.jpeg", "Александр Светашов: Ссылка на изображение")</f>
        <v>Александр Светашов: Ссылка на изображение</v>
      </c>
      <c r="EH394" t="s">
        <v>2385</v>
      </c>
      <c r="EI394" t="s">
        <v>1675</v>
      </c>
      <c r="EJ394" t="s">
        <v>1700</v>
      </c>
      <c r="EK394" t="s">
        <v>2386</v>
      </c>
    </row>
    <row r="395" spans="1:152" ht="15" customHeight="1" x14ac:dyDescent="0.35">
      <c r="A395">
        <v>72</v>
      </c>
      <c r="B395" t="s">
        <v>2387</v>
      </c>
      <c r="C395">
        <v>2</v>
      </c>
      <c r="D395" t="str">
        <f>VLOOKUP(source[[#This Row],[Приоритет]],тПриоритеты[],2,0)</f>
        <v>Значительное</v>
      </c>
      <c r="E395" t="str">
        <f>IF(ISBLANK(source[[#This Row],[Проверенные]]),IF(ISBLANK(source[[#This Row],[Завершенные]]),source[[#This Row],[Приоритет_]],"Завершено"),"Проверено")</f>
        <v>Проверено</v>
      </c>
      <c r="F395" t="s">
        <v>1668</v>
      </c>
      <c r="G395" t="s">
        <v>2382</v>
      </c>
      <c r="H395" t="e">
        <f>VLOOKUP(source[[#This Row],[Отвественный]],тОтветственные[],2,0)</f>
        <v>#N/A</v>
      </c>
      <c r="I395" s="2">
        <v>43742</v>
      </c>
      <c r="J395" s="2">
        <v>43749</v>
      </c>
      <c r="S395" s="1">
        <v>43770.45952546296</v>
      </c>
      <c r="T395" s="1">
        <v>43770.485752314817</v>
      </c>
      <c r="U395" s="1">
        <v>43770.485752314817</v>
      </c>
      <c r="W395" s="1">
        <v>43787.482106481482</v>
      </c>
      <c r="EC395" t="s">
        <v>2388</v>
      </c>
      <c r="ED395" t="s">
        <v>2389</v>
      </c>
      <c r="EE395" t="s">
        <v>2390</v>
      </c>
    </row>
    <row r="396" spans="1:152" ht="15" customHeight="1" x14ac:dyDescent="0.35">
      <c r="A396">
        <v>71</v>
      </c>
      <c r="B396" t="s">
        <v>2391</v>
      </c>
      <c r="C396">
        <v>2</v>
      </c>
      <c r="D396" t="str">
        <f>VLOOKUP(source[[#This Row],[Приоритет]],тПриоритеты[],2,0)</f>
        <v>Значительное</v>
      </c>
      <c r="E396" t="str">
        <f>IF(ISBLANK(source[[#This Row],[Проверенные]]),IF(ISBLANK(source[[#This Row],[Завершенные]]),source[[#This Row],[Приоритет_]],"Завершено"),"Проверено")</f>
        <v>Проверено</v>
      </c>
      <c r="F396" t="s">
        <v>1668</v>
      </c>
      <c r="G396" t="s">
        <v>2382</v>
      </c>
      <c r="H396" t="e">
        <f>VLOOKUP(source[[#This Row],[Отвественный]],тОтветственные[],2,0)</f>
        <v>#N/A</v>
      </c>
      <c r="I396" s="2">
        <v>43742</v>
      </c>
      <c r="J396" s="2">
        <v>43749</v>
      </c>
      <c r="S396" s="1">
        <v>43770.45952546296</v>
      </c>
      <c r="T396" s="1">
        <v>43770.485462962963</v>
      </c>
      <c r="U396" s="1">
        <v>43770.485462962963</v>
      </c>
      <c r="W396" s="1">
        <v>43787.481504629628</v>
      </c>
      <c r="EC396" s="3" t="s">
        <v>2392</v>
      </c>
      <c r="ED396" t="s">
        <v>2389</v>
      </c>
      <c r="EE396" t="s">
        <v>2390</v>
      </c>
    </row>
    <row r="397" spans="1:152" ht="15" customHeight="1" x14ac:dyDescent="0.35">
      <c r="A397">
        <v>517</v>
      </c>
      <c r="B397" t="s">
        <v>2393</v>
      </c>
      <c r="C397">
        <v>2</v>
      </c>
      <c r="D397" t="str">
        <f>VLOOKUP(source[[#This Row],[Приоритет]],тПриоритеты[],2,0)</f>
        <v>Значительное</v>
      </c>
      <c r="E397" t="str">
        <f>IF(ISBLANK(source[[#This Row],[Проверенные]]),IF(ISBLANK(source[[#This Row],[Завершенные]]),source[[#This Row],[Приоритет_]],"Завершено"),"Проверено")</f>
        <v>Завершено</v>
      </c>
      <c r="F397" t="s">
        <v>1668</v>
      </c>
      <c r="G397" t="s">
        <v>2394</v>
      </c>
      <c r="H397" t="e">
        <f>VLOOKUP(source[[#This Row],[Отвественный]],тОтветственные[],2,0)</f>
        <v>#N/A</v>
      </c>
      <c r="I397" s="2">
        <v>43802</v>
      </c>
      <c r="J397" s="2">
        <v>43804</v>
      </c>
      <c r="K397" t="s">
        <v>1720</v>
      </c>
      <c r="L397">
        <v>19.2</v>
      </c>
      <c r="M397">
        <v>56.78</v>
      </c>
      <c r="Q397" t="s">
        <v>1721</v>
      </c>
      <c r="R397" t="str">
        <f>HYPERLINK("https://d28ji4sm1vmprj.cloudfront.net/c1c1b591ce77c82044efa6b5d6f7663a/cf818dc1bc24c008af413328cec2292d.jpeg", "Ссылка на план")</f>
        <v>Ссылка на план</v>
      </c>
      <c r="S397" s="1">
        <v>43802.687083333331</v>
      </c>
      <c r="T397" s="1">
        <v>43865.681990740741</v>
      </c>
      <c r="W397" s="1">
        <v>43865.682002314818</v>
      </c>
      <c r="AH397" t="s">
        <v>2395</v>
      </c>
      <c r="EC397" t="s">
        <v>2396</v>
      </c>
      <c r="ED397" t="str">
        <f>HYPERLINK("https://d33htgqikc2pj4.cloudfront.net/cfc199fa-0578-4fcb-bd53-3bd1d09a7fa7.jpeg", "Александр Светашов: Ссылка на изображение")</f>
        <v>Александр Светашов: Ссылка на изображение</v>
      </c>
      <c r="EE397" t="str">
        <f>HYPERLINK("https://d33htgqikc2pj4.cloudfront.net/9f3040c1-cc9d-4859-99fa-4ecb1ab26d15.jpeg", "Александр Светашов: Ссылка на изображение")</f>
        <v>Александр Светашов: Ссылка на изображение</v>
      </c>
      <c r="EF397" t="str">
        <f>HYPERLINK("https://d33htgqikc2pj4.cloudfront.net/aa3a136d-fd97-46ca-838b-f1896e859dbe.jpeg", "Александр Светашов: Ссылка на изображение")</f>
        <v>Александр Светашов: Ссылка на изображение</v>
      </c>
      <c r="EG397" t="str">
        <f>HYPERLINK("https://d33htgqikc2pj4.cloudfront.net/3a639e41-fea9-4bdd-842d-33d1ceae1775.jpeg", "Александр Светашов: Ссылка на изображение")</f>
        <v>Александр Светашов: Ссылка на изображение</v>
      </c>
      <c r="EH397" t="s">
        <v>2397</v>
      </c>
      <c r="EI397" t="s">
        <v>1675</v>
      </c>
      <c r="EJ397" t="s">
        <v>1700</v>
      </c>
      <c r="EK397" t="s">
        <v>2185</v>
      </c>
      <c r="EL397" t="str">
        <f>HYPERLINK("https://d33htgqikc2pj4.cloudfront.net/3da88c9cdf3af298c38f181f77771554/2c557d829060b3a07bf4d833f8189f6b-file.jpeg", "Слаботочные Системы Renaissance: Ссылка на изображение")</f>
        <v>Слаботочные Системы Renaissance: Ссылка на изображение</v>
      </c>
      <c r="EM397" t="s">
        <v>2398</v>
      </c>
      <c r="EN397" t="s">
        <v>2399</v>
      </c>
      <c r="EO397" t="s">
        <v>2400</v>
      </c>
    </row>
    <row r="398" spans="1:152" ht="15" customHeight="1" x14ac:dyDescent="0.35">
      <c r="A398">
        <v>516</v>
      </c>
      <c r="B398" t="s">
        <v>2401</v>
      </c>
      <c r="C398">
        <v>2</v>
      </c>
      <c r="D398" t="str">
        <f>VLOOKUP(source[[#This Row],[Приоритет]],тПриоритеты[],2,0)</f>
        <v>Значительное</v>
      </c>
      <c r="E398" t="str">
        <f>IF(ISBLANK(source[[#This Row],[Проверенные]]),IF(ISBLANK(source[[#This Row],[Завершенные]]),source[[#This Row],[Приоритет_]],"Завершено"),"Проверено")</f>
        <v>Проверено</v>
      </c>
      <c r="F398" t="s">
        <v>1668</v>
      </c>
      <c r="G398" t="s">
        <v>2394</v>
      </c>
      <c r="H398" t="e">
        <f>VLOOKUP(source[[#This Row],[Отвественный]],тОтветственные[],2,0)</f>
        <v>#N/A</v>
      </c>
      <c r="I398" s="2">
        <v>43802</v>
      </c>
      <c r="J398" s="2">
        <v>43805</v>
      </c>
      <c r="K398" t="s">
        <v>1720</v>
      </c>
      <c r="L398">
        <v>17.79</v>
      </c>
      <c r="M398">
        <v>52.11</v>
      </c>
      <c r="Q398" t="s">
        <v>1721</v>
      </c>
      <c r="R398" t="str">
        <f>HYPERLINK("https://d28ji4sm1vmprj.cloudfront.net/c1c1b591ce77c82044efa6b5d6f7663a/cf818dc1bc24c008af413328cec2292d.jpeg", "Ссылка на план")</f>
        <v>Ссылка на план</v>
      </c>
      <c r="S398" s="1">
        <v>43802.687071759261</v>
      </c>
      <c r="T398" s="1">
        <v>43822.584618055553</v>
      </c>
      <c r="U398" s="1">
        <v>43826.413981481484</v>
      </c>
      <c r="W398" s="1">
        <v>43826.413981481484</v>
      </c>
      <c r="EC398" t="s">
        <v>2402</v>
      </c>
      <c r="ED398" t="str">
        <f>HYPERLINK("https://d33htgqikc2pj4.cloudfront.net/776d936a-1732-4bab-b917-e06aa662763b.jpeg", "Александр Светашов: Ссылка на изображение")</f>
        <v>Александр Светашов: Ссылка на изображение</v>
      </c>
      <c r="EE398" t="str">
        <f>HYPERLINK("https://d33htgqikc2pj4.cloudfront.net/ea8bcf05-3333-44fc-b329-72725f913faf.jpeg", "Александр Светашов: Ссылка на изображение")</f>
        <v>Александр Светашов: Ссылка на изображение</v>
      </c>
      <c r="EF398" t="str">
        <f>HYPERLINK("https://d33htgqikc2pj4.cloudfront.net/165e85b3-da13-4e54-a9af-354173a3fb5b.jpeg", "Александр Светашов: Ссылка на изображение")</f>
        <v>Александр Светашов: Ссылка на изображение</v>
      </c>
      <c r="EG398" t="str">
        <f>HYPERLINK("https://d33htgqikc2pj4.cloudfront.net/e86a14b0-f8ea-4c7a-aefb-d5850232ae31.jpeg", "Александр Светашов: Ссылка на изображение")</f>
        <v>Александр Светашов: Ссылка на изображение</v>
      </c>
      <c r="EH398" t="str">
        <f>HYPERLINK("https://d33htgqikc2pj4.cloudfront.net/8047c997-8037-4700-93f7-dc704b4e4026.jpeg", "Александр Светашов: Ссылка на изображение")</f>
        <v>Александр Светашов: Ссылка на изображение</v>
      </c>
      <c r="EI398" t="s">
        <v>2397</v>
      </c>
      <c r="EJ398" t="s">
        <v>1675</v>
      </c>
      <c r="EK398" t="s">
        <v>1700</v>
      </c>
      <c r="EL398" t="s">
        <v>1701</v>
      </c>
      <c r="EM398" t="str">
        <f>HYPERLINK("https://d33htgqikc2pj4.cloudfront.net/c7af472ddd280640db03b27ecf20a7b3/76aa7e6ac6061a0d32fdc0f6d19cc427-file.jpeg", "Слаботочные Системы Renaissance: Ссылка на изображение")</f>
        <v>Слаботочные Системы Renaissance: Ссылка на изображение</v>
      </c>
      <c r="EN398" t="s">
        <v>2403</v>
      </c>
      <c r="EO398" t="s">
        <v>2399</v>
      </c>
      <c r="EP398" t="s">
        <v>794</v>
      </c>
    </row>
    <row r="399" spans="1:152" ht="15" customHeight="1" x14ac:dyDescent="0.35">
      <c r="A399">
        <v>1267</v>
      </c>
      <c r="C399">
        <v>2</v>
      </c>
      <c r="D399" t="str">
        <f>VLOOKUP(source[[#This Row],[Приоритет]],тПриоритеты[],2,0)</f>
        <v>Значительное</v>
      </c>
      <c r="E399" t="str">
        <f>IF(ISBLANK(source[[#This Row],[Проверенные]]),IF(ISBLANK(source[[#This Row],[Завершенные]]),source[[#This Row],[Приоритет_]],"Завершено"),"Проверено")</f>
        <v>Значительное</v>
      </c>
      <c r="F399" t="s">
        <v>1668</v>
      </c>
      <c r="G399" t="s">
        <v>426</v>
      </c>
      <c r="H399" t="e">
        <f>VLOOKUP(source[[#This Row],[Отвественный]],тОтветственные[],2,0)</f>
        <v>#N/A</v>
      </c>
      <c r="K399" t="s">
        <v>1682</v>
      </c>
      <c r="L399">
        <v>29.29</v>
      </c>
      <c r="M399">
        <v>14.38</v>
      </c>
      <c r="Q399" t="s">
        <v>279</v>
      </c>
      <c r="R399" t="str">
        <f>HYPERLINK("https://d28ji4sm1vmprj.cloudfront.net/267b648b195aef8de4604b37c41931c7/ea9db198dbb2c60236ac7c991842bfd1.jpeg", "Ссылка на план")</f>
        <v>Ссылка на план</v>
      </c>
      <c r="S399" s="1">
        <v>43871.763101851851</v>
      </c>
      <c r="W399" s="1">
        <v>43871.763101851851</v>
      </c>
    </row>
    <row r="400" spans="1:152" ht="15" customHeight="1" x14ac:dyDescent="0.35">
      <c r="A400">
        <v>92</v>
      </c>
      <c r="B400" t="s">
        <v>2404</v>
      </c>
      <c r="C400">
        <v>2</v>
      </c>
      <c r="D400" t="str">
        <f>VLOOKUP(source[[#This Row],[Приоритет]],тПриоритеты[],2,0)</f>
        <v>Значительное</v>
      </c>
      <c r="E400" t="str">
        <f>IF(ISBLANK(source[[#This Row],[Проверенные]]),IF(ISBLANK(source[[#This Row],[Завершенные]]),source[[#This Row],[Приоритет_]],"Завершено"),"Проверено")</f>
        <v>Проверено</v>
      </c>
      <c r="F400" t="s">
        <v>1668</v>
      </c>
      <c r="G400" t="s">
        <v>426</v>
      </c>
      <c r="H400" t="e">
        <f>VLOOKUP(source[[#This Row],[Отвественный]],тОтветственные[],2,0)</f>
        <v>#N/A</v>
      </c>
      <c r="K400" t="s">
        <v>2405</v>
      </c>
      <c r="L400">
        <v>0</v>
      </c>
      <c r="M400">
        <v>0</v>
      </c>
      <c r="Q400" t="s">
        <v>553</v>
      </c>
      <c r="R400" t="str">
        <f>HYPERLINK("https://d28ji4sm1vmprj.cloudfront.net/e1b18aac0cf4be75f0b8494d83c4b68b/22eda17d18155fecd91425bffd330d0f.jpeg", "Ссылка на план")</f>
        <v>Ссылка на план</v>
      </c>
      <c r="S400" s="1">
        <v>43770.686909722222</v>
      </c>
      <c r="T400" s="1">
        <v>43780.106157407405</v>
      </c>
      <c r="U400" s="1">
        <v>43797.496134259258</v>
      </c>
      <c r="W400" s="1">
        <v>43797.496145833335</v>
      </c>
      <c r="EC400" t="s">
        <v>2406</v>
      </c>
      <c r="ED400" t="s">
        <v>2349</v>
      </c>
      <c r="EE400" t="str">
        <f>HYPERLINK("https://d33htgqikc2pj4.cloudfront.net/qvHDimMUqxZcQnsj/b67fc839-487d-436d-887c-ff4e7e185ba1.jpeg", "Юрий Прасолов: Ссылка на изображение")</f>
        <v>Юрий Прасолов: Ссылка на изображение</v>
      </c>
      <c r="EF400" t="str">
        <f>HYPERLINK("https://d33htgqikc2pj4.cloudfront.net/qvHDimMUqxZcQnsj/b1f37bae-a1f1-499d-af1b-8daa0a023ece.jpeg", "Юрий Прасолов: Ссылка на изображение")</f>
        <v>Юрий Прасолов: Ссылка на изображение</v>
      </c>
      <c r="EG400" t="str">
        <f>HYPERLINK("https://d33htgqikc2pj4.cloudfront.net/qvHDimMUqxZcQnsj/QgN5RxtZQhSK6WItxchk_cbfcd374-7d89-4349-b830-e86ec1b06967.jpg", "Юрий Прасолов: Ссылка на изображение")</f>
        <v>Юрий Прасолов: Ссылка на изображение</v>
      </c>
      <c r="EH400" t="s">
        <v>2407</v>
      </c>
      <c r="EI400" t="s">
        <v>2408</v>
      </c>
      <c r="EJ400" t="s">
        <v>2409</v>
      </c>
      <c r="EK400" t="s">
        <v>2410</v>
      </c>
      <c r="EL400" t="s">
        <v>2411</v>
      </c>
      <c r="EM400" t="s">
        <v>2412</v>
      </c>
      <c r="EN400" t="s">
        <v>457</v>
      </c>
      <c r="EO400" t="s">
        <v>794</v>
      </c>
    </row>
    <row r="401" spans="1:148" ht="15" customHeight="1" x14ac:dyDescent="0.35">
      <c r="A401">
        <v>606</v>
      </c>
      <c r="B401" t="s">
        <v>2413</v>
      </c>
      <c r="C401">
        <v>1</v>
      </c>
      <c r="D401" t="str">
        <f>VLOOKUP(source[[#This Row],[Приоритет]],тПриоритеты[],2,0)</f>
        <v>КРИТИЧЕСКОЕ</v>
      </c>
      <c r="E401" t="str">
        <f>IF(ISBLANK(source[[#This Row],[Проверенные]]),IF(ISBLANK(source[[#This Row],[Завершенные]]),source[[#This Row],[Приоритет_]],"Завершено"),"Проверено")</f>
        <v>Проверено</v>
      </c>
      <c r="F401" t="s">
        <v>2414</v>
      </c>
      <c r="G401" t="s">
        <v>217</v>
      </c>
      <c r="H401" t="e">
        <f>VLOOKUP(source[[#This Row],[Отвественный]],тОтветственные[],2,0)</f>
        <v>#N/A</v>
      </c>
      <c r="I401" s="2">
        <v>43811</v>
      </c>
      <c r="J401" s="2">
        <v>43818</v>
      </c>
      <c r="K401" t="s">
        <v>2415</v>
      </c>
      <c r="L401">
        <v>65.75</v>
      </c>
      <c r="M401">
        <v>82</v>
      </c>
      <c r="Q401" t="s">
        <v>2416</v>
      </c>
      <c r="R401" t="str">
        <f>HYPERLINK("https://d28ji4sm1vmprj.cloudfront.net/ab1caf70d69775019dfb21f8d4d686bd/2dccf5d4a9247f7cfd24b3a3f943521f.jpeg", "Ссылка на план")</f>
        <v>Ссылка на план</v>
      </c>
      <c r="S401" s="1">
        <v>43811.051145833335</v>
      </c>
      <c r="T401" s="1">
        <v>43812.430023148147</v>
      </c>
      <c r="U401" s="1">
        <v>43812.430127314816</v>
      </c>
      <c r="W401" s="1">
        <v>43812.430138888885</v>
      </c>
      <c r="EC401" t="s">
        <v>2417</v>
      </c>
      <c r="ED401" t="s">
        <v>2418</v>
      </c>
      <c r="EE401" t="s">
        <v>2419</v>
      </c>
      <c r="EF401" t="s">
        <v>2420</v>
      </c>
      <c r="EG401" t="s">
        <v>1959</v>
      </c>
      <c r="EH401" t="s">
        <v>2421</v>
      </c>
      <c r="EI401" t="s">
        <v>2422</v>
      </c>
      <c r="EJ401" t="s">
        <v>2423</v>
      </c>
    </row>
    <row r="402" spans="1:148" ht="15" customHeight="1" x14ac:dyDescent="0.35">
      <c r="A402">
        <v>490</v>
      </c>
      <c r="B402" t="s">
        <v>2424</v>
      </c>
      <c r="C402">
        <v>1</v>
      </c>
      <c r="D402" t="str">
        <f>VLOOKUP(source[[#This Row],[Приоритет]],тПриоритеты[],2,0)</f>
        <v>КРИТИЧЕСКОЕ</v>
      </c>
      <c r="E402" t="str">
        <f>IF(ISBLANK(source[[#This Row],[Проверенные]]),IF(ISBLANK(source[[#This Row],[Завершенные]]),source[[#This Row],[Приоритет_]],"Завершено"),"Проверено")</f>
        <v>КРИТИЧЕСКОЕ</v>
      </c>
      <c r="F402" t="s">
        <v>2414</v>
      </c>
      <c r="G402" t="s">
        <v>856</v>
      </c>
      <c r="H402" t="e">
        <f>VLOOKUP(source[[#This Row],[Отвественный]],тОтветственные[],2,0)</f>
        <v>#N/A</v>
      </c>
      <c r="I402" s="2">
        <v>43799</v>
      </c>
      <c r="J402" s="2">
        <v>43809</v>
      </c>
      <c r="K402" t="s">
        <v>2425</v>
      </c>
      <c r="L402">
        <v>26.91</v>
      </c>
      <c r="M402">
        <v>42.98</v>
      </c>
      <c r="Q402" t="s">
        <v>858</v>
      </c>
      <c r="R402" t="str">
        <f>HYPERLINK("https://d28ji4sm1vmprj.cloudfront.net/f353621ec74f7d1d79a53ab52805da41/024a3232dfe85f0d0e7000e3cc4cf5e8.jpeg", "Ссылка на план")</f>
        <v>Ссылка на план</v>
      </c>
      <c r="S402" s="1">
        <v>43799.522731481484</v>
      </c>
      <c r="W402" s="1">
        <v>43808.73238425926</v>
      </c>
      <c r="EC402" t="s">
        <v>1959</v>
      </c>
      <c r="ED402" t="s">
        <v>2426</v>
      </c>
      <c r="EE402" t="s">
        <v>2427</v>
      </c>
      <c r="EF402" t="s">
        <v>2428</v>
      </c>
      <c r="EG402" t="s">
        <v>2429</v>
      </c>
      <c r="EH402" t="s">
        <v>2430</v>
      </c>
      <c r="EI402" t="s">
        <v>2431</v>
      </c>
      <c r="EJ402" t="s">
        <v>2432</v>
      </c>
      <c r="EK402" t="s">
        <v>2433</v>
      </c>
      <c r="EL402" t="s">
        <v>2434</v>
      </c>
      <c r="EM402" t="s">
        <v>2435</v>
      </c>
      <c r="EN402" t="s">
        <v>2436</v>
      </c>
    </row>
    <row r="403" spans="1:148" ht="15" customHeight="1" x14ac:dyDescent="0.35">
      <c r="A403">
        <v>395</v>
      </c>
      <c r="B403" t="s">
        <v>2437</v>
      </c>
      <c r="C403">
        <v>1</v>
      </c>
      <c r="D403" t="str">
        <f>VLOOKUP(source[[#This Row],[Приоритет]],тПриоритеты[],2,0)</f>
        <v>КРИТИЧЕСКОЕ</v>
      </c>
      <c r="E403" t="str">
        <f>IF(ISBLANK(source[[#This Row],[Проверенные]]),IF(ISBLANK(source[[#This Row],[Завершенные]]),source[[#This Row],[Приоритет_]],"Завершено"),"Проверено")</f>
        <v>КРИТИЧЕСКОЕ</v>
      </c>
      <c r="F403" t="s">
        <v>2414</v>
      </c>
      <c r="G403" t="s">
        <v>856</v>
      </c>
      <c r="H403" t="e">
        <f>VLOOKUP(source[[#This Row],[Отвественный]],тОтветственные[],2,0)</f>
        <v>#N/A</v>
      </c>
      <c r="I403" s="2">
        <v>43791</v>
      </c>
      <c r="J403" s="2">
        <v>43791</v>
      </c>
      <c r="N403" t="s">
        <v>2438</v>
      </c>
      <c r="S403" s="1">
        <v>43791.414733796293</v>
      </c>
      <c r="W403" s="1">
        <v>43808.731666666667</v>
      </c>
      <c r="EC403" t="s">
        <v>2439</v>
      </c>
      <c r="ED403" t="s">
        <v>2440</v>
      </c>
      <c r="EE403" t="s">
        <v>2441</v>
      </c>
      <c r="EF403" t="s">
        <v>2442</v>
      </c>
      <c r="EG403" t="s">
        <v>2443</v>
      </c>
      <c r="EH403" t="s">
        <v>2444</v>
      </c>
      <c r="EI403" s="3" t="s">
        <v>2445</v>
      </c>
    </row>
    <row r="404" spans="1:148" ht="15" customHeight="1" x14ac:dyDescent="0.35">
      <c r="A404">
        <v>218</v>
      </c>
      <c r="B404" t="s">
        <v>2446</v>
      </c>
      <c r="C404">
        <v>1</v>
      </c>
      <c r="D404" t="str">
        <f>VLOOKUP(source[[#This Row],[Приоритет]],тПриоритеты[],2,0)</f>
        <v>КРИТИЧЕСКОЕ</v>
      </c>
      <c r="E404" t="str">
        <f>IF(ISBLANK(source[[#This Row],[Проверенные]]),IF(ISBLANK(source[[#This Row],[Завершенные]]),source[[#This Row],[Приоритет_]],"Завершено"),"Проверено")</f>
        <v>КРИТИЧЕСКОЕ</v>
      </c>
      <c r="F404" t="s">
        <v>2414</v>
      </c>
      <c r="G404" t="s">
        <v>856</v>
      </c>
      <c r="H404" t="e">
        <f>VLOOKUP(source[[#This Row],[Отвественный]],тОтветственные[],2,0)</f>
        <v>#N/A</v>
      </c>
      <c r="I404" s="2">
        <v>43787</v>
      </c>
      <c r="J404" s="2">
        <v>43845</v>
      </c>
      <c r="S404" s="1">
        <v>43781.425347222219</v>
      </c>
      <c r="W404" s="1">
        <v>43823.43173611111</v>
      </c>
      <c r="EC404" t="s">
        <v>2447</v>
      </c>
      <c r="ED404" t="s">
        <v>2448</v>
      </c>
      <c r="EE404" t="s">
        <v>2449</v>
      </c>
      <c r="EF404" t="s">
        <v>2440</v>
      </c>
      <c r="EG404" t="s">
        <v>2450</v>
      </c>
      <c r="EH404" t="s">
        <v>1164</v>
      </c>
      <c r="EI404" t="s">
        <v>864</v>
      </c>
      <c r="EJ404" t="s">
        <v>2451</v>
      </c>
      <c r="EK404" t="s">
        <v>2448</v>
      </c>
      <c r="EL404" t="s">
        <v>2452</v>
      </c>
      <c r="EM404" t="s">
        <v>2453</v>
      </c>
      <c r="EN404" t="s">
        <v>2454</v>
      </c>
    </row>
    <row r="405" spans="1:148" ht="15" customHeight="1" x14ac:dyDescent="0.35">
      <c r="A405">
        <v>506</v>
      </c>
      <c r="B405" t="s">
        <v>2455</v>
      </c>
      <c r="C405">
        <v>2</v>
      </c>
      <c r="D405" t="str">
        <f>VLOOKUP(source[[#This Row],[Приоритет]],тПриоритеты[],2,0)</f>
        <v>Значительное</v>
      </c>
      <c r="E405" t="str">
        <f>IF(ISBLANK(source[[#This Row],[Проверенные]]),IF(ISBLANK(source[[#This Row],[Завершенные]]),source[[#This Row],[Приоритет_]],"Завершено"),"Проверено")</f>
        <v>Значительное</v>
      </c>
      <c r="F405" t="s">
        <v>2414</v>
      </c>
      <c r="G405" t="s">
        <v>856</v>
      </c>
      <c r="H405" t="e">
        <f>VLOOKUP(source[[#This Row],[Отвественный]],тОтветственные[],2,0)</f>
        <v>#N/A</v>
      </c>
      <c r="I405" s="2">
        <v>43801</v>
      </c>
      <c r="J405" s="2">
        <v>43819</v>
      </c>
      <c r="K405" t="s">
        <v>2456</v>
      </c>
      <c r="L405">
        <v>51.91</v>
      </c>
      <c r="M405">
        <v>62.75</v>
      </c>
      <c r="Q405" t="s">
        <v>2416</v>
      </c>
      <c r="R405" t="str">
        <f>HYPERLINK("https://d28ji4sm1vmprj.cloudfront.net/50a768d907eeadeeb0f7166b93979f31/513c2625ae7311f965de64d7500dabce.jpeg", "Ссылка на план")</f>
        <v>Ссылка на план</v>
      </c>
      <c r="S405" s="1">
        <v>43801.74113425926</v>
      </c>
      <c r="W405" s="1">
        <v>43816.705092592594</v>
      </c>
      <c r="EC405" t="s">
        <v>2457</v>
      </c>
      <c r="ED405" s="3" t="s">
        <v>2458</v>
      </c>
      <c r="EE405" t="str">
        <f>HYPERLINK("https://d33htgqikc2pj4.cloudfront.net/0209eead2ba2e86d54ac6864ea7b6f51/3ff17894940cc2562ae3b810889b6a20-file.jpeg", "Александр Лесюта: Ссылка на изображение")</f>
        <v>Александр Лесюта: Ссылка на изображение</v>
      </c>
      <c r="EF405" t="str">
        <f>HYPERLINK("https://d33htgqikc2pj4.cloudfront.net/e04706971537959412cebc497ff75dfd/c231fb016aeedb2f39013d44602f085b-file.jpeg", "Александр Лесюта: Ссылка на изображение")</f>
        <v>Александр Лесюта: Ссылка на изображение</v>
      </c>
      <c r="EG405" t="str">
        <f>HYPERLINK("https://d33htgqikc2pj4.cloudfront.net/1f8b72a599037a5b2cf5cbb31abe391d/ab5c054e169730fb6417d1e080e917bf-file.jpeg", "Александр Лесюта: Ссылка на изображение")</f>
        <v>Александр Лесюта: Ссылка на изображение</v>
      </c>
      <c r="EH405" t="s">
        <v>2444</v>
      </c>
      <c r="EI405" t="s">
        <v>2459</v>
      </c>
      <c r="EJ405" t="s">
        <v>2460</v>
      </c>
    </row>
    <row r="406" spans="1:148" ht="15" customHeight="1" x14ac:dyDescent="0.35">
      <c r="A406">
        <v>445</v>
      </c>
      <c r="B406" t="s">
        <v>2461</v>
      </c>
      <c r="C406">
        <v>2</v>
      </c>
      <c r="D406" t="str">
        <f>VLOOKUP(source[[#This Row],[Приоритет]],тПриоритеты[],2,0)</f>
        <v>Значительное</v>
      </c>
      <c r="E406" t="str">
        <f>IF(ISBLANK(source[[#This Row],[Проверенные]]),IF(ISBLANK(source[[#This Row],[Завершенные]]),source[[#This Row],[Приоритет_]],"Завершено"),"Проверено")</f>
        <v>Значительное</v>
      </c>
      <c r="F406" t="s">
        <v>2414</v>
      </c>
      <c r="G406" t="s">
        <v>856</v>
      </c>
      <c r="H406" t="e">
        <f>VLOOKUP(source[[#This Row],[Отвественный]],тОтветственные[],2,0)</f>
        <v>#N/A</v>
      </c>
      <c r="I406" s="2">
        <v>43795</v>
      </c>
      <c r="J406" s="2">
        <v>43822</v>
      </c>
      <c r="K406" t="s">
        <v>2425</v>
      </c>
      <c r="L406">
        <v>0</v>
      </c>
      <c r="M406">
        <v>0</v>
      </c>
      <c r="Q406" t="s">
        <v>858</v>
      </c>
      <c r="R406" t="str">
        <f>HYPERLINK("https://d28ji4sm1vmprj.cloudfront.net/f353621ec74f7d1d79a53ab52805da41/024a3232dfe85f0d0e7000e3cc4cf5e8.jpeg", "Ссылка на план")</f>
        <v>Ссылка на план</v>
      </c>
      <c r="S406" s="1">
        <v>43795.681886574072</v>
      </c>
      <c r="W406" s="1">
        <v>43816.704884259256</v>
      </c>
      <c r="EC406" t="s">
        <v>2462</v>
      </c>
      <c r="ED406" t="s">
        <v>2463</v>
      </c>
      <c r="EE406" t="s">
        <v>2464</v>
      </c>
      <c r="EF406" t="s">
        <v>2444</v>
      </c>
      <c r="EG406" t="s">
        <v>2465</v>
      </c>
      <c r="EH406" t="str">
        <f>HYPERLINK("https://d33htgqikc2pj4.cloudfront.net/3fd470cdb2b4d395995891ecde42328b/8e7c44562efff5ad64d1d446b6115f50-file.jpeg", "Александр Лесюта: Ссылка на изображение")</f>
        <v>Александр Лесюта: Ссылка на изображение</v>
      </c>
      <c r="EI406" t="str">
        <f>HYPERLINK("https://d33htgqikc2pj4.cloudfront.net/a74cbc4df33e546697985ceb698980b2/e0e4f0f60686dc0248f226938c040000-file.jpeg", "Александр Лесюта: Ссылка на изображение")</f>
        <v>Александр Лесюта: Ссылка на изображение</v>
      </c>
      <c r="EJ406" t="str">
        <f>HYPERLINK("https://d33htgqikc2pj4.cloudfront.net/db909c3d92c47697c08a4af353e20418/00ca37e09f3476891a1995b80f6df5c7-file.jpeg", "Александр Лесюта: Ссылка на изображение")</f>
        <v>Александр Лесюта: Ссылка на изображение</v>
      </c>
      <c r="EK406" t="str">
        <f>HYPERLINK("https://d33htgqikc2pj4.cloudfront.net/647fdabb8a80cd73a7bab92a40c1941b/6a06e4f3de294a54d3de9ea2cce5a551-file.jpeg", "Александр Лесюта: Ссылка на изображение")</f>
        <v>Александр Лесюта: Ссылка на изображение</v>
      </c>
      <c r="EL406" t="str">
        <f>HYPERLINK("https://d33htgqikc2pj4.cloudfront.net/a51135046aabc3017195e18370b98a5c/3e00313acb36f507b705f01428915009-file.jpeg", "Александр Лесюта: Ссылка на изображение")</f>
        <v>Александр Лесюта: Ссылка на изображение</v>
      </c>
      <c r="EM406" t="str">
        <f>HYPERLINK("https://d33htgqikc2pj4.cloudfront.net/f1f3e0b208bcefff03904a66ed9b6685/c5d9308dc5b060d36c5daca4e1d94cf8-file.jpeg", "Александр Лесюта: Ссылка на изображение")</f>
        <v>Александр Лесюта: Ссылка на изображение</v>
      </c>
      <c r="EN406" t="str">
        <f>HYPERLINK("https://d33htgqikc2pj4.cloudfront.net/7d601edaffcd787ffa0e2d6db81c8e9d/041b7cd5e7e5de9fcddf44569c48dee5-file.jpeg", "Александр Лесюта: Ссылка на изображение")</f>
        <v>Александр Лесюта: Ссылка на изображение</v>
      </c>
      <c r="EO406" t="str">
        <f>HYPERLINK("https://d33htgqikc2pj4.cloudfront.net/a613eaab158fd6f4ed521975a48e47f6/9b22da46127aae144dd4a32f41cdff2d-file.jpeg", "Александр Лесюта: Ссылка на изображение")</f>
        <v>Александр Лесюта: Ссылка на изображение</v>
      </c>
      <c r="EP406" t="str">
        <f>HYPERLINK("https://d33htgqikc2pj4.cloudfront.net/b335bd76d9ddf4c3099ee54d445dac0f/5ac4ca121687abf9369261122ce38b6e-file.jpeg", "Александр Лесюта: Ссылка на изображение")</f>
        <v>Александр Лесюта: Ссылка на изображение</v>
      </c>
      <c r="EQ406" t="s">
        <v>2466</v>
      </c>
      <c r="ER406" t="s">
        <v>2467</v>
      </c>
    </row>
    <row r="407" spans="1:148" ht="15" customHeight="1" x14ac:dyDescent="0.35">
      <c r="A407">
        <v>813</v>
      </c>
      <c r="B407" t="s">
        <v>2468</v>
      </c>
      <c r="C407">
        <v>2</v>
      </c>
      <c r="D407" t="str">
        <f>VLOOKUP(source[[#This Row],[Приоритет]],тПриоритеты[],2,0)</f>
        <v>Значительное</v>
      </c>
      <c r="E407" t="str">
        <f>IF(ISBLANK(source[[#This Row],[Проверенные]]),IF(ISBLANK(source[[#This Row],[Завершенные]]),source[[#This Row],[Приоритет_]],"Завершено"),"Проверено")</f>
        <v>Значительное</v>
      </c>
      <c r="F407" t="s">
        <v>2414</v>
      </c>
      <c r="G407" t="s">
        <v>856</v>
      </c>
      <c r="H407" t="e">
        <f>VLOOKUP(source[[#This Row],[Отвественный]],тОтветственные[],2,0)</f>
        <v>#N/A</v>
      </c>
      <c r="I407" s="2">
        <v>43826</v>
      </c>
      <c r="J407" s="2">
        <v>43860</v>
      </c>
      <c r="S407" s="1">
        <v>43826.70820601852</v>
      </c>
      <c r="W407" s="1">
        <v>43845.523634259262</v>
      </c>
      <c r="EC407" t="s">
        <v>2469</v>
      </c>
      <c r="ED407" t="s">
        <v>2470</v>
      </c>
      <c r="EE407" t="str">
        <f>HYPERLINK("https://d33htgqikc2pj4.cloudfront.net/12fe94c824f0574304b640bf55bba452/89eae5c0dd78bfc948f6a774c5c0ed7e-file.jpeg", "Александр Лесюта: Ссылка на изображение")</f>
        <v>Александр Лесюта: Ссылка на изображение</v>
      </c>
      <c r="EF407" t="str">
        <f>HYPERLINK("https://d33htgqikc2pj4.cloudfront.net/e1592c49a5bae679f585829bcd353521/0388136955b7dcbca85494ed8be3c891-file.jpeg", "Александр Лесюта: Ссылка на изображение")</f>
        <v>Александр Лесюта: Ссылка на изображение</v>
      </c>
      <c r="EG407" t="s">
        <v>2444</v>
      </c>
      <c r="EH407" t="s">
        <v>2471</v>
      </c>
      <c r="EI407" t="s">
        <v>2472</v>
      </c>
    </row>
    <row r="408" spans="1:148" ht="15" customHeight="1" x14ac:dyDescent="0.35">
      <c r="A408">
        <v>55</v>
      </c>
      <c r="B408" t="s">
        <v>2473</v>
      </c>
      <c r="C408">
        <v>2</v>
      </c>
      <c r="D408" t="str">
        <f>VLOOKUP(source[[#This Row],[Приоритет]],тПриоритеты[],2,0)</f>
        <v>Значительное</v>
      </c>
      <c r="E408" t="str">
        <f>IF(ISBLANK(source[[#This Row],[Проверенные]]),IF(ISBLANK(source[[#This Row],[Завершенные]]),source[[#This Row],[Приоритет_]],"Завершено"),"Проверено")</f>
        <v>Значительное</v>
      </c>
      <c r="F408" t="s">
        <v>2414</v>
      </c>
      <c r="G408" t="s">
        <v>856</v>
      </c>
      <c r="H408" t="e">
        <f>VLOOKUP(source[[#This Row],[Отвественный]],тОтветственные[],2,0)</f>
        <v>#N/A</v>
      </c>
      <c r="I408" s="2">
        <v>43655</v>
      </c>
      <c r="J408" s="2">
        <v>43905</v>
      </c>
      <c r="N408" t="s">
        <v>2474</v>
      </c>
      <c r="S408" s="1">
        <v>43770.459444444445</v>
      </c>
      <c r="W408" s="1">
        <v>43787.707673611112</v>
      </c>
      <c r="EC408" s="3" t="s">
        <v>2475</v>
      </c>
      <c r="ED408" t="s">
        <v>2476</v>
      </c>
      <c r="EE408" t="s">
        <v>2477</v>
      </c>
      <c r="EF408" t="s">
        <v>1164</v>
      </c>
      <c r="EG408" t="s">
        <v>864</v>
      </c>
      <c r="EH408" t="s">
        <v>2478</v>
      </c>
      <c r="EI408" t="s">
        <v>2479</v>
      </c>
    </row>
    <row r="409" spans="1:148" ht="15" customHeight="1" x14ac:dyDescent="0.35">
      <c r="A409">
        <v>47</v>
      </c>
      <c r="B409" t="s">
        <v>2480</v>
      </c>
      <c r="C409">
        <v>2</v>
      </c>
      <c r="D409" t="str">
        <f>VLOOKUP(source[[#This Row],[Приоритет]],тПриоритеты[],2,0)</f>
        <v>Значительное</v>
      </c>
      <c r="E409" t="str">
        <f>IF(ISBLANK(source[[#This Row],[Проверенные]]),IF(ISBLANK(source[[#This Row],[Завершенные]]),source[[#This Row],[Приоритет_]],"Завершено"),"Проверено")</f>
        <v>Значительное</v>
      </c>
      <c r="F409" t="s">
        <v>2414</v>
      </c>
      <c r="G409" t="s">
        <v>856</v>
      </c>
      <c r="H409" t="e">
        <f>VLOOKUP(source[[#This Row],[Отвественный]],тОтветственные[],2,0)</f>
        <v>#N/A</v>
      </c>
      <c r="I409" s="2">
        <v>43613</v>
      </c>
      <c r="J409" s="2">
        <v>43891</v>
      </c>
      <c r="N409" t="s">
        <v>2481</v>
      </c>
      <c r="S409" s="1">
        <v>43770.459398148145</v>
      </c>
      <c r="W409" s="1">
        <v>43822.593518518515</v>
      </c>
      <c r="EC409" s="3" t="s">
        <v>2482</v>
      </c>
      <c r="ED409" t="s">
        <v>2483</v>
      </c>
      <c r="EE409" t="s">
        <v>2484</v>
      </c>
      <c r="EF409" t="s">
        <v>1164</v>
      </c>
      <c r="EG409" t="s">
        <v>864</v>
      </c>
      <c r="EH409" t="s">
        <v>2478</v>
      </c>
      <c r="EI409" t="s">
        <v>2448</v>
      </c>
      <c r="EJ409" t="s">
        <v>2485</v>
      </c>
    </row>
    <row r="410" spans="1:148" ht="15" customHeight="1" x14ac:dyDescent="0.35">
      <c r="A410">
        <v>52</v>
      </c>
      <c r="B410" t="s">
        <v>2486</v>
      </c>
      <c r="C410">
        <v>2</v>
      </c>
      <c r="D410" t="str">
        <f>VLOOKUP(source[[#This Row],[Приоритет]],тПриоритеты[],2,0)</f>
        <v>Значительное</v>
      </c>
      <c r="E410" t="str">
        <f>IF(ISBLANK(source[[#This Row],[Проверенные]]),IF(ISBLANK(source[[#This Row],[Завершенные]]),source[[#This Row],[Приоритет_]],"Завершено"),"Проверено")</f>
        <v>Значительное</v>
      </c>
      <c r="F410" t="s">
        <v>2414</v>
      </c>
      <c r="G410" t="s">
        <v>856</v>
      </c>
      <c r="H410" t="e">
        <f>VLOOKUP(source[[#This Row],[Отвественный]],тОтветственные[],2,0)</f>
        <v>#N/A</v>
      </c>
      <c r="I410" s="2">
        <v>43655</v>
      </c>
      <c r="J410" s="2">
        <v>43905</v>
      </c>
      <c r="N410" t="s">
        <v>2474</v>
      </c>
      <c r="S410" s="1">
        <v>43770.459432870368</v>
      </c>
      <c r="W410" s="1">
        <v>43787.707187499997</v>
      </c>
      <c r="EC410" s="3" t="s">
        <v>2487</v>
      </c>
      <c r="ED410" t="s">
        <v>2476</v>
      </c>
      <c r="EE410" t="s">
        <v>2488</v>
      </c>
      <c r="EF410" t="s">
        <v>1164</v>
      </c>
      <c r="EG410" t="s">
        <v>864</v>
      </c>
      <c r="EH410" t="s">
        <v>2478</v>
      </c>
      <c r="EI410" t="s">
        <v>2479</v>
      </c>
    </row>
    <row r="411" spans="1:148" ht="15" customHeight="1" x14ac:dyDescent="0.35">
      <c r="A411">
        <v>56</v>
      </c>
      <c r="B411" t="s">
        <v>2489</v>
      </c>
      <c r="C411">
        <v>2</v>
      </c>
      <c r="D411" t="str">
        <f>VLOOKUP(source[[#This Row],[Приоритет]],тПриоритеты[],2,0)</f>
        <v>Значительное</v>
      </c>
      <c r="E411" t="str">
        <f>IF(ISBLANK(source[[#This Row],[Проверенные]]),IF(ISBLANK(source[[#This Row],[Завершенные]]),source[[#This Row],[Приоритет_]],"Завершено"),"Проверено")</f>
        <v>Значительное</v>
      </c>
      <c r="F411" t="s">
        <v>2414</v>
      </c>
      <c r="G411" t="s">
        <v>856</v>
      </c>
      <c r="H411" t="e">
        <f>VLOOKUP(source[[#This Row],[Отвественный]],тОтветственные[],2,0)</f>
        <v>#N/A</v>
      </c>
      <c r="I411" s="2">
        <v>43655</v>
      </c>
      <c r="J411" s="2">
        <v>43905</v>
      </c>
      <c r="N411" t="s">
        <v>2490</v>
      </c>
      <c r="S411" s="1">
        <v>43770.459444444445</v>
      </c>
      <c r="W411" s="1">
        <v>43787.707812499997</v>
      </c>
      <c r="EC411" s="3" t="s">
        <v>2491</v>
      </c>
      <c r="ED411" t="s">
        <v>2492</v>
      </c>
      <c r="EE411" t="s">
        <v>2493</v>
      </c>
      <c r="EF411" t="s">
        <v>1164</v>
      </c>
      <c r="EG411" t="s">
        <v>864</v>
      </c>
      <c r="EH411" t="s">
        <v>2478</v>
      </c>
      <c r="EI411" t="s">
        <v>2479</v>
      </c>
    </row>
    <row r="412" spans="1:148" ht="15" customHeight="1" x14ac:dyDescent="0.35">
      <c r="A412">
        <v>49</v>
      </c>
      <c r="B412" t="s">
        <v>2494</v>
      </c>
      <c r="C412">
        <v>2</v>
      </c>
      <c r="D412" t="str">
        <f>VLOOKUP(source[[#This Row],[Приоритет]],тПриоритеты[],2,0)</f>
        <v>Значительное</v>
      </c>
      <c r="E412" t="str">
        <f>IF(ISBLANK(source[[#This Row],[Проверенные]]),IF(ISBLANK(source[[#This Row],[Завершенные]]),source[[#This Row],[Приоритет_]],"Завершено"),"Проверено")</f>
        <v>Значительное</v>
      </c>
      <c r="F412" t="s">
        <v>2414</v>
      </c>
      <c r="G412" t="s">
        <v>856</v>
      </c>
      <c r="H412" t="e">
        <f>VLOOKUP(source[[#This Row],[Отвественный]],тОтветственные[],2,0)</f>
        <v>#N/A</v>
      </c>
      <c r="I412" s="2">
        <v>43630</v>
      </c>
      <c r="J412" s="2">
        <v>43891</v>
      </c>
      <c r="N412" t="s">
        <v>2495</v>
      </c>
      <c r="S412" s="1">
        <v>43770.459409722222</v>
      </c>
      <c r="W412" s="1">
        <v>43822.593819444446</v>
      </c>
      <c r="EC412" t="s">
        <v>2496</v>
      </c>
      <c r="ED412" t="s">
        <v>2497</v>
      </c>
      <c r="EE412" t="s">
        <v>2498</v>
      </c>
      <c r="EF412" t="s">
        <v>2478</v>
      </c>
      <c r="EG412" t="s">
        <v>2435</v>
      </c>
      <c r="EH412" t="s">
        <v>2499</v>
      </c>
      <c r="EI412" t="s">
        <v>2485</v>
      </c>
    </row>
    <row r="413" spans="1:148" ht="15" customHeight="1" x14ac:dyDescent="0.35">
      <c r="A413">
        <v>51</v>
      </c>
      <c r="B413" t="s">
        <v>2500</v>
      </c>
      <c r="C413">
        <v>2</v>
      </c>
      <c r="D413" t="str">
        <f>VLOOKUP(source[[#This Row],[Приоритет]],тПриоритеты[],2,0)</f>
        <v>Значительное</v>
      </c>
      <c r="E413" t="str">
        <f>IF(ISBLANK(source[[#This Row],[Проверенные]]),IF(ISBLANK(source[[#This Row],[Завершенные]]),source[[#This Row],[Приоритет_]],"Завершено"),"Проверено")</f>
        <v>Значительное</v>
      </c>
      <c r="F413" t="s">
        <v>2414</v>
      </c>
      <c r="G413" t="s">
        <v>856</v>
      </c>
      <c r="H413" t="e">
        <f>VLOOKUP(source[[#This Row],[Отвественный]],тОтветственные[],2,0)</f>
        <v>#N/A</v>
      </c>
      <c r="I413" s="2">
        <v>43655</v>
      </c>
      <c r="J413" s="2">
        <v>43905</v>
      </c>
      <c r="N413" t="s">
        <v>2495</v>
      </c>
      <c r="S413" s="1">
        <v>43770.459421296298</v>
      </c>
      <c r="W413" s="1">
        <v>43787.64880787037</v>
      </c>
      <c r="EC413" s="3" t="s">
        <v>2501</v>
      </c>
      <c r="ED413" t="s">
        <v>2497</v>
      </c>
      <c r="EE413" t="s">
        <v>2502</v>
      </c>
      <c r="EF413" t="s">
        <v>1164</v>
      </c>
      <c r="EG413" t="s">
        <v>864</v>
      </c>
      <c r="EH413" t="s">
        <v>2478</v>
      </c>
      <c r="EI413" t="s">
        <v>2448</v>
      </c>
      <c r="EJ413" t="s">
        <v>2479</v>
      </c>
    </row>
    <row r="414" spans="1:148" ht="15" customHeight="1" x14ac:dyDescent="0.35">
      <c r="A414">
        <v>53</v>
      </c>
      <c r="B414" t="s">
        <v>2503</v>
      </c>
      <c r="C414">
        <v>2</v>
      </c>
      <c r="D414" t="str">
        <f>VLOOKUP(source[[#This Row],[Приоритет]],тПриоритеты[],2,0)</f>
        <v>Значительное</v>
      </c>
      <c r="E414" t="str">
        <f>IF(ISBLANK(source[[#This Row],[Проверенные]]),IF(ISBLANK(source[[#This Row],[Завершенные]]),source[[#This Row],[Приоритет_]],"Завершено"),"Проверено")</f>
        <v>Значительное</v>
      </c>
      <c r="F414" t="s">
        <v>2414</v>
      </c>
      <c r="G414" t="s">
        <v>856</v>
      </c>
      <c r="H414" t="e">
        <f>VLOOKUP(source[[#This Row],[Отвественный]],тОтветственные[],2,0)</f>
        <v>#N/A</v>
      </c>
      <c r="I414" s="2">
        <v>43655</v>
      </c>
      <c r="J414" s="2">
        <v>43905</v>
      </c>
      <c r="N414" t="s">
        <v>2490</v>
      </c>
      <c r="S414" s="1">
        <v>43770.459432870368</v>
      </c>
      <c r="W414" s="1">
        <v>43787.707384259258</v>
      </c>
      <c r="EC414" s="3" t="s">
        <v>2504</v>
      </c>
      <c r="ED414" t="s">
        <v>2492</v>
      </c>
      <c r="EE414" t="s">
        <v>2505</v>
      </c>
      <c r="EF414" t="s">
        <v>1164</v>
      </c>
      <c r="EG414" t="s">
        <v>864</v>
      </c>
      <c r="EH414" t="s">
        <v>2478</v>
      </c>
      <c r="EI414" t="s">
        <v>2479</v>
      </c>
    </row>
    <row r="415" spans="1:148" ht="15" customHeight="1" x14ac:dyDescent="0.35">
      <c r="A415">
        <v>54</v>
      </c>
      <c r="B415" t="s">
        <v>2506</v>
      </c>
      <c r="C415">
        <v>2</v>
      </c>
      <c r="D415" t="str">
        <f>VLOOKUP(source[[#This Row],[Приоритет]],тПриоритеты[],2,0)</f>
        <v>Значительное</v>
      </c>
      <c r="E415" t="str">
        <f>IF(ISBLANK(source[[#This Row],[Проверенные]]),IF(ISBLANK(source[[#This Row],[Завершенные]]),source[[#This Row],[Приоритет_]],"Завершено"),"Проверено")</f>
        <v>Значительное</v>
      </c>
      <c r="F415" t="s">
        <v>2414</v>
      </c>
      <c r="G415" t="s">
        <v>856</v>
      </c>
      <c r="H415" t="e">
        <f>VLOOKUP(source[[#This Row],[Отвественный]],тОтветственные[],2,0)</f>
        <v>#N/A</v>
      </c>
      <c r="I415" s="2">
        <v>43655</v>
      </c>
      <c r="J415" s="2">
        <v>43905</v>
      </c>
      <c r="N415" t="s">
        <v>2507</v>
      </c>
      <c r="S415" s="1">
        <v>43770.459432870368</v>
      </c>
      <c r="W415" s="1">
        <v>43787.707499999997</v>
      </c>
      <c r="EC415" s="3" t="s">
        <v>2508</v>
      </c>
      <c r="ED415" t="s">
        <v>2509</v>
      </c>
      <c r="EE415" t="s">
        <v>2510</v>
      </c>
      <c r="EF415" t="s">
        <v>1164</v>
      </c>
      <c r="EG415" t="s">
        <v>864</v>
      </c>
      <c r="EH415" t="s">
        <v>2478</v>
      </c>
      <c r="EI415" t="s">
        <v>2479</v>
      </c>
    </row>
    <row r="416" spans="1:148" ht="15" customHeight="1" x14ac:dyDescent="0.35">
      <c r="A416">
        <v>57</v>
      </c>
      <c r="B416" t="s">
        <v>2511</v>
      </c>
      <c r="C416">
        <v>2</v>
      </c>
      <c r="D416" t="str">
        <f>VLOOKUP(source[[#This Row],[Приоритет]],тПриоритеты[],2,0)</f>
        <v>Значительное</v>
      </c>
      <c r="E416" t="str">
        <f>IF(ISBLANK(source[[#This Row],[Проверенные]]),IF(ISBLANK(source[[#This Row],[Завершенные]]),source[[#This Row],[Приоритет_]],"Завершено"),"Проверено")</f>
        <v>Значительное</v>
      </c>
      <c r="F416" t="s">
        <v>2414</v>
      </c>
      <c r="G416" t="s">
        <v>856</v>
      </c>
      <c r="H416" t="e">
        <f>VLOOKUP(source[[#This Row],[Отвественный]],тОтветственные[],2,0)</f>
        <v>#N/A</v>
      </c>
      <c r="I416" s="2">
        <v>43655</v>
      </c>
      <c r="J416" s="2">
        <v>43905</v>
      </c>
      <c r="N416" t="s">
        <v>2512</v>
      </c>
      <c r="S416" s="1">
        <v>43770.459456018521</v>
      </c>
      <c r="W416" s="1">
        <v>43787.707916666666</v>
      </c>
      <c r="EC416" s="3" t="s">
        <v>2513</v>
      </c>
      <c r="ED416" t="s">
        <v>2514</v>
      </c>
      <c r="EE416" t="s">
        <v>2515</v>
      </c>
      <c r="EF416" t="s">
        <v>1164</v>
      </c>
      <c r="EG416" t="s">
        <v>864</v>
      </c>
      <c r="EH416" t="s">
        <v>2478</v>
      </c>
      <c r="EI416" t="s">
        <v>2479</v>
      </c>
    </row>
    <row r="417" spans="1:153" ht="15" customHeight="1" x14ac:dyDescent="0.35">
      <c r="A417">
        <v>58</v>
      </c>
      <c r="B417" t="s">
        <v>2516</v>
      </c>
      <c r="C417">
        <v>2</v>
      </c>
      <c r="D417" t="str">
        <f>VLOOKUP(source[[#This Row],[Приоритет]],тПриоритеты[],2,0)</f>
        <v>Значительное</v>
      </c>
      <c r="E417" t="str">
        <f>IF(ISBLANK(source[[#This Row],[Проверенные]]),IF(ISBLANK(source[[#This Row],[Завершенные]]),source[[#This Row],[Приоритет_]],"Завершено"),"Проверено")</f>
        <v>Значительное</v>
      </c>
      <c r="F417" t="s">
        <v>2414</v>
      </c>
      <c r="G417" t="s">
        <v>856</v>
      </c>
      <c r="H417" t="e">
        <f>VLOOKUP(source[[#This Row],[Отвественный]],тОтветственные[],2,0)</f>
        <v>#N/A</v>
      </c>
      <c r="I417" s="2">
        <v>43655</v>
      </c>
      <c r="J417" s="2">
        <v>43905</v>
      </c>
      <c r="N417" t="s">
        <v>2517</v>
      </c>
      <c r="S417" s="1">
        <v>43770.459456018521</v>
      </c>
      <c r="W417" s="1">
        <v>43787.708055555559</v>
      </c>
      <c r="EC417" s="3" t="s">
        <v>2518</v>
      </c>
      <c r="ED417" t="s">
        <v>2519</v>
      </c>
      <c r="EE417" t="s">
        <v>2520</v>
      </c>
      <c r="EF417" t="s">
        <v>1164</v>
      </c>
      <c r="EG417" t="s">
        <v>864</v>
      </c>
      <c r="EH417" t="s">
        <v>2478</v>
      </c>
      <c r="EI417" t="s">
        <v>2479</v>
      </c>
    </row>
    <row r="418" spans="1:153" ht="15" customHeight="1" x14ac:dyDescent="0.35">
      <c r="A418">
        <v>61</v>
      </c>
      <c r="B418" t="s">
        <v>2521</v>
      </c>
      <c r="C418">
        <v>2</v>
      </c>
      <c r="D418" t="str">
        <f>VLOOKUP(source[[#This Row],[Приоритет]],тПриоритеты[],2,0)</f>
        <v>Значительное</v>
      </c>
      <c r="E418" t="str">
        <f>IF(ISBLANK(source[[#This Row],[Проверенные]]),IF(ISBLANK(source[[#This Row],[Завершенные]]),source[[#This Row],[Приоритет_]],"Завершено"),"Проверено")</f>
        <v>Значительное</v>
      </c>
      <c r="F418" t="s">
        <v>2414</v>
      </c>
      <c r="G418" t="s">
        <v>856</v>
      </c>
      <c r="H418" t="e">
        <f>VLOOKUP(source[[#This Row],[Отвественный]],тОтветственные[],2,0)</f>
        <v>#N/A</v>
      </c>
      <c r="I418" s="2">
        <v>43684</v>
      </c>
      <c r="J418" s="2">
        <v>43799</v>
      </c>
      <c r="N418" t="s">
        <v>2522</v>
      </c>
      <c r="S418" s="1">
        <v>43770.459479166668</v>
      </c>
      <c r="W418" s="1">
        <v>43787.708310185182</v>
      </c>
      <c r="EC418" t="s">
        <v>2523</v>
      </c>
      <c r="ED418" t="s">
        <v>2524</v>
      </c>
      <c r="EE418" t="s">
        <v>2525</v>
      </c>
      <c r="EF418" t="s">
        <v>1164</v>
      </c>
      <c r="EG418" t="s">
        <v>864</v>
      </c>
      <c r="EH418" t="s">
        <v>2478</v>
      </c>
      <c r="EI418" t="s">
        <v>2479</v>
      </c>
      <c r="EJ418" t="s">
        <v>2448</v>
      </c>
    </row>
    <row r="419" spans="1:153" ht="15" customHeight="1" x14ac:dyDescent="0.35">
      <c r="A419">
        <v>62</v>
      </c>
      <c r="B419" t="s">
        <v>2526</v>
      </c>
      <c r="C419">
        <v>2</v>
      </c>
      <c r="D419" t="str">
        <f>VLOOKUP(source[[#This Row],[Приоритет]],тПриоритеты[],2,0)</f>
        <v>Значительное</v>
      </c>
      <c r="E419" t="str">
        <f>IF(ISBLANK(source[[#This Row],[Проверенные]]),IF(ISBLANK(source[[#This Row],[Завершенные]]),source[[#This Row],[Приоритет_]],"Завершено"),"Проверено")</f>
        <v>Значительное</v>
      </c>
      <c r="F419" t="s">
        <v>2414</v>
      </c>
      <c r="G419" t="s">
        <v>856</v>
      </c>
      <c r="H419" t="e">
        <f>VLOOKUP(source[[#This Row],[Отвественный]],тОтветственные[],2,0)</f>
        <v>#N/A</v>
      </c>
      <c r="I419" s="2">
        <v>43684</v>
      </c>
      <c r="J419" s="2">
        <v>43862</v>
      </c>
      <c r="N419" t="s">
        <v>2527</v>
      </c>
      <c r="S419" s="1">
        <v>43770.459479166668</v>
      </c>
      <c r="W419" s="1">
        <v>43822.594155092593</v>
      </c>
      <c r="EC419" t="s">
        <v>2528</v>
      </c>
      <c r="ED419" t="s">
        <v>2529</v>
      </c>
      <c r="EE419" t="s">
        <v>2530</v>
      </c>
      <c r="EF419" t="s">
        <v>1164</v>
      </c>
      <c r="EG419" t="s">
        <v>864</v>
      </c>
      <c r="EH419" t="s">
        <v>2478</v>
      </c>
      <c r="EI419" t="s">
        <v>2531</v>
      </c>
      <c r="EJ419" t="s">
        <v>2532</v>
      </c>
    </row>
    <row r="420" spans="1:153" ht="15" customHeight="1" x14ac:dyDescent="0.35">
      <c r="A420">
        <v>66</v>
      </c>
      <c r="B420" t="s">
        <v>2533</v>
      </c>
      <c r="C420">
        <v>2</v>
      </c>
      <c r="D420" t="str">
        <f>VLOOKUP(source[[#This Row],[Приоритет]],тПриоритеты[],2,0)</f>
        <v>Значительное</v>
      </c>
      <c r="E420" t="str">
        <f>IF(ISBLANK(source[[#This Row],[Проверенные]]),IF(ISBLANK(source[[#This Row],[Завершенные]]),source[[#This Row],[Приоритет_]],"Завершено"),"Проверено")</f>
        <v>Значительное</v>
      </c>
      <c r="F420" t="s">
        <v>2414</v>
      </c>
      <c r="G420" t="s">
        <v>856</v>
      </c>
      <c r="H420" t="e">
        <f>VLOOKUP(source[[#This Row],[Отвественный]],тОтветственные[],2,0)</f>
        <v>#N/A</v>
      </c>
      <c r="I420" s="2">
        <v>43725</v>
      </c>
      <c r="J420" s="2">
        <v>43799</v>
      </c>
      <c r="N420" t="s">
        <v>2534</v>
      </c>
      <c r="S420" s="1">
        <v>43770.459502314814</v>
      </c>
      <c r="W420" s="1">
        <v>43787.708993055552</v>
      </c>
      <c r="EC420" t="s">
        <v>2535</v>
      </c>
      <c r="ED420" t="s">
        <v>2536</v>
      </c>
      <c r="EE420" t="s">
        <v>2537</v>
      </c>
      <c r="EF420" t="s">
        <v>1164</v>
      </c>
      <c r="EG420" t="s">
        <v>864</v>
      </c>
      <c r="EH420" t="s">
        <v>2478</v>
      </c>
      <c r="EI420" t="s">
        <v>2448</v>
      </c>
    </row>
    <row r="421" spans="1:153" ht="15" customHeight="1" x14ac:dyDescent="0.35">
      <c r="A421">
        <v>67</v>
      </c>
      <c r="B421" t="s">
        <v>2538</v>
      </c>
      <c r="C421">
        <v>2</v>
      </c>
      <c r="D421" t="str">
        <f>VLOOKUP(source[[#This Row],[Приоритет]],тПриоритеты[],2,0)</f>
        <v>Значительное</v>
      </c>
      <c r="E421" t="str">
        <f>IF(ISBLANK(source[[#This Row],[Проверенные]]),IF(ISBLANK(source[[#This Row],[Завершенные]]),source[[#This Row],[Приоритет_]],"Завершено"),"Проверено")</f>
        <v>Значительное</v>
      </c>
      <c r="F421" t="s">
        <v>2414</v>
      </c>
      <c r="G421" t="s">
        <v>856</v>
      </c>
      <c r="H421" t="e">
        <f>VLOOKUP(source[[#This Row],[Отвественный]],тОтветственные[],2,0)</f>
        <v>#N/A</v>
      </c>
      <c r="I421" s="2">
        <v>43731</v>
      </c>
      <c r="J421" s="2">
        <v>43861</v>
      </c>
      <c r="N421" t="s">
        <v>2527</v>
      </c>
      <c r="S421" s="1">
        <v>43770.459502314814</v>
      </c>
      <c r="W421" s="1">
        <v>43787.709131944444</v>
      </c>
      <c r="EC421" t="s">
        <v>2539</v>
      </c>
      <c r="ED421" t="s">
        <v>2529</v>
      </c>
      <c r="EE421" t="s">
        <v>2540</v>
      </c>
      <c r="EF421" t="s">
        <v>1164</v>
      </c>
      <c r="EG421" t="s">
        <v>864</v>
      </c>
      <c r="EH421" t="s">
        <v>2478</v>
      </c>
      <c r="EI421" t="s">
        <v>2541</v>
      </c>
    </row>
    <row r="422" spans="1:153" ht="15" customHeight="1" x14ac:dyDescent="0.35">
      <c r="A422">
        <v>74</v>
      </c>
      <c r="B422" t="s">
        <v>2542</v>
      </c>
      <c r="C422">
        <v>2</v>
      </c>
      <c r="D422" t="str">
        <f>VLOOKUP(source[[#This Row],[Приоритет]],тПриоритеты[],2,0)</f>
        <v>Значительное</v>
      </c>
      <c r="E422" t="str">
        <f>IF(ISBLANK(source[[#This Row],[Проверенные]]),IF(ISBLANK(source[[#This Row],[Завершенные]]),source[[#This Row],[Приоритет_]],"Завершено"),"Проверено")</f>
        <v>Значительное</v>
      </c>
      <c r="F422" t="s">
        <v>2414</v>
      </c>
      <c r="G422" t="s">
        <v>856</v>
      </c>
      <c r="H422" t="e">
        <f>VLOOKUP(source[[#This Row],[Отвественный]],тОтветственные[],2,0)</f>
        <v>#N/A</v>
      </c>
      <c r="I422" s="2">
        <v>43747</v>
      </c>
      <c r="J422" s="2">
        <v>43966</v>
      </c>
      <c r="S422" s="1">
        <v>43770.459537037037</v>
      </c>
      <c r="W422" s="1">
        <v>43781.60193287037</v>
      </c>
      <c r="EC422" t="s">
        <v>2543</v>
      </c>
      <c r="ED422" t="s">
        <v>2544</v>
      </c>
      <c r="EE422" t="s">
        <v>1164</v>
      </c>
      <c r="EF422" t="s">
        <v>864</v>
      </c>
      <c r="EG422" t="s">
        <v>2478</v>
      </c>
    </row>
    <row r="423" spans="1:153" ht="15" customHeight="1" x14ac:dyDescent="0.35">
      <c r="A423">
        <v>853</v>
      </c>
      <c r="B423" s="3" t="s">
        <v>2545</v>
      </c>
      <c r="C423">
        <v>2</v>
      </c>
      <c r="D423" t="str">
        <f>VLOOKUP(source[[#This Row],[Приоритет]],тПриоритеты[],2,0)</f>
        <v>Значительное</v>
      </c>
      <c r="E423" t="str">
        <f>IF(ISBLANK(source[[#This Row],[Проверенные]]),IF(ISBLANK(source[[#This Row],[Завершенные]]),source[[#This Row],[Приоритет_]],"Завершено"),"Проверено")</f>
        <v>Значительное</v>
      </c>
      <c r="F423" t="s">
        <v>2414</v>
      </c>
      <c r="G423" t="s">
        <v>856</v>
      </c>
      <c r="H423" t="e">
        <f>VLOOKUP(source[[#This Row],[Отвественный]],тОтветственные[],2,0)</f>
        <v>#N/A</v>
      </c>
      <c r="I423" s="2">
        <v>43836</v>
      </c>
      <c r="J423" s="2">
        <v>43840</v>
      </c>
      <c r="S423" s="1">
        <v>43836.587013888886</v>
      </c>
      <c r="W423" s="1">
        <v>43843.444537037038</v>
      </c>
      <c r="EC423" t="s">
        <v>2546</v>
      </c>
      <c r="ED423" s="3" t="s">
        <v>2547</v>
      </c>
      <c r="EE423" s="3" t="s">
        <v>2548</v>
      </c>
      <c r="EF423" t="s">
        <v>2549</v>
      </c>
      <c r="EG423" s="3" t="s">
        <v>2550</v>
      </c>
      <c r="EH423" t="str">
        <f>HYPERLINK("https://d33htgqikc2pj4.cloudfront.net/92d9e44e829c71b85ec5b94114443d48/c68a449328868c3bde0823cdfae75401-file.jpeg", "Александр Лесюта: Ссылка на изображение")</f>
        <v>Александр Лесюта: Ссылка на изображение</v>
      </c>
      <c r="EI423" t="str">
        <f>HYPERLINK("https://d33htgqikc2pj4.cloudfront.net/beae1a2b3f1db81e77c06eb43f27b6e1/4072362a54a186c0148accba6d444c7c-file.jpeg", "Александр Лесюта: Ссылка на изображение")</f>
        <v>Александр Лесюта: Ссылка на изображение</v>
      </c>
      <c r="EJ423" t="s">
        <v>2444</v>
      </c>
      <c r="EK423" t="s">
        <v>2422</v>
      </c>
      <c r="EL423" t="s">
        <v>2036</v>
      </c>
      <c r="EM423" t="s">
        <v>2464</v>
      </c>
      <c r="EN423" t="s">
        <v>2551</v>
      </c>
      <c r="EO423" t="s">
        <v>2552</v>
      </c>
      <c r="EP423" t="str">
        <f>HYPERLINK("https://d33htgqikc2pj4.cloudfront.net/58ba226bacd6657d448d99b0fd2a7d50/a38d9fdab1bffacd1516cc219d72aac6-file.jpeg", "Александр Лесюта: Ссылка на изображение")</f>
        <v>Александр Лесюта: Ссылка на изображение</v>
      </c>
    </row>
    <row r="424" spans="1:153" ht="15" customHeight="1" x14ac:dyDescent="0.35">
      <c r="A424">
        <v>63</v>
      </c>
      <c r="B424" t="s">
        <v>2553</v>
      </c>
      <c r="C424">
        <v>2</v>
      </c>
      <c r="D424" t="str">
        <f>VLOOKUP(source[[#This Row],[Приоритет]],тПриоритеты[],2,0)</f>
        <v>Значительное</v>
      </c>
      <c r="E424" t="str">
        <f>IF(ISBLANK(source[[#This Row],[Проверенные]]),IF(ISBLANK(source[[#This Row],[Завершенные]]),source[[#This Row],[Приоритет_]],"Завершено"),"Проверено")</f>
        <v>Значительное</v>
      </c>
      <c r="F424" t="s">
        <v>2414</v>
      </c>
      <c r="G424" t="s">
        <v>856</v>
      </c>
      <c r="H424" t="e">
        <f>VLOOKUP(source[[#This Row],[Отвественный]],тОтветственные[],2,0)</f>
        <v>#N/A</v>
      </c>
      <c r="I424" s="2">
        <v>43698</v>
      </c>
      <c r="J424" s="2">
        <v>43840</v>
      </c>
      <c r="N424" t="s">
        <v>2554</v>
      </c>
      <c r="S424" s="1">
        <v>43770.459490740737</v>
      </c>
      <c r="W424" s="1">
        <v>43823.432083333333</v>
      </c>
      <c r="EC424" t="s">
        <v>2555</v>
      </c>
      <c r="ED424" t="s">
        <v>2556</v>
      </c>
      <c r="EE424" t="s">
        <v>2557</v>
      </c>
      <c r="EF424" t="s">
        <v>1164</v>
      </c>
      <c r="EG424" t="s">
        <v>864</v>
      </c>
      <c r="EH424" t="s">
        <v>2478</v>
      </c>
      <c r="EI424" t="s">
        <v>2448</v>
      </c>
      <c r="EJ424" t="s">
        <v>2558</v>
      </c>
    </row>
    <row r="425" spans="1:153" ht="15" customHeight="1" x14ac:dyDescent="0.35">
      <c r="A425">
        <v>1162</v>
      </c>
      <c r="B425" t="s">
        <v>2559</v>
      </c>
      <c r="C425">
        <v>2</v>
      </c>
      <c r="D425" t="str">
        <f>VLOOKUP(source[[#This Row],[Приоритет]],тПриоритеты[],2,0)</f>
        <v>Значительное</v>
      </c>
      <c r="E425" t="str">
        <f>IF(ISBLANK(source[[#This Row],[Проверенные]]),IF(ISBLANK(source[[#This Row],[Завершенные]]),source[[#This Row],[Приоритет_]],"Завершено"),"Проверено")</f>
        <v>Значительное</v>
      </c>
      <c r="F425" t="s">
        <v>2414</v>
      </c>
      <c r="G425" t="s">
        <v>856</v>
      </c>
      <c r="H425" t="e">
        <f>VLOOKUP(source[[#This Row],[Отвественный]],тОтветственные[],2,0)</f>
        <v>#N/A</v>
      </c>
      <c r="I425" s="2">
        <v>43864</v>
      </c>
      <c r="J425" s="2">
        <v>43889</v>
      </c>
      <c r="S425" s="1">
        <v>43864.712685185186</v>
      </c>
      <c r="W425" s="1">
        <v>43864.724074074074</v>
      </c>
      <c r="EC425" t="s">
        <v>2560</v>
      </c>
      <c r="ED425" t="s">
        <v>2561</v>
      </c>
      <c r="EE425" t="s">
        <v>2562</v>
      </c>
      <c r="EF425" t="s">
        <v>2563</v>
      </c>
      <c r="EG425" t="str">
        <f>HYPERLINK("https://d33htgqikc2pj4.cloudfront.net/26f0c68cfcae79ec1d260493dceb845d/7595a786216b610402cec226c000eb81-file.jpeg", "Александр Лесюта: Ссылка на изображение")</f>
        <v>Александр Лесюта: Ссылка на изображение</v>
      </c>
      <c r="EH425" t="str">
        <f>HYPERLINK("https://d33htgqikc2pj4.cloudfront.net/3e06fcdd1cebac86ae318e50de297ddf/1aad5b79379ebd32d349510716dbc854-file.jpeg", "Александр Лесюта: Ссылка на изображение")</f>
        <v>Александр Лесюта: Ссылка на изображение</v>
      </c>
      <c r="EI425" t="s">
        <v>2444</v>
      </c>
      <c r="EJ425" t="s">
        <v>2564</v>
      </c>
      <c r="EK425" t="s">
        <v>2565</v>
      </c>
    </row>
    <row r="426" spans="1:153" ht="15" customHeight="1" x14ac:dyDescent="0.35">
      <c r="A426">
        <v>1163</v>
      </c>
      <c r="B426" t="s">
        <v>2566</v>
      </c>
      <c r="C426">
        <v>2</v>
      </c>
      <c r="D426" t="str">
        <f>VLOOKUP(source[[#This Row],[Приоритет]],тПриоритеты[],2,0)</f>
        <v>Значительное</v>
      </c>
      <c r="E426" t="str">
        <f>IF(ISBLANK(source[[#This Row],[Проверенные]]),IF(ISBLANK(source[[#This Row],[Завершенные]]),source[[#This Row],[Приоритет_]],"Завершено"),"Проверено")</f>
        <v>Значительное</v>
      </c>
      <c r="F426" t="s">
        <v>2414</v>
      </c>
      <c r="G426" t="s">
        <v>856</v>
      </c>
      <c r="H426" t="e">
        <f>VLOOKUP(source[[#This Row],[Отвественный]],тОтветственные[],2,0)</f>
        <v>#N/A</v>
      </c>
      <c r="I426" s="2">
        <v>43864</v>
      </c>
      <c r="J426" s="2">
        <v>43889</v>
      </c>
      <c r="S426" s="1">
        <v>43864.724097222221</v>
      </c>
      <c r="W426" s="1">
        <v>43864.740231481483</v>
      </c>
      <c r="EC426" t="s">
        <v>2567</v>
      </c>
      <c r="ED426" t="s">
        <v>2568</v>
      </c>
      <c r="EE426" t="str">
        <f>HYPERLINK("https://d33htgqikc2pj4.cloudfront.net/2772c061b7800511e7ebf184fa710828/c6c8624e183af55c8c20c6bbd8765f2f-file.jpeg", "Александр Лесюта: Ссылка на изображение")</f>
        <v>Александр Лесюта: Ссылка на изображение</v>
      </c>
      <c r="EF426" t="str">
        <f>HYPERLINK("https://d33htgqikc2pj4.cloudfront.net/1625f2a8b9967a0157583e8fc7e98ae8/87f290390658f2fbbcc64c9bcd9f321f-file.jpeg", "Александр Лесюта: Ссылка на изображение")</f>
        <v>Александр Лесюта: Ссылка на изображение</v>
      </c>
      <c r="EG426" t="str">
        <f>HYPERLINK("https://d33htgqikc2pj4.cloudfront.net/675a10831ee0039dd7680fc660985726/b746d3b4d8588b089189b6c4d5f3e029-file.jpeg", "Александр Лесюта: Ссылка на изображение")</f>
        <v>Александр Лесюта: Ссылка на изображение</v>
      </c>
      <c r="EH426" t="s">
        <v>2444</v>
      </c>
      <c r="EI426" t="s">
        <v>2564</v>
      </c>
      <c r="EJ426" t="s">
        <v>2565</v>
      </c>
    </row>
    <row r="427" spans="1:153" ht="15" customHeight="1" x14ac:dyDescent="0.35">
      <c r="A427">
        <v>1220</v>
      </c>
      <c r="B427" t="s">
        <v>2569</v>
      </c>
      <c r="C427">
        <v>2</v>
      </c>
      <c r="D427" t="str">
        <f>VLOOKUP(source[[#This Row],[Приоритет]],тПриоритеты[],2,0)</f>
        <v>Значительное</v>
      </c>
      <c r="E427" t="str">
        <f>IF(ISBLANK(source[[#This Row],[Проверенные]]),IF(ISBLANK(source[[#This Row],[Завершенные]]),source[[#This Row],[Приоритет_]],"Завершено"),"Проверено")</f>
        <v>Значительное</v>
      </c>
      <c r="F427" t="s">
        <v>2414</v>
      </c>
      <c r="G427" t="s">
        <v>856</v>
      </c>
      <c r="H427" t="e">
        <f>VLOOKUP(source[[#This Row],[Отвественный]],тОтветственные[],2,0)</f>
        <v>#N/A</v>
      </c>
      <c r="I427" s="2">
        <v>43867</v>
      </c>
      <c r="J427" s="2">
        <v>43869</v>
      </c>
      <c r="S427" s="1">
        <v>43867.746967592589</v>
      </c>
      <c r="W427" s="1">
        <v>43867.751030092593</v>
      </c>
      <c r="EC427" t="s">
        <v>2570</v>
      </c>
      <c r="ED427" s="3" t="s">
        <v>2571</v>
      </c>
      <c r="EE427" t="str">
        <f>HYPERLINK("https://d33htgqikc2pj4.cloudfront.net/66b6a6e9634a7fc73280e62a8bd7eead/f2912a8f6d7a501a7fb1599ea7edbacf-file.jpeg", "Александр Лесюта: Ссылка на изображение")</f>
        <v>Александр Лесюта: Ссылка на изображение</v>
      </c>
      <c r="EF427" t="s">
        <v>2572</v>
      </c>
      <c r="EG427" t="s">
        <v>2573</v>
      </c>
      <c r="EH427" t="s">
        <v>2444</v>
      </c>
    </row>
    <row r="428" spans="1:153" ht="15" customHeight="1" x14ac:dyDescent="0.35">
      <c r="A428">
        <v>1239</v>
      </c>
      <c r="B428" t="s">
        <v>2574</v>
      </c>
      <c r="C428">
        <v>2</v>
      </c>
      <c r="D428" t="str">
        <f>VLOOKUP(source[[#This Row],[Приоритет]],тПриоритеты[],2,0)</f>
        <v>Значительное</v>
      </c>
      <c r="E428" t="str">
        <f>IF(ISBLANK(source[[#This Row],[Проверенные]]),IF(ISBLANK(source[[#This Row],[Завершенные]]),source[[#This Row],[Приоритет_]],"Завершено"),"Проверено")</f>
        <v>Значительное</v>
      </c>
      <c r="F428" t="s">
        <v>2414</v>
      </c>
      <c r="G428" t="s">
        <v>856</v>
      </c>
      <c r="H428" t="e">
        <f>VLOOKUP(source[[#This Row],[Отвественный]],тОтветственные[],2,0)</f>
        <v>#N/A</v>
      </c>
      <c r="I428" s="2">
        <v>43868</v>
      </c>
      <c r="J428" s="2">
        <v>43868</v>
      </c>
      <c r="S428" s="1">
        <v>43868.686215277776</v>
      </c>
      <c r="W428" s="1">
        <v>43868.68990740741</v>
      </c>
      <c r="EC428" t="s">
        <v>2575</v>
      </c>
      <c r="ED428" t="s">
        <v>2576</v>
      </c>
      <c r="EE428" t="str">
        <f>HYPERLINK("https://d33htgqikc2pj4.cloudfront.net/b6ca112e4122cf85bd434526f0877c78/28d7043c832a9d0c7254417359686888-file.jpeg", "Александр Лесюта: Ссылка на изображение")</f>
        <v>Александр Лесюта: Ссылка на изображение</v>
      </c>
      <c r="EF428" t="str">
        <f>HYPERLINK("https://d33htgqikc2pj4.cloudfront.net/c75b8d22ba7384ec4dcedb6c6651e93b/a08e4ffbe964ea9a12b4069c68da6212-file.jpeg", "Александр Лесюта: Ссылка на изображение")</f>
        <v>Александр Лесюта: Ссылка на изображение</v>
      </c>
      <c r="EG428" t="str">
        <f>HYPERLINK("https://d33htgqikc2pj4.cloudfront.net/3bbd84ec4dab74fc0fae99cd23cc02dd/026c79750a4bc1eacfdfa9b1f1069329-file.jpeg", "Александр Лесюта: Ссылка на изображение")</f>
        <v>Александр Лесюта: Ссылка на изображение</v>
      </c>
      <c r="EH428" t="s">
        <v>2444</v>
      </c>
      <c r="EI428" t="s">
        <v>2577</v>
      </c>
    </row>
    <row r="429" spans="1:153" ht="15" customHeight="1" x14ac:dyDescent="0.35">
      <c r="A429">
        <v>911</v>
      </c>
      <c r="B429" t="s">
        <v>2578</v>
      </c>
      <c r="C429">
        <v>2</v>
      </c>
      <c r="D429" t="str">
        <f>VLOOKUP(source[[#This Row],[Приоритет]],тПриоритеты[],2,0)</f>
        <v>Значительное</v>
      </c>
      <c r="E429" t="str">
        <f>IF(ISBLANK(source[[#This Row],[Проверенные]]),IF(ISBLANK(source[[#This Row],[Завершенные]]),source[[#This Row],[Приоритет_]],"Завершено"),"Проверено")</f>
        <v>Значительное</v>
      </c>
      <c r="F429" t="s">
        <v>2414</v>
      </c>
      <c r="G429" t="s">
        <v>856</v>
      </c>
      <c r="H429" t="e">
        <f>VLOOKUP(source[[#This Row],[Отвественный]],тОтветственные[],2,0)</f>
        <v>#N/A</v>
      </c>
      <c r="I429" s="2">
        <v>43844</v>
      </c>
      <c r="J429" s="2">
        <v>43851</v>
      </c>
      <c r="S429" s="1">
        <v>43844.729571759257</v>
      </c>
      <c r="W429" s="1">
        <v>43845.523541666669</v>
      </c>
      <c r="EC429" t="s">
        <v>2579</v>
      </c>
      <c r="ED429" t="s">
        <v>2580</v>
      </c>
      <c r="EE429" t="s">
        <v>2581</v>
      </c>
      <c r="EF429" t="str">
        <f>HYPERLINK("https://d33htgqikc2pj4.cloudfront.net/855298388a21b4fc91f0ffa198fcb949/b22fb7bab53049b2cddca6ba0e4ac3d7-file.jpeg", "Александр Лесюта: Ссылка на изображение")</f>
        <v>Александр Лесюта: Ссылка на изображение</v>
      </c>
      <c r="EG429" t="s">
        <v>2582</v>
      </c>
      <c r="EH429" t="s">
        <v>2583</v>
      </c>
      <c r="EI429" t="s">
        <v>2444</v>
      </c>
      <c r="EJ429" t="s">
        <v>2464</v>
      </c>
      <c r="EK429" s="3" t="s">
        <v>2584</v>
      </c>
      <c r="EL429" t="str">
        <f>HYPERLINK("https://d33htgqikc2pj4.cloudfront.net/0be02e50286babdaffbaeb50e7bfc002/d9ec8c704c22311d2fb4b398028353f2-file.jpeg", "Александр Лесюта: Ссылка на изображение")</f>
        <v>Александр Лесюта: Ссылка на изображение</v>
      </c>
    </row>
    <row r="430" spans="1:153" ht="15" customHeight="1" x14ac:dyDescent="0.35">
      <c r="A430">
        <v>1264</v>
      </c>
      <c r="B430" t="s">
        <v>2585</v>
      </c>
      <c r="C430">
        <v>2</v>
      </c>
      <c r="D430" t="str">
        <f>VLOOKUP(source[[#This Row],[Приоритет]],тПриоритеты[],2,0)</f>
        <v>Значительное</v>
      </c>
      <c r="E430" t="str">
        <f>IF(ISBLANK(source[[#This Row],[Проверенные]]),IF(ISBLANK(source[[#This Row],[Завершенные]]),source[[#This Row],[Приоритет_]],"Завершено"),"Проверено")</f>
        <v>Значительное</v>
      </c>
      <c r="F430" t="s">
        <v>2414</v>
      </c>
      <c r="G430" t="s">
        <v>856</v>
      </c>
      <c r="H430" t="e">
        <f>VLOOKUP(source[[#This Row],[Отвественный]],тОтветственные[],2,0)</f>
        <v>#N/A</v>
      </c>
      <c r="I430" s="2">
        <v>43871</v>
      </c>
      <c r="J430" s="2">
        <v>43920</v>
      </c>
      <c r="S430" s="1">
        <v>43871.557118055556</v>
      </c>
      <c r="W430" s="1">
        <v>43871.559398148151</v>
      </c>
      <c r="EC430" t="s">
        <v>2586</v>
      </c>
      <c r="ED430" t="s">
        <v>2587</v>
      </c>
      <c r="EE430" t="s">
        <v>2588</v>
      </c>
      <c r="EF430" t="s">
        <v>2589</v>
      </c>
      <c r="EG430" s="3" t="s">
        <v>2590</v>
      </c>
      <c r="EH430" t="str">
        <f>HYPERLINK("https://d33htgqikc2pj4.cloudfront.net/2075e59d95a4ebd6647e153acc53ddea/d3937023698578d33e3db687e3bff12a-file.jpeg", "Александр Лесюта: Ссылка на изображение")</f>
        <v>Александр Лесюта: Ссылка на изображение</v>
      </c>
      <c r="EI430" t="s">
        <v>2444</v>
      </c>
      <c r="EJ430" t="s">
        <v>2591</v>
      </c>
      <c r="EK430" t="s">
        <v>2592</v>
      </c>
    </row>
    <row r="431" spans="1:153" ht="15" customHeight="1" x14ac:dyDescent="0.35">
      <c r="A431">
        <v>961</v>
      </c>
      <c r="B431" t="s">
        <v>2593</v>
      </c>
      <c r="C431">
        <v>2</v>
      </c>
      <c r="D431" t="str">
        <f>VLOOKUP(source[[#This Row],[Приоритет]],тПриоритеты[],2,0)</f>
        <v>Значительное</v>
      </c>
      <c r="E431" t="str">
        <f>IF(ISBLANK(source[[#This Row],[Проверенные]]),IF(ISBLANK(source[[#This Row],[Завершенные]]),source[[#This Row],[Приоритет_]],"Завершено"),"Проверено")</f>
        <v>Значительное</v>
      </c>
      <c r="F431" t="s">
        <v>2414</v>
      </c>
      <c r="G431" t="s">
        <v>856</v>
      </c>
      <c r="H431" t="e">
        <f>VLOOKUP(source[[#This Row],[Отвественный]],тОтветственные[],2,0)</f>
        <v>#N/A</v>
      </c>
      <c r="I431" s="2">
        <v>43850</v>
      </c>
      <c r="J431" s="2">
        <v>43861</v>
      </c>
      <c r="S431" s="1">
        <v>43850.613287037035</v>
      </c>
      <c r="W431" s="1">
        <v>43850.621736111112</v>
      </c>
      <c r="EC431" t="s">
        <v>2594</v>
      </c>
      <c r="ED431" t="s">
        <v>2595</v>
      </c>
      <c r="EE431" t="s">
        <v>2541</v>
      </c>
      <c r="EF431" t="s">
        <v>2596</v>
      </c>
      <c r="EG431" t="str">
        <f>HYPERLINK("https://d33htgqikc2pj4.cloudfront.net/5e2ef6ef2030d8bbeb961ab823b5b66e/f74a6f9953e203e145c698a1e2cff4b0-file.jpeg", "Александр Лесюта: Ссылка на изображение")</f>
        <v>Александр Лесюта: Ссылка на изображение</v>
      </c>
      <c r="EH431" t="str">
        <f>HYPERLINK("https://d33htgqikc2pj4.cloudfront.net/fd5aea754b81c48d7ebf4d716dd6631d/c8e3fb0c6cc6c8a67cbf0ebe6b12ec9b-file.jpeg", "Александр Лесюта: Ссылка на изображение")</f>
        <v>Александр Лесюта: Ссылка на изображение</v>
      </c>
      <c r="EI431" t="str">
        <f>HYPERLINK("https://d33htgqikc2pj4.cloudfront.net/7cb10856d8cb1e88e124bdac825f4332/d207b4c0548e2d48a1e6968f49fd5cfb-file.jpeg", "Александр Лесюта: Ссылка на изображение")</f>
        <v>Александр Лесюта: Ссылка на изображение</v>
      </c>
      <c r="EJ431" t="s">
        <v>2444</v>
      </c>
    </row>
    <row r="432" spans="1:153" ht="15" customHeight="1" x14ac:dyDescent="0.35">
      <c r="A432">
        <v>981</v>
      </c>
      <c r="B432" t="s">
        <v>2597</v>
      </c>
      <c r="C432">
        <v>2</v>
      </c>
      <c r="D432" t="str">
        <f>VLOOKUP(source[[#This Row],[Приоритет]],тПриоритеты[],2,0)</f>
        <v>Значительное</v>
      </c>
      <c r="E432" t="str">
        <f>IF(ISBLANK(source[[#This Row],[Проверенные]]),IF(ISBLANK(source[[#This Row],[Завершенные]]),source[[#This Row],[Приоритет_]],"Завершено"),"Проверено")</f>
        <v>Значительное</v>
      </c>
      <c r="F432" t="s">
        <v>2414</v>
      </c>
      <c r="G432" t="s">
        <v>856</v>
      </c>
      <c r="H432" t="e">
        <f>VLOOKUP(source[[#This Row],[Отвественный]],тОтветственные[],2,0)</f>
        <v>#N/A</v>
      </c>
      <c r="I432" s="2">
        <v>43851</v>
      </c>
      <c r="J432" s="2">
        <v>43860</v>
      </c>
      <c r="S432" s="1">
        <v>43851.560486111113</v>
      </c>
      <c r="W432" s="1">
        <v>43851.562893518516</v>
      </c>
      <c r="EC432" s="3" t="s">
        <v>2598</v>
      </c>
      <c r="ED432" t="s">
        <v>2599</v>
      </c>
      <c r="EE432" t="str">
        <f>HYPERLINK("https://d33htgqikc2pj4.cloudfront.net/bf92f3bcef1043eb995d9adb8245e91f/9f595a803014ef88709d1e6f4d733779-file.jpeg", "Александр Лесюта: Ссылка на изображение")</f>
        <v>Александр Лесюта: Ссылка на изображение</v>
      </c>
      <c r="EF432" t="str">
        <f>HYPERLINK("https://d33htgqikc2pj4.cloudfront.net/c067f8e2f9013008801331b888411d17/e388f66113bfa74fee85fee86a9481a7-file.jpeg", "Александр Лесюта: Ссылка на изображение")</f>
        <v>Александр Лесюта: Ссылка на изображение</v>
      </c>
      <c r="EG432" t="str">
        <f>HYPERLINK("https://d33htgqikc2pj4.cloudfront.net/7630fb8d3fbfbf115e378a6dd018cf93/476fe7706c633bb3cfb1a7cfaa72d5fc-file.jpeg", "Александр Лесюта: Ссылка на изображение")</f>
        <v>Александр Лесюта: Ссылка на изображение</v>
      </c>
      <c r="EH432" t="str">
        <f>HYPERLINK("https://d33htgqikc2pj4.cloudfront.net/b6ccdd95030d5c62ef4ffd2d114b3d5d/98b7449a9747b575e65042238a2e7ea3-file.jpeg", "Александр Лесюта: Ссылка на изображение")</f>
        <v>Александр Лесюта: Ссылка на изображение</v>
      </c>
      <c r="EI432" t="str">
        <f>HYPERLINK("https://d33htgqikc2pj4.cloudfront.net/1d05e0d1b9c27444667f1037d7dc23d7/360c425de570babad245912404760b52-file.jpeg", "Александр Лесюта: Ссылка на изображение")</f>
        <v>Александр Лесюта: Ссылка на изображение</v>
      </c>
      <c r="EJ432" t="str">
        <f>HYPERLINK("https://d33htgqikc2pj4.cloudfront.net/aa5083f405cba3ce6cb7a8179262cd33/bf207cdbccce4544e2fa6cabee795ad5-file.jpeg", "Александр Лесюта: Ссылка на изображение")</f>
        <v>Александр Лесюта: Ссылка на изображение</v>
      </c>
      <c r="EK432" t="str">
        <f>HYPERLINK("https://d33htgqikc2pj4.cloudfront.net/0f2bdf36b40fc52d89fa09c4a2cae50f/f0062c8aa6463f8da14ba8664362c95c-file.jpeg", "Александр Лесюта: Ссылка на изображение")</f>
        <v>Александр Лесюта: Ссылка на изображение</v>
      </c>
      <c r="EL432" t="str">
        <f>HYPERLINK("https://d33htgqikc2pj4.cloudfront.net/ab51c4c7cc59c971e0cc8130a0149d54/f767d2d6f7b5248fc14a76a3f5a2f646-file.jpeg", "Александр Лесюта: Ссылка на изображение")</f>
        <v>Александр Лесюта: Ссылка на изображение</v>
      </c>
      <c r="EM432" t="str">
        <f>HYPERLINK("https://d33htgqikc2pj4.cloudfront.net/d6f7ef68bde1a01ae7e7076cd0ab9a79/481824eac4b99dbc5da876e1e11c865c-flattened.jpeg", "Александр Лесюта: Ссылка на изображение")</f>
        <v>Александр Лесюта: Ссылка на изображение</v>
      </c>
      <c r="EN432" t="s">
        <v>2600</v>
      </c>
      <c r="EO432" t="s">
        <v>2444</v>
      </c>
      <c r="EP432" t="s">
        <v>2601</v>
      </c>
      <c r="EQ432" t="s">
        <v>2472</v>
      </c>
      <c r="ER432" t="s">
        <v>2602</v>
      </c>
      <c r="ES432" s="3" t="s">
        <v>2603</v>
      </c>
      <c r="ET432" t="str">
        <f>HYPERLINK("https://d33htgqikc2pj4.cloudfront.net/0b8f668f71bbf09a9e95ed8e9218d703/20d5874b0052696609aeb1b088c00b49-file.jpeg", "Александр Лесюта: Ссылка на изображение")</f>
        <v>Александр Лесюта: Ссылка на изображение</v>
      </c>
      <c r="EU432" t="str">
        <f>HYPERLINK("https://d33htgqikc2pj4.cloudfront.net/7b2a33d38f99b87598e1c535e65e81c8/69ab8074fface8da285c6af4424239d5-file.jpeg", "Александр Лесюта: Ссылка на изображение")</f>
        <v>Александр Лесюта: Ссылка на изображение</v>
      </c>
      <c r="EV432" t="s">
        <v>2604</v>
      </c>
      <c r="EW432" t="str">
        <f>HYPERLINK("https://d33htgqikc2pj4.cloudfront.net/95978b62a9effbbf9378a50c554eebfd/206709041ef751c79b7e1cae99bbc0b0-file.jpeg", "Александр Лесюта: Ссылка на изображение")</f>
        <v>Александр Лесюта: Ссылка на изображение</v>
      </c>
    </row>
    <row r="433" spans="1:157" ht="15" customHeight="1" x14ac:dyDescent="0.35">
      <c r="A433">
        <v>629</v>
      </c>
      <c r="B433" t="s">
        <v>2605</v>
      </c>
      <c r="C433">
        <v>3</v>
      </c>
      <c r="D433" t="str">
        <f>VLOOKUP(source[[#This Row],[Приоритет]],тПриоритеты[],2,0)</f>
        <v>Малозначительное</v>
      </c>
      <c r="E433" t="str">
        <f>IF(ISBLANK(source[[#This Row],[Проверенные]]),IF(ISBLANK(source[[#This Row],[Завершенные]]),source[[#This Row],[Приоритет_]],"Завершено"),"Проверено")</f>
        <v>Малозначительное</v>
      </c>
      <c r="F433" t="s">
        <v>2414</v>
      </c>
      <c r="G433" t="s">
        <v>856</v>
      </c>
      <c r="H433" t="e">
        <f>VLOOKUP(source[[#This Row],[Отвественный]],тОтветственные[],2,0)</f>
        <v>#N/A</v>
      </c>
      <c r="I433" s="2">
        <v>43814</v>
      </c>
      <c r="J433" s="2">
        <v>43814</v>
      </c>
      <c r="S433" s="1">
        <v>43814.977453703701</v>
      </c>
      <c r="W433" s="1">
        <v>43825.590740740743</v>
      </c>
      <c r="X433" t="s">
        <v>2606</v>
      </c>
      <c r="AH433" t="s">
        <v>2607</v>
      </c>
      <c r="AI433" t="s">
        <v>2608</v>
      </c>
      <c r="AJ433" t="s">
        <v>2609</v>
      </c>
      <c r="AK433" t="s">
        <v>2610</v>
      </c>
      <c r="AL433" t="s">
        <v>2611</v>
      </c>
      <c r="AM433" t="s">
        <v>2612</v>
      </c>
      <c r="AN433" t="s">
        <v>2613</v>
      </c>
      <c r="AO433" t="s">
        <v>2614</v>
      </c>
      <c r="EC433" t="s">
        <v>2615</v>
      </c>
      <c r="ED433" t="s">
        <v>2616</v>
      </c>
      <c r="EE433" t="s">
        <v>2617</v>
      </c>
      <c r="EF433" t="str">
        <f>HYPERLINK("https://d33htgqikc2pj4.cloudfront.net/qvHDimMUqxZcQnsj/58baa4ba-53d2-4522-99ea-5c9c26f8e525.jpeg", "Алексей Бирюков: Ссылка на изображение")</f>
        <v>Алексей Бирюков: Ссылка на изображение</v>
      </c>
      <c r="EG433" t="str">
        <f>HYPERLINK("https://d33htgqikc2pj4.cloudfront.net/qvHDimMUqxZcQnsj/d325b619-fa11-4b50-9882-33990d773dd2.jpeg", "Алексей Бирюков: Ссылка на изображение")</f>
        <v>Алексей Бирюков: Ссылка на изображение</v>
      </c>
      <c r="EH433" t="str">
        <f>HYPERLINK("https://d33htgqikc2pj4.cloudfront.net/qvHDimMUqxZcQnsj/f4dbbb9f-3aa9-45a3-924c-ffd9fd85df7b.jpeg", "Алексей Бирюков: Ссылка на изображение")</f>
        <v>Алексей Бирюков: Ссылка на изображение</v>
      </c>
      <c r="EI433" t="str">
        <f>HYPERLINK("https://d33htgqikc2pj4.cloudfront.net/qvHDimMUqxZcQnsj/eca120d5-8b81-4b92-b89a-458c19ea2b92.jpeg", "Алексей Бирюков: Ссылка на изображение")</f>
        <v>Алексей Бирюков: Ссылка на изображение</v>
      </c>
      <c r="EJ433" t="s">
        <v>2618</v>
      </c>
      <c r="EK433" t="str">
        <f>HYPERLINK("https://d33htgqikc2pj4.cloudfront.net/qvHDimMUqxZcQnsj/c5f921d8-70c1-40a0-9dab-37ccbd72fa56.jpeg", "Алексей Бирюков: Ссылка на изображение")</f>
        <v>Алексей Бирюков: Ссылка на изображение</v>
      </c>
      <c r="EL433" t="str">
        <f>HYPERLINK("https://d33htgqikc2pj4.cloudfront.net/qvHDimMUqxZcQnsj/02c53775-bcd7-4a0c-aa41-78389ec87810.jpeg", "Алексей Бирюков: Ссылка на изображение")</f>
        <v>Алексей Бирюков: Ссылка на изображение</v>
      </c>
      <c r="EM433" t="str">
        <f>HYPERLINK("https://d33htgqikc2pj4.cloudfront.net/qvHDimMUqxZcQnsj/2bbd9bad-412b-428d-b169-96b6c58413f5.jpeg", "Алексей Бирюков: Ссылка на изображение")</f>
        <v>Алексей Бирюков: Ссылка на изображение</v>
      </c>
      <c r="EN433" t="str">
        <f>HYPERLINK("https://d33htgqikc2pj4.cloudfront.net/qvHDimMUqxZcQnsj/b85fe28e-29d5-492b-b550-474a0b62d065.jpeg", "Алексей Бирюков: Ссылка на изображение")</f>
        <v>Алексей Бирюков: Ссылка на изображение</v>
      </c>
      <c r="EO433" t="str">
        <f>HYPERLINK("https://d33htgqikc2pj4.cloudfront.net/qvHDimMUqxZcQnsj/4b31fa8c-71d8-4e69-bce3-2d50572feadb.jpeg", "Алексей Бирюков: Ссылка на изображение")</f>
        <v>Алексей Бирюков: Ссылка на изображение</v>
      </c>
      <c r="EP433" t="s">
        <v>1902</v>
      </c>
      <c r="EQ433" t="s">
        <v>1899</v>
      </c>
      <c r="ER433" t="s">
        <v>2619</v>
      </c>
      <c r="ES433" t="s">
        <v>2620</v>
      </c>
      <c r="ET433" t="s">
        <v>2478</v>
      </c>
      <c r="EU433" t="s">
        <v>2444</v>
      </c>
    </row>
    <row r="434" spans="1:157" ht="15" customHeight="1" x14ac:dyDescent="0.35">
      <c r="A434">
        <v>483</v>
      </c>
      <c r="B434" t="s">
        <v>2621</v>
      </c>
      <c r="C434">
        <v>1</v>
      </c>
      <c r="D434" t="str">
        <f>VLOOKUP(source[[#This Row],[Приоритет]],тПриоритеты[],2,0)</f>
        <v>КРИТИЧЕСКОЕ</v>
      </c>
      <c r="E434" t="str">
        <f>IF(ISBLANK(source[[#This Row],[Проверенные]]),IF(ISBLANK(source[[#This Row],[Завершенные]]),source[[#This Row],[Приоритет_]],"Завершено"),"Проверено")</f>
        <v>Проверено</v>
      </c>
      <c r="F434" t="s">
        <v>2414</v>
      </c>
      <c r="G434" t="s">
        <v>856</v>
      </c>
      <c r="H434" t="e">
        <f>VLOOKUP(source[[#This Row],[Отвественный]],тОтветственные[],2,0)</f>
        <v>#N/A</v>
      </c>
      <c r="I434" s="2">
        <v>43798</v>
      </c>
      <c r="J434" s="2">
        <v>43799</v>
      </c>
      <c r="K434" t="s">
        <v>2622</v>
      </c>
      <c r="L434">
        <v>0</v>
      </c>
      <c r="M434">
        <v>0</v>
      </c>
      <c r="N434" t="s">
        <v>2622</v>
      </c>
      <c r="Q434" t="s">
        <v>797</v>
      </c>
      <c r="R434" t="str">
        <f>HYPERLINK("https://d28ji4sm1vmprj.cloudfront.net/759d9b2df5e3bdc7513889017b10f58b/820846fe2b5b54d0b22c6c0276e9c2f7.jpeg", "Ссылка на план")</f>
        <v>Ссылка на план</v>
      </c>
      <c r="S434" s="1">
        <v>43798.724999999999</v>
      </c>
      <c r="T434" s="1">
        <v>43803.363923611112</v>
      </c>
      <c r="U434" s="1">
        <v>43809.411770833336</v>
      </c>
      <c r="W434" s="1">
        <v>43809.411770833336</v>
      </c>
      <c r="EC434" t="s">
        <v>2623</v>
      </c>
      <c r="ED434" t="s">
        <v>2624</v>
      </c>
      <c r="EE434" t="s">
        <v>2624</v>
      </c>
      <c r="EF434" t="s">
        <v>2625</v>
      </c>
      <c r="EG434" t="s">
        <v>2626</v>
      </c>
      <c r="EH434" t="s">
        <v>2627</v>
      </c>
      <c r="EI434" t="s">
        <v>2448</v>
      </c>
      <c r="EJ434" t="s">
        <v>2444</v>
      </c>
      <c r="EK434" t="s">
        <v>2440</v>
      </c>
      <c r="EL434" t="str">
        <f>HYPERLINK("https://d33htgqikc2pj4.cloudfront.net/3798c142a438b1add097e95429013098/3f6a74f5fc7886f8d2d0b948f8bb3761-file.jpeg", "Александр Лесюта: Ссылка на изображение")</f>
        <v>Александр Лесюта: Ссылка на изображение</v>
      </c>
      <c r="EM434" t="str">
        <f>HYPERLINK("https://d33htgqikc2pj4.cloudfront.net/d3a969be6bb007b74f83004d0f55ca72/58807afa789533c7915037b7a31d7295-file.jpeg", "Александр Лесюта: Ссылка на изображение")</f>
        <v>Александр Лесюта: Ссылка на изображение</v>
      </c>
      <c r="EN434" t="s">
        <v>2628</v>
      </c>
      <c r="EO434" t="s">
        <v>2629</v>
      </c>
      <c r="EP434" t="s">
        <v>2423</v>
      </c>
    </row>
    <row r="435" spans="1:157" ht="15" customHeight="1" x14ac:dyDescent="0.35">
      <c r="A435">
        <v>550</v>
      </c>
      <c r="B435" t="s">
        <v>2630</v>
      </c>
      <c r="C435">
        <v>1</v>
      </c>
      <c r="D435" t="str">
        <f>VLOOKUP(source[[#This Row],[Приоритет]],тПриоритеты[],2,0)</f>
        <v>КРИТИЧЕСКОЕ</v>
      </c>
      <c r="E435" t="str">
        <f>IF(ISBLANK(source[[#This Row],[Проверенные]]),IF(ISBLANK(source[[#This Row],[Завершенные]]),source[[#This Row],[Приоритет_]],"Завершено"),"Проверено")</f>
        <v>Проверено</v>
      </c>
      <c r="F435" t="s">
        <v>2414</v>
      </c>
      <c r="G435" t="s">
        <v>856</v>
      </c>
      <c r="H435" t="e">
        <f>VLOOKUP(source[[#This Row],[Отвественный]],тОтветственные[],2,0)</f>
        <v>#N/A</v>
      </c>
      <c r="I435" s="2">
        <v>43805</v>
      </c>
      <c r="J435" s="2">
        <v>43808</v>
      </c>
      <c r="S435" s="1">
        <v>43805.72042824074</v>
      </c>
      <c r="T435" s="1">
        <v>43825.502141203702</v>
      </c>
      <c r="U435" s="1">
        <v>43825.502152777779</v>
      </c>
      <c r="W435" s="1">
        <v>43825.502187500002</v>
      </c>
      <c r="EC435" t="s">
        <v>2631</v>
      </c>
      <c r="ED435" t="s">
        <v>2440</v>
      </c>
      <c r="EE435" t="s">
        <v>2444</v>
      </c>
      <c r="EF435" t="s">
        <v>2632</v>
      </c>
      <c r="EG435" t="s">
        <v>2633</v>
      </c>
      <c r="EH435" t="s">
        <v>2634</v>
      </c>
      <c r="EI435" t="str">
        <f>HYPERLINK("https://d33htgqikc2pj4.cloudfront.net/dbefc221cd9f3f19c5e81ca29de173eb/6dca3b6b83b63386e25897685243bac6-file.jpeg", "Александр Лесюта: Ссылка на изображение")</f>
        <v>Александр Лесюта: Ссылка на изображение</v>
      </c>
      <c r="EJ435" t="str">
        <f>HYPERLINK("https://d33htgqikc2pj4.cloudfront.net/24b6a3e66f306c809725502f42b1c992/01f4f1792c914ba6db2c6e514b01dba5-file.jpeg", "Александр Лесюта: Ссылка на изображение")</f>
        <v>Александр Лесюта: Ссылка на изображение</v>
      </c>
      <c r="EK435" t="str">
        <f>HYPERLINK("https://d33htgqikc2pj4.cloudfront.net/8c33bc601e5f6fc56f33fffeffd90c16/b0e384d4b2f4bdb4a6790c0c0f7cbbdd-file.jpeg", "Александр Лесюта: Ссылка на изображение")</f>
        <v>Александр Лесюта: Ссылка на изображение</v>
      </c>
      <c r="EL435" t="s">
        <v>2635</v>
      </c>
      <c r="EM435" t="s">
        <v>2422</v>
      </c>
      <c r="EN435" t="s">
        <v>2423</v>
      </c>
    </row>
    <row r="436" spans="1:157" ht="15" customHeight="1" x14ac:dyDescent="0.35">
      <c r="A436">
        <v>65</v>
      </c>
      <c r="B436" t="s">
        <v>2636</v>
      </c>
      <c r="C436">
        <v>2</v>
      </c>
      <c r="D436" t="str">
        <f>VLOOKUP(source[[#This Row],[Приоритет]],тПриоритеты[],2,0)</f>
        <v>Значительное</v>
      </c>
      <c r="E436" t="str">
        <f>IF(ISBLANK(source[[#This Row],[Проверенные]]),IF(ISBLANK(source[[#This Row],[Завершенные]]),source[[#This Row],[Приоритет_]],"Завершено"),"Проверено")</f>
        <v>Проверено</v>
      </c>
      <c r="F436" t="s">
        <v>2414</v>
      </c>
      <c r="G436" t="s">
        <v>856</v>
      </c>
      <c r="H436" t="e">
        <f>VLOOKUP(source[[#This Row],[Отвественный]],тОтветственные[],2,0)</f>
        <v>#N/A</v>
      </c>
      <c r="I436" s="2">
        <v>43706</v>
      </c>
      <c r="J436" s="2">
        <v>43799</v>
      </c>
      <c r="N436" t="s">
        <v>2637</v>
      </c>
      <c r="P436">
        <v>0</v>
      </c>
      <c r="S436" s="1">
        <v>43770.459502314814</v>
      </c>
      <c r="T436" s="1">
        <v>43809.407673611109</v>
      </c>
      <c r="U436" s="1">
        <v>43809.407673611109</v>
      </c>
      <c r="W436" s="1">
        <v>43809.407673611109</v>
      </c>
      <c r="EC436" t="s">
        <v>2638</v>
      </c>
      <c r="ED436" t="s">
        <v>2639</v>
      </c>
      <c r="EE436" t="s">
        <v>2640</v>
      </c>
      <c r="EF436" t="s">
        <v>1164</v>
      </c>
      <c r="EG436" t="s">
        <v>864</v>
      </c>
      <c r="EH436" t="s">
        <v>2478</v>
      </c>
      <c r="EI436" t="s">
        <v>2448</v>
      </c>
      <c r="EJ436" t="s">
        <v>2641</v>
      </c>
      <c r="EK436" t="s">
        <v>2642</v>
      </c>
      <c r="EL436" t="s">
        <v>2643</v>
      </c>
      <c r="EM436" t="s">
        <v>2423</v>
      </c>
      <c r="EN436" t="str">
        <f>HYPERLINK("https://d33htgqikc2pj4.cloudfront.net/60b334527ec122048b1be01a466f1f37/79ee2aa0aa7426ca2058348efd332300-file.jpeg", "Александр Лесюта: Ссылка на изображение")</f>
        <v>Александр Лесюта: Ссылка на изображение</v>
      </c>
      <c r="EO436" t="str">
        <f>HYPERLINK("https://d33htgqikc2pj4.cloudfront.net/8abc03832fc3af6da8e86b61e130dfc6/71229731df26b0953b65002398ef933b-file.jpeg", "Александр Лесюта: Ссылка на изображение")</f>
        <v>Александр Лесюта: Ссылка на изображение</v>
      </c>
    </row>
    <row r="437" spans="1:157" ht="15" customHeight="1" x14ac:dyDescent="0.35">
      <c r="A437">
        <v>611</v>
      </c>
      <c r="B437" t="s">
        <v>2644</v>
      </c>
      <c r="C437">
        <v>1</v>
      </c>
      <c r="D437" t="str">
        <f>VLOOKUP(source[[#This Row],[Приоритет]],тПриоритеты[],2,0)</f>
        <v>КРИТИЧЕСКОЕ</v>
      </c>
      <c r="E437" t="str">
        <f>IF(ISBLANK(source[[#This Row],[Проверенные]]),IF(ISBLANK(source[[#This Row],[Завершенные]]),source[[#This Row],[Приоритет_]],"Завершено"),"Проверено")</f>
        <v>Проверено</v>
      </c>
      <c r="F437" t="s">
        <v>2414</v>
      </c>
      <c r="G437" t="s">
        <v>856</v>
      </c>
      <c r="H437" t="e">
        <f>VLOOKUP(source[[#This Row],[Отвественный]],тОтветственные[],2,0)</f>
        <v>#N/A</v>
      </c>
      <c r="I437" s="2">
        <v>43811</v>
      </c>
      <c r="J437" s="2">
        <v>43814</v>
      </c>
      <c r="S437" s="1">
        <v>43811.56391203704</v>
      </c>
      <c r="T437" s="1">
        <v>43822.583564814813</v>
      </c>
      <c r="U437" s="1">
        <v>43823.435011574074</v>
      </c>
      <c r="W437" s="1">
        <v>43823.435023148151</v>
      </c>
      <c r="EC437" t="s">
        <v>2645</v>
      </c>
      <c r="ED437" t="s">
        <v>2646</v>
      </c>
      <c r="EE437" t="s">
        <v>2647</v>
      </c>
      <c r="EF437" t="str">
        <f>HYPERLINK("https://d33htgqikc2pj4.cloudfront.net/8fef4c3f941fd4eef538baa5172cba2a/bf3251e0f1f99338bf2df18fe9d5ec2b-file.jpeg", "Александр Лесюта: Ссылка на изображение")</f>
        <v>Александр Лесюта: Ссылка на изображение</v>
      </c>
      <c r="EG437" t="str">
        <f>HYPERLINK("https://d33htgqikc2pj4.cloudfront.net/a101f75e31c7268ff1216dd37e5f5582/aafe3290ce160da0a881d15b548ccb6a-file.jpeg", "Александр Лесюта: Ссылка на изображение")</f>
        <v>Александр Лесюта: Ссылка на изображение</v>
      </c>
      <c r="EH437" t="str">
        <f>HYPERLINK("https://d33htgqikc2pj4.cloudfront.net/60c8acb00a9d3c50d628a98d03c23a9f/f60116f1cd3ed737abee9f46de2abb20-file.jpeg", "Александр Лесюта: Ссылка на изображение")</f>
        <v>Александр Лесюта: Ссылка на изображение</v>
      </c>
      <c r="EI437" t="s">
        <v>2440</v>
      </c>
      <c r="EJ437" t="s">
        <v>2648</v>
      </c>
      <c r="EK437" t="s">
        <v>2649</v>
      </c>
      <c r="EL437" t="s">
        <v>2435</v>
      </c>
      <c r="EM437" t="s">
        <v>2650</v>
      </c>
      <c r="EN437" t="s">
        <v>2422</v>
      </c>
      <c r="EO437" t="s">
        <v>2423</v>
      </c>
    </row>
    <row r="438" spans="1:157" ht="15" customHeight="1" x14ac:dyDescent="0.35">
      <c r="A438">
        <v>605</v>
      </c>
      <c r="B438" t="s">
        <v>2651</v>
      </c>
      <c r="C438">
        <v>1</v>
      </c>
      <c r="D438" t="str">
        <f>VLOOKUP(source[[#This Row],[Приоритет]],тПриоритеты[],2,0)</f>
        <v>КРИТИЧЕСКОЕ</v>
      </c>
      <c r="E438" t="str">
        <f>IF(ISBLANK(source[[#This Row],[Проверенные]]),IF(ISBLANK(source[[#This Row],[Завершенные]]),source[[#This Row],[Приоритет_]],"Завершено"),"Проверено")</f>
        <v>Проверено</v>
      </c>
      <c r="F438" t="s">
        <v>2414</v>
      </c>
      <c r="G438" t="s">
        <v>856</v>
      </c>
      <c r="H438" t="e">
        <f>VLOOKUP(source[[#This Row],[Отвественный]],тОтветственные[],2,0)</f>
        <v>#N/A</v>
      </c>
      <c r="I438" s="2">
        <v>43810</v>
      </c>
      <c r="J438" s="2">
        <v>43817</v>
      </c>
      <c r="S438" s="1">
        <v>43810.982175925928</v>
      </c>
      <c r="T438" s="1">
        <v>43851.442164351851</v>
      </c>
      <c r="U438" s="1">
        <v>43851.442164351851</v>
      </c>
      <c r="W438" s="1">
        <v>43851.442175925928</v>
      </c>
      <c r="EC438" t="s">
        <v>1959</v>
      </c>
      <c r="ED438" t="s">
        <v>2652</v>
      </c>
      <c r="EE438" t="s">
        <v>2653</v>
      </c>
      <c r="EF438" t="s">
        <v>2654</v>
      </c>
      <c r="EG438" t="s">
        <v>2655</v>
      </c>
      <c r="EH438" t="s">
        <v>2656</v>
      </c>
      <c r="EI438" t="s">
        <v>2657</v>
      </c>
      <c r="EJ438" t="s">
        <v>2435</v>
      </c>
      <c r="EK438" t="s">
        <v>2423</v>
      </c>
    </row>
    <row r="439" spans="1:157" ht="15" customHeight="1" x14ac:dyDescent="0.35">
      <c r="A439">
        <v>500</v>
      </c>
      <c r="B439" t="s">
        <v>2658</v>
      </c>
      <c r="C439">
        <v>2</v>
      </c>
      <c r="D439" t="str">
        <f>VLOOKUP(source[[#This Row],[Приоритет]],тПриоритеты[],2,0)</f>
        <v>Значительное</v>
      </c>
      <c r="E439" t="str">
        <f>IF(ISBLANK(source[[#This Row],[Проверенные]]),IF(ISBLANK(source[[#This Row],[Завершенные]]),source[[#This Row],[Приоритет_]],"Завершено"),"Проверено")</f>
        <v>Проверено</v>
      </c>
      <c r="F439" t="s">
        <v>2659</v>
      </c>
      <c r="G439" t="s">
        <v>998</v>
      </c>
      <c r="H439" t="e">
        <f>VLOOKUP(source[[#This Row],[Отвественный]],тОтветственные[],2,0)</f>
        <v>#N/A</v>
      </c>
      <c r="I439" s="2">
        <v>43805</v>
      </c>
      <c r="J439" s="2">
        <v>43810</v>
      </c>
      <c r="K439" t="s">
        <v>2660</v>
      </c>
      <c r="L439">
        <v>36.17</v>
      </c>
      <c r="M439">
        <v>45.36</v>
      </c>
      <c r="Q439" t="s">
        <v>371</v>
      </c>
      <c r="R439" t="str">
        <f>HYPERLINK("https://d28ji4sm1vmprj.cloudfront.net/169a4c3b8787b33111706c732c0f9f90/98d23e1f31d571e7029d22f6bafadcfb.jpeg", "Ссылка на план")</f>
        <v>Ссылка на план</v>
      </c>
      <c r="S439" s="1">
        <v>43801.435555555552</v>
      </c>
      <c r="T439" s="1">
        <v>43809.691435185188</v>
      </c>
      <c r="U439" s="1">
        <v>43857.424988425926</v>
      </c>
      <c r="W439" s="1">
        <v>43857.424988425926</v>
      </c>
      <c r="X439" t="s">
        <v>966</v>
      </c>
      <c r="EC439" t="s">
        <v>1030</v>
      </c>
      <c r="ED439" t="str">
        <f>HYPERLINK("https://d33htgqikc2pj4.cloudfront.net/2570dd91-0527-48b3-b58c-1b690b4cdcba.jpeg", "Stanislav Veresov: Ссылка на изображение")</f>
        <v>Stanislav Veresov: Ссылка на изображение</v>
      </c>
      <c r="EE439" t="s">
        <v>2661</v>
      </c>
      <c r="EF439" t="s">
        <v>875</v>
      </c>
      <c r="EG439" t="s">
        <v>984</v>
      </c>
      <c r="EH439" t="s">
        <v>2662</v>
      </c>
      <c r="EI439" t="s">
        <v>2663</v>
      </c>
      <c r="EJ439" t="s">
        <v>2664</v>
      </c>
      <c r="EK439" t="s">
        <v>2665</v>
      </c>
      <c r="EL439" t="str">
        <f>HYPERLINK("https://d33htgqikc2pj4.cloudfront.net/20362bb2-d771-45d5-ab58-aa7caaf3b7df.jpeg", "Вентиляция Renaissance: Ссылка на изображение")</f>
        <v>Вентиляция Renaissance: Ссылка на изображение</v>
      </c>
      <c r="EM439" t="s">
        <v>1072</v>
      </c>
      <c r="EN439" t="s">
        <v>987</v>
      </c>
      <c r="EO439" t="s">
        <v>888</v>
      </c>
    </row>
    <row r="440" spans="1:157" ht="15" customHeight="1" x14ac:dyDescent="0.35">
      <c r="A440">
        <v>205</v>
      </c>
      <c r="B440" t="s">
        <v>2666</v>
      </c>
      <c r="C440">
        <v>1</v>
      </c>
      <c r="D440" t="str">
        <f>VLOOKUP(source[[#This Row],[Приоритет]],тПриоритеты[],2,0)</f>
        <v>КРИТИЧЕСКОЕ</v>
      </c>
      <c r="E440" t="str">
        <f>IF(ISBLANK(source[[#This Row],[Проверенные]]),IF(ISBLANK(source[[#This Row],[Завершенные]]),source[[#This Row],[Приоритет_]],"Завершено"),"Проверено")</f>
        <v>КРИТИЧЕСКОЕ</v>
      </c>
      <c r="F440" t="s">
        <v>2659</v>
      </c>
      <c r="G440" t="s">
        <v>2382</v>
      </c>
      <c r="H440" t="e">
        <f>VLOOKUP(source[[#This Row],[Отвественный]],тОтветственные[],2,0)</f>
        <v>#N/A</v>
      </c>
      <c r="I440" s="2">
        <v>43777</v>
      </c>
      <c r="J440" s="2">
        <v>43799</v>
      </c>
      <c r="K440" t="s">
        <v>2667</v>
      </c>
      <c r="L440">
        <v>62.64</v>
      </c>
      <c r="M440">
        <v>58.73</v>
      </c>
      <c r="N440" t="s">
        <v>2668</v>
      </c>
      <c r="Q440" t="s">
        <v>2669</v>
      </c>
      <c r="R440" t="str">
        <f>HYPERLINK("https://d28ji4sm1vmprj.cloudfront.net/469939e33e3f697ba48be5116d0a2a6b/ddb140b999f0549d7c5d272e3945bc2d.jpeg", "Ссылка на план")</f>
        <v>Ссылка на план</v>
      </c>
      <c r="S440" s="1">
        <v>43780.389965277776</v>
      </c>
      <c r="W440" s="1">
        <v>43791.613993055558</v>
      </c>
      <c r="EC440" t="s">
        <v>2670</v>
      </c>
      <c r="ED440" t="str">
        <f>HYPERLINK("https://d33htgqikc2pj4.cloudfront.net/ea461a4a-7681-476a-9efd-724d761dc631.jpeg", "Валерий Семиков: Ссылка на изображение")</f>
        <v>Валерий Семиков: Ссылка на изображение</v>
      </c>
      <c r="EE440" t="str">
        <f>HYPERLINK("https://d33htgqikc2pj4.cloudfront.net/3a14537c-eb7c-4f33-afb5-269ceaf93917.jpeg", "Валерий Семиков: Ссылка на изображение")</f>
        <v>Валерий Семиков: Ссылка на изображение</v>
      </c>
      <c r="EF440" t="s">
        <v>2671</v>
      </c>
      <c r="EG440" t="s">
        <v>2672</v>
      </c>
      <c r="EH440" t="s">
        <v>2673</v>
      </c>
      <c r="EI440" t="s">
        <v>2674</v>
      </c>
      <c r="EJ440" t="s">
        <v>2675</v>
      </c>
      <c r="EK440" t="s">
        <v>2676</v>
      </c>
      <c r="EL440" t="s">
        <v>1204</v>
      </c>
    </row>
    <row r="441" spans="1:157" ht="15" customHeight="1" x14ac:dyDescent="0.35">
      <c r="A441">
        <v>433</v>
      </c>
      <c r="B441" t="s">
        <v>2677</v>
      </c>
      <c r="C441">
        <v>2</v>
      </c>
      <c r="D441" t="str">
        <f>VLOOKUP(source[[#This Row],[Приоритет]],тПриоритеты[],2,0)</f>
        <v>Значительное</v>
      </c>
      <c r="E441" t="str">
        <f>IF(ISBLANK(source[[#This Row],[Проверенные]]),IF(ISBLANK(source[[#This Row],[Завершенные]]),source[[#This Row],[Приоритет_]],"Завершено"),"Проверено")</f>
        <v>Значительное</v>
      </c>
      <c r="F441" t="s">
        <v>2659</v>
      </c>
      <c r="G441" t="s">
        <v>2382</v>
      </c>
      <c r="H441" t="e">
        <f>VLOOKUP(source[[#This Row],[Отвественный]],тОтветственные[],2,0)</f>
        <v>#N/A</v>
      </c>
      <c r="I441" s="2">
        <v>43791</v>
      </c>
      <c r="J441" s="2">
        <v>43821</v>
      </c>
      <c r="K441" t="s">
        <v>2678</v>
      </c>
      <c r="L441">
        <v>54.77</v>
      </c>
      <c r="M441">
        <v>20.63</v>
      </c>
      <c r="Q441" t="s">
        <v>2679</v>
      </c>
      <c r="R441" t="str">
        <f>HYPERLINK("https://d28ji4sm1vmprj.cloudfront.net/2c3c804c84ee8c61fcbafcdeafd31efa/7ef575528368b83b0989529bf98dc726.jpeg", "Ссылка на план")</f>
        <v>Ссылка на план</v>
      </c>
      <c r="S441" s="1">
        <v>43794.760520833333</v>
      </c>
      <c r="W441" s="1">
        <v>43808.734282407408</v>
      </c>
      <c r="X441" t="s">
        <v>2680</v>
      </c>
      <c r="EC441" t="s">
        <v>2681</v>
      </c>
      <c r="ED441" t="s">
        <v>2682</v>
      </c>
      <c r="EE441" t="s">
        <v>2683</v>
      </c>
      <c r="EF441" t="s">
        <v>2684</v>
      </c>
    </row>
    <row r="442" spans="1:157" ht="15" customHeight="1" x14ac:dyDescent="0.35">
      <c r="A442">
        <v>807</v>
      </c>
      <c r="B442" t="s">
        <v>2685</v>
      </c>
      <c r="C442">
        <v>2</v>
      </c>
      <c r="D442" t="str">
        <f>VLOOKUP(source[[#This Row],[Приоритет]],тПриоритеты[],2,0)</f>
        <v>Значительное</v>
      </c>
      <c r="E442" t="str">
        <f>IF(ISBLANK(source[[#This Row],[Проверенные]]),IF(ISBLANK(source[[#This Row],[Завершенные]]),source[[#This Row],[Приоритет_]],"Завершено"),"Проверено")</f>
        <v>Значительное</v>
      </c>
      <c r="F442" t="s">
        <v>2659</v>
      </c>
      <c r="G442" t="s">
        <v>2382</v>
      </c>
      <c r="H442" t="e">
        <f>VLOOKUP(source[[#This Row],[Отвественный]],тОтветственные[],2,0)</f>
        <v>#N/A</v>
      </c>
      <c r="I442" s="2">
        <v>43826</v>
      </c>
      <c r="J442" s="2">
        <v>43857</v>
      </c>
      <c r="K442" t="s">
        <v>2686</v>
      </c>
      <c r="L442">
        <v>29.85</v>
      </c>
      <c r="M442">
        <v>23.27</v>
      </c>
      <c r="N442" t="s">
        <v>2687</v>
      </c>
      <c r="Q442" t="s">
        <v>2669</v>
      </c>
      <c r="R442" t="str">
        <f>HYPERLINK("https://d28ji4sm1vmprj.cloudfront.net/0e784a0d076eb115dff6c9aab4fa3852/4c970b007c0944b3db0b73bd38f2f531.jpeg", "Ссылка на план")</f>
        <v>Ссылка на план</v>
      </c>
      <c r="S442" s="1">
        <v>43826.639398148145</v>
      </c>
      <c r="W442" s="1">
        <v>43826.644861111112</v>
      </c>
      <c r="EC442" t="s">
        <v>2688</v>
      </c>
      <c r="ED442" t="str">
        <f>HYPERLINK("https://d33htgqikc2pj4.cloudfront.net/259f0030b383c86099e969b0998f5ea7/a47979391a31df26bf60942c87738797-file.jpeg", "Валерий Семиков: Ссылка на изображение")</f>
        <v>Валерий Семиков: Ссылка на изображение</v>
      </c>
      <c r="EE442" t="s">
        <v>2689</v>
      </c>
      <c r="EF442" t="s">
        <v>2690</v>
      </c>
      <c r="EG442" t="s">
        <v>2691</v>
      </c>
      <c r="EH442" t="s">
        <v>2692</v>
      </c>
      <c r="EI442" t="s">
        <v>2693</v>
      </c>
      <c r="EJ442" t="s">
        <v>2684</v>
      </c>
    </row>
    <row r="443" spans="1:157" ht="15" customHeight="1" x14ac:dyDescent="0.35">
      <c r="A443">
        <v>808</v>
      </c>
      <c r="B443" t="s">
        <v>2694</v>
      </c>
      <c r="C443">
        <v>2</v>
      </c>
      <c r="D443" t="str">
        <f>VLOOKUP(source[[#This Row],[Приоритет]],тПриоритеты[],2,0)</f>
        <v>Значительное</v>
      </c>
      <c r="E443" t="str">
        <f>IF(ISBLANK(source[[#This Row],[Проверенные]]),IF(ISBLANK(source[[#This Row],[Завершенные]]),source[[#This Row],[Приоритет_]],"Завершено"),"Проверено")</f>
        <v>Значительное</v>
      </c>
      <c r="F443" t="s">
        <v>2659</v>
      </c>
      <c r="G443" t="s">
        <v>2382</v>
      </c>
      <c r="H443" t="e">
        <f>VLOOKUP(source[[#This Row],[Отвественный]],тОтветственные[],2,0)</f>
        <v>#N/A</v>
      </c>
      <c r="I443" s="2">
        <v>43826</v>
      </c>
      <c r="J443" s="2">
        <v>43845</v>
      </c>
      <c r="K443" t="s">
        <v>2695</v>
      </c>
      <c r="L443">
        <v>28.42</v>
      </c>
      <c r="M443">
        <v>67.92</v>
      </c>
      <c r="Q443" t="s">
        <v>2669</v>
      </c>
      <c r="R443" t="str">
        <f>HYPERLINK("https://d28ji4sm1vmprj.cloudfront.net/99b29c3735583fb0f7dd36b2b627f0e6/2af777ad30933640adc539ee0c5936c8.jpeg", "Ссылка на план")</f>
        <v>Ссылка на план</v>
      </c>
      <c r="S443" s="1">
        <v>43826.64539351852</v>
      </c>
      <c r="W443" s="1">
        <v>43826.679270833331</v>
      </c>
      <c r="EC443" t="s">
        <v>2696</v>
      </c>
      <c r="ED443" t="s">
        <v>2689</v>
      </c>
      <c r="EE443" s="3" t="s">
        <v>2697</v>
      </c>
      <c r="EF443" t="str">
        <f>HYPERLINK("https://d33htgqikc2pj4.cloudfront.net/deadda9d4d9cde05dd0f3acd22ad140e/e972f7a36e43bdd1ddd3cf1a13eb34c7-file.jpeg", "Валерий Семиков: Ссылка на изображение")</f>
        <v>Валерий Семиков: Ссылка на изображение</v>
      </c>
      <c r="EG443" t="str">
        <f>HYPERLINK("https://d33htgqikc2pj4.cloudfront.net/6473aa1df03d96b84c2608ef989d0082/e3fe7de7284cfeed7355382027b3e647-file.jpeg", "Валерий Семиков: Ссылка на изображение")</f>
        <v>Валерий Семиков: Ссылка на изображение</v>
      </c>
      <c r="EH443" t="str">
        <f>HYPERLINK("https://d33htgqikc2pj4.cloudfront.net/3046b80ee6b0c95d7a45a7ce7dd97fd0/17a6127f886c79d0623e8eb6b8608e9e-file.jpeg", "Валерий Семиков: Ссылка на изображение")</f>
        <v>Валерий Семиков: Ссылка на изображение</v>
      </c>
      <c r="EI443" t="str">
        <f>HYPERLINK("https://d33htgqikc2pj4.cloudfront.net/4723dfb7f5d46c0bbd34ca531e38c011/1d12f1510f2ab81a390c227af90234c4-file.jpeg", "Валерий Семиков: Ссылка на изображение")</f>
        <v>Валерий Семиков: Ссылка на изображение</v>
      </c>
      <c r="EJ443" t="str">
        <f>HYPERLINK("https://d33htgqikc2pj4.cloudfront.net/e35c133c82d48bfbf7200310561e9e49/32d3b851f0b8f48af88cd78453b09ffe-file.jpeg", "Валерий Семиков: Ссылка на изображение")</f>
        <v>Валерий Семиков: Ссылка на изображение</v>
      </c>
      <c r="EK443" t="str">
        <f>HYPERLINK("https://d33htgqikc2pj4.cloudfront.net/0783fe6b620175031cbe6d2b5662727b/cb1441d5481b5ba15d00deb4f7a3a293-file.jpeg", "Валерий Семиков: Ссылка на изображение")</f>
        <v>Валерий Семиков: Ссылка на изображение</v>
      </c>
      <c r="EL443" t="s">
        <v>2691</v>
      </c>
      <c r="EM443" t="s">
        <v>2698</v>
      </c>
      <c r="EN443" t="s">
        <v>2684</v>
      </c>
    </row>
    <row r="444" spans="1:157" ht="15" customHeight="1" x14ac:dyDescent="0.35">
      <c r="A444">
        <v>1240</v>
      </c>
      <c r="B444" t="s">
        <v>2699</v>
      </c>
      <c r="C444">
        <v>2</v>
      </c>
      <c r="D444" t="str">
        <f>VLOOKUP(source[[#This Row],[Приоритет]],тПриоритеты[],2,0)</f>
        <v>Значительное</v>
      </c>
      <c r="E444" t="str">
        <f>IF(ISBLANK(source[[#This Row],[Проверенные]]),IF(ISBLANK(source[[#This Row],[Завершенные]]),source[[#This Row],[Приоритет_]],"Завершено"),"Проверено")</f>
        <v>Значительное</v>
      </c>
      <c r="F444" t="s">
        <v>2659</v>
      </c>
      <c r="G444" t="s">
        <v>2382</v>
      </c>
      <c r="H444" t="e">
        <f>VLOOKUP(source[[#This Row],[Отвественный]],тОтветственные[],2,0)</f>
        <v>#N/A</v>
      </c>
      <c r="I444" s="2">
        <v>43868</v>
      </c>
      <c r="J444" s="2">
        <v>43897</v>
      </c>
      <c r="K444" t="s">
        <v>2700</v>
      </c>
      <c r="L444">
        <v>58.18</v>
      </c>
      <c r="M444">
        <v>31.06</v>
      </c>
      <c r="N444" t="s">
        <v>2701</v>
      </c>
      <c r="Q444" t="s">
        <v>2669</v>
      </c>
      <c r="R444" t="str">
        <f>HYPERLINK("https://d28ji4sm1vmprj.cloudfront.net/1d752417a04d4fab8a710461b2d06964/26b92fec4f37436b1d9bbecd5a26b38a.jpeg", "Ссылка на план")</f>
        <v>Ссылка на план</v>
      </c>
      <c r="S444" s="1">
        <v>43868.709456018521</v>
      </c>
      <c r="W444" s="1">
        <v>43868.713773148149</v>
      </c>
      <c r="EC444" t="s">
        <v>2702</v>
      </c>
      <c r="ED444" t="s">
        <v>2703</v>
      </c>
      <c r="EE444" t="str">
        <f>HYPERLINK("https://d33htgqikc2pj4.cloudfront.net/ccb20512-cd75-4a44-8713-96aacea81702.jpeg", "Валерий Семиков: Ссылка на изображение")</f>
        <v>Валерий Семиков: Ссылка на изображение</v>
      </c>
      <c r="EF444" t="str">
        <f>HYPERLINK("https://d33htgqikc2pj4.cloudfront.net/50bcfd8b-64d6-43d1-a293-fe64f38ecfda.jpeg", "Валерий Семиков: Ссылка на изображение")</f>
        <v>Валерий Семиков: Ссылка на изображение</v>
      </c>
      <c r="EG444" t="str">
        <f>HYPERLINK("https://d33htgqikc2pj4.cloudfront.net/8520e279-d0c5-4e03-bb20-1a69cb07ea36.jpeg", "Валерий Семиков: Ссылка на изображение")</f>
        <v>Валерий Семиков: Ссылка на изображение</v>
      </c>
      <c r="EH444" t="s">
        <v>2689</v>
      </c>
      <c r="EI444" t="s">
        <v>2704</v>
      </c>
      <c r="EJ444" t="s">
        <v>2705</v>
      </c>
      <c r="EK444" t="s">
        <v>2706</v>
      </c>
      <c r="EL444" t="s">
        <v>2707</v>
      </c>
      <c r="EM444" t="s">
        <v>2675</v>
      </c>
    </row>
    <row r="445" spans="1:157" ht="15" customHeight="1" x14ac:dyDescent="0.35">
      <c r="A445">
        <v>502</v>
      </c>
      <c r="B445" t="s">
        <v>2708</v>
      </c>
      <c r="C445">
        <v>2</v>
      </c>
      <c r="D445" t="str">
        <f>VLOOKUP(source[[#This Row],[Приоритет]],тПриоритеты[],2,0)</f>
        <v>Значительное</v>
      </c>
      <c r="E445" t="str">
        <f>IF(ISBLANK(source[[#This Row],[Проверенные]]),IF(ISBLANK(source[[#This Row],[Завершенные]]),source[[#This Row],[Приоритет_]],"Завершено"),"Проверено")</f>
        <v>Проверено</v>
      </c>
      <c r="F445" t="s">
        <v>2659</v>
      </c>
      <c r="G445" t="s">
        <v>2382</v>
      </c>
      <c r="H445" t="e">
        <f>VLOOKUP(source[[#This Row],[Отвественный]],тОтветственные[],2,0)</f>
        <v>#N/A</v>
      </c>
      <c r="K445" t="s">
        <v>2709</v>
      </c>
      <c r="L445">
        <v>26.23</v>
      </c>
      <c r="M445">
        <v>46.55</v>
      </c>
      <c r="Q445" t="s">
        <v>371</v>
      </c>
      <c r="R445" t="str">
        <f>HYPERLINK("https://d28ji4sm1vmprj.cloudfront.net/dd8cd8c3022bf5e529b13065b73329e9/dee642f59e528966576e578097233714.jpeg", "Ссылка на план")</f>
        <v>Ссылка на план</v>
      </c>
      <c r="S445" s="1">
        <v>43801.447511574072</v>
      </c>
      <c r="T445" s="1">
        <v>43817.435162037036</v>
      </c>
      <c r="U445" s="1">
        <v>43857.423275462963</v>
      </c>
      <c r="W445" s="1">
        <v>43857.42328703704</v>
      </c>
      <c r="X445" t="s">
        <v>966</v>
      </c>
      <c r="EC445" t="s">
        <v>1030</v>
      </c>
      <c r="ED445" t="str">
        <f>HYPERLINK("https://d33htgqikc2pj4.cloudfront.net/95ce6d84-1501-41e6-aac9-f15cf04e644e.jpeg", "Stanislav Veresov: Ссылка на изображение")</f>
        <v>Stanislav Veresov: Ссылка на изображение</v>
      </c>
      <c r="EE445" t="s">
        <v>2710</v>
      </c>
      <c r="EF445" t="s">
        <v>875</v>
      </c>
      <c r="EG445" t="s">
        <v>984</v>
      </c>
      <c r="EH445" t="s">
        <v>2662</v>
      </c>
      <c r="EI445" t="s">
        <v>2711</v>
      </c>
      <c r="EJ445" t="s">
        <v>2712</v>
      </c>
      <c r="EK445" t="str">
        <f>HYPERLINK("https://d33htgqikc2pj4.cloudfront.net/6a07fa75-553e-4db8-ad7a-f33779a7e29f.jpeg", "Вентиляция Renaissance: Ссылка на изображение")</f>
        <v>Вентиляция Renaissance: Ссылка на изображение</v>
      </c>
      <c r="EL445" t="s">
        <v>987</v>
      </c>
      <c r="EM445" t="s">
        <v>1072</v>
      </c>
      <c r="EN445" t="s">
        <v>888</v>
      </c>
    </row>
    <row r="446" spans="1:157" ht="15" customHeight="1" x14ac:dyDescent="0.35">
      <c r="A446">
        <v>430</v>
      </c>
      <c r="B446" t="s">
        <v>2713</v>
      </c>
      <c r="C446">
        <v>2</v>
      </c>
      <c r="D446" t="str">
        <f>VLOOKUP(source[[#This Row],[Приоритет]],тПриоритеты[],2,0)</f>
        <v>Значительное</v>
      </c>
      <c r="E446" t="str">
        <f>IF(ISBLANK(source[[#This Row],[Проверенные]]),IF(ISBLANK(source[[#This Row],[Завершенные]]),source[[#This Row],[Приоритет_]],"Завершено"),"Проверено")</f>
        <v>Значительное</v>
      </c>
      <c r="F446" t="s">
        <v>2659</v>
      </c>
      <c r="G446" t="s">
        <v>2394</v>
      </c>
      <c r="H446" t="e">
        <f>VLOOKUP(source[[#This Row],[Отвественный]],тОтветственные[],2,0)</f>
        <v>#N/A</v>
      </c>
      <c r="I446" s="2">
        <v>43794</v>
      </c>
      <c r="J446" s="2">
        <v>43875</v>
      </c>
      <c r="K446" t="s">
        <v>2714</v>
      </c>
      <c r="L446">
        <v>39.29</v>
      </c>
      <c r="M446">
        <v>53.87</v>
      </c>
      <c r="N446" t="s">
        <v>2715</v>
      </c>
      <c r="Q446" t="s">
        <v>2716</v>
      </c>
      <c r="R446" t="str">
        <f>HYPERLINK("https://d28ji4sm1vmprj.cloudfront.net/01b864bf0ef9fa44776756685d09e380/d38bbf5929fb6a200fbdfd7f07b11206.jpeg", "Ссылка на план")</f>
        <v>Ссылка на план</v>
      </c>
      <c r="S446" s="1">
        <v>43794.752488425926</v>
      </c>
      <c r="W446" s="1">
        <v>43868.576504629629</v>
      </c>
      <c r="X446" t="s">
        <v>2717</v>
      </c>
      <c r="EC446" t="s">
        <v>2718</v>
      </c>
      <c r="ED446" t="s">
        <v>2689</v>
      </c>
      <c r="EE446" t="s">
        <v>2719</v>
      </c>
      <c r="EF446" t="s">
        <v>2682</v>
      </c>
      <c r="EG446" t="s">
        <v>2720</v>
      </c>
      <c r="EH446" t="s">
        <v>2721</v>
      </c>
      <c r="EI446" t="s">
        <v>2683</v>
      </c>
      <c r="EJ446" t="str">
        <f>HYPERLINK("https://d33htgqikc2pj4.cloudfront.net/033859156f8c7898918431a57d56afe4/3ae71d68709b25827f2bec50509fb0c6-file.jpeg", "Валерий Семиков: Ссылка на изображение")</f>
        <v>Валерий Семиков: Ссылка на изображение</v>
      </c>
      <c r="EK446" t="str">
        <f>HYPERLINK("https://d33htgqikc2pj4.cloudfront.net/194f133820a9cf9fe5acaea7261975f7/f5e883a99bfc902eb7f655cb30f3918b-file.jpeg", "Валерий Семиков: Ссылка на изображение")</f>
        <v>Валерий Семиков: Ссылка на изображение</v>
      </c>
      <c r="EL446" t="str">
        <f>HYPERLINK("https://d33htgqikc2pj4.cloudfront.net/33fc41396938562c95b5eedca8c052ab/5148b87019504f15313834fd6caf2459-file.jpeg", "Валерий Семиков: Ссылка на изображение")</f>
        <v>Валерий Семиков: Ссылка на изображение</v>
      </c>
      <c r="EM446" t="str">
        <f>HYPERLINK("https://d33htgqikc2pj4.cloudfront.net/5168971c3793f43ffa510d38c1199e01/0fedf0ef11607b32f770cc15107f8c79-file.jpeg", "Валерий Семиков: Ссылка на изображение")</f>
        <v>Валерий Семиков: Ссылка на изображение</v>
      </c>
      <c r="EN446" t="s">
        <v>2722</v>
      </c>
      <c r="EO446" t="s">
        <v>2723</v>
      </c>
      <c r="EP446" t="s">
        <v>2403</v>
      </c>
      <c r="EQ446" t="str">
        <f>HYPERLINK("https://d33htgqikc2pj4.cloudfront.net/5c82e6a25ea867e36922983e3d023ea8/dbb8831dbc4c475fe243d593e1f52d0d-file.jpeg", "Слаботочные Системы Renaissance: Ссылка на изображение")</f>
        <v>Слаботочные Системы Renaissance: Ссылка на изображение</v>
      </c>
      <c r="ER446" t="s">
        <v>2399</v>
      </c>
      <c r="ES446" s="3" t="s">
        <v>2724</v>
      </c>
      <c r="ET446" t="s">
        <v>2725</v>
      </c>
      <c r="EU446" t="s">
        <v>2726</v>
      </c>
      <c r="EV446" t="s">
        <v>2727</v>
      </c>
      <c r="EW446" t="str">
        <f>HYPERLINK("https://d33htgqikc2pj4.cloudfront.net/a251a109839f5db092bd99c316364e35/4132d88513937d3775150e1f17cceb70-file.jpeg", "Слаботочные Системы Renaissance: Ссылка на изображение")</f>
        <v>Слаботочные Системы Renaissance: Ссылка на изображение</v>
      </c>
      <c r="EX446" t="s">
        <v>2399</v>
      </c>
      <c r="EY446" t="s">
        <v>2728</v>
      </c>
      <c r="EZ446" t="s">
        <v>2729</v>
      </c>
      <c r="FA446" t="s">
        <v>2730</v>
      </c>
    </row>
    <row r="447" spans="1:157" ht="15" customHeight="1" x14ac:dyDescent="0.35">
      <c r="A447">
        <v>481</v>
      </c>
      <c r="B447" t="s">
        <v>2731</v>
      </c>
      <c r="C447">
        <v>2</v>
      </c>
      <c r="D447" t="str">
        <f>VLOOKUP(source[[#This Row],[Приоритет]],тПриоритеты[],2,0)</f>
        <v>Значительное</v>
      </c>
      <c r="E447" t="str">
        <f>IF(ISBLANK(source[[#This Row],[Проверенные]]),IF(ISBLANK(source[[#This Row],[Завершенные]]),source[[#This Row],[Приоритет_]],"Завершено"),"Проверено")</f>
        <v>Значительное</v>
      </c>
      <c r="F447" t="s">
        <v>2659</v>
      </c>
      <c r="G447" t="s">
        <v>2394</v>
      </c>
      <c r="H447" t="e">
        <f>VLOOKUP(source[[#This Row],[Отвественный]],тОтветственные[],2,0)</f>
        <v>#N/A</v>
      </c>
      <c r="I447" s="2">
        <v>43798</v>
      </c>
      <c r="J447" s="2">
        <v>43821</v>
      </c>
      <c r="K447" t="s">
        <v>2732</v>
      </c>
      <c r="L447">
        <v>59.16</v>
      </c>
      <c r="M447">
        <v>22.93</v>
      </c>
      <c r="N447" t="s">
        <v>2733</v>
      </c>
      <c r="Q447" t="s">
        <v>2716</v>
      </c>
      <c r="R447" t="str">
        <f>HYPERLINK("https://d28ji4sm1vmprj.cloudfront.net/1e885c1d4764c1e1737c2177eb5cce43/106e9a5a74fe76ccb2a195de6c409cca.jpeg", "Ссылка на план")</f>
        <v>Ссылка на план</v>
      </c>
      <c r="S447" s="1">
        <v>43798.565115740741</v>
      </c>
      <c r="W447" s="1">
        <v>43808.734490740739</v>
      </c>
      <c r="EC447" t="s">
        <v>2734</v>
      </c>
      <c r="ED447" t="str">
        <f>HYPERLINK("https://d33htgqikc2pj4.cloudfront.net/2187e2bf-fe79-4306-8cc6-adf47000bd38.jpeg", "Валерий Семиков: Ссылка на изображение")</f>
        <v>Валерий Семиков: Ссылка на изображение</v>
      </c>
      <c r="EE447" t="s">
        <v>2689</v>
      </c>
      <c r="EF447" t="s">
        <v>2735</v>
      </c>
      <c r="EG447" t="s">
        <v>2736</v>
      </c>
      <c r="EH447" t="s">
        <v>2737</v>
      </c>
      <c r="EI447" t="s">
        <v>2738</v>
      </c>
    </row>
    <row r="448" spans="1:157" ht="15" customHeight="1" x14ac:dyDescent="0.35">
      <c r="A448">
        <v>60</v>
      </c>
      <c r="B448" t="s">
        <v>2739</v>
      </c>
      <c r="C448">
        <v>2</v>
      </c>
      <c r="D448" t="str">
        <f>VLOOKUP(source[[#This Row],[Приоритет]],тПриоритеты[],2,0)</f>
        <v>Значительное</v>
      </c>
      <c r="E448" t="str">
        <f>IF(ISBLANK(source[[#This Row],[Проверенные]]),IF(ISBLANK(source[[#This Row],[Завершенные]]),source[[#This Row],[Приоритет_]],"Завершено"),"Проверено")</f>
        <v>Значительное</v>
      </c>
      <c r="F448" t="s">
        <v>2659</v>
      </c>
      <c r="G448" t="s">
        <v>2394</v>
      </c>
      <c r="H448" t="e">
        <f>VLOOKUP(source[[#This Row],[Отвественный]],тОтветственные[],2,0)</f>
        <v>#N/A</v>
      </c>
      <c r="I448" s="2">
        <v>43678</v>
      </c>
      <c r="J448" s="2">
        <v>43685</v>
      </c>
      <c r="N448" t="s">
        <v>2740</v>
      </c>
      <c r="S448" s="1">
        <v>43770.459467592591</v>
      </c>
      <c r="W448" s="1">
        <v>43817.64335648148</v>
      </c>
      <c r="X448" t="s">
        <v>2717</v>
      </c>
      <c r="EC448" s="3" t="s">
        <v>2741</v>
      </c>
      <c r="ED448" t="s">
        <v>2742</v>
      </c>
      <c r="EE448" t="s">
        <v>2743</v>
      </c>
      <c r="EF448" t="s">
        <v>1164</v>
      </c>
      <c r="EG448" t="s">
        <v>1537</v>
      </c>
      <c r="EH448" t="s">
        <v>1204</v>
      </c>
      <c r="EI448" t="s">
        <v>2744</v>
      </c>
      <c r="EJ448" t="s">
        <v>2744</v>
      </c>
      <c r="EK448" t="s">
        <v>2744</v>
      </c>
      <c r="EL448" t="s">
        <v>2744</v>
      </c>
      <c r="EM448" t="s">
        <v>2745</v>
      </c>
      <c r="EN448" t="s">
        <v>2744</v>
      </c>
      <c r="EO448" t="s">
        <v>2746</v>
      </c>
      <c r="EP448" t="s">
        <v>2747</v>
      </c>
    </row>
    <row r="449" spans="1:149" ht="15" customHeight="1" x14ac:dyDescent="0.35">
      <c r="A449">
        <v>542</v>
      </c>
      <c r="B449" t="s">
        <v>2748</v>
      </c>
      <c r="C449">
        <v>2</v>
      </c>
      <c r="D449" t="str">
        <f>VLOOKUP(source[[#This Row],[Приоритет]],тПриоритеты[],2,0)</f>
        <v>Значительное</v>
      </c>
      <c r="E449" t="str">
        <f>IF(ISBLANK(source[[#This Row],[Проверенные]]),IF(ISBLANK(source[[#This Row],[Завершенные]]),source[[#This Row],[Приоритет_]],"Завершено"),"Проверено")</f>
        <v>Значительное</v>
      </c>
      <c r="F449" t="s">
        <v>2659</v>
      </c>
      <c r="G449" t="s">
        <v>2394</v>
      </c>
      <c r="H449" t="e">
        <f>VLOOKUP(source[[#This Row],[Отвественный]],тОтветственные[],2,0)</f>
        <v>#N/A</v>
      </c>
      <c r="I449" s="2">
        <v>43804</v>
      </c>
      <c r="J449" s="2">
        <v>43818</v>
      </c>
      <c r="K449" t="s">
        <v>2749</v>
      </c>
      <c r="L449">
        <v>15.16</v>
      </c>
      <c r="M449">
        <v>49.82</v>
      </c>
      <c r="Q449" t="s">
        <v>2750</v>
      </c>
      <c r="R449" t="str">
        <f>HYPERLINK("https://d28ji4sm1vmprj.cloudfront.net/3d8cf0a158ceae9f920278f69ab06d77/af8daf2568ff9295f02b94833eb549b0.jpeg", "Ссылка на план")</f>
        <v>Ссылка на план</v>
      </c>
      <c r="S449" s="1">
        <v>43804.693240740744</v>
      </c>
      <c r="W449" s="1">
        <v>43808.734386574077</v>
      </c>
      <c r="EC449" t="str">
        <f>HYPERLINK("https://d33htgqikc2pj4.cloudfront.net/fc858edcbff8e3860fbf5de891277749/e783c19c10a3c415417602a26540fe77-file.jpeg", "Сергей Давыдов: Ссылка на изображение")</f>
        <v>Сергей Давыдов: Ссылка на изображение</v>
      </c>
      <c r="ED449" t="str">
        <f>HYPERLINK("https://d33htgqikc2pj4.cloudfront.net/546c357121378304ae919f90bf703703/8d6d9e59475695533ce1e0ec12e3948a-file.jpeg", "Сергей Давыдов: Ссылка на изображение")</f>
        <v>Сергей Давыдов: Ссылка на изображение</v>
      </c>
      <c r="EE449" t="str">
        <f>HYPERLINK("https://d33htgqikc2pj4.cloudfront.net/1272581c0ad9bbe33ac739f1c9bc04e1/e760cf59615e50d6c7f132db73faae95-file.jpeg", "Сергей Давыдов: Ссылка на изображение")</f>
        <v>Сергей Давыдов: Ссылка на изображение</v>
      </c>
      <c r="EF449" t="str">
        <f>HYPERLINK("https://d33htgqikc2pj4.cloudfront.net/27167450f2b0cbf30c003b128451b7a7/bb4656b7cb1d9297be503388a220861d-file.jpeg", "Сергей Давыдов: Ссылка на изображение")</f>
        <v>Сергей Давыдов: Ссылка на изображение</v>
      </c>
      <c r="EG449" t="s">
        <v>2751</v>
      </c>
      <c r="EH449" t="s">
        <v>2752</v>
      </c>
      <c r="EI449" t="s">
        <v>2753</v>
      </c>
      <c r="EJ449" t="s">
        <v>2754</v>
      </c>
    </row>
    <row r="450" spans="1:149" ht="15" customHeight="1" x14ac:dyDescent="0.35">
      <c r="A450">
        <v>266</v>
      </c>
      <c r="B450" t="s">
        <v>2748</v>
      </c>
      <c r="C450">
        <v>2</v>
      </c>
      <c r="D450" t="str">
        <f>VLOOKUP(source[[#This Row],[Приоритет]],тПриоритеты[],2,0)</f>
        <v>Значительное</v>
      </c>
      <c r="E450" t="str">
        <f>IF(ISBLANK(source[[#This Row],[Проверенные]]),IF(ISBLANK(source[[#This Row],[Завершенные]]),source[[#This Row],[Приоритет_]],"Завершено"),"Проверено")</f>
        <v>Значительное</v>
      </c>
      <c r="F450" t="s">
        <v>2659</v>
      </c>
      <c r="G450" t="s">
        <v>2394</v>
      </c>
      <c r="H450" t="e">
        <f>VLOOKUP(source[[#This Row],[Отвественный]],тОтветственные[],2,0)</f>
        <v>#N/A</v>
      </c>
      <c r="I450" s="2">
        <v>43783</v>
      </c>
      <c r="J450" s="2">
        <v>43790</v>
      </c>
      <c r="K450" t="s">
        <v>2755</v>
      </c>
      <c r="L450">
        <v>25.85</v>
      </c>
      <c r="M450">
        <v>34.11</v>
      </c>
      <c r="Q450" t="s">
        <v>2750</v>
      </c>
      <c r="R450" t="str">
        <f>HYPERLINK("https://d28ji4sm1vmprj.cloudfront.net/71ebb59d434f0f198ab032b999455b6e/0b3d847c894112d3680361a0da1e4911.jpeg", "Ссылка на план")</f>
        <v>Ссылка на план</v>
      </c>
      <c r="S450" s="1">
        <v>43783.576585648145</v>
      </c>
      <c r="W450" s="1">
        <v>43791.614224537036</v>
      </c>
      <c r="EC450" t="s">
        <v>2756</v>
      </c>
      <c r="ED450" t="s">
        <v>2757</v>
      </c>
      <c r="EE450" t="s">
        <v>2758</v>
      </c>
      <c r="EF450" t="s">
        <v>2759</v>
      </c>
      <c r="EG450" t="str">
        <f>HYPERLINK("https://d33htgqikc2pj4.cloudfront.net/6582b1c4818321dcf2e84757ab24c1e4/a588d6713daecf516baf24654d5129e4-file.jpeg", "Сергей Давыдов: Ссылка на изображение")</f>
        <v>Сергей Давыдов: Ссылка на изображение</v>
      </c>
      <c r="EH450" t="str">
        <f>HYPERLINK("https://d33htgqikc2pj4.cloudfront.net/f948d287ac291e6d5b7052927b30c724/5937f685d7b6dfe438a5a1f4dcaa04e7-file.jpeg", "Сергей Давыдов: Ссылка на изображение")</f>
        <v>Сергей Давыдов: Ссылка на изображение</v>
      </c>
      <c r="EI450" t="str">
        <f>HYPERLINK("https://d33htgqikc2pj4.cloudfront.net/ff6b64b4f18737b2ca9d8d21953d61c9/8406d4169bddf7d13cb616f7ea57de81-file.jpeg", "Сергей Давыдов: Ссылка на изображение")</f>
        <v>Сергей Давыдов: Ссылка на изображение</v>
      </c>
      <c r="EJ450" t="str">
        <f>HYPERLINK("https://d33htgqikc2pj4.cloudfront.net/339a7ce1ab175040925937dce322ae73/1188d0012a307e63e1dcda63972a51d2-file.jpeg", "Сергей Давыдов: Ссылка на изображение")</f>
        <v>Сергей Давыдов: Ссылка на изображение</v>
      </c>
      <c r="EK450" t="str">
        <f>HYPERLINK("https://d33htgqikc2pj4.cloudfront.net/d50e85146ca06e1e79542c7c9d52156f/4d9ab614c0f0a09c448cd059aff42a26-file.jpeg", "Сергей Давыдов: Ссылка на изображение")</f>
        <v>Сергей Давыдов: Ссылка на изображение</v>
      </c>
      <c r="EL450" t="str">
        <f>HYPERLINK("https://d33htgqikc2pj4.cloudfront.net/315a2601b41f55ef24dbca025f28f38c/183e76f43ed9e31f1f309370622e4df1-file.jpeg", "Сергей Давыдов: Ссылка на изображение")</f>
        <v>Сергей Давыдов: Ссылка на изображение</v>
      </c>
      <c r="EM450" t="s">
        <v>2752</v>
      </c>
    </row>
    <row r="451" spans="1:149" ht="15" customHeight="1" x14ac:dyDescent="0.35">
      <c r="A451">
        <v>482</v>
      </c>
      <c r="B451" t="s">
        <v>2760</v>
      </c>
      <c r="C451">
        <v>2</v>
      </c>
      <c r="D451" t="str">
        <f>VLOOKUP(source[[#This Row],[Приоритет]],тПриоритеты[],2,0)</f>
        <v>Значительное</v>
      </c>
      <c r="E451" t="str">
        <f>IF(ISBLANK(source[[#This Row],[Проверенные]]),IF(ISBLANK(source[[#This Row],[Завершенные]]),source[[#This Row],[Приоритет_]],"Завершено"),"Проверено")</f>
        <v>Завершено</v>
      </c>
      <c r="F451" t="s">
        <v>2659</v>
      </c>
      <c r="G451" t="s">
        <v>2394</v>
      </c>
      <c r="H451" t="e">
        <f>VLOOKUP(source[[#This Row],[Отвественный]],тОтветственные[],2,0)</f>
        <v>#N/A</v>
      </c>
      <c r="I451" s="2">
        <v>43798</v>
      </c>
      <c r="J451" s="2">
        <v>43821</v>
      </c>
      <c r="K451" t="s">
        <v>2732</v>
      </c>
      <c r="L451">
        <v>39.65</v>
      </c>
      <c r="M451">
        <v>53.52</v>
      </c>
      <c r="N451" t="s">
        <v>2761</v>
      </c>
      <c r="Q451" t="s">
        <v>2716</v>
      </c>
      <c r="R451" t="str">
        <f>HYPERLINK("https://d28ji4sm1vmprj.cloudfront.net/1e885c1d4764c1e1737c2177eb5cce43/106e9a5a74fe76ccb2a195de6c409cca.jpeg", "Ссылка на план")</f>
        <v>Ссылка на план</v>
      </c>
      <c r="S451" s="1">
        <v>43798.565150462964</v>
      </c>
      <c r="T451" s="1">
        <v>43871.575277777774</v>
      </c>
      <c r="W451" s="1">
        <v>43871.575312499997</v>
      </c>
      <c r="EC451" t="s">
        <v>2762</v>
      </c>
      <c r="ED451" t="str">
        <f>HYPERLINK("https://d33htgqikc2pj4.cloudfront.net/9c5ae1af-3efb-4b9f-91fe-4e1b72e3eb6b.jpeg", "Валерий Семиков: Ссылка на изображение")</f>
        <v>Валерий Семиков: Ссылка на изображение</v>
      </c>
      <c r="EE451" t="s">
        <v>2689</v>
      </c>
      <c r="EF451" t="s">
        <v>2735</v>
      </c>
      <c r="EG451" t="s">
        <v>2736</v>
      </c>
      <c r="EH451" t="s">
        <v>2737</v>
      </c>
      <c r="EI451" t="str">
        <f>HYPERLINK("https://d33htgqikc2pj4.cloudfront.net/4714d381f9d872644b70d5d5957cdf22/17e3def9bbb5c7e64f3025a50b8069f6-file.jpeg", "Слаботочные Системы Renaissance: Ссылка на изображение")</f>
        <v>Слаботочные Системы Renaissance: Ссылка на изображение</v>
      </c>
      <c r="EJ451" t="s">
        <v>2399</v>
      </c>
      <c r="EK451" t="s">
        <v>2763</v>
      </c>
    </row>
    <row r="452" spans="1:149" ht="15" customHeight="1" x14ac:dyDescent="0.35">
      <c r="A452">
        <v>546</v>
      </c>
      <c r="B452" t="s">
        <v>2713</v>
      </c>
      <c r="C452">
        <v>2</v>
      </c>
      <c r="D452" t="str">
        <f>VLOOKUP(source[[#This Row],[Приоритет]],тПриоритеты[],2,0)</f>
        <v>Значительное</v>
      </c>
      <c r="E452" t="str">
        <f>IF(ISBLANK(source[[#This Row],[Проверенные]]),IF(ISBLANK(source[[#This Row],[Завершенные]]),source[[#This Row],[Приоритет_]],"Завершено"),"Проверено")</f>
        <v>Завершено</v>
      </c>
      <c r="F452" t="s">
        <v>2659</v>
      </c>
      <c r="G452" t="s">
        <v>2394</v>
      </c>
      <c r="H452" t="e">
        <f>VLOOKUP(source[[#This Row],[Отвественный]],тОтветственные[],2,0)</f>
        <v>#N/A</v>
      </c>
      <c r="I452" s="2">
        <v>43805</v>
      </c>
      <c r="J452" s="2">
        <v>43819</v>
      </c>
      <c r="K452" t="s">
        <v>2714</v>
      </c>
      <c r="L452">
        <v>30.84</v>
      </c>
      <c r="M452">
        <v>32.200000000000003</v>
      </c>
      <c r="Q452" t="s">
        <v>2716</v>
      </c>
      <c r="R452" t="str">
        <f>HYPERLINK("https://d28ji4sm1vmprj.cloudfront.net/01b864bf0ef9fa44776756685d09e380/d38bbf5929fb6a200fbdfd7f07b11206.jpeg", "Ссылка на план")</f>
        <v>Ссылка на план</v>
      </c>
      <c r="S452" s="1">
        <v>43805.56113425926</v>
      </c>
      <c r="T452" s="1">
        <v>43823.702314814815</v>
      </c>
      <c r="W452" s="1">
        <v>43823.702337962961</v>
      </c>
      <c r="EC452" t="s">
        <v>2764</v>
      </c>
      <c r="ED452" t="s">
        <v>2765</v>
      </c>
      <c r="EE452" t="str">
        <f>HYPERLINK("https://d33htgqikc2pj4.cloudfront.net/77d2084ad1b8671fe3fefe2190d68bbe/941e1f588cb4a8168c32d7c149bfe8aa-file.jpeg", "Сергей Давыдов: Ссылка на изображение")</f>
        <v>Сергей Давыдов: Ссылка на изображение</v>
      </c>
      <c r="EF452" t="s">
        <v>2752</v>
      </c>
      <c r="EG452" t="s">
        <v>2766</v>
      </c>
      <c r="EH452" t="s">
        <v>2767</v>
      </c>
      <c r="EI452" t="str">
        <f>HYPERLINK("https://d33htgqikc2pj4.cloudfront.net/a1783aabd52f39d83ac81d785aa158ff/70be25428560b1b048996310b2244e32-file.jpeg", "Слаботочные Системы Renaissance: Ссылка на изображение")</f>
        <v>Слаботочные Системы Renaissance: Ссылка на изображение</v>
      </c>
      <c r="EJ452" t="str">
        <f>HYPERLINK("https://d33htgqikc2pj4.cloudfront.net/6217e656891e736bfea801a2526db432/c6d3c416941b023a66d78ac7281937a5-file.jpeg", "Слаботочные Системы Renaissance: Ссылка на изображение")</f>
        <v>Слаботочные Системы Renaissance: Ссылка на изображение</v>
      </c>
      <c r="EK452" t="s">
        <v>2399</v>
      </c>
    </row>
    <row r="453" spans="1:149" ht="15" customHeight="1" x14ac:dyDescent="0.35">
      <c r="A453">
        <v>930</v>
      </c>
      <c r="B453" t="s">
        <v>2768</v>
      </c>
      <c r="C453">
        <v>2</v>
      </c>
      <c r="D453" t="str">
        <f>VLOOKUP(source[[#This Row],[Приоритет]],тПриоритеты[],2,0)</f>
        <v>Значительное</v>
      </c>
      <c r="E453" t="str">
        <f>IF(ISBLANK(source[[#This Row],[Проверенные]]),IF(ISBLANK(source[[#This Row],[Завершенные]]),source[[#This Row],[Приоритет_]],"Завершено"),"Проверено")</f>
        <v>Завершено</v>
      </c>
      <c r="F453" t="s">
        <v>2659</v>
      </c>
      <c r="G453" t="s">
        <v>2394</v>
      </c>
      <c r="H453" t="e">
        <f>VLOOKUP(source[[#This Row],[Отвественный]],тОтветственные[],2,0)</f>
        <v>#N/A</v>
      </c>
      <c r="I453" s="2">
        <v>43846</v>
      </c>
      <c r="J453" s="2">
        <v>43861</v>
      </c>
      <c r="K453" t="s">
        <v>2732</v>
      </c>
      <c r="L453">
        <v>52.82</v>
      </c>
      <c r="M453">
        <v>46.83</v>
      </c>
      <c r="Q453" t="s">
        <v>2716</v>
      </c>
      <c r="R453" t="str">
        <f>HYPERLINK("https://d28ji4sm1vmprj.cloudfront.net/1e885c1d4764c1e1737c2177eb5cce43/106e9a5a74fe76ccb2a195de6c409cca.jpeg", "Ссылка на план")</f>
        <v>Ссылка на план</v>
      </c>
      <c r="S453" s="1">
        <v>43846.52065972222</v>
      </c>
      <c r="T453" s="1">
        <v>43871.543078703704</v>
      </c>
      <c r="W453" s="1">
        <v>43871.543194444443</v>
      </c>
      <c r="EC453" t="s">
        <v>2769</v>
      </c>
      <c r="ED453" t="s">
        <v>2770</v>
      </c>
      <c r="EE453" t="s">
        <v>2771</v>
      </c>
      <c r="EF453" t="str">
        <f>HYPERLINK("https://d33htgqikc2pj4.cloudfront.net/c9d121d42fdb5ac6b46d24659b9e9211/22a2e981af7cd7a233b13d15f496fe5d-file.jpeg", "Валерий Семиков: Ссылка на изображение")</f>
        <v>Валерий Семиков: Ссылка на изображение</v>
      </c>
      <c r="EG453" t="s">
        <v>2723</v>
      </c>
      <c r="EH453" t="str">
        <f>HYPERLINK("https://d33htgqikc2pj4.cloudfront.net/6599d67849618afd49779eea16982986/9d9298e8a588ea2391faa7580b34d05b-file.jpeg", "Слаботочные Системы Renaissance: Ссылка на изображение")</f>
        <v>Слаботочные Системы Renaissance: Ссылка на изображение</v>
      </c>
      <c r="EI453" t="s">
        <v>2772</v>
      </c>
      <c r="EJ453" t="s">
        <v>2399</v>
      </c>
    </row>
    <row r="454" spans="1:149" ht="15" customHeight="1" x14ac:dyDescent="0.35">
      <c r="A454">
        <v>375</v>
      </c>
      <c r="B454" t="s">
        <v>2773</v>
      </c>
      <c r="C454">
        <v>2</v>
      </c>
      <c r="D454" t="str">
        <f>VLOOKUP(source[[#This Row],[Приоритет]],тПриоритеты[],2,0)</f>
        <v>Значительное</v>
      </c>
      <c r="E454" t="str">
        <f>IF(ISBLANK(source[[#This Row],[Проверенные]]),IF(ISBLANK(source[[#This Row],[Завершенные]]),source[[#This Row],[Приоритет_]],"Завершено"),"Проверено")</f>
        <v>Проверено</v>
      </c>
      <c r="F454" t="s">
        <v>2659</v>
      </c>
      <c r="G454" t="s">
        <v>2394</v>
      </c>
      <c r="H454" t="e">
        <f>VLOOKUP(source[[#This Row],[Отвественный]],тОтветственные[],2,0)</f>
        <v>#N/A</v>
      </c>
      <c r="I454" s="2">
        <v>43789</v>
      </c>
      <c r="J454" s="2">
        <v>43799</v>
      </c>
      <c r="K454" t="s">
        <v>2732</v>
      </c>
      <c r="L454">
        <v>33.14</v>
      </c>
      <c r="M454">
        <v>15.82</v>
      </c>
      <c r="Q454" t="s">
        <v>2716</v>
      </c>
      <c r="R454" t="str">
        <f>HYPERLINK("https://d28ji4sm1vmprj.cloudfront.net/1e885c1d4764c1e1737c2177eb5cce43/106e9a5a74fe76ccb2a195de6c409cca.jpeg", "Ссылка на план")</f>
        <v>Ссылка на план</v>
      </c>
      <c r="S454" s="1">
        <v>43789.830740740741</v>
      </c>
      <c r="T454" s="1">
        <v>43798.41269675926</v>
      </c>
      <c r="U454" s="1">
        <v>43802.413715277777</v>
      </c>
      <c r="W454" s="1">
        <v>43802.413715277777</v>
      </c>
      <c r="X454" t="s">
        <v>2717</v>
      </c>
      <c r="EC454" t="s">
        <v>2774</v>
      </c>
      <c r="ED454" t="str">
        <f>HYPERLINK("https://d33htgqikc2pj4.cloudfront.net/8e14205a-3872-4721-bbc1-1b59ad3ac626.jpeg", "Валерий Семиков: Ссылка на изображение")</f>
        <v>Валерий Семиков: Ссылка на изображение</v>
      </c>
      <c r="EE454" t="str">
        <f>HYPERLINK("https://d33htgqikc2pj4.cloudfront.net/b6c6eba6-9c6d-4b5a-b32f-64472c4d5e2e.jpeg", "Валерий Семиков: Ссылка на изображение")</f>
        <v>Валерий Семиков: Ссылка на изображение</v>
      </c>
      <c r="EF454" t="s">
        <v>2689</v>
      </c>
      <c r="EG454" t="s">
        <v>2674</v>
      </c>
      <c r="EH454" t="s">
        <v>2775</v>
      </c>
      <c r="EI454" t="s">
        <v>2737</v>
      </c>
      <c r="EJ454" t="s">
        <v>2403</v>
      </c>
      <c r="EK454" t="str">
        <f>HYPERLINK("https://d33htgqikc2pj4.cloudfront.net/40cb111152870701aa97684e90cc9155/d48d73e91def0ee69fec127b0b89daef-file.jpeg", "Слаботочные Системы Renaissance: Ссылка на изображение")</f>
        <v>Слаботочные Системы Renaissance: Ссылка на изображение</v>
      </c>
      <c r="EL454" t="str">
        <f>HYPERLINK("https://d33htgqikc2pj4.cloudfront.net/5110f8f12c002f9283d829a754101d92/1b4e7bcfee88034c8e69ae9ae654cb02-file.jpeg", "Слаботочные Системы Renaissance: Ссылка на изображение")</f>
        <v>Слаботочные Системы Renaissance: Ссылка на изображение</v>
      </c>
      <c r="EM454" t="s">
        <v>2399</v>
      </c>
      <c r="EN454" t="s">
        <v>2776</v>
      </c>
    </row>
    <row r="455" spans="1:149" ht="15" customHeight="1" x14ac:dyDescent="0.35">
      <c r="A455">
        <v>905</v>
      </c>
      <c r="B455" t="s">
        <v>2777</v>
      </c>
      <c r="C455">
        <v>2</v>
      </c>
      <c r="D455" t="str">
        <f>VLOOKUP(source[[#This Row],[Приоритет]],тПриоритеты[],2,0)</f>
        <v>Значительное</v>
      </c>
      <c r="E455" t="str">
        <f>IF(ISBLANK(source[[#This Row],[Проверенные]]),IF(ISBLANK(source[[#This Row],[Завершенные]]),source[[#This Row],[Приоритет_]],"Завершено"),"Проверено")</f>
        <v>Проверено</v>
      </c>
      <c r="F455" t="s">
        <v>2659</v>
      </c>
      <c r="G455" t="s">
        <v>2394</v>
      </c>
      <c r="H455" t="e">
        <f>VLOOKUP(source[[#This Row],[Отвественный]],тОтветственные[],2,0)</f>
        <v>#N/A</v>
      </c>
      <c r="I455" s="2">
        <v>43844</v>
      </c>
      <c r="J455" s="2">
        <v>43845</v>
      </c>
      <c r="K455" t="s">
        <v>2732</v>
      </c>
      <c r="L455">
        <v>27.42</v>
      </c>
      <c r="M455">
        <v>27.25</v>
      </c>
      <c r="Q455" t="s">
        <v>2716</v>
      </c>
      <c r="R455" t="str">
        <f>HYPERLINK("https://d28ji4sm1vmprj.cloudfront.net/1e885c1d4764c1e1737c2177eb5cce43/106e9a5a74fe76ccb2a195de6c409cca.jpeg", "Ссылка на план")</f>
        <v>Ссылка на план</v>
      </c>
      <c r="S455" s="1">
        <v>43844.479571759257</v>
      </c>
      <c r="T455" s="1">
        <v>43865.606099537035</v>
      </c>
      <c r="U455" s="1">
        <v>43868.572141203702</v>
      </c>
      <c r="W455" s="1">
        <v>43868.572152777779</v>
      </c>
      <c r="EC455" t="s">
        <v>2778</v>
      </c>
      <c r="ED455" t="s">
        <v>2779</v>
      </c>
      <c r="EE455" t="s">
        <v>2780</v>
      </c>
      <c r="EF455" t="str">
        <f>HYPERLINK("https://d33htgqikc2pj4.cloudfront.net/985530c29246ff32e9bcda4279afd708/2d4d6395b7de5342988ca0caab999acd-file.jpeg", "Сергей Давыдов: Ссылка на изображение")</f>
        <v>Сергей Давыдов: Ссылка на изображение</v>
      </c>
      <c r="EG455" t="str">
        <f>HYPERLINK("https://d33htgqikc2pj4.cloudfront.net/646c43cfb86a5dabe623d6d4830d8457/2879473026dbd65ca73ae4fabcaf02d1-file.jpeg", "Сергей Давыдов: Ссылка на изображение")</f>
        <v>Сергей Давыдов: Ссылка на изображение</v>
      </c>
      <c r="EH455" t="s">
        <v>2781</v>
      </c>
      <c r="EI455" t="s">
        <v>2752</v>
      </c>
      <c r="EJ455" t="str">
        <f>HYPERLINK("https://d33htgqikc2pj4.cloudfront.net/53869f78d4c25421d06f49aceb59e554/f10c24a8c7a152111348f900d11d557a-file.jpeg", "Слаботочные Системы Renaissance: Ссылка на изображение")</f>
        <v>Слаботочные Системы Renaissance: Ссылка на изображение</v>
      </c>
      <c r="EK455" t="s">
        <v>2398</v>
      </c>
      <c r="EL455" t="s">
        <v>2399</v>
      </c>
      <c r="EM455" t="s">
        <v>2782</v>
      </c>
      <c r="EN455" t="s">
        <v>2783</v>
      </c>
      <c r="EO455" t="s">
        <v>2784</v>
      </c>
      <c r="EP455" t="s">
        <v>2676</v>
      </c>
    </row>
    <row r="456" spans="1:149" ht="15" customHeight="1" x14ac:dyDescent="0.35">
      <c r="A456">
        <v>97</v>
      </c>
      <c r="B456" t="s">
        <v>2785</v>
      </c>
      <c r="C456">
        <v>2</v>
      </c>
      <c r="D456" t="str">
        <f>VLOOKUP(source[[#This Row],[Приоритет]],тПриоритеты[],2,0)</f>
        <v>Значительное</v>
      </c>
      <c r="E456" t="str">
        <f>IF(ISBLANK(source[[#This Row],[Проверенные]]),IF(ISBLANK(source[[#This Row],[Завершенные]]),source[[#This Row],[Приоритет_]],"Завершено"),"Проверено")</f>
        <v>Проверено</v>
      </c>
      <c r="F456" t="s">
        <v>2659</v>
      </c>
      <c r="G456" t="s">
        <v>2394</v>
      </c>
      <c r="H456" t="e">
        <f>VLOOKUP(source[[#This Row],[Отвественный]],тОтветственные[],2,0)</f>
        <v>#N/A</v>
      </c>
      <c r="I456" s="2">
        <v>43770</v>
      </c>
      <c r="J456" s="2">
        <v>43777</v>
      </c>
      <c r="K456" t="s">
        <v>2714</v>
      </c>
      <c r="L456">
        <v>33.75</v>
      </c>
      <c r="M456">
        <v>26.06</v>
      </c>
      <c r="Q456" t="s">
        <v>2716</v>
      </c>
      <c r="R456" t="str">
        <f>HYPERLINK("https://d28ji4sm1vmprj.cloudfront.net/01b864bf0ef9fa44776756685d09e380/d38bbf5929fb6a200fbdfd7f07b11206.jpeg", "Ссылка на план")</f>
        <v>Ссылка на план</v>
      </c>
      <c r="S456" s="1">
        <v>43770.711539351854</v>
      </c>
      <c r="T456" s="1">
        <v>43801.422118055554</v>
      </c>
      <c r="U456" s="1">
        <v>43801.451157407406</v>
      </c>
      <c r="W456" s="1">
        <v>43801.451157407406</v>
      </c>
      <c r="EC456" t="s">
        <v>1196</v>
      </c>
      <c r="ED456" t="s">
        <v>2786</v>
      </c>
      <c r="EE456" t="s">
        <v>2787</v>
      </c>
      <c r="EF456" t="str">
        <f>HYPERLINK("https://d33htgqikc2pj4.cloudfront.net/d7ca77cabbdd02a575577f606f8472e1/22744d66b9e143524d9daece3d8f917f-file.jpeg", "Сергей Давыдов: Ссылка на изображение")</f>
        <v>Сергей Давыдов: Ссылка на изображение</v>
      </c>
      <c r="EG456" t="str">
        <f>HYPERLINK("https://d33htgqikc2pj4.cloudfront.net/a6c98c60f615d66c471cb819fdf32d66/995a5406953c263c55b0fe0673231055-file.jpeg", "Сергей Давыдов: Ссылка на изображение")</f>
        <v>Сергей Давыдов: Ссылка на изображение</v>
      </c>
      <c r="EH456" t="str">
        <f>HYPERLINK("https://d33htgqikc2pj4.cloudfront.net/cc6f9e88dbb70276e2c509c51e9948af/493c22e6908be23a7af98a8a1b828ad7-file.jpeg", "Сергей Давыдов: Ссылка на изображение")</f>
        <v>Сергей Давыдов: Ссылка на изображение</v>
      </c>
      <c r="EI456" t="s">
        <v>2752</v>
      </c>
      <c r="EJ456" t="s">
        <v>2788</v>
      </c>
      <c r="EK456" t="s">
        <v>2789</v>
      </c>
      <c r="EL456" t="s">
        <v>2048</v>
      </c>
      <c r="EM456" t="s">
        <v>1204</v>
      </c>
      <c r="EN456" t="str">
        <f>HYPERLINK("https://d33htgqikc2pj4.cloudfront.net/9bfc25b3b34e6d479d7bd764dea3f0bd/c4d6e8be97a94cc1dc004f6758d5ccf7-file.jpeg", "Слаботочные Системы Renaissance: Ссылка на изображение")</f>
        <v>Слаботочные Системы Renaissance: Ссылка на изображение</v>
      </c>
      <c r="EO456" t="str">
        <f>HYPERLINK("https://d33htgqikc2pj4.cloudfront.net/b656c1f34353a65058c71a35f814d77e/26d382a62af92057605e9d0a357f1a81-file.jpeg", "Слаботочные Системы Renaissance: Ссылка на изображение")</f>
        <v>Слаботочные Системы Renaissance: Ссылка на изображение</v>
      </c>
      <c r="EP456" s="3" t="s">
        <v>2790</v>
      </c>
      <c r="EQ456" t="s">
        <v>2399</v>
      </c>
      <c r="ER456" t="s">
        <v>2676</v>
      </c>
    </row>
    <row r="457" spans="1:149" ht="15" customHeight="1" x14ac:dyDescent="0.35">
      <c r="A457">
        <v>533</v>
      </c>
      <c r="B457" t="s">
        <v>2791</v>
      </c>
      <c r="C457">
        <v>2</v>
      </c>
      <c r="D457" t="str">
        <f>VLOOKUP(source[[#This Row],[Приоритет]],тПриоритеты[],2,0)</f>
        <v>Значительное</v>
      </c>
      <c r="E457" t="str">
        <f>IF(ISBLANK(source[[#This Row],[Проверенные]]),IF(ISBLANK(source[[#This Row],[Завершенные]]),source[[#This Row],[Приоритет_]],"Завершено"),"Проверено")</f>
        <v>Проверено</v>
      </c>
      <c r="F457" t="s">
        <v>2659</v>
      </c>
      <c r="G457" t="s">
        <v>2394</v>
      </c>
      <c r="H457" t="e">
        <f>VLOOKUP(source[[#This Row],[Отвественный]],тОтветственные[],2,0)</f>
        <v>#N/A</v>
      </c>
      <c r="I457" s="2">
        <v>43803</v>
      </c>
      <c r="J457" s="2">
        <v>43809</v>
      </c>
      <c r="K457" t="s">
        <v>2792</v>
      </c>
      <c r="L457">
        <v>28.67</v>
      </c>
      <c r="M457">
        <v>78.569999999999993</v>
      </c>
      <c r="Q457" t="s">
        <v>371</v>
      </c>
      <c r="R457" t="str">
        <f>HYPERLINK("https://d28ji4sm1vmprj.cloudfront.net/6a450cd72e0a550fa3c404c75d8264a4/9b4ac4d5a6d35cbd03b7e4006d90d041.jpeg", "Ссылка на план")</f>
        <v>Ссылка на план</v>
      </c>
      <c r="S457" s="1">
        <v>43803.630277777775</v>
      </c>
      <c r="T457" s="1">
        <v>43811.763703703706</v>
      </c>
      <c r="U457" s="1">
        <v>43815.780104166668</v>
      </c>
      <c r="W457" s="1">
        <v>43815.780104166668</v>
      </c>
      <c r="X457" t="s">
        <v>1001</v>
      </c>
      <c r="EC457" t="s">
        <v>2793</v>
      </c>
      <c r="ED457" t="str">
        <f>HYPERLINK("https://d33htgqikc2pj4.cloudfront.net/721d8129-a6d1-4a03-88a9-4687fbe864f2.jpeg", "Кирилл Васенков: Ссылка на изображение")</f>
        <v>Кирилл Васенков: Ссылка на изображение</v>
      </c>
      <c r="EE457" t="s">
        <v>2794</v>
      </c>
      <c r="EF457" t="s">
        <v>1593</v>
      </c>
      <c r="EG457" t="s">
        <v>2795</v>
      </c>
      <c r="EH457" t="s">
        <v>2663</v>
      </c>
      <c r="EI457" t="s">
        <v>2796</v>
      </c>
      <c r="EJ457" t="str">
        <f>HYPERLINK("https://d33htgqikc2pj4.cloudfront.net/69cb301c-7c5c-4ebb-a90f-188f1aef2eda.jpeg", "Вентиляция Renaissance: Ссылка на изображение")</f>
        <v>Вентиляция Renaissance: Ссылка на изображение</v>
      </c>
      <c r="EK457" t="s">
        <v>987</v>
      </c>
      <c r="EL457" t="s">
        <v>1072</v>
      </c>
      <c r="EM457" t="s">
        <v>394</v>
      </c>
    </row>
    <row r="458" spans="1:149" ht="15" customHeight="1" x14ac:dyDescent="0.35">
      <c r="A458">
        <v>579</v>
      </c>
      <c r="B458" t="s">
        <v>2797</v>
      </c>
      <c r="C458">
        <v>2</v>
      </c>
      <c r="D458" t="str">
        <f>VLOOKUP(source[[#This Row],[Приоритет]],тПриоритеты[],2,0)</f>
        <v>Значительное</v>
      </c>
      <c r="E458" t="str">
        <f>IF(ISBLANK(source[[#This Row],[Проверенные]]),IF(ISBLANK(source[[#This Row],[Завершенные]]),source[[#This Row],[Приоритет_]],"Завершено"),"Проверено")</f>
        <v>Проверено</v>
      </c>
      <c r="F458" t="s">
        <v>2659</v>
      </c>
      <c r="G458" t="s">
        <v>2394</v>
      </c>
      <c r="H458" t="e">
        <f>VLOOKUP(source[[#This Row],[Отвественный]],тОтветственные[],2,0)</f>
        <v>#N/A</v>
      </c>
      <c r="I458" s="2">
        <v>43809</v>
      </c>
      <c r="J458" s="2">
        <v>43816</v>
      </c>
      <c r="K458" t="s">
        <v>2714</v>
      </c>
      <c r="L458">
        <v>32.130000000000003</v>
      </c>
      <c r="M458">
        <v>47.46</v>
      </c>
      <c r="Q458" t="s">
        <v>2716</v>
      </c>
      <c r="R458" t="str">
        <f t="shared" ref="R458:R464" si="3">HYPERLINK("https://d28ji4sm1vmprj.cloudfront.net/01b864bf0ef9fa44776756685d09e380/d38bbf5929fb6a200fbdfd7f07b11206.jpeg", "Ссылка на план")</f>
        <v>Ссылка на план</v>
      </c>
      <c r="S458" s="1">
        <v>43809.519687499997</v>
      </c>
      <c r="T458" s="1">
        <v>43865.601134259261</v>
      </c>
      <c r="U458" s="1">
        <v>43868.571562500001</v>
      </c>
      <c r="W458" s="1">
        <v>43868.571562500001</v>
      </c>
      <c r="EC458" t="s">
        <v>2798</v>
      </c>
      <c r="ED458" t="s">
        <v>2799</v>
      </c>
      <c r="EE458" t="s">
        <v>2800</v>
      </c>
      <c r="EF458" t="s">
        <v>2801</v>
      </c>
      <c r="EG458" t="str">
        <f>HYPERLINK("https://d33htgqikc2pj4.cloudfront.net/636da1ef1c3f047d396441d4aaeef2af/fd0a1ab0e3f4b4767ad432190aa5002c-file.jpeg", "Сергей Давыдов: Ссылка на изображение")</f>
        <v>Сергей Давыдов: Ссылка на изображение</v>
      </c>
      <c r="EH458" t="s">
        <v>2752</v>
      </c>
      <c r="EI458" t="s">
        <v>2802</v>
      </c>
      <c r="EJ458" t="s">
        <v>2803</v>
      </c>
      <c r="EK458" t="str">
        <f>HYPERLINK("https://d33htgqikc2pj4.cloudfront.net/e26554aba6117d5b3eeaf091558265bb/235505ad68dddaaf22e0240efca9610b-file.jpeg", "Сергей Давыдов: Ссылка на изображение")</f>
        <v>Сергей Давыдов: Ссылка на изображение</v>
      </c>
      <c r="EL458" t="str">
        <f>HYPERLINK("https://d33htgqikc2pj4.cloudfront.net/e500aa777f95458c806434d5c432c1e0/ef7f7dddd7d0985c8069335489b58ed1-file.jpeg", "Сергей Давыдов: Ссылка на изображение")</f>
        <v>Сергей Давыдов: Ссылка на изображение</v>
      </c>
      <c r="EM458" t="str">
        <f>HYPERLINK("https://d33htgqikc2pj4.cloudfront.net/f20c18203684782e51bd0756347942b9/b2a8eed18188a0966059454da187db9c-file.jpeg", "Слаботочные Системы Renaissance: Ссылка на изображение")</f>
        <v>Слаботочные Системы Renaissance: Ссылка на изображение</v>
      </c>
      <c r="EN458" t="str">
        <f>HYPERLINK("https://d33htgqikc2pj4.cloudfront.net/06cf4537e2e51bd6c12f5d718c374280/a77304ba02fc07ca802cbe4eb0d256f8-file.jpeg", "Слаботочные Системы Renaissance: Ссылка на изображение")</f>
        <v>Слаботочные Системы Renaissance: Ссылка на изображение</v>
      </c>
      <c r="EO458" t="s">
        <v>2399</v>
      </c>
      <c r="EP458" t="s">
        <v>2398</v>
      </c>
      <c r="EQ458" t="s">
        <v>2804</v>
      </c>
      <c r="ER458" t="s">
        <v>2784</v>
      </c>
      <c r="ES458" t="s">
        <v>2676</v>
      </c>
    </row>
    <row r="459" spans="1:149" ht="15" customHeight="1" x14ac:dyDescent="0.35">
      <c r="A459">
        <v>326</v>
      </c>
      <c r="B459" t="s">
        <v>2805</v>
      </c>
      <c r="C459">
        <v>2</v>
      </c>
      <c r="D459" t="str">
        <f>VLOOKUP(source[[#This Row],[Приоритет]],тПриоритеты[],2,0)</f>
        <v>Значительное</v>
      </c>
      <c r="E459" t="str">
        <f>IF(ISBLANK(source[[#This Row],[Проверенные]]),IF(ISBLANK(source[[#This Row],[Завершенные]]),source[[#This Row],[Приоритет_]],"Завершено"),"Проверено")</f>
        <v>Проверено</v>
      </c>
      <c r="F459" t="s">
        <v>2659</v>
      </c>
      <c r="G459" t="s">
        <v>2394</v>
      </c>
      <c r="H459" t="e">
        <f>VLOOKUP(source[[#This Row],[Отвественный]],тОтветственные[],2,0)</f>
        <v>#N/A</v>
      </c>
      <c r="I459" s="2">
        <v>43787</v>
      </c>
      <c r="J459" s="2">
        <v>43799</v>
      </c>
      <c r="K459" t="s">
        <v>2714</v>
      </c>
      <c r="L459">
        <v>70.78</v>
      </c>
      <c r="M459">
        <v>60.07</v>
      </c>
      <c r="Q459" t="s">
        <v>2716</v>
      </c>
      <c r="R459" t="str">
        <f t="shared" si="3"/>
        <v>Ссылка на план</v>
      </c>
      <c r="S459" s="1">
        <v>43787.703518518516</v>
      </c>
      <c r="T459" s="1">
        <v>43798.412372685183</v>
      </c>
      <c r="U459" s="1">
        <v>43802.412615740737</v>
      </c>
      <c r="W459" s="1">
        <v>43802.412615740737</v>
      </c>
      <c r="X459" t="s">
        <v>2717</v>
      </c>
      <c r="EC459" t="s">
        <v>2806</v>
      </c>
      <c r="ED459" t="s">
        <v>2689</v>
      </c>
      <c r="EE459" t="s">
        <v>2674</v>
      </c>
      <c r="EF459" t="str">
        <f>HYPERLINK("https://d33htgqikc2pj4.cloudfront.net/73ed57f0-d55f-485e-9598-3767e72b72ea.jpeg", "Валерий Семиков: Ссылка на изображение")</f>
        <v>Валерий Семиков: Ссылка на изображение</v>
      </c>
      <c r="EG459" t="s">
        <v>2723</v>
      </c>
      <c r="EH459" t="s">
        <v>2807</v>
      </c>
      <c r="EI459" t="s">
        <v>2403</v>
      </c>
      <c r="EJ459" t="str">
        <f>HYPERLINK("https://d33htgqikc2pj4.cloudfront.net/07f1f474692d002404f53059a59087e2/9e8b358be567f0d355dd054ed7a93300-file.jpeg", "Слаботочные Системы Renaissance: Ссылка на изображение")</f>
        <v>Слаботочные Системы Renaissance: Ссылка на изображение</v>
      </c>
      <c r="EK459" t="s">
        <v>2399</v>
      </c>
      <c r="EL459" t="s">
        <v>2776</v>
      </c>
    </row>
    <row r="460" spans="1:149" ht="15" customHeight="1" x14ac:dyDescent="0.35">
      <c r="A460">
        <v>328</v>
      </c>
      <c r="B460" t="s">
        <v>2760</v>
      </c>
      <c r="C460">
        <v>2</v>
      </c>
      <c r="D460" t="str">
        <f>VLOOKUP(source[[#This Row],[Приоритет]],тПриоритеты[],2,0)</f>
        <v>Значительное</v>
      </c>
      <c r="E460" t="str">
        <f>IF(ISBLANK(source[[#This Row],[Проверенные]]),IF(ISBLANK(source[[#This Row],[Завершенные]]),source[[#This Row],[Приоритет_]],"Завершено"),"Проверено")</f>
        <v>Проверено</v>
      </c>
      <c r="F460" t="s">
        <v>2659</v>
      </c>
      <c r="G460" t="s">
        <v>2394</v>
      </c>
      <c r="H460" t="e">
        <f>VLOOKUP(source[[#This Row],[Отвественный]],тОтветственные[],2,0)</f>
        <v>#N/A</v>
      </c>
      <c r="I460" s="2">
        <v>43787</v>
      </c>
      <c r="J460" s="2">
        <v>43799</v>
      </c>
      <c r="K460" t="s">
        <v>2714</v>
      </c>
      <c r="L460">
        <v>64.81</v>
      </c>
      <c r="M460">
        <v>66.97</v>
      </c>
      <c r="Q460" t="s">
        <v>2716</v>
      </c>
      <c r="R460" t="str">
        <f t="shared" si="3"/>
        <v>Ссылка на план</v>
      </c>
      <c r="S460" s="1">
        <v>43787.703530092593</v>
      </c>
      <c r="T460" s="1">
        <v>43798.412534722222</v>
      </c>
      <c r="U460" s="1">
        <v>43802.412951388891</v>
      </c>
      <c r="W460" s="1">
        <v>43802.412951388891</v>
      </c>
      <c r="X460" t="s">
        <v>2717</v>
      </c>
      <c r="EC460" t="s">
        <v>2762</v>
      </c>
      <c r="ED460" t="str">
        <f>HYPERLINK("https://d33htgqikc2pj4.cloudfront.net/6b7c4d4f-8546-41a3-9b78-3ac6c6a35ce7.jpeg", "Валерий Семиков: Ссылка на изображение")</f>
        <v>Валерий Семиков: Ссылка на изображение</v>
      </c>
      <c r="EE460" t="s">
        <v>2689</v>
      </c>
      <c r="EF460" t="s">
        <v>2723</v>
      </c>
      <c r="EG460" t="s">
        <v>2807</v>
      </c>
      <c r="EH460" t="s">
        <v>2808</v>
      </c>
      <c r="EI460" t="s">
        <v>2403</v>
      </c>
      <c r="EJ460" t="str">
        <f>HYPERLINK("https://d33htgqikc2pj4.cloudfront.net/5583509b0129d602a89c87ea95a7e114/9320e219951743c102b6a1f65c0a15c2-file.jpeg", "Слаботочные Системы Renaissance: Ссылка на изображение")</f>
        <v>Слаботочные Системы Renaissance: Ссылка на изображение</v>
      </c>
      <c r="EK460" t="s">
        <v>2399</v>
      </c>
      <c r="EL460" t="s">
        <v>2776</v>
      </c>
    </row>
    <row r="461" spans="1:149" ht="15" customHeight="1" x14ac:dyDescent="0.35">
      <c r="A461">
        <v>329</v>
      </c>
      <c r="B461" t="s">
        <v>2809</v>
      </c>
      <c r="C461">
        <v>2</v>
      </c>
      <c r="D461" t="str">
        <f>VLOOKUP(source[[#This Row],[Приоритет]],тПриоритеты[],2,0)</f>
        <v>Значительное</v>
      </c>
      <c r="E461" t="str">
        <f>IF(ISBLANK(source[[#This Row],[Проверенные]]),IF(ISBLANK(source[[#This Row],[Завершенные]]),source[[#This Row],[Приоритет_]],"Завершено"),"Проверено")</f>
        <v>Проверено</v>
      </c>
      <c r="F461" t="s">
        <v>2659</v>
      </c>
      <c r="G461" t="s">
        <v>2394</v>
      </c>
      <c r="H461" t="e">
        <f>VLOOKUP(source[[#This Row],[Отвественный]],тОтветственные[],2,0)</f>
        <v>#N/A</v>
      </c>
      <c r="I461" s="2">
        <v>43787</v>
      </c>
      <c r="J461" s="2">
        <v>43799</v>
      </c>
      <c r="K461" t="s">
        <v>2714</v>
      </c>
      <c r="L461">
        <v>57.03</v>
      </c>
      <c r="M461">
        <v>67.459999999999994</v>
      </c>
      <c r="Q461" t="s">
        <v>2716</v>
      </c>
      <c r="R461" t="str">
        <f t="shared" si="3"/>
        <v>Ссылка на план</v>
      </c>
      <c r="S461" s="1">
        <v>43787.703541666669</v>
      </c>
      <c r="T461" s="1">
        <v>43798.412592592591</v>
      </c>
      <c r="U461" s="1">
        <v>43802.413113425922</v>
      </c>
      <c r="W461" s="1">
        <v>43802.413113425922</v>
      </c>
      <c r="X461" t="s">
        <v>2717</v>
      </c>
      <c r="EC461" t="s">
        <v>2810</v>
      </c>
      <c r="ED461" t="str">
        <f>HYPERLINK("https://d33htgqikc2pj4.cloudfront.net/bdba0a01-6321-42d1-b6d1-c2d8192530c2.jpeg", "Валерий Семиков: Ссылка на изображение")</f>
        <v>Валерий Семиков: Ссылка на изображение</v>
      </c>
      <c r="EE461" t="s">
        <v>2689</v>
      </c>
      <c r="EF461" t="s">
        <v>2723</v>
      </c>
      <c r="EG461" t="s">
        <v>2807</v>
      </c>
      <c r="EH461" t="s">
        <v>2808</v>
      </c>
      <c r="EI461" t="s">
        <v>2403</v>
      </c>
      <c r="EJ461" t="str">
        <f>HYPERLINK("https://d33htgqikc2pj4.cloudfront.net/1f4cf727665d1c4453a72e78c3d012d7/5e3bff7d05465a401e80f904aaaabcc4-file.jpeg", "Слаботочные Системы Renaissance: Ссылка на изображение")</f>
        <v>Слаботочные Системы Renaissance: Ссылка на изображение</v>
      </c>
      <c r="EK461" t="s">
        <v>2399</v>
      </c>
      <c r="EL461" t="s">
        <v>2776</v>
      </c>
    </row>
    <row r="462" spans="1:149" ht="15" customHeight="1" x14ac:dyDescent="0.35">
      <c r="A462">
        <v>327</v>
      </c>
      <c r="B462" t="s">
        <v>2731</v>
      </c>
      <c r="C462">
        <v>2</v>
      </c>
      <c r="D462" t="str">
        <f>VLOOKUP(source[[#This Row],[Приоритет]],тПриоритеты[],2,0)</f>
        <v>Значительное</v>
      </c>
      <c r="E462" t="str">
        <f>IF(ISBLANK(source[[#This Row],[Проверенные]]),IF(ISBLANK(source[[#This Row],[Завершенные]]),source[[#This Row],[Приоритет_]],"Завершено"),"Проверено")</f>
        <v>Проверено</v>
      </c>
      <c r="F462" t="s">
        <v>2659</v>
      </c>
      <c r="G462" t="s">
        <v>2394</v>
      </c>
      <c r="H462" t="e">
        <f>VLOOKUP(source[[#This Row],[Отвественный]],тОтветственные[],2,0)</f>
        <v>#N/A</v>
      </c>
      <c r="I462" s="2">
        <v>43787</v>
      </c>
      <c r="J462" s="2">
        <v>43799</v>
      </c>
      <c r="K462" t="s">
        <v>2714</v>
      </c>
      <c r="L462">
        <v>66.069999999999993</v>
      </c>
      <c r="M462">
        <v>47.46</v>
      </c>
      <c r="Q462" t="s">
        <v>2716</v>
      </c>
      <c r="R462" t="str">
        <f t="shared" si="3"/>
        <v>Ссылка на план</v>
      </c>
      <c r="S462" s="1">
        <v>43787.703530092593</v>
      </c>
      <c r="T462" s="1">
        <v>43798.412488425929</v>
      </c>
      <c r="U462" s="1">
        <v>43802.412789351853</v>
      </c>
      <c r="W462" s="1">
        <v>43802.412789351853</v>
      </c>
      <c r="X462" t="s">
        <v>2717</v>
      </c>
      <c r="EC462" t="s">
        <v>2734</v>
      </c>
      <c r="ED462" t="s">
        <v>2689</v>
      </c>
      <c r="EE462" t="s">
        <v>2674</v>
      </c>
      <c r="EF462" t="str">
        <f>HYPERLINK("https://d33htgqikc2pj4.cloudfront.net/ad4ba209-fe5a-41a8-919c-c6678ec9346f.jpeg", "Валерий Семиков: Ссылка на изображение")</f>
        <v>Валерий Семиков: Ссылка на изображение</v>
      </c>
      <c r="EG462" t="s">
        <v>2723</v>
      </c>
      <c r="EH462" t="s">
        <v>2807</v>
      </c>
      <c r="EI462" t="s">
        <v>2403</v>
      </c>
      <c r="EJ462" t="str">
        <f>HYPERLINK("https://d33htgqikc2pj4.cloudfront.net/21f0b3b18aa477653d07bd652d9cd828/b5eb1d91412f3a8828fb3cd3432f602e-file.jpeg", "Слаботочные Системы Renaissance: Ссылка на изображение")</f>
        <v>Слаботочные Системы Renaissance: Ссылка на изображение</v>
      </c>
      <c r="EK462" t="s">
        <v>2399</v>
      </c>
      <c r="EL462" t="s">
        <v>2776</v>
      </c>
    </row>
    <row r="463" spans="1:149" ht="15" customHeight="1" x14ac:dyDescent="0.35">
      <c r="A463">
        <v>330</v>
      </c>
      <c r="B463" t="s">
        <v>2731</v>
      </c>
      <c r="C463">
        <v>2</v>
      </c>
      <c r="D463" t="str">
        <f>VLOOKUP(source[[#This Row],[Приоритет]],тПриоритеты[],2,0)</f>
        <v>Значительное</v>
      </c>
      <c r="E463" t="str">
        <f>IF(ISBLANK(source[[#This Row],[Проверенные]]),IF(ISBLANK(source[[#This Row],[Завершенные]]),source[[#This Row],[Приоритет_]],"Завершено"),"Проверено")</f>
        <v>Проверено</v>
      </c>
      <c r="F463" t="s">
        <v>2659</v>
      </c>
      <c r="G463" t="s">
        <v>2394</v>
      </c>
      <c r="H463" t="e">
        <f>VLOOKUP(source[[#This Row],[Отвественный]],тОтветственные[],2,0)</f>
        <v>#N/A</v>
      </c>
      <c r="I463" s="2">
        <v>43787</v>
      </c>
      <c r="J463" s="2">
        <v>43799</v>
      </c>
      <c r="K463" t="s">
        <v>2714</v>
      </c>
      <c r="L463">
        <v>59.23</v>
      </c>
      <c r="M463">
        <v>67.599999999999994</v>
      </c>
      <c r="Q463" t="s">
        <v>2716</v>
      </c>
      <c r="R463" t="str">
        <f t="shared" si="3"/>
        <v>Ссылка на план</v>
      </c>
      <c r="S463" s="1">
        <v>43787.703553240739</v>
      </c>
      <c r="T463" s="1">
        <v>43798.41265046296</v>
      </c>
      <c r="U463" s="1">
        <v>43802.413425925923</v>
      </c>
      <c r="W463" s="1">
        <v>43802.413437499999</v>
      </c>
      <c r="X463" t="s">
        <v>2717</v>
      </c>
      <c r="EC463" t="s">
        <v>2734</v>
      </c>
      <c r="ED463" t="str">
        <f>HYPERLINK("https://d33htgqikc2pj4.cloudfront.net/5611b5b5-0992-40a8-ad2c-d4d33b2505e2.jpeg", "Валерий Семиков: Ссылка на изображение")</f>
        <v>Валерий Семиков: Ссылка на изображение</v>
      </c>
      <c r="EE463" t="s">
        <v>2689</v>
      </c>
      <c r="EF463" t="s">
        <v>2723</v>
      </c>
      <c r="EG463" t="s">
        <v>2807</v>
      </c>
      <c r="EH463" t="s">
        <v>2808</v>
      </c>
      <c r="EI463" t="s">
        <v>2403</v>
      </c>
      <c r="EJ463" t="str">
        <f>HYPERLINK("https://d33htgqikc2pj4.cloudfront.net/1ff3cf1be79f853e115f039aefe35d8e/3ab6f132d2c18b3521ddc55f09b33dff-file.jpeg", "Слаботочные Системы Renaissance: Ссылка на изображение")</f>
        <v>Слаботочные Системы Renaissance: Ссылка на изображение</v>
      </c>
      <c r="EK463" t="s">
        <v>2399</v>
      </c>
      <c r="EL463" t="s">
        <v>2776</v>
      </c>
    </row>
    <row r="464" spans="1:149" ht="15" customHeight="1" x14ac:dyDescent="0.35">
      <c r="A464">
        <v>674</v>
      </c>
      <c r="B464" t="s">
        <v>2760</v>
      </c>
      <c r="C464">
        <v>2</v>
      </c>
      <c r="D464" t="str">
        <f>VLOOKUP(source[[#This Row],[Приоритет]],тПриоритеты[],2,0)</f>
        <v>Значительное</v>
      </c>
      <c r="E464" t="str">
        <f>IF(ISBLANK(source[[#This Row],[Проверенные]]),IF(ISBLANK(source[[#This Row],[Завершенные]]),source[[#This Row],[Приоритет_]],"Завершено"),"Проверено")</f>
        <v>Проверено</v>
      </c>
      <c r="F464" t="s">
        <v>2659</v>
      </c>
      <c r="G464" t="s">
        <v>2394</v>
      </c>
      <c r="H464" t="e">
        <f>VLOOKUP(source[[#This Row],[Отвественный]],тОтветственные[],2,0)</f>
        <v>#N/A</v>
      </c>
      <c r="I464" s="2">
        <v>43798</v>
      </c>
      <c r="J464" s="2">
        <v>43854</v>
      </c>
      <c r="K464" t="s">
        <v>2714</v>
      </c>
      <c r="L464">
        <v>36.159999999999997</v>
      </c>
      <c r="M464">
        <v>36.1</v>
      </c>
      <c r="Q464" t="s">
        <v>2716</v>
      </c>
      <c r="R464" t="str">
        <f t="shared" si="3"/>
        <v>Ссылка на план</v>
      </c>
      <c r="S464" s="1">
        <v>43818.571099537039</v>
      </c>
      <c r="T464" s="1">
        <v>43865.681539351855</v>
      </c>
      <c r="U464" s="1">
        <v>43866.390763888892</v>
      </c>
      <c r="W464" s="1">
        <v>43866.390763888892</v>
      </c>
      <c r="EC464" t="s">
        <v>2762</v>
      </c>
      <c r="ED464" t="str">
        <f>HYPERLINK("https://d33htgqikc2pj4.cloudfront.net/4d060f2f-e1f5-4cd5-b424-8582a624ce66.jpeg", "Валерий Семиков: Ссылка на изображение")</f>
        <v>Валерий Семиков: Ссылка на изображение</v>
      </c>
      <c r="EE464" t="s">
        <v>2735</v>
      </c>
      <c r="EF464" t="s">
        <v>2736</v>
      </c>
      <c r="EG464" t="str">
        <f>HYPERLINK("https://d33htgqikc2pj4.cloudfront.net/ee558f91-1560-4a13-ac4f-5e8e8ffe4b16.jpeg", "Валерий Семиков: Ссылка на изображение")</f>
        <v>Валерий Семиков: Ссылка на изображение</v>
      </c>
      <c r="EH464" t="s">
        <v>2811</v>
      </c>
      <c r="EI464" t="s">
        <v>2723</v>
      </c>
      <c r="EJ464" t="str">
        <f>HYPERLINK("https://d33htgqikc2pj4.cloudfront.net/bf006eaf2b27daeb1e72b0e44473fffd/2120dfff3796a725dba0343016998abc-file.jpeg", "Слаботочные Системы Renaissance: Ссылка на изображение")</f>
        <v>Слаботочные Системы Renaissance: Ссылка на изображение</v>
      </c>
      <c r="EK464" t="s">
        <v>2398</v>
      </c>
      <c r="EL464" t="s">
        <v>2399</v>
      </c>
      <c r="EM464" t="s">
        <v>2812</v>
      </c>
      <c r="EN464" t="s">
        <v>2676</v>
      </c>
    </row>
    <row r="465" spans="1:161" ht="15" customHeight="1" x14ac:dyDescent="0.35">
      <c r="A465">
        <v>1161</v>
      </c>
      <c r="B465" t="s">
        <v>2813</v>
      </c>
      <c r="C465">
        <v>1</v>
      </c>
      <c r="D465" t="str">
        <f>VLOOKUP(source[[#This Row],[Приоритет]],тПриоритеты[],2,0)</f>
        <v>КРИТИЧЕСКОЕ</v>
      </c>
      <c r="E465" t="str">
        <f>IF(ISBLANK(source[[#This Row],[Проверенные]]),IF(ISBLANK(source[[#This Row],[Завершенные]]),source[[#This Row],[Приоритет_]],"Завершено"),"Проверено")</f>
        <v>Проверено</v>
      </c>
      <c r="F465" t="s">
        <v>2814</v>
      </c>
      <c r="G465" t="s">
        <v>2815</v>
      </c>
      <c r="H465" t="e">
        <f>VLOOKUP(source[[#This Row],[Отвественный]],тОтветственные[],2,0)</f>
        <v>#N/A</v>
      </c>
      <c r="I465" s="2">
        <v>43864</v>
      </c>
      <c r="J465" s="2">
        <v>43864</v>
      </c>
      <c r="N465" t="s">
        <v>2816</v>
      </c>
      <c r="O465">
        <v>0</v>
      </c>
      <c r="S465" s="1">
        <v>43864.569895833331</v>
      </c>
      <c r="T465" s="1">
        <v>43864.705393518518</v>
      </c>
      <c r="U465" s="1">
        <v>43864.724618055552</v>
      </c>
      <c r="W465" s="1">
        <v>43864.725011574075</v>
      </c>
      <c r="EC465" t="s">
        <v>2817</v>
      </c>
      <c r="ED465" t="s">
        <v>2818</v>
      </c>
      <c r="EE465" t="s">
        <v>2819</v>
      </c>
      <c r="EF465" t="s">
        <v>2820</v>
      </c>
      <c r="EG465" t="s">
        <v>2821</v>
      </c>
      <c r="EH465" t="s">
        <v>2822</v>
      </c>
      <c r="EI465" t="s">
        <v>2823</v>
      </c>
      <c r="EJ465" t="str">
        <f>HYPERLINK("https://d33htgqikc2pj4.cloudfront.net/f3b85d1e497fd2bf5f855104c785dbb8/3455fa94de4c9e1a97427d847f391f70-file.jpeg", "Евгений Рысев: Ссылка на изображение")</f>
        <v>Евгений Рысев: Ссылка на изображение</v>
      </c>
      <c r="EK465" t="str">
        <f>HYPERLINK("https://d33htgqikc2pj4.cloudfront.net/4db442bcd7f45b11c4e0fd3405316458/f4c4e98f2ff899cff4e3e5e67018664b-file.jpeg", "Евгений Рысев: Ссылка на изображение")</f>
        <v>Евгений Рысев: Ссылка на изображение</v>
      </c>
      <c r="EL465" t="str">
        <f>HYPERLINK("https://d33htgqikc2pj4.cloudfront.net/453c5e3dd29be186c4b20cc3eb5305ca/4038707f94763f9188cef353e1406b6f-file.jpeg", "Евгений Рысев: Ссылка на изображение")</f>
        <v>Евгений Рысев: Ссылка на изображение</v>
      </c>
      <c r="EM465" t="str">
        <f>HYPERLINK("https://d33htgqikc2pj4.cloudfront.net/39e843ea599feb7bf693e59c23d33c01/dc744631ac05cdbc8163a930370c2053-file.jpeg", "Евгений Рысев: Ссылка на изображение")</f>
        <v>Евгений Рысев: Ссылка на изображение</v>
      </c>
      <c r="EN465" t="str">
        <f>HYPERLINK("https://d33htgqikc2pj4.cloudfront.net/ffdb624f934bf935fca3c7b93b40c97b/8217b068f16803d11fb5847daadb140c-file.jpeg", "Евгений Рысев: Ссылка на изображение")</f>
        <v>Евгений Рысев: Ссылка на изображение</v>
      </c>
      <c r="EO465" t="str">
        <f>HYPERLINK("https://d33htgqikc2pj4.cloudfront.net/7f4669dc32963318de12775593ba64f6/76178b0471e5039a4aa159f55e4d32f8-file.jpeg", "Евгений Рысев: Ссылка на изображение")</f>
        <v>Евгений Рысев: Ссылка на изображение</v>
      </c>
      <c r="EP465" t="str">
        <f>HYPERLINK("https://d33htgqikc2pj4.cloudfront.net/add3f011fec88343887136fbbf112f1a/48592a1a18beedc4cfe5fa7ddde9861e-file.jpeg", "Евгений Рысев: Ссылка на изображение")</f>
        <v>Евгений Рысев: Ссылка на изображение</v>
      </c>
      <c r="EQ465" t="str">
        <f>HYPERLINK("https://d33htgqikc2pj4.cloudfront.net/fa724571bd4f8a19a963cc739dd73570/14ba82381e5429c653b2bd3a7ebc3e0a-file.jpeg", "Евгений Рысев: Ссылка на изображение")</f>
        <v>Евгений Рысев: Ссылка на изображение</v>
      </c>
      <c r="ER465" t="str">
        <f>HYPERLINK("https://d33htgqikc2pj4.cloudfront.net/3af455ae9326f1c0ece3e45b00b7c41b/35414981f589da23191dca012c86c0f5-file.jpeg", "Евгений Рысев: Ссылка на изображение")</f>
        <v>Евгений Рысев: Ссылка на изображение</v>
      </c>
      <c r="ES465" t="str">
        <f>HYPERLINK("https://d33htgqikc2pj4.cloudfront.net/a4bf4e1e911097ab1ebeac2718b205c4/4b4674e93afdbb1152a70cc78676f5b2-file.jpeg", "Евгений Рысев: Ссылка на изображение")</f>
        <v>Евгений Рысев: Ссылка на изображение</v>
      </c>
      <c r="ET465" t="str">
        <f>HYPERLINK("https://d33htgqikc2pj4.cloudfront.net/3ecf03ebf393f2a0ff6fa64d98da942c/b087bdd0a0183128865122e6e0344ab9-file.jpeg", "Евгений Рысев: Ссылка на изображение")</f>
        <v>Евгений Рысев: Ссылка на изображение</v>
      </c>
      <c r="EU465" t="str">
        <f>HYPERLINK("https://d33htgqikc2pj4.cloudfront.net/8baa6d85e653717c55cb9e2d9575daad/0a2683b005e037df223d506dbc0c1b81-file.jpeg", "Евгений Рысев: Ссылка на изображение")</f>
        <v>Евгений Рысев: Ссылка на изображение</v>
      </c>
      <c r="EV465" t="str">
        <f>HYPERLINK("https://d33htgqikc2pj4.cloudfront.net/905d9e08b2e9f6468817febdb0e844b2/2b990f4eddfde1186c10ac3a54527de5-file.jpeg", "Евгений Рысев: Ссылка на изображение")</f>
        <v>Евгений Рысев: Ссылка на изображение</v>
      </c>
      <c r="EW465" t="str">
        <f>HYPERLINK("https://d33htgqikc2pj4.cloudfront.net/9efdaa1db4b5bfbc9afc0a1808388699/f23b5694ecea720d7f50092227913ffc-file.jpeg", "Евгений Рысев: Ссылка на изображение")</f>
        <v>Евгений Рысев: Ссылка на изображение</v>
      </c>
      <c r="EX465" t="str">
        <f>HYPERLINK("https://d33htgqikc2pj4.cloudfront.net/7f1e3088dba9a91e05f42d3a25f1abe1/618a4dab35e99c761a3cc0e9e48c24a4-file.jpeg", "Евгений Рысев: Ссылка на изображение")</f>
        <v>Евгений Рысев: Ссылка на изображение</v>
      </c>
      <c r="EY465" t="str">
        <f>HYPERLINK("https://d33htgqikc2pj4.cloudfront.net/b43790875a1f824216e3c0b6c445fe1e/90be376df518175e992c65d80e5db879-file.jpeg", "Евгений Рысев: Ссылка на изображение")</f>
        <v>Евгений Рысев: Ссылка на изображение</v>
      </c>
      <c r="EZ465" t="str">
        <f>HYPERLINK("https://d33htgqikc2pj4.cloudfront.net/5a05379ca1def792a662e4ea040b6b8f/be73c56164229e1116921fbd516b4ffd-file.jpeg", "Евгений Рысев: Ссылка на изображение")</f>
        <v>Евгений Рысев: Ссылка на изображение</v>
      </c>
      <c r="FA465" s="3" t="s">
        <v>2824</v>
      </c>
      <c r="FB465" t="s">
        <v>2825</v>
      </c>
      <c r="FC465" t="s">
        <v>2826</v>
      </c>
      <c r="FD465" t="s">
        <v>1777</v>
      </c>
      <c r="FE465" t="s">
        <v>2827</v>
      </c>
    </row>
    <row r="466" spans="1:161" ht="15" customHeight="1" x14ac:dyDescent="0.35">
      <c r="A466">
        <v>1176</v>
      </c>
      <c r="B466" t="s">
        <v>2828</v>
      </c>
      <c r="C466">
        <v>2</v>
      </c>
      <c r="D466" t="str">
        <f>VLOOKUP(source[[#This Row],[Приоритет]],тПриоритеты[],2,0)</f>
        <v>Значительное</v>
      </c>
      <c r="E466" t="str">
        <f>IF(ISBLANK(source[[#This Row],[Проверенные]]),IF(ISBLANK(source[[#This Row],[Завершенные]]),source[[#This Row],[Приоритет_]],"Завершено"),"Проверено")</f>
        <v>Значительное</v>
      </c>
      <c r="F466" t="s">
        <v>2814</v>
      </c>
      <c r="G466" t="s">
        <v>2829</v>
      </c>
      <c r="H466" t="e">
        <f>VLOOKUP(source[[#This Row],[Отвественный]],тОтветственные[],2,0)</f>
        <v>#N/A</v>
      </c>
      <c r="S466" s="1">
        <v>43865.73065972222</v>
      </c>
      <c r="W466" s="1">
        <v>43865.742442129631</v>
      </c>
      <c r="EC466" t="s">
        <v>2830</v>
      </c>
      <c r="ED466" t="s">
        <v>2831</v>
      </c>
      <c r="EE466" t="str">
        <f>HYPERLINK("https://d33htgqikc2pj4.cloudfront.net/8e04ff30160cdf22ccbdd14c17ab17f5/0513b15163bd6b7ba795260673d2b32f-file.jpeg", "Safety AECOM: Ссылка на изображение")</f>
        <v>Safety AECOM: Ссылка на изображение</v>
      </c>
      <c r="EF466" t="s">
        <v>2832</v>
      </c>
      <c r="EG466" t="s">
        <v>2833</v>
      </c>
      <c r="EH466" t="s">
        <v>2834</v>
      </c>
      <c r="EI466" t="s">
        <v>2835</v>
      </c>
      <c r="EJ466" t="s">
        <v>836</v>
      </c>
      <c r="EK466" t="s">
        <v>2836</v>
      </c>
    </row>
    <row r="467" spans="1:161" ht="15" customHeight="1" x14ac:dyDescent="0.35">
      <c r="A467">
        <v>1178</v>
      </c>
      <c r="C467">
        <v>3</v>
      </c>
      <c r="D467" t="str">
        <f>VLOOKUP(source[[#This Row],[Приоритет]],тПриоритеты[],2,0)</f>
        <v>Малозначительное</v>
      </c>
      <c r="E467" t="str">
        <f>IF(ISBLANK(source[[#This Row],[Проверенные]]),IF(ISBLANK(source[[#This Row],[Завершенные]]),source[[#This Row],[Приоритет_]],"Завершено"),"Проверено")</f>
        <v>Малозначительное</v>
      </c>
      <c r="F467" t="s">
        <v>2814</v>
      </c>
      <c r="G467" t="s">
        <v>2829</v>
      </c>
      <c r="H467" t="e">
        <f>VLOOKUP(source[[#This Row],[Отвественный]],тОтветственные[],2,0)</f>
        <v>#N/A</v>
      </c>
      <c r="K467" t="s">
        <v>2837</v>
      </c>
      <c r="L467">
        <v>0</v>
      </c>
      <c r="M467">
        <v>0</v>
      </c>
      <c r="Q467" t="s">
        <v>2838</v>
      </c>
      <c r="R467" t="str">
        <f>HYPERLINK("https://d28ji4sm1vmprj.cloudfront.net/bc079fea22f2680d176ea5e8bf36c079/d4e256220012734cf5712eb8034175df.jpeg", "Ссылка на план")</f>
        <v>Ссылка на план</v>
      </c>
      <c r="S467" s="1">
        <v>43865.738854166666</v>
      </c>
      <c r="W467" s="1">
        <v>43865.742812500001</v>
      </c>
      <c r="EC467" t="s">
        <v>836</v>
      </c>
      <c r="ED467" t="s">
        <v>2839</v>
      </c>
      <c r="EE467" t="s">
        <v>2836</v>
      </c>
      <c r="EF467" t="s">
        <v>2840</v>
      </c>
      <c r="EG467" t="s">
        <v>2841</v>
      </c>
      <c r="EH467" t="s">
        <v>836</v>
      </c>
      <c r="EI467" t="s">
        <v>2620</v>
      </c>
    </row>
    <row r="468" spans="1:161" ht="15" customHeight="1" x14ac:dyDescent="0.35">
      <c r="A468">
        <v>1177</v>
      </c>
      <c r="B468" t="s">
        <v>2842</v>
      </c>
      <c r="C468">
        <v>1</v>
      </c>
      <c r="D468" t="str">
        <f>VLOOKUP(source[[#This Row],[Приоритет]],тПриоритеты[],2,0)</f>
        <v>КРИТИЧЕСКОЕ</v>
      </c>
      <c r="E468" t="str">
        <f>IF(ISBLANK(source[[#This Row],[Проверенные]]),IF(ISBLANK(source[[#This Row],[Завершенные]]),source[[#This Row],[Приоритет_]],"Завершено"),"Проверено")</f>
        <v>КРИТИЧЕСКОЕ</v>
      </c>
      <c r="F468" t="s">
        <v>2814</v>
      </c>
      <c r="G468" t="s">
        <v>2843</v>
      </c>
      <c r="H468" t="e">
        <f>VLOOKUP(source[[#This Row],[Отвественный]],тОтветственные[],2,0)</f>
        <v>#N/A</v>
      </c>
      <c r="K468" t="s">
        <v>2844</v>
      </c>
      <c r="L468">
        <v>43.35</v>
      </c>
      <c r="M468">
        <v>21.06</v>
      </c>
      <c r="O468">
        <v>0</v>
      </c>
      <c r="Q468" t="s">
        <v>2838</v>
      </c>
      <c r="R468" t="str">
        <f>HYPERLINK("https://d28ji4sm1vmprj.cloudfront.net/7ae579c733ea1c09af7b6fd532c78aaf/48de2aad0b514ffccbb3d79501752588.jpeg", "Ссылка на план")</f>
        <v>Ссылка на план</v>
      </c>
      <c r="S468" s="1">
        <v>43865.735150462962</v>
      </c>
      <c r="W468" s="1">
        <v>43865.742314814815</v>
      </c>
      <c r="EC468" t="str">
        <f>HYPERLINK("https://d33htgqikc2pj4.cloudfront.net/b447cd3e28a7a6e78c525363e29e1bdd/59a8a197f166110c940f50c1ff1aebfe-file.jpeg", "Safety AECOM: Ссылка на изображение")</f>
        <v>Safety AECOM: Ссылка на изображение</v>
      </c>
      <c r="ED468" t="s">
        <v>2832</v>
      </c>
      <c r="EE468" t="s">
        <v>2845</v>
      </c>
      <c r="EF468" t="s">
        <v>2846</v>
      </c>
      <c r="EG468" t="s">
        <v>2847</v>
      </c>
      <c r="EH468" t="s">
        <v>2848</v>
      </c>
      <c r="EI468" t="s">
        <v>2849</v>
      </c>
      <c r="EJ468" t="s">
        <v>2834</v>
      </c>
      <c r="EK468" t="s">
        <v>2847</v>
      </c>
      <c r="EL468" t="s">
        <v>836</v>
      </c>
      <c r="EM468" t="s">
        <v>486</v>
      </c>
    </row>
    <row r="469" spans="1:161" ht="15" customHeight="1" x14ac:dyDescent="0.35">
      <c r="A469">
        <v>467</v>
      </c>
      <c r="B469" t="s">
        <v>2850</v>
      </c>
      <c r="C469">
        <v>1</v>
      </c>
      <c r="D469" t="str">
        <f>VLOOKUP(source[[#This Row],[Приоритет]],тПриоритеты[],2,0)</f>
        <v>КРИТИЧЕСКОЕ</v>
      </c>
      <c r="E469" t="str">
        <f>IF(ISBLANK(source[[#This Row],[Проверенные]]),IF(ISBLANK(source[[#This Row],[Завершенные]]),source[[#This Row],[Приоритет_]],"Завершено"),"Проверено")</f>
        <v>Проверено</v>
      </c>
      <c r="F469" t="s">
        <v>2814</v>
      </c>
      <c r="G469" t="s">
        <v>269</v>
      </c>
      <c r="H469" t="e">
        <f>VLOOKUP(source[[#This Row],[Отвественный]],тОтветственные[],2,0)</f>
        <v>#N/A</v>
      </c>
      <c r="I469" s="2">
        <v>43797</v>
      </c>
      <c r="J469" s="2">
        <v>43798</v>
      </c>
      <c r="K469" t="s">
        <v>2851</v>
      </c>
      <c r="L469">
        <v>0</v>
      </c>
      <c r="M469">
        <v>0</v>
      </c>
      <c r="Q469" t="s">
        <v>2852</v>
      </c>
      <c r="R469" t="str">
        <f>HYPERLINK("https://d28ji4sm1vmprj.cloudfront.net/49210ed0f42b3ee6adef500dade63a6d/86f368728600cfaece7b21b006ce3721.jpeg", "Ссылка на план")</f>
        <v>Ссылка на план</v>
      </c>
      <c r="S469" s="1">
        <v>43797.815046296295</v>
      </c>
      <c r="T469" s="1">
        <v>43805.473692129628</v>
      </c>
      <c r="U469" s="1">
        <v>43809.420763888891</v>
      </c>
      <c r="W469" s="1">
        <v>43809.420775462961</v>
      </c>
      <c r="EC469" t="s">
        <v>2853</v>
      </c>
      <c r="ED469" t="s">
        <v>271</v>
      </c>
      <c r="EE469" t="s">
        <v>2854</v>
      </c>
      <c r="EF469" t="s">
        <v>2855</v>
      </c>
      <c r="EG469" t="str">
        <f>HYPERLINK("https://d33htgqikc2pj4.cloudfront.net/qvHDimMUqxZcQnsj/9f640c80-3ba9-4ae4-9820-ff862cbfaefe.jpeg", "Вячеслав Сорокин: Ссылка на изображение")</f>
        <v>Вячеслав Сорокин: Ссылка на изображение</v>
      </c>
      <c r="EH469" t="str">
        <f>HYPERLINK("https://d33htgqikc2pj4.cloudfront.net/qvHDimMUqxZcQnsj/a87adf1f-8fbe-420b-8aea-69d16fa713d9.jpeg", "Вячеслав Сорокин: Ссылка на изображение")</f>
        <v>Вячеслав Сорокин: Ссылка на изображение</v>
      </c>
      <c r="EI469" t="str">
        <f>HYPERLINK("https://d33htgqikc2pj4.cloudfront.net/qvHDimMUqxZcQnsj/80472cce-abbe-4a6a-8354-3a2f3db8ee5e.jpeg", "Вячеслав Сорокин: Ссылка на изображение")</f>
        <v>Вячеслав Сорокин: Ссылка на изображение</v>
      </c>
      <c r="EJ469" t="s">
        <v>2856</v>
      </c>
      <c r="EK469" t="s">
        <v>2857</v>
      </c>
      <c r="EL469" t="s">
        <v>2856</v>
      </c>
      <c r="EM469" t="s">
        <v>2858</v>
      </c>
      <c r="EN469" t="s">
        <v>2859</v>
      </c>
      <c r="EO469" t="s">
        <v>2860</v>
      </c>
      <c r="EP469" t="s">
        <v>2861</v>
      </c>
      <c r="EQ469" t="s">
        <v>2862</v>
      </c>
      <c r="ER469" t="s">
        <v>2863</v>
      </c>
      <c r="ES469" t="s">
        <v>2864</v>
      </c>
      <c r="ET469" t="s">
        <v>803</v>
      </c>
      <c r="EU469" t="s">
        <v>1924</v>
      </c>
      <c r="EV469" t="s">
        <v>275</v>
      </c>
      <c r="EW469" t="s">
        <v>836</v>
      </c>
    </row>
    <row r="470" spans="1:161" ht="15" customHeight="1" x14ac:dyDescent="0.35">
      <c r="A470">
        <v>1071</v>
      </c>
      <c r="B470" t="s">
        <v>2865</v>
      </c>
      <c r="C470">
        <v>1</v>
      </c>
      <c r="D470" t="str">
        <f>VLOOKUP(source[[#This Row],[Приоритет]],тПриоритеты[],2,0)</f>
        <v>КРИТИЧЕСКОЕ</v>
      </c>
      <c r="E470" t="str">
        <f>IF(ISBLANK(source[[#This Row],[Проверенные]]),IF(ISBLANK(source[[#This Row],[Завершенные]]),source[[#This Row],[Приоритет_]],"Завершено"),"Проверено")</f>
        <v>Проверено</v>
      </c>
      <c r="F470" t="s">
        <v>2814</v>
      </c>
      <c r="G470" t="s">
        <v>420</v>
      </c>
      <c r="H470" t="e">
        <f>VLOOKUP(source[[#This Row],[Отвественный]],тОтветственные[],2,0)</f>
        <v>#N/A</v>
      </c>
      <c r="I470" s="2">
        <v>43858</v>
      </c>
      <c r="J470" s="2">
        <v>43858</v>
      </c>
      <c r="K470" t="s">
        <v>1913</v>
      </c>
      <c r="L470">
        <v>42.36</v>
      </c>
      <c r="M470">
        <v>34.99</v>
      </c>
      <c r="Q470" t="s">
        <v>789</v>
      </c>
      <c r="R470" t="str">
        <f>HYPERLINK("https://d28ji4sm1vmprj.cloudfront.net/66b42f802263492bba17f2ae7b1443c7/e21aa70d5981168508628998e6a067af.jpeg", "Ссылка на план")</f>
        <v>Ссылка на план</v>
      </c>
      <c r="S470" s="1">
        <v>43858.425324074073</v>
      </c>
      <c r="T470" s="1">
        <v>43871.70652777778</v>
      </c>
      <c r="U470" s="1">
        <v>43871.707511574074</v>
      </c>
      <c r="W470" s="1">
        <v>43871.70752314815</v>
      </c>
      <c r="EC470" t="str">
        <f>HYPERLINK("https://d33htgqikc2pj4.cloudfront.net/7850c560-d6ce-47ed-91b6-2920a0c19dcc.jpeg", "Александр Светашов: Ссылка на изображение")</f>
        <v>Александр Светашов: Ссылка на изображение</v>
      </c>
      <c r="ED470" t="str">
        <f>HYPERLINK("https://d33htgqikc2pj4.cloudfront.net/fc0cef0a-0192-4140-8464-cff4e602be00.jpeg", "Александр Светашов: Ссылка на изображение")</f>
        <v>Александр Светашов: Ссылка на изображение</v>
      </c>
      <c r="EE470" t="str">
        <f>HYPERLINK("https://d33htgqikc2pj4.cloudfront.net/6f6acb06-4bce-463e-a8cb-ec17a4077a8a.jpeg", "Александр Светашов: Ссылка на изображение")</f>
        <v>Александр Светашов: Ссылка на изображение</v>
      </c>
      <c r="EF470" t="str">
        <f>HYPERLINK("https://d33htgqikc2pj4.cloudfront.net/22704a9d-40e2-4f12-8832-23a051e771e1.jpeg", "Александр Светашов: Ссылка на изображение")</f>
        <v>Александр Светашов: Ссылка на изображение</v>
      </c>
      <c r="EG470" t="str">
        <f>HYPERLINK("https://d33htgqikc2pj4.cloudfront.net/4dd37f4e-a6aa-4198-9382-8409b8328b02.jpeg", "Александр Светашов: Ссылка на изображение")</f>
        <v>Александр Светашов: Ссылка на изображение</v>
      </c>
      <c r="EH470" t="s">
        <v>2866</v>
      </c>
      <c r="EI470" t="str">
        <f>HYPERLINK("https://d33htgqikc2pj4.cloudfront.net/dc2308ef-2f4f-4b40-9dff-2a3f3f98deba.jpeg", "Александр Светашов: Ссылка на изображение")</f>
        <v>Александр Светашов: Ссылка на изображение</v>
      </c>
      <c r="EJ470" t="s">
        <v>2867</v>
      </c>
      <c r="EK470" t="s">
        <v>2868</v>
      </c>
      <c r="EL470" t="s">
        <v>2081</v>
      </c>
      <c r="EM470" t="s">
        <v>2869</v>
      </c>
      <c r="EN470" t="s">
        <v>2834</v>
      </c>
      <c r="EO470" t="s">
        <v>2847</v>
      </c>
      <c r="EP470" t="str">
        <f>HYPERLINK("https://d33htgqikc2pj4.cloudfront.net/qvHDimMUqxZcQnsj/c54a077a-e671-4479-b963-29df7b86f827.jpeg", "Отопление и Кондиционирование Renaissance: Ссылка на изображение")</f>
        <v>Отопление и Кондиционирование Renaissance: Ссылка на изображение</v>
      </c>
      <c r="EQ470" t="s">
        <v>1233</v>
      </c>
      <c r="ER470" t="s">
        <v>1147</v>
      </c>
      <c r="ES470" t="s">
        <v>794</v>
      </c>
    </row>
    <row r="471" spans="1:161" ht="15" customHeight="1" x14ac:dyDescent="0.35">
      <c r="A471">
        <v>980</v>
      </c>
      <c r="C471">
        <v>2</v>
      </c>
      <c r="D471" t="str">
        <f>VLOOKUP(source[[#This Row],[Приоритет]],тПриоритеты[],2,0)</f>
        <v>Значительное</v>
      </c>
      <c r="E471" t="str">
        <f>IF(ISBLANK(source[[#This Row],[Проверенные]]),IF(ISBLANK(source[[#This Row],[Завершенные]]),source[[#This Row],[Приоритет_]],"Завершено"),"Проверено")</f>
        <v>Проверено</v>
      </c>
      <c r="F471" t="s">
        <v>2870</v>
      </c>
      <c r="G471" t="s">
        <v>957</v>
      </c>
      <c r="H471" t="e">
        <f>VLOOKUP(source[[#This Row],[Отвественный]],тОтветственные[],2,0)</f>
        <v>#N/A</v>
      </c>
      <c r="S471" s="1">
        <v>43851.525717592594</v>
      </c>
      <c r="T471" s="1">
        <v>43859.581886574073</v>
      </c>
      <c r="U471" s="1">
        <v>43859.581886574073</v>
      </c>
      <c r="W471" s="1">
        <v>43859.58189814815</v>
      </c>
      <c r="EC471" t="s">
        <v>1038</v>
      </c>
      <c r="ED471" t="s">
        <v>794</v>
      </c>
    </row>
    <row r="472" spans="1:161" ht="15" customHeight="1" x14ac:dyDescent="0.35">
      <c r="A472">
        <v>429</v>
      </c>
      <c r="B472" t="s">
        <v>2871</v>
      </c>
      <c r="C472">
        <v>2</v>
      </c>
      <c r="D472" t="str">
        <f>VLOOKUP(source[[#This Row],[Приоритет]],тПриоритеты[],2,0)</f>
        <v>Значительное</v>
      </c>
      <c r="E472" t="str">
        <f>IF(ISBLANK(source[[#This Row],[Проверенные]]),IF(ISBLANK(source[[#This Row],[Завершенные]]),source[[#This Row],[Приоритет_]],"Завершено"),"Проверено")</f>
        <v>Проверено</v>
      </c>
      <c r="F472" t="s">
        <v>2870</v>
      </c>
      <c r="G472" t="s">
        <v>2872</v>
      </c>
      <c r="H472" t="e">
        <f>VLOOKUP(source[[#This Row],[Отвественный]],тОтветственные[],2,0)</f>
        <v>#N/A</v>
      </c>
      <c r="I472" s="2">
        <v>43794</v>
      </c>
      <c r="J472" s="2">
        <v>43794</v>
      </c>
      <c r="N472" t="s">
        <v>2438</v>
      </c>
      <c r="S472" s="1">
        <v>43794.692974537036</v>
      </c>
      <c r="T472" s="1">
        <v>43794.696817129632</v>
      </c>
      <c r="U472" s="1">
        <v>43811.740219907406</v>
      </c>
      <c r="W472" s="1">
        <v>43811.740219907406</v>
      </c>
      <c r="EC472" t="s">
        <v>2873</v>
      </c>
      <c r="ED472" t="s">
        <v>2874</v>
      </c>
      <c r="EE472" t="s">
        <v>2875</v>
      </c>
      <c r="EF472" t="s">
        <v>2876</v>
      </c>
      <c r="EG472" t="str">
        <f>HYPERLINK("https://d33htgqikc2pj4.cloudfront.net/b2ca3dd3-6c1e-4701-8c0c-c4b6582a291d.jpeg", "Александр Лесюта: Ссылка на изображение")</f>
        <v>Александр Лесюта: Ссылка на изображение</v>
      </c>
      <c r="EH472" t="str">
        <f>HYPERLINK("https://d33htgqikc2pj4.cloudfront.net/602a041b-a8ad-43d2-9773-ab8ebbf38896.jpeg", "Александр Лесюта: Ссылка на изображение")</f>
        <v>Александр Лесюта: Ссылка на изображение</v>
      </c>
      <c r="EI472" t="s">
        <v>2877</v>
      </c>
      <c r="EJ472" t="s">
        <v>2422</v>
      </c>
      <c r="EK472" t="s">
        <v>2878</v>
      </c>
      <c r="EL472" t="s">
        <v>836</v>
      </c>
    </row>
    <row r="473" spans="1:161" ht="15" customHeight="1" x14ac:dyDescent="0.35">
      <c r="A473">
        <v>566</v>
      </c>
      <c r="B473" t="s">
        <v>2879</v>
      </c>
      <c r="C473">
        <v>2</v>
      </c>
      <c r="D473" t="str">
        <f>VLOOKUP(source[[#This Row],[Приоритет]],тПриоритеты[],2,0)</f>
        <v>Значительное</v>
      </c>
      <c r="E473" t="str">
        <f>IF(ISBLANK(source[[#This Row],[Проверенные]]),IF(ISBLANK(source[[#This Row],[Завершенные]]),source[[#This Row],[Приоритет_]],"Завершено"),"Проверено")</f>
        <v>Проверено</v>
      </c>
      <c r="F473" t="s">
        <v>2870</v>
      </c>
      <c r="G473" t="s">
        <v>189</v>
      </c>
      <c r="H473" t="str">
        <f>VLOOKUP(source[[#This Row],[Отвественный]],тОтветственные[],2,0)</f>
        <v>Отв7</v>
      </c>
      <c r="I473" s="2">
        <v>43807</v>
      </c>
      <c r="J473" s="2">
        <v>43807</v>
      </c>
      <c r="S473" s="1">
        <v>43808.36246527778</v>
      </c>
      <c r="T473" s="1">
        <v>43808.373865740738</v>
      </c>
      <c r="U473" s="1">
        <v>43808.373865740738</v>
      </c>
      <c r="W473" s="1">
        <v>43808.378530092596</v>
      </c>
      <c r="EC473" t="s">
        <v>2880</v>
      </c>
      <c r="ED473" t="s">
        <v>2881</v>
      </c>
      <c r="EE473" t="str">
        <f>HYPERLINK("https://d33htgqikc2pj4.cloudfront.net/8f0ed2b882b5b4fcbaa37ec6f6dfbd82/2c1c5586b408b2887bd464022a02e07e-file.jpeg", "Александр Олуферов: Ссылка на изображение")</f>
        <v>Александр Олуферов: Ссылка на изображение</v>
      </c>
      <c r="EF473" t="str">
        <f>HYPERLINK("https://d33htgqikc2pj4.cloudfront.net/682d97411f9edb9376005607bea89805/1e552ac27934a047fa140b32a77760d4-file.jpeg", "Александр Олуферов: Ссылка на изображение")</f>
        <v>Александр Олуферов: Ссылка на изображение</v>
      </c>
      <c r="EG473" t="str">
        <f>HYPERLINK("https://d33htgqikc2pj4.cloudfront.net/1ccf72354f92ce065e9fbe6d22a9ebcc/962ac68b8402d6bb40c3f41cb4bfd8c6-file.jpeg", "Александр Олуферов: Ссылка на изображение")</f>
        <v>Александр Олуферов: Ссылка на изображение</v>
      </c>
      <c r="EH473" t="s">
        <v>2882</v>
      </c>
      <c r="EI473" t="s">
        <v>212</v>
      </c>
      <c r="EJ473" t="s">
        <v>2883</v>
      </c>
      <c r="EK473" t="s">
        <v>2884</v>
      </c>
    </row>
    <row r="474" spans="1:161" ht="15" customHeight="1" x14ac:dyDescent="0.35">
      <c r="A474">
        <v>567</v>
      </c>
      <c r="B474" t="s">
        <v>2885</v>
      </c>
      <c r="C474">
        <v>2</v>
      </c>
      <c r="D474" t="str">
        <f>VLOOKUP(source[[#This Row],[Приоритет]],тПриоритеты[],2,0)</f>
        <v>Значительное</v>
      </c>
      <c r="E474" t="str">
        <f>IF(ISBLANK(source[[#This Row],[Проверенные]]),IF(ISBLANK(source[[#This Row],[Завершенные]]),source[[#This Row],[Приоритет_]],"Завершено"),"Проверено")</f>
        <v>Проверено</v>
      </c>
      <c r="F474" t="s">
        <v>2870</v>
      </c>
      <c r="G474" t="s">
        <v>189</v>
      </c>
      <c r="H474" t="str">
        <f>VLOOKUP(source[[#This Row],[Отвественный]],тОтветственные[],2,0)</f>
        <v>Отв7</v>
      </c>
      <c r="I474" s="2">
        <v>43807</v>
      </c>
      <c r="J474" s="2">
        <v>43807</v>
      </c>
      <c r="S474" s="1">
        <v>43808.379305555558</v>
      </c>
      <c r="T474" s="1">
        <v>43808.382476851853</v>
      </c>
      <c r="U474" s="1">
        <v>43808.382476851853</v>
      </c>
      <c r="W474" s="1">
        <v>43808.382476851853</v>
      </c>
      <c r="EC474" t="s">
        <v>2886</v>
      </c>
      <c r="ED474" t="s">
        <v>2887</v>
      </c>
      <c r="EE474" t="str">
        <f>HYPERLINK("https://d33htgqikc2pj4.cloudfront.net/7816252a59352869f26e268dccf97998/9fd4b80bdec2ad3d39087217927dd286-file.jpeg", "Александр Олуферов: Ссылка на изображение")</f>
        <v>Александр Олуферов: Ссылка на изображение</v>
      </c>
      <c r="EF474" t="s">
        <v>2883</v>
      </c>
      <c r="EG474" t="s">
        <v>212</v>
      </c>
    </row>
    <row r="475" spans="1:161" ht="15" customHeight="1" x14ac:dyDescent="0.35">
      <c r="A475">
        <v>958</v>
      </c>
      <c r="B475" t="s">
        <v>2888</v>
      </c>
      <c r="C475">
        <v>2</v>
      </c>
      <c r="D475" t="str">
        <f>VLOOKUP(source[[#This Row],[Приоритет]],тПриоритеты[],2,0)</f>
        <v>Значительное</v>
      </c>
      <c r="E475" t="str">
        <f>IF(ISBLANK(source[[#This Row],[Проверенные]]),IF(ISBLANK(source[[#This Row],[Завершенные]]),source[[#This Row],[Приоритет_]],"Завершено"),"Проверено")</f>
        <v>Проверено</v>
      </c>
      <c r="F475" t="s">
        <v>2870</v>
      </c>
      <c r="G475" t="s">
        <v>189</v>
      </c>
      <c r="H475" t="str">
        <f>VLOOKUP(source[[#This Row],[Отвественный]],тОтветственные[],2,0)</f>
        <v>Отв7</v>
      </c>
      <c r="I475" s="2">
        <v>43849</v>
      </c>
      <c r="J475" s="2">
        <v>43849</v>
      </c>
      <c r="S475" s="1">
        <v>43850.395300925928</v>
      </c>
      <c r="T475" s="1">
        <v>43850.397835648146</v>
      </c>
      <c r="U475" s="1">
        <v>43850.397835648146</v>
      </c>
      <c r="W475" s="1">
        <v>43850.400208333333</v>
      </c>
      <c r="X475" t="s">
        <v>2889</v>
      </c>
      <c r="AH475" t="s">
        <v>2890</v>
      </c>
      <c r="AI475" t="s">
        <v>2891</v>
      </c>
      <c r="AJ475" t="s">
        <v>2892</v>
      </c>
      <c r="AK475" t="s">
        <v>2893</v>
      </c>
      <c r="AL475" t="s">
        <v>2894</v>
      </c>
      <c r="AM475" t="s">
        <v>2895</v>
      </c>
      <c r="AN475" t="s">
        <v>2896</v>
      </c>
      <c r="AO475" t="s">
        <v>2897</v>
      </c>
      <c r="AP475" t="s">
        <v>2898</v>
      </c>
      <c r="AQ475" t="s">
        <v>2899</v>
      </c>
      <c r="AR475" t="s">
        <v>2900</v>
      </c>
      <c r="AS475" t="s">
        <v>2901</v>
      </c>
      <c r="AT475" t="s">
        <v>2902</v>
      </c>
      <c r="AU475" t="s">
        <v>2903</v>
      </c>
      <c r="AV475" t="s">
        <v>2904</v>
      </c>
      <c r="AW475" t="s">
        <v>2905</v>
      </c>
      <c r="EC475" t="s">
        <v>2906</v>
      </c>
      <c r="ED475" t="s">
        <v>2907</v>
      </c>
      <c r="EE475" t="s">
        <v>212</v>
      </c>
      <c r="EF475" t="s">
        <v>2908</v>
      </c>
      <c r="EG475" t="str">
        <f>HYPERLINK("https://d33htgqikc2pj4.cloudfront.net/273cdf8d72cb8fde7506336415f0f57a/81d16fb9317946a6f7ea240156bc22db-file.jpeg", "Александр Олуферов: Ссылка на изображение")</f>
        <v>Александр Олуферов: Ссылка на изображение</v>
      </c>
      <c r="EH475" t="str">
        <f>HYPERLINK("https://d33htgqikc2pj4.cloudfront.net/c9922ce7ee0dc4348fadfb531860bdbd/d1f72056635a59b1b913699b6cd6e25c-file.jpeg", "Александр Олуферов: Ссылка на изображение")</f>
        <v>Александр Олуферов: Ссылка на изображение</v>
      </c>
    </row>
    <row r="476" spans="1:161" ht="15" customHeight="1" x14ac:dyDescent="0.35">
      <c r="A476">
        <v>959</v>
      </c>
      <c r="B476" t="s">
        <v>2909</v>
      </c>
      <c r="C476">
        <v>2</v>
      </c>
      <c r="D476" t="str">
        <f>VLOOKUP(source[[#This Row],[Приоритет]],тПриоритеты[],2,0)</f>
        <v>Значительное</v>
      </c>
      <c r="E476" t="str">
        <f>IF(ISBLANK(source[[#This Row],[Проверенные]]),IF(ISBLANK(source[[#This Row],[Завершенные]]),source[[#This Row],[Приоритет_]],"Завершено"),"Проверено")</f>
        <v>Проверено</v>
      </c>
      <c r="F476" t="s">
        <v>2870</v>
      </c>
      <c r="G476" t="s">
        <v>189</v>
      </c>
      <c r="H476" t="str">
        <f>VLOOKUP(source[[#This Row],[Отвественный]],тОтветственные[],2,0)</f>
        <v>Отв7</v>
      </c>
      <c r="I476" s="2">
        <v>43849</v>
      </c>
      <c r="J476" s="2">
        <v>43849</v>
      </c>
      <c r="S476" s="1">
        <v>43850.400601851848</v>
      </c>
      <c r="T476" s="1">
        <v>43850.400659722225</v>
      </c>
      <c r="U476" s="1">
        <v>43850.400659722225</v>
      </c>
      <c r="W476" s="1">
        <v>43850.401087962964</v>
      </c>
      <c r="X476" t="s">
        <v>2889</v>
      </c>
      <c r="AH476" t="s">
        <v>2910</v>
      </c>
      <c r="AI476" t="s">
        <v>2891</v>
      </c>
      <c r="AJ476" t="s">
        <v>2892</v>
      </c>
      <c r="AK476" t="s">
        <v>2911</v>
      </c>
      <c r="AL476" t="s">
        <v>2894</v>
      </c>
      <c r="AM476" t="s">
        <v>2912</v>
      </c>
      <c r="AN476" t="s">
        <v>2896</v>
      </c>
      <c r="AO476" t="s">
        <v>2913</v>
      </c>
      <c r="AP476" t="s">
        <v>2914</v>
      </c>
      <c r="AQ476" t="s">
        <v>2915</v>
      </c>
      <c r="AR476" t="s">
        <v>2900</v>
      </c>
      <c r="AS476" t="s">
        <v>2901</v>
      </c>
      <c r="AT476" t="s">
        <v>2902</v>
      </c>
      <c r="AU476" t="s">
        <v>2903</v>
      </c>
      <c r="AV476" t="s">
        <v>2904</v>
      </c>
      <c r="AW476" t="s">
        <v>2905</v>
      </c>
      <c r="EC476" t="s">
        <v>212</v>
      </c>
      <c r="ED476" t="s">
        <v>2907</v>
      </c>
      <c r="EE476" t="s">
        <v>2908</v>
      </c>
      <c r="EF476" t="s">
        <v>2916</v>
      </c>
      <c r="EG476" t="s">
        <v>2917</v>
      </c>
      <c r="EH476" t="str">
        <f>HYPERLINK("https://d33htgqikc2pj4.cloudfront.net/04d272b15f3679aad3beb8ed429408c5/f361e137b0a5f278047831ba88b10597-file.jpeg", "Александр Олуферов: Ссылка на изображение")</f>
        <v>Александр Олуферов: Ссылка на изображение</v>
      </c>
      <c r="EI476" t="str">
        <f>HYPERLINK("https://d33htgqikc2pj4.cloudfront.net/b4bdac0fa694ce730529536000159d67/fb9e5304890f268c4bee1e14dbaeaeba-file.jpeg", "Александр Олуферов: Ссылка на изображение")</f>
        <v>Александр Олуферов: Ссылка на изображение</v>
      </c>
      <c r="EJ476" t="str">
        <f>HYPERLINK("https://d33htgqikc2pj4.cloudfront.net/7b7cca986982c3b9478d94a749ae0a4f/b047725fbac96a2be01dbfd8ee0df9df-file.jpeg", "Александр Олуферов: Ссылка на изображение")</f>
        <v>Александр Олуферов: Ссылка на изображение</v>
      </c>
      <c r="EK476" t="str">
        <f>HYPERLINK("https://d33htgqikc2pj4.cloudfront.net/193a000501724b0174bb370513806b5e/6f43061a5dd7462a5aed4b2a4b953744-file.jpeg", "Александр Олуферов: Ссылка на изображение")</f>
        <v>Александр Олуферов: Ссылка на изображение</v>
      </c>
    </row>
    <row r="477" spans="1:161" ht="15" customHeight="1" x14ac:dyDescent="0.35">
      <c r="A477">
        <v>348</v>
      </c>
      <c r="B477" t="s">
        <v>2918</v>
      </c>
      <c r="C477">
        <v>2</v>
      </c>
      <c r="D477" t="str">
        <f>VLOOKUP(source[[#This Row],[Приоритет]],тПриоритеты[],2,0)</f>
        <v>Значительное</v>
      </c>
      <c r="E477" t="str">
        <f>IF(ISBLANK(source[[#This Row],[Проверенные]]),IF(ISBLANK(source[[#This Row],[Завершенные]]),source[[#This Row],[Приоритет_]],"Завершено"),"Проверено")</f>
        <v>Проверено</v>
      </c>
      <c r="F477" t="s">
        <v>2870</v>
      </c>
      <c r="G477" t="s">
        <v>787</v>
      </c>
      <c r="H477" t="e">
        <f>VLOOKUP(source[[#This Row],[Отвественный]],тОтветственные[],2,0)</f>
        <v>#N/A</v>
      </c>
      <c r="I477" s="2">
        <v>43788</v>
      </c>
      <c r="J477" s="2">
        <v>43788</v>
      </c>
      <c r="K477" t="s">
        <v>1670</v>
      </c>
      <c r="L477">
        <v>33.840000000000003</v>
      </c>
      <c r="M477">
        <v>45.99</v>
      </c>
      <c r="Q477" t="s">
        <v>789</v>
      </c>
      <c r="R477" t="str">
        <f>HYPERLINK("https://d28ji4sm1vmprj.cloudfront.net/ad15462a64f9a2745b54f51ce9154d41/1ae5aabc4102d9651fda668fc59d327e.jpeg", "Ссылка на план")</f>
        <v>Ссылка на план</v>
      </c>
      <c r="S477" s="1">
        <v>43788.448750000003</v>
      </c>
      <c r="T477" s="1">
        <v>43788.715150462966</v>
      </c>
      <c r="U477" s="1">
        <v>43797.478796296295</v>
      </c>
      <c r="W477" s="1">
        <v>43797.478807870371</v>
      </c>
      <c r="X477" t="s">
        <v>2919</v>
      </c>
      <c r="AH477" t="s">
        <v>2920</v>
      </c>
      <c r="EC477" t="s">
        <v>2921</v>
      </c>
      <c r="ED477" t="str">
        <f>HYPERLINK("https://d33htgqikc2pj4.cloudfront.net/315dbe36-4131-4222-99ce-8b80c16a2e62.jpeg", "Александр Светашов: Ссылка на изображение")</f>
        <v>Александр Светашов: Ссылка на изображение</v>
      </c>
      <c r="EE477" t="str">
        <f>HYPERLINK("https://d33htgqikc2pj4.cloudfront.net/33f11465-87cb-4ecb-94c0-fed1b836e5a3.jpeg", "Александр Светашов: Ссылка на изображение")</f>
        <v>Александр Светашов: Ссылка на изображение</v>
      </c>
      <c r="EF477" t="str">
        <f>HYPERLINK("https://d33htgqikc2pj4.cloudfront.net/dbf321cf-8ce8-4a5e-9d50-74142bde0929.jpeg", "Александр Светашов: Ссылка на изображение")</f>
        <v>Александр Светашов: Ссылка на изображение</v>
      </c>
      <c r="EG477" t="str">
        <f>HYPERLINK("https://d33htgqikc2pj4.cloudfront.net/09c4c7fc-b368-4aa8-915f-f7bdd859e7aa.jpeg", "Александр Светашов: Ссылка на изображение")</f>
        <v>Александр Светашов: Ссылка на изображение</v>
      </c>
      <c r="EH477" t="s">
        <v>2922</v>
      </c>
      <c r="EI477" t="s">
        <v>2923</v>
      </c>
      <c r="EJ477" t="s">
        <v>1703</v>
      </c>
      <c r="EK477" t="s">
        <v>2924</v>
      </c>
      <c r="EL477" t="s">
        <v>794</v>
      </c>
    </row>
    <row r="478" spans="1:161" ht="15" customHeight="1" x14ac:dyDescent="0.35">
      <c r="A478">
        <v>640</v>
      </c>
      <c r="B478" t="s">
        <v>2925</v>
      </c>
      <c r="C478">
        <v>2</v>
      </c>
      <c r="D478" t="str">
        <f>VLOOKUP(source[[#This Row],[Приоритет]],тПриоритеты[],2,0)</f>
        <v>Значительное</v>
      </c>
      <c r="E478" t="str">
        <f>IF(ISBLANK(source[[#This Row],[Проверенные]]),IF(ISBLANK(source[[#This Row],[Завершенные]]),source[[#This Row],[Приоритет_]],"Завершено"),"Проверено")</f>
        <v>Проверено</v>
      </c>
      <c r="F478" t="s">
        <v>2870</v>
      </c>
      <c r="G478" t="s">
        <v>2926</v>
      </c>
      <c r="H478" t="e">
        <f>VLOOKUP(source[[#This Row],[Отвественный]],тОтветственные[],2,0)</f>
        <v>#N/A</v>
      </c>
      <c r="S478" s="1">
        <v>43816.286261574074</v>
      </c>
      <c r="T478" s="1">
        <v>43816.287708333337</v>
      </c>
      <c r="U478" s="1">
        <v>43816.287708333337</v>
      </c>
      <c r="W478" s="1">
        <v>43816.287719907406</v>
      </c>
      <c r="X478" t="s">
        <v>2927</v>
      </c>
      <c r="AH478" t="s">
        <v>2928</v>
      </c>
      <c r="AI478" t="s">
        <v>2929</v>
      </c>
      <c r="AJ478" t="s">
        <v>2930</v>
      </c>
      <c r="AK478" t="s">
        <v>2931</v>
      </c>
      <c r="AL478" t="s">
        <v>2932</v>
      </c>
      <c r="AM478" t="s">
        <v>2933</v>
      </c>
      <c r="AN478" t="s">
        <v>2934</v>
      </c>
      <c r="AO478" t="s">
        <v>2935</v>
      </c>
      <c r="AP478" t="s">
        <v>2936</v>
      </c>
      <c r="EC478" t="s">
        <v>2937</v>
      </c>
      <c r="ED478" t="str">
        <f>HYPERLINK("https://d33htgqikc2pj4.cloudfront.net/qvHDimMUqxZcQnsj/fdd13a3c-0437-4556-8e9f-382d0547e2c3.jpeg", "Алексей Бирюков: Ссылка на изображение")</f>
        <v>Алексей Бирюков: Ссылка на изображение</v>
      </c>
      <c r="EE478" t="str">
        <f>HYPERLINK("https://d33htgqikc2pj4.cloudfront.net/qvHDimMUqxZcQnsj/33ca550a-6631-40b0-89a1-88e8f2281434.jpeg", "Алексей Бирюков: Ссылка на изображение")</f>
        <v>Алексей Бирюков: Ссылка на изображение</v>
      </c>
      <c r="EF478" t="str">
        <f>HYPERLINK("https://d33htgqikc2pj4.cloudfront.net/qvHDimMUqxZcQnsj/30c7f9fe-14ed-4834-b6f2-d8f2ffe1fbd1.jpeg", "Алексей Бирюков: Ссылка на изображение")</f>
        <v>Алексей Бирюков: Ссылка на изображение</v>
      </c>
      <c r="EG478" t="str">
        <f>HYPERLINK("https://d33htgqikc2pj4.cloudfront.net/qvHDimMUqxZcQnsj/77ff5922-064d-44e1-bfbf-1b4e54e724eb.jpeg", "Алексей Бирюков: Ссылка на изображение")</f>
        <v>Алексей Бирюков: Ссылка на изображение</v>
      </c>
      <c r="EH478" t="str">
        <f>HYPERLINK("https://d33htgqikc2pj4.cloudfront.net/qvHDimMUqxZcQnsj/e35e7bba-b693-4569-99ff-a7d8ca33294f.jpeg", "Алексей Бирюков: Ссылка на изображение")</f>
        <v>Алексей Бирюков: Ссылка на изображение</v>
      </c>
      <c r="EI478" t="s">
        <v>2938</v>
      </c>
      <c r="EJ478" t="str">
        <f>HYPERLINK("https://d33htgqikc2pj4.cloudfront.net/qvHDimMUqxZcQnsj/cfd7f4e3-c52a-452a-9669-0baef332568a.jpeg", "Алексей Бирюков: Ссылка на изображение")</f>
        <v>Алексей Бирюков: Ссылка на изображение</v>
      </c>
      <c r="EK478" t="s">
        <v>2939</v>
      </c>
      <c r="EL478" t="s">
        <v>1902</v>
      </c>
      <c r="EM478" t="s">
        <v>1899</v>
      </c>
    </row>
    <row r="479" spans="1:161" ht="15" customHeight="1" x14ac:dyDescent="0.35">
      <c r="A479">
        <v>1064</v>
      </c>
      <c r="B479" t="s">
        <v>2940</v>
      </c>
      <c r="C479">
        <v>2</v>
      </c>
      <c r="D479" t="str">
        <f>VLOOKUP(source[[#This Row],[Приоритет]],тПриоритеты[],2,0)</f>
        <v>Значительное</v>
      </c>
      <c r="E479" t="str">
        <f>IF(ISBLANK(source[[#This Row],[Проверенные]]),IF(ISBLANK(source[[#This Row],[Завершенные]]),source[[#This Row],[Приоритет_]],"Завершено"),"Проверено")</f>
        <v>Проверено</v>
      </c>
      <c r="F479" t="s">
        <v>2870</v>
      </c>
      <c r="G479" t="s">
        <v>2926</v>
      </c>
      <c r="H479" t="e">
        <f>VLOOKUP(source[[#This Row],[Отвественный]],тОтветственные[],2,0)</f>
        <v>#N/A</v>
      </c>
      <c r="I479" s="2">
        <v>43856</v>
      </c>
      <c r="J479" s="2">
        <v>43856</v>
      </c>
      <c r="S479" s="1">
        <v>43856.780312499999</v>
      </c>
      <c r="T479" s="1">
        <v>43856.781527777777</v>
      </c>
      <c r="U479" s="1">
        <v>43856.781527777777</v>
      </c>
      <c r="W479" s="1">
        <v>43856.781527777777</v>
      </c>
      <c r="X479" t="s">
        <v>2941</v>
      </c>
      <c r="AH479" t="s">
        <v>2942</v>
      </c>
      <c r="AI479" t="s">
        <v>2943</v>
      </c>
      <c r="AJ479" t="s">
        <v>2944</v>
      </c>
      <c r="AK479" t="s">
        <v>2945</v>
      </c>
      <c r="EC479" t="s">
        <v>2946</v>
      </c>
      <c r="ED479" t="s">
        <v>2939</v>
      </c>
      <c r="EE479" t="s">
        <v>2947</v>
      </c>
      <c r="EF479" t="str">
        <f>HYPERLINK("https://d33htgqikc2pj4.cloudfront.net/qvHDimMUqxZcQnsj/01405770-3c43-41fd-8f10-655b632bc6fa.jpeg", "Алексей Бирюков: Ссылка на изображение")</f>
        <v>Алексей Бирюков: Ссылка на изображение</v>
      </c>
      <c r="EG479" t="str">
        <f>HYPERLINK("https://d33htgqikc2pj4.cloudfront.net/qvHDimMUqxZcQnsj/01f76891-7f51-47cd-b47c-120ae0dea2cf.jpeg", "Алексей Бирюков: Ссылка на изображение")</f>
        <v>Алексей Бирюков: Ссылка на изображение</v>
      </c>
      <c r="EH479" t="str">
        <f>HYPERLINK("https://d33htgqikc2pj4.cloudfront.net/qvHDimMUqxZcQnsj/065a94f0-0135-4093-b208-34603a15d404.jpeg", "Алексей Бирюков: Ссылка на изображение")</f>
        <v>Алексей Бирюков: Ссылка на изображение</v>
      </c>
      <c r="EI479" t="s">
        <v>2948</v>
      </c>
      <c r="EJ479" t="s">
        <v>1902</v>
      </c>
      <c r="EK479" t="s">
        <v>1899</v>
      </c>
    </row>
    <row r="480" spans="1:161" ht="15" customHeight="1" x14ac:dyDescent="0.35">
      <c r="A480">
        <v>1065</v>
      </c>
      <c r="B480" t="s">
        <v>2949</v>
      </c>
      <c r="C480">
        <v>2</v>
      </c>
      <c r="D480" t="str">
        <f>VLOOKUP(source[[#This Row],[Приоритет]],тПриоритеты[],2,0)</f>
        <v>Значительное</v>
      </c>
      <c r="E480" t="str">
        <f>IF(ISBLANK(source[[#This Row],[Проверенные]]),IF(ISBLANK(source[[#This Row],[Завершенные]]),source[[#This Row],[Приоритет_]],"Завершено"),"Проверено")</f>
        <v>Проверено</v>
      </c>
      <c r="F480" t="s">
        <v>2870</v>
      </c>
      <c r="G480" t="s">
        <v>2926</v>
      </c>
      <c r="H480" t="e">
        <f>VLOOKUP(source[[#This Row],[Отвественный]],тОтветственные[],2,0)</f>
        <v>#N/A</v>
      </c>
      <c r="I480" s="2">
        <v>43856</v>
      </c>
      <c r="J480" s="2">
        <v>43856</v>
      </c>
      <c r="S480" s="1">
        <v>43856.780312499999</v>
      </c>
      <c r="T480" s="1">
        <v>43856.781226851854</v>
      </c>
      <c r="U480" s="1">
        <v>43856.781226851854</v>
      </c>
      <c r="W480" s="1">
        <v>43856.781226851854</v>
      </c>
      <c r="X480" t="s">
        <v>2941</v>
      </c>
      <c r="AH480" t="s">
        <v>2942</v>
      </c>
      <c r="AI480" t="s">
        <v>2943</v>
      </c>
      <c r="AJ480" t="s">
        <v>2944</v>
      </c>
      <c r="AK480" t="s">
        <v>2945</v>
      </c>
      <c r="EC480" t="s">
        <v>2950</v>
      </c>
      <c r="ED480" t="s">
        <v>2947</v>
      </c>
      <c r="EE480" t="s">
        <v>2939</v>
      </c>
      <c r="EF480" t="str">
        <f>HYPERLINK("https://d33htgqikc2pj4.cloudfront.net/qvHDimMUqxZcQnsj/82815ce6-e2f0-4f80-882d-df01f49bc2c1.jpeg", "Алексей Бирюков: Ссылка на изображение")</f>
        <v>Алексей Бирюков: Ссылка на изображение</v>
      </c>
      <c r="EG480" t="str">
        <f>HYPERLINK("https://d33htgqikc2pj4.cloudfront.net/qvHDimMUqxZcQnsj/4b697ed8-f7d1-4d52-a874-b20fe55d386a.jpeg", "Алексей Бирюков: Ссылка на изображение")</f>
        <v>Алексей Бирюков: Ссылка на изображение</v>
      </c>
      <c r="EH480" t="s">
        <v>1899</v>
      </c>
    </row>
    <row r="481" spans="1:158" ht="15" customHeight="1" x14ac:dyDescent="0.35">
      <c r="A481">
        <v>687</v>
      </c>
      <c r="B481" t="s">
        <v>2951</v>
      </c>
      <c r="C481">
        <v>2</v>
      </c>
      <c r="D481" t="str">
        <f>VLOOKUP(source[[#This Row],[Приоритет]],тПриоритеты[],2,0)</f>
        <v>Значительное</v>
      </c>
      <c r="E481" t="str">
        <f>IF(ISBLANK(source[[#This Row],[Проверенные]]),IF(ISBLANK(source[[#This Row],[Завершенные]]),source[[#This Row],[Приоритет_]],"Завершено"),"Проверено")</f>
        <v>Проверено</v>
      </c>
      <c r="F481" t="s">
        <v>2870</v>
      </c>
      <c r="G481" t="s">
        <v>2926</v>
      </c>
      <c r="H481" t="e">
        <f>VLOOKUP(source[[#This Row],[Отвественный]],тОтветственные[],2,0)</f>
        <v>#N/A</v>
      </c>
      <c r="I481" s="2">
        <v>43819</v>
      </c>
      <c r="J481" s="2">
        <v>43819</v>
      </c>
      <c r="S481" s="1">
        <v>43819.294050925928</v>
      </c>
      <c r="T481" s="1">
        <v>43819.272546296299</v>
      </c>
      <c r="U481" s="1">
        <v>43819.272546296299</v>
      </c>
      <c r="W481" s="1">
        <v>43819.2965625</v>
      </c>
      <c r="X481" t="s">
        <v>461</v>
      </c>
      <c r="AH481" t="s">
        <v>2952</v>
      </c>
      <c r="AI481" s="3" t="s">
        <v>2953</v>
      </c>
      <c r="AJ481" s="3" t="s">
        <v>2954</v>
      </c>
      <c r="AK481" t="s">
        <v>2955</v>
      </c>
      <c r="AL481" t="s">
        <v>2956</v>
      </c>
      <c r="AM481" t="s">
        <v>2957</v>
      </c>
      <c r="AN481" t="s">
        <v>2958</v>
      </c>
      <c r="AO481" t="s">
        <v>2959</v>
      </c>
      <c r="AP481" t="s">
        <v>2960</v>
      </c>
      <c r="AQ481" t="s">
        <v>2961</v>
      </c>
      <c r="AR481" t="s">
        <v>2962</v>
      </c>
      <c r="EC481" t="s">
        <v>2963</v>
      </c>
      <c r="ED481" t="s">
        <v>2964</v>
      </c>
      <c r="EE481" t="s">
        <v>2939</v>
      </c>
      <c r="EF481" t="str">
        <f>HYPERLINK("https://d33htgqikc2pj4.cloudfront.net/qvHDimMUqxZcQnsj/dc4f81eb-ef4c-48a6-8cab-8923664d28ee.jpeg", "Алексей Бирюков: Ссылка на изображение")</f>
        <v>Алексей Бирюков: Ссылка на изображение</v>
      </c>
      <c r="EG481" t="str">
        <f>HYPERLINK("https://d33htgqikc2pj4.cloudfront.net/qvHDimMUqxZcQnsj/c49e1a1c-d1ff-4ee2-97b9-11831f64181b.jpeg", "Алексей Бирюков: Ссылка на изображение")</f>
        <v>Алексей Бирюков: Ссылка на изображение</v>
      </c>
      <c r="EH481" t="str">
        <f>HYPERLINK("https://d33htgqikc2pj4.cloudfront.net/qvHDimMUqxZcQnsj/4ca2c042-fb91-4701-9c02-134f37b4c7f0.jpeg", "Алексей Бирюков: Ссылка на изображение")</f>
        <v>Алексей Бирюков: Ссылка на изображение</v>
      </c>
      <c r="EI481" t="str">
        <f>HYPERLINK("https://d33htgqikc2pj4.cloudfront.net/qvHDimMUqxZcQnsj/fb54c228-8164-4e83-978d-a34afb96d5d2.jpeg", "Алексей Бирюков: Ссылка на изображение")</f>
        <v>Алексей Бирюков: Ссылка на изображение</v>
      </c>
      <c r="EJ481" t="str">
        <f>HYPERLINK("https://d33htgqikc2pj4.cloudfront.net/qvHDimMUqxZcQnsj/bd85f97f-8446-4549-8cd4-55327d55b0a4.jpeg", "Алексей Бирюков: Ссылка на изображение")</f>
        <v>Алексей Бирюков: Ссылка на изображение</v>
      </c>
      <c r="EK481" t="s">
        <v>2965</v>
      </c>
      <c r="EL481" t="str">
        <f>HYPERLINK("https://d33htgqikc2pj4.cloudfront.net/qvHDimMUqxZcQnsj/833b285f-1669-436f-82be-54f99d0957c6.jpeg", "Алексей Бирюков: Ссылка на изображение")</f>
        <v>Алексей Бирюков: Ссылка на изображение</v>
      </c>
      <c r="EM481" t="str">
        <f>HYPERLINK("https://d33htgqikc2pj4.cloudfront.net/qvHDimMUqxZcQnsj/9a15cafe-c02f-46f6-8fe8-753c843aa195.jpeg", "Алексей Бирюков: Ссылка на изображение")</f>
        <v>Алексей Бирюков: Ссылка на изображение</v>
      </c>
      <c r="EN481" t="str">
        <f>HYPERLINK("https://d33htgqikc2pj4.cloudfront.net/qvHDimMUqxZcQnsj/eb10598d-f21b-4813-bb8c-d3510bbe1363.jpeg", "Алексей Бирюков: Ссылка на изображение")</f>
        <v>Алексей Бирюков: Ссылка на изображение</v>
      </c>
      <c r="EO481" t="str">
        <f>HYPERLINK("https://d33htgqikc2pj4.cloudfront.net/qvHDimMUqxZcQnsj/c16f03ee-c9d3-4cec-aed4-6b19d5845c49.jpeg", "Алексей Бирюков: Ссылка на изображение")</f>
        <v>Алексей Бирюков: Ссылка на изображение</v>
      </c>
      <c r="EP481" t="str">
        <f>HYPERLINK("https://d33htgqikc2pj4.cloudfront.net/qvHDimMUqxZcQnsj/f41fbf6f-6383-4fb6-90c3-964361a760fc.jpeg", "Алексей Бирюков: Ссылка на изображение")</f>
        <v>Алексей Бирюков: Ссылка на изображение</v>
      </c>
      <c r="EQ481" t="str">
        <f>HYPERLINK("https://d33htgqikc2pj4.cloudfront.net/qvHDimMUqxZcQnsj/7fdc9d9e-4ef7-4bef-833b-1758eef8917f.jpeg", "Алексей Бирюков: Ссылка на изображение")</f>
        <v>Алексей Бирюков: Ссылка на изображение</v>
      </c>
      <c r="ER481" t="s">
        <v>1902</v>
      </c>
      <c r="ES481" t="s">
        <v>1899</v>
      </c>
    </row>
    <row r="482" spans="1:158" ht="15" customHeight="1" x14ac:dyDescent="0.35">
      <c r="A482">
        <v>522</v>
      </c>
      <c r="B482" t="s">
        <v>2966</v>
      </c>
      <c r="C482">
        <v>3</v>
      </c>
      <c r="D482" t="str">
        <f>VLOOKUP(source[[#This Row],[Приоритет]],тПриоритеты[],2,0)</f>
        <v>Малозначительное</v>
      </c>
      <c r="E482" t="str">
        <f>IF(ISBLANK(source[[#This Row],[Проверенные]]),IF(ISBLANK(source[[#This Row],[Завершенные]]),source[[#This Row],[Приоритет_]],"Завершено"),"Проверено")</f>
        <v>Проверено</v>
      </c>
      <c r="F482" t="s">
        <v>2870</v>
      </c>
      <c r="G482" t="s">
        <v>2926</v>
      </c>
      <c r="H482" t="e">
        <f>VLOOKUP(source[[#This Row],[Отвественный]],тОтветственные[],2,0)</f>
        <v>#N/A</v>
      </c>
      <c r="I482" s="2">
        <v>43802</v>
      </c>
      <c r="J482" s="2">
        <v>43802</v>
      </c>
      <c r="S482" s="1">
        <v>43802.766296296293</v>
      </c>
      <c r="T482" s="1">
        <v>43819.956979166665</v>
      </c>
      <c r="U482" s="1">
        <v>43819.956979166665</v>
      </c>
      <c r="W482" s="1">
        <v>43819.956979166665</v>
      </c>
      <c r="X482" t="s">
        <v>2967</v>
      </c>
      <c r="AH482" t="s">
        <v>2968</v>
      </c>
      <c r="AI482" t="s">
        <v>2969</v>
      </c>
      <c r="AJ482" t="s">
        <v>2970</v>
      </c>
      <c r="AK482" t="s">
        <v>2971</v>
      </c>
      <c r="AL482" t="s">
        <v>2972</v>
      </c>
      <c r="AM482" t="s">
        <v>2973</v>
      </c>
      <c r="AN482" t="s">
        <v>2974</v>
      </c>
      <c r="AO482" t="s">
        <v>2975</v>
      </c>
      <c r="EC482" t="s">
        <v>2976</v>
      </c>
      <c r="ED482" t="s">
        <v>2939</v>
      </c>
      <c r="EE482" t="s">
        <v>1999</v>
      </c>
      <c r="EF482" t="s">
        <v>1902</v>
      </c>
      <c r="EG482" t="s">
        <v>1899</v>
      </c>
      <c r="EH482" t="s">
        <v>836</v>
      </c>
      <c r="EI482" t="s">
        <v>2977</v>
      </c>
      <c r="EJ482" t="s">
        <v>1899</v>
      </c>
      <c r="EK482" t="s">
        <v>2978</v>
      </c>
      <c r="EL482" t="s">
        <v>1902</v>
      </c>
      <c r="EM482" t="s">
        <v>2977</v>
      </c>
      <c r="EN482" t="s">
        <v>1899</v>
      </c>
    </row>
    <row r="483" spans="1:158" ht="15" customHeight="1" x14ac:dyDescent="0.35">
      <c r="A483">
        <v>424</v>
      </c>
      <c r="B483" t="s">
        <v>2979</v>
      </c>
      <c r="C483">
        <v>1</v>
      </c>
      <c r="D483" t="str">
        <f>VLOOKUP(source[[#This Row],[Приоритет]],тПриоритеты[],2,0)</f>
        <v>КРИТИЧЕСКОЕ</v>
      </c>
      <c r="E483" t="str">
        <f>IF(ISBLANK(source[[#This Row],[Проверенные]]),IF(ISBLANK(source[[#This Row],[Завершенные]]),source[[#This Row],[Приоритет_]],"Завершено"),"Проверено")</f>
        <v>Проверено</v>
      </c>
      <c r="F483" t="s">
        <v>2870</v>
      </c>
      <c r="G483" t="s">
        <v>2926</v>
      </c>
      <c r="H483" t="e">
        <f>VLOOKUP(source[[#This Row],[Отвественный]],тОтветственные[],2,0)</f>
        <v>#N/A</v>
      </c>
      <c r="I483" s="2">
        <v>43794</v>
      </c>
      <c r="J483" s="2">
        <v>43794</v>
      </c>
      <c r="S483" s="1">
        <v>43794.412754629629</v>
      </c>
      <c r="T483" s="1">
        <v>43819.957303240742</v>
      </c>
      <c r="U483" s="1">
        <v>43819.957303240742</v>
      </c>
      <c r="W483" s="1">
        <v>43819.957303240742</v>
      </c>
      <c r="X483" t="s">
        <v>2606</v>
      </c>
      <c r="AH483" t="s">
        <v>2980</v>
      </c>
      <c r="AI483" t="s">
        <v>2981</v>
      </c>
      <c r="AJ483" t="s">
        <v>2982</v>
      </c>
      <c r="AK483" t="s">
        <v>2983</v>
      </c>
      <c r="AL483" t="s">
        <v>2984</v>
      </c>
      <c r="AM483" t="s">
        <v>2985</v>
      </c>
      <c r="AN483" t="s">
        <v>2986</v>
      </c>
      <c r="AO483" t="s">
        <v>2987</v>
      </c>
      <c r="EC483" t="s">
        <v>2988</v>
      </c>
      <c r="ED483" t="s">
        <v>2989</v>
      </c>
      <c r="EE483" t="str">
        <f>HYPERLINK("https://d33htgqikc2pj4.cloudfront.net/18227e47-aeca-4def-b342-b316f56df76e.jpeg", "Алексей Бирюков: Ссылка на изображение")</f>
        <v>Алексей Бирюков: Ссылка на изображение</v>
      </c>
      <c r="EF483" t="str">
        <f>HYPERLINK("https://d33htgqikc2pj4.cloudfront.net/7aade57e-9626-4f47-a0ba-1716bbae9375.jpeg", "Алексей Бирюков: Ссылка на изображение")</f>
        <v>Алексей Бирюков: Ссылка на изображение</v>
      </c>
      <c r="EG483" t="str">
        <f>HYPERLINK("https://d33htgqikc2pj4.cloudfront.net/8083fe13-c5f9-4e3f-9840-940b9b45972d.jpeg", "Алексей Бирюков: Ссылка на изображение")</f>
        <v>Алексей Бирюков: Ссылка на изображение</v>
      </c>
      <c r="EH483" t="s">
        <v>2939</v>
      </c>
      <c r="EI483" t="s">
        <v>1902</v>
      </c>
      <c r="EJ483" t="s">
        <v>1899</v>
      </c>
      <c r="EK483" t="s">
        <v>836</v>
      </c>
      <c r="EL483" t="s">
        <v>2977</v>
      </c>
      <c r="EM483" t="s">
        <v>1899</v>
      </c>
      <c r="EN483" t="s">
        <v>1902</v>
      </c>
      <c r="EO483" t="s">
        <v>2977</v>
      </c>
      <c r="EP483" t="s">
        <v>2978</v>
      </c>
      <c r="EQ483" t="s">
        <v>2977</v>
      </c>
      <c r="ER483" t="s">
        <v>1902</v>
      </c>
      <c r="ES483" t="s">
        <v>2977</v>
      </c>
      <c r="ET483" t="s">
        <v>1902</v>
      </c>
      <c r="EU483" t="s">
        <v>2977</v>
      </c>
      <c r="EV483" t="s">
        <v>2990</v>
      </c>
      <c r="EW483" t="s">
        <v>1899</v>
      </c>
    </row>
    <row r="484" spans="1:158" ht="15" customHeight="1" x14ac:dyDescent="0.35">
      <c r="A484">
        <v>697</v>
      </c>
      <c r="B484" t="s">
        <v>2991</v>
      </c>
      <c r="C484">
        <v>2</v>
      </c>
      <c r="D484" t="str">
        <f>VLOOKUP(source[[#This Row],[Приоритет]],тПриоритеты[],2,0)</f>
        <v>Значительное</v>
      </c>
      <c r="E484" t="str">
        <f>IF(ISBLANK(source[[#This Row],[Проверенные]]),IF(ISBLANK(source[[#This Row],[Завершенные]]),source[[#This Row],[Приоритет_]],"Завершено"),"Проверено")</f>
        <v>Проверено</v>
      </c>
      <c r="F484" t="s">
        <v>2870</v>
      </c>
      <c r="G484" t="s">
        <v>2926</v>
      </c>
      <c r="H484" t="e">
        <f>VLOOKUP(source[[#This Row],[Отвественный]],тОтветственные[],2,0)</f>
        <v>#N/A</v>
      </c>
      <c r="I484" s="2">
        <v>43819</v>
      </c>
      <c r="J484" s="2">
        <v>43819</v>
      </c>
      <c r="S484" s="1">
        <v>43820.230810185189</v>
      </c>
      <c r="T484" s="1">
        <v>43820.236875000002</v>
      </c>
      <c r="U484" s="1">
        <v>43820.236875000002</v>
      </c>
      <c r="W484" s="1">
        <v>43820.236886574072</v>
      </c>
      <c r="X484" t="s">
        <v>461</v>
      </c>
      <c r="AH484" t="s">
        <v>2952</v>
      </c>
      <c r="AI484" s="3" t="s">
        <v>2953</v>
      </c>
      <c r="AJ484" s="3" t="s">
        <v>2954</v>
      </c>
      <c r="AK484" t="s">
        <v>2955</v>
      </c>
      <c r="AL484" t="s">
        <v>2956</v>
      </c>
      <c r="AM484" t="s">
        <v>2957</v>
      </c>
      <c r="AN484" t="s">
        <v>2958</v>
      </c>
      <c r="AO484" t="s">
        <v>2959</v>
      </c>
      <c r="AP484" t="s">
        <v>2960</v>
      </c>
      <c r="AQ484" t="s">
        <v>2961</v>
      </c>
      <c r="AR484" t="s">
        <v>2962</v>
      </c>
      <c r="EC484" t="s">
        <v>2992</v>
      </c>
      <c r="ED484" t="s">
        <v>2939</v>
      </c>
      <c r="EE484" t="s">
        <v>2964</v>
      </c>
      <c r="EF484" t="str">
        <f>HYPERLINK("https://d33htgqikc2pj4.cloudfront.net/qvHDimMUqxZcQnsj/054cfd46-bc83-4527-928c-5b2c4a9ae463.jpeg", "Алексей Бирюков: Ссылка на изображение")</f>
        <v>Алексей Бирюков: Ссылка на изображение</v>
      </c>
      <c r="EG484" t="str">
        <f>HYPERLINK("https://d33htgqikc2pj4.cloudfront.net/qvHDimMUqxZcQnsj/b4caad33-36f0-4411-9332-8a2a4de7707d.jpeg", "Алексей Бирюков: Ссылка на изображение")</f>
        <v>Алексей Бирюков: Ссылка на изображение</v>
      </c>
      <c r="EH484" t="str">
        <f>HYPERLINK("https://d33htgqikc2pj4.cloudfront.net/qvHDimMUqxZcQnsj/447e626d-72d1-447e-8f0b-456995f67021.jpeg", "Алексей Бирюков: Ссылка на изображение")</f>
        <v>Алексей Бирюков: Ссылка на изображение</v>
      </c>
      <c r="EI484" t="str">
        <f>HYPERLINK("https://d33htgqikc2pj4.cloudfront.net/qvHDimMUqxZcQnsj/ad3eda44-4a76-4592-916e-d8f13b272462.jpeg", "Алексей Бирюков: Ссылка на изображение")</f>
        <v>Алексей Бирюков: Ссылка на изображение</v>
      </c>
      <c r="EJ484" t="s">
        <v>2993</v>
      </c>
      <c r="EK484" t="s">
        <v>2993</v>
      </c>
      <c r="EL484" t="s">
        <v>2993</v>
      </c>
      <c r="EM484" t="s">
        <v>2994</v>
      </c>
      <c r="EN484" t="s">
        <v>1899</v>
      </c>
    </row>
    <row r="485" spans="1:158" ht="15" customHeight="1" x14ac:dyDescent="0.35">
      <c r="A485">
        <v>409</v>
      </c>
      <c r="B485" t="s">
        <v>2995</v>
      </c>
      <c r="C485">
        <v>1</v>
      </c>
      <c r="D485" t="str">
        <f>VLOOKUP(source[[#This Row],[Приоритет]],тПриоритеты[],2,0)</f>
        <v>КРИТИЧЕСКОЕ</v>
      </c>
      <c r="E485" t="str">
        <f>IF(ISBLANK(source[[#This Row],[Проверенные]]),IF(ISBLANK(source[[#This Row],[Завершенные]]),source[[#This Row],[Приоритет_]],"Завершено"),"Проверено")</f>
        <v>Проверено</v>
      </c>
      <c r="F485" t="s">
        <v>2870</v>
      </c>
      <c r="G485" t="s">
        <v>2926</v>
      </c>
      <c r="H485" t="e">
        <f>VLOOKUP(source[[#This Row],[Отвественный]],тОтветственные[],2,0)</f>
        <v>#N/A</v>
      </c>
      <c r="I485" s="2">
        <v>43792</v>
      </c>
      <c r="J485" s="2">
        <v>43792</v>
      </c>
      <c r="S485" s="1">
        <v>43792.278449074074</v>
      </c>
      <c r="T485" s="1">
        <v>43819.957858796297</v>
      </c>
      <c r="U485" s="1">
        <v>43819.957858796297</v>
      </c>
      <c r="W485" s="1">
        <v>43819.957858796297</v>
      </c>
      <c r="X485" t="s">
        <v>2606</v>
      </c>
      <c r="AH485" t="s">
        <v>2996</v>
      </c>
      <c r="AI485" t="s">
        <v>2997</v>
      </c>
      <c r="AJ485" t="s">
        <v>2998</v>
      </c>
      <c r="AK485" t="s">
        <v>2999</v>
      </c>
      <c r="AL485" t="s">
        <v>3000</v>
      </c>
      <c r="AM485" t="s">
        <v>3001</v>
      </c>
      <c r="AN485" t="s">
        <v>3002</v>
      </c>
      <c r="AO485" t="s">
        <v>3003</v>
      </c>
      <c r="EC485" t="s">
        <v>3004</v>
      </c>
      <c r="ED485" t="s">
        <v>3005</v>
      </c>
      <c r="EE485" t="s">
        <v>2617</v>
      </c>
      <c r="EF485" t="str">
        <f>HYPERLINK("https://d33htgqikc2pj4.cloudfront.net/c48e304d-5d7a-4481-8de6-b9fb3337f1e0.jpeg", "Алексей Бирюков: Ссылка на изображение")</f>
        <v>Алексей Бирюков: Ссылка на изображение</v>
      </c>
      <c r="EG485" t="str">
        <f>HYPERLINK("https://d33htgqikc2pj4.cloudfront.net/16c4fea2-fede-4e1a-96e7-52c0652c44f0.jpeg", "Алексей Бирюков: Ссылка на изображение")</f>
        <v>Алексей Бирюков: Ссылка на изображение</v>
      </c>
      <c r="EH485" t="str">
        <f>HYPERLINK("https://d33htgqikc2pj4.cloudfront.net/82654c97-486a-4b1c-a8eb-173a6527688a.jpeg", "Алексей Бирюков: Ссылка на изображение")</f>
        <v>Алексей Бирюков: Ссылка на изображение</v>
      </c>
      <c r="EI485" t="str">
        <f>HYPERLINK("https://d33htgqikc2pj4.cloudfront.net/e17d3497-6f1c-4e4f-84a5-8216ca2a45b0.jpeg", "Алексей Бирюков: Ссылка на изображение")</f>
        <v>Алексей Бирюков: Ссылка на изображение</v>
      </c>
      <c r="EJ485" t="str">
        <f>HYPERLINK("https://d33htgqikc2pj4.cloudfront.net/16a2dad6-154f-4556-8890-73374e1a54f6.jpeg", "Алексей Бирюков: Ссылка на изображение")</f>
        <v>Алексей Бирюков: Ссылка на изображение</v>
      </c>
      <c r="EK485" t="s">
        <v>3006</v>
      </c>
      <c r="EL485" t="s">
        <v>3007</v>
      </c>
      <c r="EM485" t="str">
        <f>HYPERLINK("https://d33htgqikc2pj4.cloudfront.net/05e93056-e1ea-4bf8-a24b-e345bf541541.jpeg", "Алексей Бирюков: Ссылка на изображение")</f>
        <v>Алексей Бирюков: Ссылка на изображение</v>
      </c>
      <c r="EN485" t="s">
        <v>3008</v>
      </c>
      <c r="EO485" t="s">
        <v>2939</v>
      </c>
      <c r="EP485" t="s">
        <v>1900</v>
      </c>
      <c r="EQ485" t="s">
        <v>3009</v>
      </c>
      <c r="ER485" t="s">
        <v>1703</v>
      </c>
      <c r="ES485" t="s">
        <v>1899</v>
      </c>
      <c r="ET485" t="s">
        <v>836</v>
      </c>
      <c r="EU485" t="s">
        <v>2978</v>
      </c>
      <c r="EV485" t="s">
        <v>1899</v>
      </c>
      <c r="EW485" t="s">
        <v>2978</v>
      </c>
      <c r="EX485" t="s">
        <v>2977</v>
      </c>
      <c r="EY485" t="s">
        <v>2990</v>
      </c>
      <c r="EZ485" t="s">
        <v>1899</v>
      </c>
      <c r="FA485" t="s">
        <v>2990</v>
      </c>
      <c r="FB485" t="s">
        <v>1899</v>
      </c>
    </row>
    <row r="486" spans="1:158" ht="15" customHeight="1" x14ac:dyDescent="0.35">
      <c r="A486">
        <v>753</v>
      </c>
      <c r="B486" t="s">
        <v>3010</v>
      </c>
      <c r="C486">
        <v>2</v>
      </c>
      <c r="D486" t="str">
        <f>VLOOKUP(source[[#This Row],[Приоритет]],тПриоритеты[],2,0)</f>
        <v>Значительное</v>
      </c>
      <c r="E486" t="str">
        <f>IF(ISBLANK(source[[#This Row],[Проверенные]]),IF(ISBLANK(source[[#This Row],[Завершенные]]),source[[#This Row],[Приоритет_]],"Завершено"),"Проверено")</f>
        <v>Проверено</v>
      </c>
      <c r="F486" t="s">
        <v>2870</v>
      </c>
      <c r="G486" t="s">
        <v>2926</v>
      </c>
      <c r="H486" t="e">
        <f>VLOOKUP(source[[#This Row],[Отвественный]],тОтветственные[],2,0)</f>
        <v>#N/A</v>
      </c>
      <c r="I486" s="2">
        <v>43822</v>
      </c>
      <c r="J486" s="2">
        <v>43822</v>
      </c>
      <c r="S486" s="1">
        <v>43822.995798611111</v>
      </c>
      <c r="T486" s="1">
        <v>43823.011261574073</v>
      </c>
      <c r="U486" s="1">
        <v>43823.011261574073</v>
      </c>
      <c r="W486" s="1">
        <v>43823.011261574073</v>
      </c>
      <c r="X486" t="s">
        <v>461</v>
      </c>
      <c r="AH486" t="s">
        <v>3011</v>
      </c>
      <c r="AI486" s="3" t="s">
        <v>3012</v>
      </c>
      <c r="AJ486" s="3" t="s">
        <v>3013</v>
      </c>
      <c r="AK486" t="s">
        <v>3014</v>
      </c>
      <c r="AL486" t="s">
        <v>3015</v>
      </c>
      <c r="AM486" t="s">
        <v>3016</v>
      </c>
      <c r="AN486" t="s">
        <v>3017</v>
      </c>
      <c r="AO486" t="s">
        <v>3018</v>
      </c>
      <c r="AP486" t="s">
        <v>3019</v>
      </c>
      <c r="AQ486" t="s">
        <v>3020</v>
      </c>
      <c r="AR486" t="s">
        <v>3021</v>
      </c>
      <c r="EC486" t="s">
        <v>3022</v>
      </c>
      <c r="ED486" t="s">
        <v>3023</v>
      </c>
      <c r="EE486" t="s">
        <v>2617</v>
      </c>
      <c r="EF486" t="s">
        <v>2939</v>
      </c>
      <c r="EG486" t="s">
        <v>1902</v>
      </c>
      <c r="EH486" t="s">
        <v>1899</v>
      </c>
      <c r="EI486" t="str">
        <f>HYPERLINK("https://d33htgqikc2pj4.cloudfront.net/qvHDimMUqxZcQnsj/040cca9a-87dd-41ed-a60c-fc98496866bb.jpeg", "Алексей Бирюков: Ссылка на изображение")</f>
        <v>Алексей Бирюков: Ссылка на изображение</v>
      </c>
      <c r="EJ486" t="str">
        <f>HYPERLINK("https://d33htgqikc2pj4.cloudfront.net/qvHDimMUqxZcQnsj/035ed1e5-8773-408c-bffa-dc2f1d53149d.jpeg", "Алексей Бирюков: Ссылка на изображение")</f>
        <v>Алексей Бирюков: Ссылка на изображение</v>
      </c>
      <c r="EK486" t="str">
        <f>HYPERLINK("https://d33htgqikc2pj4.cloudfront.net/qvHDimMUqxZcQnsj/b2cfa87b-2906-4df5-b5b7-ad544bd4eb10.jpeg", "Алексей Бирюков: Ссылка на изображение")</f>
        <v>Алексей Бирюков: Ссылка на изображение</v>
      </c>
      <c r="EL486" t="str">
        <f>HYPERLINK("https://d33htgqikc2pj4.cloudfront.net/qvHDimMUqxZcQnsj/3f6b8b66-e4b3-4551-9c23-3bf05b767ef5.jpeg", "Алексей Бирюков: Ссылка на изображение")</f>
        <v>Алексей Бирюков: Ссылка на изображение</v>
      </c>
      <c r="EM486" t="str">
        <f>HYPERLINK("https://d33htgqikc2pj4.cloudfront.net/qvHDimMUqxZcQnsj/f6ce867f-d60b-4e72-a52a-190d292b9c67.jpeg", "Алексей Бирюков: Ссылка на изображение")</f>
        <v>Алексей Бирюков: Ссылка на изображение</v>
      </c>
      <c r="EN486" t="str">
        <f>HYPERLINK("https://d33htgqikc2pj4.cloudfront.net/qvHDimMUqxZcQnsj/00efa70b-57c7-4972-90c6-e56c868a269c.jpeg", "Алексей Бирюков: Ссылка на изображение")</f>
        <v>Алексей Бирюков: Ссылка на изображение</v>
      </c>
      <c r="EO486" t="str">
        <f>HYPERLINK("https://d33htgqikc2pj4.cloudfront.net/qvHDimMUqxZcQnsj/2a8d3585-3a67-4b81-b53f-f023cb0eaa2e.jpeg", "Алексей Бирюков: Ссылка на изображение")</f>
        <v>Алексей Бирюков: Ссылка на изображение</v>
      </c>
    </row>
    <row r="487" spans="1:158" ht="15" customHeight="1" x14ac:dyDescent="0.35">
      <c r="A487">
        <v>770</v>
      </c>
      <c r="B487" t="s">
        <v>3024</v>
      </c>
      <c r="C487">
        <v>2</v>
      </c>
      <c r="D487" t="str">
        <f>VLOOKUP(source[[#This Row],[Приоритет]],тПриоритеты[],2,0)</f>
        <v>Значительное</v>
      </c>
      <c r="E487" t="str">
        <f>IF(ISBLANK(source[[#This Row],[Проверенные]]),IF(ISBLANK(source[[#This Row],[Завершенные]]),source[[#This Row],[Приоритет_]],"Завершено"),"Проверено")</f>
        <v>Проверено</v>
      </c>
      <c r="F487" t="s">
        <v>2870</v>
      </c>
      <c r="G487" t="s">
        <v>2926</v>
      </c>
      <c r="H487" t="e">
        <f>VLOOKUP(source[[#This Row],[Отвественный]],тОтветственные[],2,0)</f>
        <v>#N/A</v>
      </c>
      <c r="I487" s="2">
        <v>43824</v>
      </c>
      <c r="J487" s="2">
        <v>43824</v>
      </c>
      <c r="S487" s="1">
        <v>43824.277569444443</v>
      </c>
      <c r="T487" s="1">
        <v>43824.277789351851</v>
      </c>
      <c r="U487" s="1">
        <v>43824.277789351851</v>
      </c>
      <c r="W487" s="1">
        <v>43824.277812499997</v>
      </c>
      <c r="EC487" t="s">
        <v>3025</v>
      </c>
      <c r="ED487" t="s">
        <v>3026</v>
      </c>
      <c r="EE487" t="s">
        <v>2617</v>
      </c>
      <c r="EF487" t="str">
        <f>HYPERLINK("https://d33htgqikc2pj4.cloudfront.net/qvHDimMUqxZcQnsj/f3468e28-704f-4f34-883c-e1bef54454b7.jpeg", "Алексей Бирюков: Ссылка на изображение")</f>
        <v>Алексей Бирюков: Ссылка на изображение</v>
      </c>
      <c r="EG487" t="str">
        <f>HYPERLINK("https://d33htgqikc2pj4.cloudfront.net/qvHDimMUqxZcQnsj/7b2f7f14-24c1-4d48-9caa-70d428003e42.jpeg", "Алексей Бирюков: Ссылка на изображение")</f>
        <v>Алексей Бирюков: Ссылка на изображение</v>
      </c>
      <c r="EH487" t="str">
        <f>HYPERLINK("https://d33htgqikc2pj4.cloudfront.net/qvHDimMUqxZcQnsj/4b3b1907-e78a-4deb-b317-e1d96194b085.jpeg", "Алексей Бирюков: Ссылка на изображение")</f>
        <v>Алексей Бирюков: Ссылка на изображение</v>
      </c>
      <c r="EI487" t="s">
        <v>2939</v>
      </c>
      <c r="EJ487" t="s">
        <v>1902</v>
      </c>
      <c r="EK487" t="s">
        <v>1899</v>
      </c>
    </row>
    <row r="488" spans="1:158" ht="15" customHeight="1" x14ac:dyDescent="0.35">
      <c r="A488">
        <v>811</v>
      </c>
      <c r="B488" t="s">
        <v>3027</v>
      </c>
      <c r="C488">
        <v>3</v>
      </c>
      <c r="D488" t="str">
        <f>VLOOKUP(source[[#This Row],[Приоритет]],тПриоритеты[],2,0)</f>
        <v>Малозначительное</v>
      </c>
      <c r="E488" t="str">
        <f>IF(ISBLANK(source[[#This Row],[Проверенные]]),IF(ISBLANK(source[[#This Row],[Завершенные]]),source[[#This Row],[Приоритет_]],"Завершено"),"Проверено")</f>
        <v>Проверено</v>
      </c>
      <c r="F488" t="s">
        <v>2870</v>
      </c>
      <c r="G488" t="s">
        <v>2926</v>
      </c>
      <c r="H488" t="e">
        <f>VLOOKUP(source[[#This Row],[Отвественный]],тОтветственные[],2,0)</f>
        <v>#N/A</v>
      </c>
      <c r="I488" s="2">
        <v>43826</v>
      </c>
      <c r="J488" s="2">
        <v>43826</v>
      </c>
      <c r="S488" s="1">
        <v>43826.672777777778</v>
      </c>
      <c r="T488" s="1">
        <v>43826.747928240744</v>
      </c>
      <c r="U488" s="1">
        <v>43826.747928240744</v>
      </c>
      <c r="W488" s="1">
        <v>43826.747939814813</v>
      </c>
      <c r="X488" t="s">
        <v>2941</v>
      </c>
      <c r="AH488" t="s">
        <v>3028</v>
      </c>
      <c r="AI488" t="s">
        <v>3029</v>
      </c>
      <c r="AJ488" t="s">
        <v>3030</v>
      </c>
      <c r="AK488" t="s">
        <v>3031</v>
      </c>
      <c r="EC488" t="s">
        <v>3032</v>
      </c>
      <c r="ED488" t="s">
        <v>3033</v>
      </c>
      <c r="EE488" t="s">
        <v>2939</v>
      </c>
      <c r="EF488" t="s">
        <v>2977</v>
      </c>
      <c r="EG488" t="str">
        <f>HYPERLINK("https://d33htgqikc2pj4.cloudfront.net/qvHDimMUqxZcQnsj/f0115fe1-31d0-42d4-be89-7217f94c6468.jpeg", "Алексей Бирюков: Ссылка на изображение")</f>
        <v>Алексей Бирюков: Ссылка на изображение</v>
      </c>
      <c r="EH488" t="str">
        <f>HYPERLINK("https://d33htgqikc2pj4.cloudfront.net/qvHDimMUqxZcQnsj/ab02f9f4-4985-4569-a2d1-b559ad240a16.jpeg", "Алексей Бирюков: Ссылка на изображение")</f>
        <v>Алексей Бирюков: Ссылка на изображение</v>
      </c>
      <c r="EI488" t="str">
        <f>HYPERLINK("https://d33htgqikc2pj4.cloudfront.net/qvHDimMUqxZcQnsj/52dfac56-2fc0-4852-8b21-37affd69b664.jpeg", "Алексей Бирюков: Ссылка на изображение")</f>
        <v>Алексей Бирюков: Ссылка на изображение</v>
      </c>
      <c r="EJ488" t="s">
        <v>3034</v>
      </c>
      <c r="EK488" t="str">
        <f>HYPERLINK("https://d33htgqikc2pj4.cloudfront.net/qvHDimMUqxZcQnsj/0b0cd414-dbef-4c2c-bf4b-726c31e6cdab.jpeg", "Алексей Бирюков: Ссылка на изображение")</f>
        <v>Алексей Бирюков: Ссылка на изображение</v>
      </c>
      <c r="EL488" t="str">
        <f>HYPERLINK("https://d33htgqikc2pj4.cloudfront.net/qvHDimMUqxZcQnsj/34d66272-fb7f-461d-9022-a5d23eb258f5.jpeg", "Алексей Бирюков: Ссылка на изображение")</f>
        <v>Алексей Бирюков: Ссылка на изображение</v>
      </c>
      <c r="EM488" t="s">
        <v>1902</v>
      </c>
      <c r="EN488" t="s">
        <v>1899</v>
      </c>
    </row>
    <row r="489" spans="1:158" ht="15" customHeight="1" x14ac:dyDescent="0.35">
      <c r="A489">
        <v>915</v>
      </c>
      <c r="B489" t="s">
        <v>3035</v>
      </c>
      <c r="C489">
        <v>2</v>
      </c>
      <c r="D489" t="str">
        <f>VLOOKUP(source[[#This Row],[Приоритет]],тПриоритеты[],2,0)</f>
        <v>Значительное</v>
      </c>
      <c r="E489" t="str">
        <f>IF(ISBLANK(source[[#This Row],[Проверенные]]),IF(ISBLANK(source[[#This Row],[Завершенные]]),source[[#This Row],[Приоритет_]],"Завершено"),"Проверено")</f>
        <v>Проверено</v>
      </c>
      <c r="F489" t="s">
        <v>2870</v>
      </c>
      <c r="G489" t="s">
        <v>2926</v>
      </c>
      <c r="H489" t="e">
        <f>VLOOKUP(source[[#This Row],[Отвественный]],тОтветственные[],2,0)</f>
        <v>#N/A</v>
      </c>
      <c r="I489" s="2">
        <v>43844</v>
      </c>
      <c r="J489" s="2">
        <v>43845</v>
      </c>
      <c r="S489" s="1">
        <v>43845.106759259259</v>
      </c>
      <c r="T489" s="1">
        <v>43845.107141203705</v>
      </c>
      <c r="U489" s="1">
        <v>43845.107141203705</v>
      </c>
      <c r="W489" s="1">
        <v>43845.107141203705</v>
      </c>
      <c r="X489" t="s">
        <v>2941</v>
      </c>
      <c r="AH489" t="s">
        <v>3036</v>
      </c>
      <c r="AI489" t="s">
        <v>3037</v>
      </c>
      <c r="AJ489" t="s">
        <v>3038</v>
      </c>
      <c r="AK489" t="s">
        <v>3039</v>
      </c>
      <c r="EC489" t="s">
        <v>3040</v>
      </c>
      <c r="ED489" t="s">
        <v>2939</v>
      </c>
      <c r="EE489" t="s">
        <v>3041</v>
      </c>
      <c r="EF489" t="s">
        <v>3042</v>
      </c>
      <c r="EG489" t="str">
        <f>HYPERLINK("https://d33htgqikc2pj4.cloudfront.net/qvHDimMUqxZcQnsj/292eef9b-0cf3-4017-995d-5e0dce3f9587.jpeg", "Алексей Бирюков: Ссылка на изображение")</f>
        <v>Алексей Бирюков: Ссылка на изображение</v>
      </c>
      <c r="EH489" t="str">
        <f>HYPERLINK("https://d33htgqikc2pj4.cloudfront.net/qvHDimMUqxZcQnsj/f6581612-23c5-40a9-bc59-7eb04c194e3a.jpeg", "Алексей Бирюков: Ссылка на изображение")</f>
        <v>Алексей Бирюков: Ссылка на изображение</v>
      </c>
      <c r="EI489" t="str">
        <f>HYPERLINK("https://d33htgqikc2pj4.cloudfront.net/qvHDimMUqxZcQnsj/122d45cd-69c4-45ec-b77a-35981a113b1c.jpeg", "Алексей Бирюков: Ссылка на изображение")</f>
        <v>Алексей Бирюков: Ссылка на изображение</v>
      </c>
      <c r="EJ489" t="str">
        <f>HYPERLINK("https://d33htgqikc2pj4.cloudfront.net/qvHDimMUqxZcQnsj/94485763-3cac-47ec-8750-2422edc608c4.jpeg", "Алексей Бирюков: Ссылка на изображение")</f>
        <v>Алексей Бирюков: Ссылка на изображение</v>
      </c>
      <c r="EK489" t="str">
        <f>HYPERLINK("https://d33htgqikc2pj4.cloudfront.net/qvHDimMUqxZcQnsj/f66d631a-3765-43be-9a14-bd4ff52c8029.jpeg", "Алексей Бирюков: Ссылка на изображение")</f>
        <v>Алексей Бирюков: Ссылка на изображение</v>
      </c>
      <c r="EL489" t="str">
        <f>HYPERLINK("https://d33htgqikc2pj4.cloudfront.net/qvHDimMUqxZcQnsj/27440f24-f6b7-4d9f-a6c5-a16651050da2.jpeg", "Алексей Бирюков: Ссылка на изображение")</f>
        <v>Алексей Бирюков: Ссылка на изображение</v>
      </c>
      <c r="EM489" t="str">
        <f>HYPERLINK("https://d33htgqikc2pj4.cloudfront.net/qvHDimMUqxZcQnsj/00a66a86-77ee-4540-ada9-ff1da21cffa2.jpeg", "Алексей Бирюков: Ссылка на изображение")</f>
        <v>Алексей Бирюков: Ссылка на изображение</v>
      </c>
      <c r="EN489" t="s">
        <v>1899</v>
      </c>
    </row>
    <row r="490" spans="1:158" ht="15" customHeight="1" x14ac:dyDescent="0.35">
      <c r="A490">
        <v>818</v>
      </c>
      <c r="B490" t="s">
        <v>3043</v>
      </c>
      <c r="C490">
        <v>2</v>
      </c>
      <c r="D490" t="str">
        <f>VLOOKUP(source[[#This Row],[Приоритет]],тПриоритеты[],2,0)</f>
        <v>Значительное</v>
      </c>
      <c r="E490" t="str">
        <f>IF(ISBLANK(source[[#This Row],[Проверенные]]),IF(ISBLANK(source[[#This Row],[Завершенные]]),source[[#This Row],[Приоритет_]],"Завершено"),"Проверено")</f>
        <v>Проверено</v>
      </c>
      <c r="F490" t="s">
        <v>2870</v>
      </c>
      <c r="G490" t="s">
        <v>2926</v>
      </c>
      <c r="H490" t="e">
        <f>VLOOKUP(source[[#This Row],[Отвественный]],тОтветственные[],2,0)</f>
        <v>#N/A</v>
      </c>
      <c r="I490" s="2">
        <v>43827</v>
      </c>
      <c r="J490" s="2">
        <v>43827</v>
      </c>
      <c r="S490" s="1">
        <v>43827.684004629627</v>
      </c>
      <c r="T490" s="1">
        <v>43827.686412037037</v>
      </c>
      <c r="U490" s="1">
        <v>43827.686412037037</v>
      </c>
      <c r="W490" s="1">
        <v>43827.686469907407</v>
      </c>
      <c r="EC490" t="s">
        <v>3044</v>
      </c>
      <c r="ED490" t="str">
        <f>HYPERLINK("https://d33htgqikc2pj4.cloudfront.net/qvHDimMUqxZcQnsj/8dec68dd-9bcc-4336-967f-7683fcf44fa5.jpeg", "Алексей Бирюков: Ссылка на изображение")</f>
        <v>Алексей Бирюков: Ссылка на изображение</v>
      </c>
      <c r="EE490" t="str">
        <f>HYPERLINK("https://d33htgqikc2pj4.cloudfront.net/qvHDimMUqxZcQnsj/0417f44c-3cd0-4430-b1a4-66ed066c82fa.jpeg", "Алексей Бирюков: Ссылка на изображение")</f>
        <v>Алексей Бирюков: Ссылка на изображение</v>
      </c>
      <c r="EF490" t="s">
        <v>3045</v>
      </c>
      <c r="EG490" t="str">
        <f>HYPERLINK("https://d33htgqikc2pj4.cloudfront.net/qvHDimMUqxZcQnsj/89267026-8ce1-420f-9233-06c1c5c0ffc1.jpeg", "Алексей Бирюков: Ссылка на изображение")</f>
        <v>Алексей Бирюков: Ссылка на изображение</v>
      </c>
      <c r="EH490" t="str">
        <f>HYPERLINK("https://d33htgqikc2pj4.cloudfront.net/qvHDimMUqxZcQnsj/391a5926-b336-416d-ac92-5f581538d514.jpeg", "Алексей Бирюков: Ссылка на изображение")</f>
        <v>Алексей Бирюков: Ссылка на изображение</v>
      </c>
      <c r="EI490" t="str">
        <f>HYPERLINK("https://d33htgqikc2pj4.cloudfront.net/qvHDimMUqxZcQnsj/482d4830-0637-4b24-a434-94ca15929c6d.jpeg", "Алексей Бирюков: Ссылка на изображение")</f>
        <v>Алексей Бирюков: Ссылка на изображение</v>
      </c>
      <c r="EJ490" t="s">
        <v>3046</v>
      </c>
      <c r="EK490" t="s">
        <v>2939</v>
      </c>
      <c r="EL490" t="s">
        <v>1899</v>
      </c>
      <c r="EM490" t="s">
        <v>3047</v>
      </c>
    </row>
    <row r="491" spans="1:158" ht="15" customHeight="1" x14ac:dyDescent="0.35">
      <c r="A491">
        <v>527</v>
      </c>
      <c r="B491" t="s">
        <v>3048</v>
      </c>
      <c r="C491">
        <v>2</v>
      </c>
      <c r="D491" t="str">
        <f>VLOOKUP(source[[#This Row],[Приоритет]],тПриоритеты[],2,0)</f>
        <v>Значительное</v>
      </c>
      <c r="E491" t="str">
        <f>IF(ISBLANK(source[[#This Row],[Проверенные]]),IF(ISBLANK(source[[#This Row],[Завершенные]]),source[[#This Row],[Приоритет_]],"Завершено"),"Проверено")</f>
        <v>Проверено</v>
      </c>
      <c r="F491" t="s">
        <v>2870</v>
      </c>
      <c r="G491" t="s">
        <v>2926</v>
      </c>
      <c r="H491" t="e">
        <f>VLOOKUP(source[[#This Row],[Отвественный]],тОтветственные[],2,0)</f>
        <v>#N/A</v>
      </c>
      <c r="I491" s="2">
        <v>43803</v>
      </c>
      <c r="J491" s="2">
        <v>43803</v>
      </c>
      <c r="S491" s="1">
        <v>43803.401412037034</v>
      </c>
      <c r="T491" s="1">
        <v>43803.749027777776</v>
      </c>
      <c r="U491" s="1">
        <v>43811.740682870368</v>
      </c>
      <c r="W491" s="1">
        <v>43811.740694444445</v>
      </c>
      <c r="X491" t="s">
        <v>2606</v>
      </c>
      <c r="AH491" t="s">
        <v>3049</v>
      </c>
      <c r="AI491" t="s">
        <v>3050</v>
      </c>
      <c r="AJ491" t="s">
        <v>3051</v>
      </c>
      <c r="AK491" t="s">
        <v>3052</v>
      </c>
      <c r="AL491" t="s">
        <v>3053</v>
      </c>
      <c r="AM491" t="s">
        <v>3054</v>
      </c>
      <c r="AN491" t="s">
        <v>3055</v>
      </c>
      <c r="AO491" t="s">
        <v>3056</v>
      </c>
      <c r="EC491" t="s">
        <v>2617</v>
      </c>
      <c r="ED491" t="s">
        <v>3057</v>
      </c>
      <c r="EE491" t="s">
        <v>3058</v>
      </c>
      <c r="EF491" t="str">
        <f>HYPERLINK("https://d33htgqikc2pj4.cloudfront.net/qvHDimMUqxZcQnsj/ab574fac-e930-44ce-bc9c-1424f866c9a3.jpeg", "Алексей Бирюков: Ссылка на изображение")</f>
        <v>Алексей Бирюков: Ссылка на изображение</v>
      </c>
      <c r="EG491" t="str">
        <f>HYPERLINK("https://d33htgqikc2pj4.cloudfront.net/qvHDimMUqxZcQnsj/34e28b96-c650-4bfe-ab65-714de7d2523e.jpeg", "Алексей Бирюков: Ссылка на изображение")</f>
        <v>Алексей Бирюков: Ссылка на изображение</v>
      </c>
      <c r="EH491" t="str">
        <f>HYPERLINK("https://d33htgqikc2pj4.cloudfront.net/qvHDimMUqxZcQnsj/410b654e-e7ab-44c9-9aba-cd69539c7ad6.jpeg", "Алексей Бирюков: Ссылка на изображение")</f>
        <v>Алексей Бирюков: Ссылка на изображение</v>
      </c>
      <c r="EI491" t="str">
        <f>HYPERLINK("https://d33htgqikc2pj4.cloudfront.net/qvHDimMUqxZcQnsj/0e1495d1-f12b-4a9a-a2a3-a444eb409edd.jpeg", "Алексей Бирюков: Ссылка на изображение")</f>
        <v>Алексей Бирюков: Ссылка на изображение</v>
      </c>
      <c r="EJ491" t="str">
        <f>HYPERLINK("https://d33htgqikc2pj4.cloudfront.net/qvHDimMUqxZcQnsj/74c9be30-41c1-45ea-a347-3e0a09c25772.jpeg", "Алексей Бирюков: Ссылка на изображение")</f>
        <v>Алексей Бирюков: Ссылка на изображение</v>
      </c>
      <c r="EK491" t="s">
        <v>2939</v>
      </c>
      <c r="EL491" t="s">
        <v>1902</v>
      </c>
      <c r="EM491" t="s">
        <v>3059</v>
      </c>
      <c r="EN491" t="s">
        <v>1899</v>
      </c>
      <c r="EO491" t="s">
        <v>836</v>
      </c>
    </row>
    <row r="492" spans="1:158" ht="15" customHeight="1" x14ac:dyDescent="0.35">
      <c r="A492">
        <v>154</v>
      </c>
      <c r="B492" t="s">
        <v>3060</v>
      </c>
      <c r="C492">
        <v>2</v>
      </c>
      <c r="D492" t="str">
        <f>VLOOKUP(source[[#This Row],[Приоритет]],тПриоритеты[],2,0)</f>
        <v>Значительное</v>
      </c>
      <c r="E492" t="str">
        <f>IF(ISBLANK(source[[#This Row],[Проверенные]]),IF(ISBLANK(source[[#This Row],[Завершенные]]),source[[#This Row],[Приоритет_]],"Завершено"),"Проверено")</f>
        <v>Проверено</v>
      </c>
      <c r="F492" t="s">
        <v>2870</v>
      </c>
      <c r="G492" t="s">
        <v>2926</v>
      </c>
      <c r="H492" t="e">
        <f>VLOOKUP(source[[#This Row],[Отвественный]],тОтветственные[],2,0)</f>
        <v>#N/A</v>
      </c>
      <c r="I492" s="2">
        <v>43775</v>
      </c>
      <c r="J492" s="2">
        <v>43775</v>
      </c>
      <c r="O492">
        <v>4</v>
      </c>
      <c r="P492">
        <v>0</v>
      </c>
      <c r="S492" s="1">
        <v>43775.403784722221</v>
      </c>
      <c r="T492" s="1">
        <v>43791.170266203706</v>
      </c>
      <c r="U492" s="1">
        <v>43811.743414351855</v>
      </c>
      <c r="W492" s="1">
        <v>43811.743414351855</v>
      </c>
      <c r="AH492" t="s">
        <v>3061</v>
      </c>
      <c r="EC492" t="s">
        <v>3062</v>
      </c>
      <c r="ED492" t="s">
        <v>2617</v>
      </c>
      <c r="EE492" t="s">
        <v>2939</v>
      </c>
      <c r="EF492" t="s">
        <v>1896</v>
      </c>
      <c r="EG492" t="s">
        <v>3063</v>
      </c>
      <c r="EH492" t="s">
        <v>3064</v>
      </c>
      <c r="EI492" t="str">
        <f>HYPERLINK("https://d33htgqikc2pj4.cloudfront.net/58bacd9b-95a4-4912-a198-a70fa2277278.jpeg", "Алексей Бирюков: Ссылка на изображение")</f>
        <v>Алексей Бирюков: Ссылка на изображение</v>
      </c>
      <c r="EJ492" t="str">
        <f>HYPERLINK("https://d33htgqikc2pj4.cloudfront.net/3fc1e8c8-1ec5-473e-8558-ec0e3fc518d6.jpeg", "Алексей Бирюков: Ссылка на изображение")</f>
        <v>Алексей Бирюков: Ссылка на изображение</v>
      </c>
      <c r="EK492" t="str">
        <f>HYPERLINK("https://d33htgqikc2pj4.cloudfront.net/5ee64f02-667e-4682-a2a6-b6cbcf7721d0.jpeg", "Алексей Бирюков: Ссылка на изображение")</f>
        <v>Алексей Бирюков: Ссылка на изображение</v>
      </c>
      <c r="EL492" t="str">
        <f>HYPERLINK("https://d33htgqikc2pj4.cloudfront.net/f3372470-2dce-4d82-87f5-7898a8a20c92.jpeg", "Алексей Бирюков: Ссылка на изображение")</f>
        <v>Алексей Бирюков: Ссылка на изображение</v>
      </c>
      <c r="EM492" t="str">
        <f>HYPERLINK("https://d33htgqikc2pj4.cloudfront.net/8f8043bd-e333-4499-86b8-e50b81a3c500.jpeg", "Алексей Бирюков: Ссылка на изображение")</f>
        <v>Алексей Бирюков: Ссылка на изображение</v>
      </c>
      <c r="EN492" t="s">
        <v>3065</v>
      </c>
      <c r="EO492" t="s">
        <v>3066</v>
      </c>
      <c r="EP492" t="s">
        <v>1902</v>
      </c>
      <c r="EQ492" t="s">
        <v>836</v>
      </c>
      <c r="ER492" t="s">
        <v>1902</v>
      </c>
      <c r="ES492" t="s">
        <v>1899</v>
      </c>
      <c r="ET492" t="s">
        <v>836</v>
      </c>
    </row>
    <row r="493" spans="1:158" ht="15" customHeight="1" x14ac:dyDescent="0.35">
      <c r="A493">
        <v>555</v>
      </c>
      <c r="B493" t="s">
        <v>3067</v>
      </c>
      <c r="C493">
        <v>2</v>
      </c>
      <c r="D493" t="str">
        <f>VLOOKUP(source[[#This Row],[Приоритет]],тПриоритеты[],2,0)</f>
        <v>Значительное</v>
      </c>
      <c r="E493" t="str">
        <f>IF(ISBLANK(source[[#This Row],[Проверенные]]),IF(ISBLANK(source[[#This Row],[Завершенные]]),source[[#This Row],[Приоритет_]],"Завершено"),"Проверено")</f>
        <v>Проверено</v>
      </c>
      <c r="F493" t="s">
        <v>2870</v>
      </c>
      <c r="G493" t="s">
        <v>2926</v>
      </c>
      <c r="H493" t="e">
        <f>VLOOKUP(source[[#This Row],[Отвественный]],тОтветственные[],2,0)</f>
        <v>#N/A</v>
      </c>
      <c r="I493" s="2">
        <v>43806</v>
      </c>
      <c r="J493" s="2">
        <v>43806</v>
      </c>
      <c r="S493" s="1">
        <v>43806.483090277776</v>
      </c>
      <c r="T493" s="1">
        <v>43806.489699074074</v>
      </c>
      <c r="U493" s="1">
        <v>43811.7424537037</v>
      </c>
      <c r="W493" s="1">
        <v>43811.742465277777</v>
      </c>
      <c r="EC493" t="s">
        <v>3068</v>
      </c>
      <c r="ED493" t="s">
        <v>3069</v>
      </c>
      <c r="EE493" t="s">
        <v>2939</v>
      </c>
      <c r="EF493" t="str">
        <f>HYPERLINK("https://d33htgqikc2pj4.cloudfront.net/qvHDimMUqxZcQnsj/cdae715f-2e82-4a86-814c-121711fae95b.jpeg", "Алексей Бирюков: Ссылка на изображение")</f>
        <v>Алексей Бирюков: Ссылка на изображение</v>
      </c>
      <c r="EG493" t="str">
        <f>HYPERLINK("https://d33htgqikc2pj4.cloudfront.net/qvHDimMUqxZcQnsj/c1868136-4abb-4fbc-bf42-4c090bb0abbd.jpeg", "Алексей Бирюков: Ссылка на изображение")</f>
        <v>Алексей Бирюков: Ссылка на изображение</v>
      </c>
      <c r="EH493" t="str">
        <f>HYPERLINK("https://d33htgqikc2pj4.cloudfront.net/qvHDimMUqxZcQnsj/7d500b2e-c0ac-4f57-83e2-0e0bb93b06dc.jpeg", "Алексей Бирюков: Ссылка на изображение")</f>
        <v>Алексей Бирюков: Ссылка на изображение</v>
      </c>
      <c r="EI493" t="str">
        <f>HYPERLINK("https://d33htgqikc2pj4.cloudfront.net/qvHDimMUqxZcQnsj/8b78bee0-ce58-4dde-838f-cc8484d90997.jpeg", "Алексей Бирюков: Ссылка на изображение")</f>
        <v>Алексей Бирюков: Ссылка на изображение</v>
      </c>
      <c r="EJ493" t="s">
        <v>1902</v>
      </c>
      <c r="EK493" t="s">
        <v>3070</v>
      </c>
      <c r="EL493" t="s">
        <v>1899</v>
      </c>
      <c r="EM493" t="s">
        <v>836</v>
      </c>
    </row>
    <row r="494" spans="1:158" ht="15" customHeight="1" x14ac:dyDescent="0.35">
      <c r="A494">
        <v>554</v>
      </c>
      <c r="B494" t="s">
        <v>3071</v>
      </c>
      <c r="C494">
        <v>1</v>
      </c>
      <c r="D494" t="str">
        <f>VLOOKUP(source[[#This Row],[Приоритет]],тПриоритеты[],2,0)</f>
        <v>КРИТИЧЕСКОЕ</v>
      </c>
      <c r="E494" t="str">
        <f>IF(ISBLANK(source[[#This Row],[Проверенные]]),IF(ISBLANK(source[[#This Row],[Завершенные]]),source[[#This Row],[Приоритет_]],"Завершено"),"Проверено")</f>
        <v>Проверено</v>
      </c>
      <c r="F494" t="s">
        <v>2870</v>
      </c>
      <c r="G494" t="s">
        <v>2926</v>
      </c>
      <c r="H494" t="e">
        <f>VLOOKUP(source[[#This Row],[Отвественный]],тОтветственные[],2,0)</f>
        <v>#N/A</v>
      </c>
      <c r="I494" s="2">
        <v>43806</v>
      </c>
      <c r="J494" s="2">
        <v>43806</v>
      </c>
      <c r="S494" s="1">
        <v>43806.483090277776</v>
      </c>
      <c r="T494" s="1">
        <v>43810.383680555555</v>
      </c>
      <c r="U494" s="1">
        <v>43811.742210648146</v>
      </c>
      <c r="W494" s="1">
        <v>43811.756747685184</v>
      </c>
      <c r="EC494" t="s">
        <v>3072</v>
      </c>
      <c r="ED494" t="str">
        <f>HYPERLINK("https://d33htgqikc2pj4.cloudfront.net/qvHDimMUqxZcQnsj/985ff955-8ae0-43c8-b1fb-3108f8626027.jpeg", "Алексей Бирюков: Ссылка на изображение")</f>
        <v>Алексей Бирюков: Ссылка на изображение</v>
      </c>
      <c r="EE494" t="str">
        <f>HYPERLINK("https://d33htgqikc2pj4.cloudfront.net/qvHDimMUqxZcQnsj/eac0cf8f-3ea9-4d93-a3c1-e82d9345ec15.jpeg", "Алексей Бирюков: Ссылка на изображение")</f>
        <v>Алексей Бирюков: Ссылка на изображение</v>
      </c>
      <c r="EF494" t="s">
        <v>3073</v>
      </c>
      <c r="EG494" t="str">
        <f>HYPERLINK("https://d33htgqikc2pj4.cloudfront.net/qvHDimMUqxZcQnsj/2cefb8b7-be1d-46c7-9858-9b66c7dd27f4.jpeg", "Алексей Бирюков: Ссылка на изображение")</f>
        <v>Алексей Бирюков: Ссылка на изображение</v>
      </c>
      <c r="EH494" t="str">
        <f>HYPERLINK("https://d33htgqikc2pj4.cloudfront.net/qvHDimMUqxZcQnsj/a0e21a34-d68d-48f7-9049-3af1448fe719.jpeg", "Алексей Бирюков: Ссылка на изображение")</f>
        <v>Алексей Бирюков: Ссылка на изображение</v>
      </c>
      <c r="EI494" t="str">
        <f>HYPERLINK("https://d33htgqikc2pj4.cloudfront.net/qvHDimMUqxZcQnsj/665b1f6f-56f0-4726-8f8d-0fd726777881.jpeg", "Алексей Бирюков: Ссылка на изображение")</f>
        <v>Алексей Бирюков: Ссылка на изображение</v>
      </c>
      <c r="EJ494" t="s">
        <v>3074</v>
      </c>
      <c r="EK494" t="s">
        <v>2990</v>
      </c>
      <c r="EL494" t="s">
        <v>3069</v>
      </c>
      <c r="EM494" t="s">
        <v>2939</v>
      </c>
      <c r="EN494" t="s">
        <v>3075</v>
      </c>
      <c r="EO494" t="s">
        <v>3076</v>
      </c>
      <c r="EP494" t="s">
        <v>3077</v>
      </c>
      <c r="EQ494" t="s">
        <v>1180</v>
      </c>
      <c r="ER494" t="s">
        <v>2478</v>
      </c>
      <c r="ES494" t="s">
        <v>2435</v>
      </c>
      <c r="ET494" t="s">
        <v>1902</v>
      </c>
      <c r="EU494" t="s">
        <v>1899</v>
      </c>
      <c r="EV494" t="s">
        <v>836</v>
      </c>
    </row>
    <row r="495" spans="1:158" ht="15" customHeight="1" x14ac:dyDescent="0.35">
      <c r="A495">
        <v>951</v>
      </c>
      <c r="B495" t="s">
        <v>3078</v>
      </c>
      <c r="C495">
        <v>2</v>
      </c>
      <c r="D495" t="str">
        <f>VLOOKUP(source[[#This Row],[Приоритет]],тПриоритеты[],2,0)</f>
        <v>Значительное</v>
      </c>
      <c r="E495" t="str">
        <f>IF(ISBLANK(source[[#This Row],[Проверенные]]),IF(ISBLANK(source[[#This Row],[Завершенные]]),source[[#This Row],[Приоритет_]],"Завершено"),"Проверено")</f>
        <v>Проверено</v>
      </c>
      <c r="F495" t="s">
        <v>2870</v>
      </c>
      <c r="G495" t="s">
        <v>2926</v>
      </c>
      <c r="H495" t="e">
        <f>VLOOKUP(source[[#This Row],[Отвественный]],тОтветственные[],2,0)</f>
        <v>#N/A</v>
      </c>
      <c r="I495" s="2">
        <v>43849</v>
      </c>
      <c r="J495" s="2">
        <v>43849</v>
      </c>
      <c r="S495" s="1">
        <v>43849.538900462961</v>
      </c>
      <c r="T495" s="1">
        <v>43849.688854166663</v>
      </c>
      <c r="U495" s="1">
        <v>43849.688854166663</v>
      </c>
      <c r="W495" s="1">
        <v>43849.68886574074</v>
      </c>
      <c r="X495" t="s">
        <v>461</v>
      </c>
      <c r="AH495" t="s">
        <v>3079</v>
      </c>
      <c r="AI495" s="3" t="s">
        <v>3080</v>
      </c>
      <c r="AJ495" s="3" t="s">
        <v>3081</v>
      </c>
      <c r="AK495" t="s">
        <v>3082</v>
      </c>
      <c r="AL495" t="s">
        <v>3083</v>
      </c>
      <c r="AM495" t="s">
        <v>3084</v>
      </c>
      <c r="AN495" t="s">
        <v>3085</v>
      </c>
      <c r="AO495" t="s">
        <v>3086</v>
      </c>
      <c r="AP495" t="s">
        <v>3087</v>
      </c>
      <c r="AQ495" t="s">
        <v>3088</v>
      </c>
      <c r="AR495" t="s">
        <v>3089</v>
      </c>
      <c r="EC495" t="s">
        <v>3090</v>
      </c>
      <c r="ED495" t="s">
        <v>2617</v>
      </c>
      <c r="EE495" t="s">
        <v>3091</v>
      </c>
      <c r="EF495" t="str">
        <f>HYPERLINK("https://d33htgqikc2pj4.cloudfront.net/qvHDimMUqxZcQnsj/9985d3dd-ae36-4e58-9f21-5ce29ed7aef8.jpeg", "Алексей Бирюков: Ссылка на изображение")</f>
        <v>Алексей Бирюков: Ссылка на изображение</v>
      </c>
      <c r="EG495" t="str">
        <f>HYPERLINK("https://d33htgqikc2pj4.cloudfront.net/qvHDimMUqxZcQnsj/2054a7b4-147b-484b-82a2-cf011b2af585.jpeg", "Алексей Бирюков: Ссылка на изображение")</f>
        <v>Алексей Бирюков: Ссылка на изображение</v>
      </c>
      <c r="EH495" t="str">
        <f>HYPERLINK("https://d33htgqikc2pj4.cloudfront.net/qvHDimMUqxZcQnsj/4a61e2e6-ff03-482a-8497-d717f3e70d90.jpeg", "Алексей Бирюков: Ссылка на изображение")</f>
        <v>Алексей Бирюков: Ссылка на изображение</v>
      </c>
      <c r="EI495" t="str">
        <f>HYPERLINK("https://d33htgqikc2pj4.cloudfront.net/qvHDimMUqxZcQnsj/3e590a4d-e93f-4576-9a03-d05a0f5ad367.jpeg", "Алексей Бирюков: Ссылка на изображение")</f>
        <v>Алексей Бирюков: Ссылка на изображение</v>
      </c>
      <c r="EJ495" t="str">
        <f>HYPERLINK("https://d33htgqikc2pj4.cloudfront.net/qvHDimMUqxZcQnsj/58c84b30-0a5f-4324-abdc-76250a5910de.jpeg", "Алексей Бирюков: Ссылка на изображение")</f>
        <v>Алексей Бирюков: Ссылка на изображение</v>
      </c>
      <c r="EK495" t="str">
        <f>HYPERLINK("https://d33htgqikc2pj4.cloudfront.net/qvHDimMUqxZcQnsj/2882d1bd-4065-4780-be3f-37267f16d793.jpeg", "Алексей Бирюков: Ссылка на изображение")</f>
        <v>Алексей Бирюков: Ссылка на изображение</v>
      </c>
      <c r="EL495" t="s">
        <v>3092</v>
      </c>
      <c r="EM495" t="str">
        <f>HYPERLINK("https://d33htgqikc2pj4.cloudfront.net/qvHDimMUqxZcQnsj/bfd1257b-beaa-418a-92f6-e931620f8e62.jpeg", "Алексей Бирюков: Ссылка на изображение")</f>
        <v>Алексей Бирюков: Ссылка на изображение</v>
      </c>
      <c r="EN495" t="str">
        <f>HYPERLINK("https://d33htgqikc2pj4.cloudfront.net/qvHDimMUqxZcQnsj/b0d37f7f-d3cb-4028-8b95-789a3c6629ad.jpeg", "Алексей Бирюков: Ссылка на изображение")</f>
        <v>Алексей Бирюков: Ссылка на изображение</v>
      </c>
      <c r="EO495" t="s">
        <v>2939</v>
      </c>
      <c r="EP495" t="s">
        <v>1899</v>
      </c>
    </row>
    <row r="496" spans="1:158" ht="15" customHeight="1" x14ac:dyDescent="0.35">
      <c r="A496">
        <v>1121</v>
      </c>
      <c r="B496" t="s">
        <v>3093</v>
      </c>
      <c r="C496">
        <v>2</v>
      </c>
      <c r="D496" t="str">
        <f>VLOOKUP(source[[#This Row],[Приоритет]],тПриоритеты[],2,0)</f>
        <v>Значительное</v>
      </c>
      <c r="E496" t="str">
        <f>IF(ISBLANK(source[[#This Row],[Проверенные]]),IF(ISBLANK(source[[#This Row],[Завершенные]]),source[[#This Row],[Приоритет_]],"Завершено"),"Проверено")</f>
        <v>Проверено</v>
      </c>
      <c r="F496" t="s">
        <v>2870</v>
      </c>
      <c r="G496" t="s">
        <v>2926</v>
      </c>
      <c r="H496" t="e">
        <f>VLOOKUP(source[[#This Row],[Отвественный]],тОтветственные[],2,0)</f>
        <v>#N/A</v>
      </c>
      <c r="I496" s="2">
        <v>43860</v>
      </c>
      <c r="J496" s="2">
        <v>43860</v>
      </c>
      <c r="S496" s="1">
        <v>43860.937962962962</v>
      </c>
      <c r="T496" s="1">
        <v>43865.336655092593</v>
      </c>
      <c r="U496" s="1">
        <v>43865.336655092593</v>
      </c>
      <c r="W496" s="1">
        <v>43865.33666666667</v>
      </c>
      <c r="X496" t="s">
        <v>2941</v>
      </c>
      <c r="AH496" t="s">
        <v>3094</v>
      </c>
      <c r="AI496" t="s">
        <v>3095</v>
      </c>
      <c r="AJ496" t="s">
        <v>3096</v>
      </c>
      <c r="AK496" t="s">
        <v>3097</v>
      </c>
      <c r="EC496" t="s">
        <v>3098</v>
      </c>
      <c r="ED496" t="s">
        <v>2939</v>
      </c>
      <c r="EE496" t="s">
        <v>3099</v>
      </c>
      <c r="EF496" t="str">
        <f>HYPERLINK("https://d33htgqikc2pj4.cloudfront.net/qvHDimMUqxZcQnsj/96e6494d-0ef7-41a1-b9bf-9099a447be93.jpeg", "Алексей Бирюков: Ссылка на изображение")</f>
        <v>Алексей Бирюков: Ссылка на изображение</v>
      </c>
      <c r="EG496" t="str">
        <f>HYPERLINK("https://d33htgqikc2pj4.cloudfront.net/qvHDimMUqxZcQnsj/0a3804e8-7328-481c-8882-652cd4a3dd87.jpeg", "Алексей Бирюков: Ссылка на изображение")</f>
        <v>Алексей Бирюков: Ссылка на изображение</v>
      </c>
      <c r="EH496" t="str">
        <f>HYPERLINK("https://d33htgqikc2pj4.cloudfront.net/qvHDimMUqxZcQnsj/f97f1530-cc3f-4087-b92b-e3dcd471c0e3.jpeg", "Алексей Бирюков: Ссылка на изображение")</f>
        <v>Алексей Бирюков: Ссылка на изображение</v>
      </c>
      <c r="EI496" t="str">
        <f>HYPERLINK("https://d33htgqikc2pj4.cloudfront.net/qvHDimMUqxZcQnsj/5a355cc0-e5bb-4b50-8c3e-17be5eca886f.jpeg", "Алексей Бирюков: Ссылка на изображение")</f>
        <v>Алексей Бирюков: Ссылка на изображение</v>
      </c>
      <c r="EJ496" t="s">
        <v>1899</v>
      </c>
    </row>
    <row r="497" spans="1:153" ht="15" customHeight="1" x14ac:dyDescent="0.35">
      <c r="A497">
        <v>604</v>
      </c>
      <c r="B497" t="s">
        <v>3100</v>
      </c>
      <c r="C497">
        <v>2</v>
      </c>
      <c r="D497" t="str">
        <f>VLOOKUP(source[[#This Row],[Приоритет]],тПриоритеты[],2,0)</f>
        <v>Значительное</v>
      </c>
      <c r="E497" t="str">
        <f>IF(ISBLANK(source[[#This Row],[Проверенные]]),IF(ISBLANK(source[[#This Row],[Завершенные]]),source[[#This Row],[Приоритет_]],"Завершено"),"Проверено")</f>
        <v>Проверено</v>
      </c>
      <c r="F497" t="s">
        <v>2870</v>
      </c>
      <c r="G497" t="s">
        <v>2926</v>
      </c>
      <c r="H497" t="e">
        <f>VLOOKUP(source[[#This Row],[Отвественный]],тОтветственные[],2,0)</f>
        <v>#N/A</v>
      </c>
      <c r="I497" s="2">
        <v>43810</v>
      </c>
      <c r="J497" s="2">
        <v>43810</v>
      </c>
      <c r="S497" s="1">
        <v>43810.68886574074</v>
      </c>
      <c r="T497" s="1">
        <v>43811.743611111109</v>
      </c>
      <c r="U497" s="1">
        <v>43811.743611111109</v>
      </c>
      <c r="W497" s="1">
        <v>43811.743611111109</v>
      </c>
      <c r="X497" t="s">
        <v>444</v>
      </c>
      <c r="AH497" t="s">
        <v>3101</v>
      </c>
      <c r="AI497" t="s">
        <v>3102</v>
      </c>
      <c r="AJ497" t="s">
        <v>3103</v>
      </c>
      <c r="AK497" t="s">
        <v>3104</v>
      </c>
      <c r="AL497" t="s">
        <v>3105</v>
      </c>
      <c r="AM497" t="s">
        <v>3106</v>
      </c>
      <c r="AN497" t="s">
        <v>3107</v>
      </c>
      <c r="EC497" t="s">
        <v>3108</v>
      </c>
      <c r="ED497" t="str">
        <f>HYPERLINK("https://d33htgqikc2pj4.cloudfront.net/qvHDimMUqxZcQnsj/8c25b80a-b0ae-43fb-a799-ca62d6574e2e.jpeg", "Алексей Бирюков: Ссылка на изображение")</f>
        <v>Алексей Бирюков: Ссылка на изображение</v>
      </c>
      <c r="EE497" t="str">
        <f>HYPERLINK("https://d33htgqikc2pj4.cloudfront.net/qvHDimMUqxZcQnsj/9769bef1-5c39-4328-bbe1-adb3222466fd.jpeg", "Алексей Бирюков: Ссылка на изображение")</f>
        <v>Алексей Бирюков: Ссылка на изображение</v>
      </c>
      <c r="EF497" t="str">
        <f>HYPERLINK("https://d33htgqikc2pj4.cloudfront.net/qvHDimMUqxZcQnsj/23fc5f25-7d73-43d1-95bd-272305b33f09.jpeg", "Алексей Бирюков: Ссылка на изображение")</f>
        <v>Алексей Бирюков: Ссылка на изображение</v>
      </c>
      <c r="EG497" t="str">
        <f>HYPERLINK("https://d33htgqikc2pj4.cloudfront.net/qvHDimMUqxZcQnsj/351ba489-6090-4ece-8039-9e1d598d659b.jpeg", "Алексей Бирюков: Ссылка на изображение")</f>
        <v>Алексей Бирюков: Ссылка на изображение</v>
      </c>
      <c r="EH497" t="str">
        <f>HYPERLINK("https://d33htgqikc2pj4.cloudfront.net/qvHDimMUqxZcQnsj/623a2b71-10f8-4953-b0e3-0b137840a13a.jpeg", "Алексей Бирюков: Ссылка на изображение")</f>
        <v>Алексей Бирюков: Ссылка на изображение</v>
      </c>
      <c r="EI497" t="str">
        <f>HYPERLINK("https://d33htgqikc2pj4.cloudfront.net/qvHDimMUqxZcQnsj/4d47c6c8-1f30-454e-8e22-fc2cb97be984.jpeg", "Алексей Бирюков: Ссылка на изображение")</f>
        <v>Алексей Бирюков: Ссылка на изображение</v>
      </c>
      <c r="EJ497" t="str">
        <f>HYPERLINK("https://d33htgqikc2pj4.cloudfront.net/qvHDimMUqxZcQnsj/1a3b322d-7525-485e-9454-9ba1c62f1659.jpeg", "Алексей Бирюков: Ссылка на изображение")</f>
        <v>Алексей Бирюков: Ссылка на изображение</v>
      </c>
      <c r="EK497" t="s">
        <v>3109</v>
      </c>
      <c r="EL497" t="s">
        <v>2939</v>
      </c>
      <c r="EM497" t="s">
        <v>2977</v>
      </c>
      <c r="EN497" t="s">
        <v>1899</v>
      </c>
      <c r="EO497" t="s">
        <v>836</v>
      </c>
    </row>
    <row r="498" spans="1:153" ht="15" customHeight="1" x14ac:dyDescent="0.35">
      <c r="A498">
        <v>1122</v>
      </c>
      <c r="B498" t="s">
        <v>3110</v>
      </c>
      <c r="C498">
        <v>2</v>
      </c>
      <c r="D498" t="str">
        <f>VLOOKUP(source[[#This Row],[Приоритет]],тПриоритеты[],2,0)</f>
        <v>Значительное</v>
      </c>
      <c r="E498" t="str">
        <f>IF(ISBLANK(source[[#This Row],[Проверенные]]),IF(ISBLANK(source[[#This Row],[Завершенные]]),source[[#This Row],[Приоритет_]],"Завершено"),"Проверено")</f>
        <v>Проверено</v>
      </c>
      <c r="F498" t="s">
        <v>2870</v>
      </c>
      <c r="G498" t="s">
        <v>2926</v>
      </c>
      <c r="H498" t="e">
        <f>VLOOKUP(source[[#This Row],[Отвественный]],тОтветственные[],2,0)</f>
        <v>#N/A</v>
      </c>
      <c r="I498" s="2">
        <v>43861</v>
      </c>
      <c r="J498" s="2">
        <v>43861</v>
      </c>
      <c r="S498" s="1">
        <v>43861.207337962966</v>
      </c>
      <c r="T498" s="1">
        <v>43861.210092592592</v>
      </c>
      <c r="U498" s="1">
        <v>43861.210092592592</v>
      </c>
      <c r="W498" s="1">
        <v>43861.210092592592</v>
      </c>
      <c r="X498" t="s">
        <v>2941</v>
      </c>
      <c r="AH498" t="s">
        <v>3094</v>
      </c>
      <c r="AI498" t="s">
        <v>3095</v>
      </c>
      <c r="AJ498" t="s">
        <v>3111</v>
      </c>
      <c r="AK498" t="s">
        <v>3097</v>
      </c>
      <c r="EC498" t="s">
        <v>3112</v>
      </c>
      <c r="ED498" t="s">
        <v>2939</v>
      </c>
      <c r="EE498" t="s">
        <v>3113</v>
      </c>
      <c r="EF498" t="str">
        <f>HYPERLINK("https://d33htgqikc2pj4.cloudfront.net/qvHDimMUqxZcQnsj/0c7e5de5-334c-46c5-bca6-375431fee66a.jpeg", "Алексей Бирюков: Ссылка на изображение")</f>
        <v>Алексей Бирюков: Ссылка на изображение</v>
      </c>
      <c r="EG498" t="str">
        <f>HYPERLINK("https://d33htgqikc2pj4.cloudfront.net/qvHDimMUqxZcQnsj/4c189012-777b-4b1e-b3a0-be95c3ecf8f7.jpeg", "Алексей Бирюков: Ссылка на изображение")</f>
        <v>Алексей Бирюков: Ссылка на изображение</v>
      </c>
      <c r="EH498" t="str">
        <f>HYPERLINK("https://d33htgqikc2pj4.cloudfront.net/qvHDimMUqxZcQnsj/7d1ae65e-2b8e-41bb-917b-6b3f8a67bbf8.jpeg", "Алексей Бирюков: Ссылка на изображение")</f>
        <v>Алексей Бирюков: Ссылка на изображение</v>
      </c>
      <c r="EI498" t="str">
        <f>HYPERLINK("https://d33htgqikc2pj4.cloudfront.net/qvHDimMUqxZcQnsj/6c33dbba-2702-4210-9a8c-97b4fb68c96e.jpeg", "Алексей Бирюков: Ссылка на изображение")</f>
        <v>Алексей Бирюков: Ссылка на изображение</v>
      </c>
      <c r="EJ498" t="str">
        <f>HYPERLINK("https://d33htgqikc2pj4.cloudfront.net/qvHDimMUqxZcQnsj/bbb06f0d-2837-4a0a-8c95-cb471a370bc6.jpeg", "Алексей Бирюков: Ссылка на изображение")</f>
        <v>Алексей Бирюков: Ссылка на изображение</v>
      </c>
      <c r="EK498" t="str">
        <f>HYPERLINK("https://d33htgqikc2pj4.cloudfront.net/qvHDimMUqxZcQnsj/c3e17fe3-fbe5-4c37-85c6-2f4ec69628d5.jpeg", "Алексей Бирюков: Ссылка на изображение")</f>
        <v>Алексей Бирюков: Ссылка на изображение</v>
      </c>
      <c r="EL498" t="str">
        <f>HYPERLINK("https://d33htgqikc2pj4.cloudfront.net/qvHDimMUqxZcQnsj/6324c997-0a9e-493f-b411-ed666c615910.jpeg", "Алексей Бирюков: Ссылка на изображение")</f>
        <v>Алексей Бирюков: Ссылка на изображение</v>
      </c>
      <c r="EM498" t="s">
        <v>3114</v>
      </c>
      <c r="EN498" t="s">
        <v>1899</v>
      </c>
    </row>
    <row r="499" spans="1:153" ht="15" customHeight="1" x14ac:dyDescent="0.35">
      <c r="A499">
        <v>425</v>
      </c>
      <c r="B499" t="s">
        <v>3115</v>
      </c>
      <c r="C499">
        <v>2</v>
      </c>
      <c r="D499" t="str">
        <f>VLOOKUP(source[[#This Row],[Приоритет]],тПриоритеты[],2,0)</f>
        <v>Значительное</v>
      </c>
      <c r="E499" t="str">
        <f>IF(ISBLANK(source[[#This Row],[Проверенные]]),IF(ISBLANK(source[[#This Row],[Завершенные]]),source[[#This Row],[Приоритет_]],"Завершено"),"Проверено")</f>
        <v>Проверено</v>
      </c>
      <c r="F499" t="s">
        <v>2870</v>
      </c>
      <c r="G499" t="s">
        <v>2926</v>
      </c>
      <c r="H499" t="e">
        <f>VLOOKUP(source[[#This Row],[Отвественный]],тОтветственные[],2,0)</f>
        <v>#N/A</v>
      </c>
      <c r="I499" s="2">
        <v>43794</v>
      </c>
      <c r="J499" s="2">
        <v>43794</v>
      </c>
      <c r="S499" s="1">
        <v>43794.422569444447</v>
      </c>
      <c r="T499" s="1">
        <v>43794.755891203706</v>
      </c>
      <c r="U499" s="1">
        <v>43811.74324074074</v>
      </c>
      <c r="W499" s="1">
        <v>43811.743252314816</v>
      </c>
      <c r="X499" t="s">
        <v>3116</v>
      </c>
      <c r="AH499" s="3" t="s">
        <v>3117</v>
      </c>
      <c r="AI499" t="s">
        <v>3118</v>
      </c>
      <c r="AJ499" t="s">
        <v>3119</v>
      </c>
      <c r="AK499" t="s">
        <v>3120</v>
      </c>
      <c r="AL499" t="s">
        <v>3121</v>
      </c>
      <c r="AM499" t="s">
        <v>3122</v>
      </c>
      <c r="EC499" t="s">
        <v>3123</v>
      </c>
      <c r="ED499" t="s">
        <v>2989</v>
      </c>
      <c r="EE499" t="s">
        <v>2939</v>
      </c>
      <c r="EF499" t="str">
        <f>HYPERLINK("https://d33htgqikc2pj4.cloudfront.net/da381a29-903e-4760-833c-79685c681748.jpeg", "Алексей Бирюков: Ссылка на изображение")</f>
        <v>Алексей Бирюков: Ссылка на изображение</v>
      </c>
      <c r="EG499" t="str">
        <f>HYPERLINK("https://d33htgqikc2pj4.cloudfront.net/5dbd278a-92d1-4f13-97b0-3ef760d256c4.jpeg", "Алексей Бирюков: Ссылка на изображение")</f>
        <v>Алексей Бирюков: Ссылка на изображение</v>
      </c>
      <c r="EH499" t="str">
        <f>HYPERLINK("https://d33htgqikc2pj4.cloudfront.net/9448ac0e-15d7-4b0c-bfc5-e94339d7df05.jpeg", "Алексей Бирюков: Ссылка на изображение")</f>
        <v>Алексей Бирюков: Ссылка на изображение</v>
      </c>
      <c r="EI499" t="s">
        <v>1902</v>
      </c>
      <c r="EJ499" t="s">
        <v>1899</v>
      </c>
      <c r="EK499" t="s">
        <v>836</v>
      </c>
    </row>
    <row r="500" spans="1:153" ht="15" customHeight="1" x14ac:dyDescent="0.35">
      <c r="A500">
        <v>537</v>
      </c>
      <c r="B500" t="s">
        <v>3124</v>
      </c>
      <c r="C500">
        <v>2</v>
      </c>
      <c r="D500" t="str">
        <f>VLOOKUP(source[[#This Row],[Приоритет]],тПриоритеты[],2,0)</f>
        <v>Значительное</v>
      </c>
      <c r="E500" t="str">
        <f>IF(ISBLANK(source[[#This Row],[Проверенные]]),IF(ISBLANK(source[[#This Row],[Завершенные]]),source[[#This Row],[Приоритет_]],"Завершено"),"Проверено")</f>
        <v>Проверено</v>
      </c>
      <c r="F500" t="s">
        <v>2870</v>
      </c>
      <c r="G500" t="s">
        <v>2926</v>
      </c>
      <c r="H500" t="e">
        <f>VLOOKUP(source[[#This Row],[Отвественный]],тОтветственные[],2,0)</f>
        <v>#N/A</v>
      </c>
      <c r="I500" s="2">
        <v>43803</v>
      </c>
      <c r="J500" s="2">
        <v>43803</v>
      </c>
      <c r="S500" s="1">
        <v>43803.791481481479</v>
      </c>
      <c r="T500" s="1">
        <v>43803.791550925926</v>
      </c>
      <c r="U500" s="1">
        <v>43811.742083333331</v>
      </c>
      <c r="W500" s="1">
        <v>43811.742083333331</v>
      </c>
      <c r="EC500" t="s">
        <v>3125</v>
      </c>
      <c r="ED500" t="s">
        <v>2939</v>
      </c>
      <c r="EE500" t="s">
        <v>3058</v>
      </c>
      <c r="EF500" t="str">
        <f>HYPERLINK("https://d33htgqikc2pj4.cloudfront.net/qvHDimMUqxZcQnsj/97020733-dfd9-4061-8d5c-847632d5f8c4.jpeg", "Алексей Бирюков: Ссылка на изображение")</f>
        <v>Алексей Бирюков: Ссылка на изображение</v>
      </c>
      <c r="EG500" t="str">
        <f>HYPERLINK("https://d33htgqikc2pj4.cloudfront.net/qvHDimMUqxZcQnsj/6507da21-3139-4b9a-99ec-c63a7be4bd13.jpeg", "Алексей Бирюков: Ссылка на изображение")</f>
        <v>Алексей Бирюков: Ссылка на изображение</v>
      </c>
      <c r="EH500" t="str">
        <f>HYPERLINK("https://d33htgqikc2pj4.cloudfront.net/qvHDimMUqxZcQnsj/2e0e962f-fa6f-42b6-816e-10018045228b.jpeg", "Алексей Бирюков: Ссылка на изображение")</f>
        <v>Алексей Бирюков: Ссылка на изображение</v>
      </c>
      <c r="EI500" t="str">
        <f>HYPERLINK("https://d33htgqikc2pj4.cloudfront.net/qvHDimMUqxZcQnsj/c172e242-2b7d-4d96-bcb9-ef2720067f8b.jpeg", "Алексей Бирюков: Ссылка на изображение")</f>
        <v>Алексей Бирюков: Ссылка на изображение</v>
      </c>
      <c r="EJ500" t="str">
        <f>HYPERLINK("https://d33htgqikc2pj4.cloudfront.net/qvHDimMUqxZcQnsj/7ac20fc5-d0a0-4ba5-9f09-7a81d4537a05.jpeg", "Алексей Бирюков: Ссылка на изображение")</f>
        <v>Алексей Бирюков: Ссылка на изображение</v>
      </c>
      <c r="EK500" t="s">
        <v>1902</v>
      </c>
      <c r="EL500" t="s">
        <v>3126</v>
      </c>
      <c r="EM500" t="s">
        <v>1899</v>
      </c>
      <c r="EN500" t="s">
        <v>836</v>
      </c>
    </row>
    <row r="501" spans="1:153" ht="15" customHeight="1" x14ac:dyDescent="0.35">
      <c r="A501">
        <v>831</v>
      </c>
      <c r="B501" t="s">
        <v>3127</v>
      </c>
      <c r="C501">
        <v>2</v>
      </c>
      <c r="D501" t="str">
        <f>VLOOKUP(source[[#This Row],[Приоритет]],тПриоритеты[],2,0)</f>
        <v>Значительное</v>
      </c>
      <c r="E501" t="str">
        <f>IF(ISBLANK(source[[#This Row],[Проверенные]]),IF(ISBLANK(source[[#This Row],[Завершенные]]),source[[#This Row],[Приоритет_]],"Завершено"),"Проверено")</f>
        <v>Проверено</v>
      </c>
      <c r="F501" t="s">
        <v>2870</v>
      </c>
      <c r="G501" t="s">
        <v>2926</v>
      </c>
      <c r="H501" t="e">
        <f>VLOOKUP(source[[#This Row],[Отвественный]],тОтветственные[],2,0)</f>
        <v>#N/A</v>
      </c>
      <c r="I501" s="2">
        <v>43832</v>
      </c>
      <c r="J501" s="2">
        <v>43833</v>
      </c>
      <c r="S501" s="1">
        <v>43832.950011574074</v>
      </c>
      <c r="T501" s="1">
        <v>43833.269444444442</v>
      </c>
      <c r="U501" s="1">
        <v>43833.269444444442</v>
      </c>
      <c r="W501" s="1">
        <v>43833.269456018519</v>
      </c>
      <c r="EC501" t="s">
        <v>3128</v>
      </c>
      <c r="ED501" t="s">
        <v>2939</v>
      </c>
      <c r="EE501" t="s">
        <v>3129</v>
      </c>
      <c r="EF501" t="s">
        <v>3130</v>
      </c>
      <c r="EG501" t="str">
        <f>HYPERLINK("https://d33htgqikc2pj4.cloudfront.net/qvHDimMUqxZcQnsj/e4149ccd-5443-4e20-8957-15522e86b162.jpeg", "Алексей Бирюков: Ссылка на изображение")</f>
        <v>Алексей Бирюков: Ссылка на изображение</v>
      </c>
      <c r="EH501" t="str">
        <f>HYPERLINK("https://d33htgqikc2pj4.cloudfront.net/qvHDimMUqxZcQnsj/df6368f2-6918-4913-bdc7-b1cb7e91311f.jpeg", "Алексей Бирюков: Ссылка на изображение")</f>
        <v>Алексей Бирюков: Ссылка на изображение</v>
      </c>
      <c r="EI501" t="str">
        <f>HYPERLINK("https://d33htgqikc2pj4.cloudfront.net/qvHDimMUqxZcQnsj/6a2b4687-96bd-40f5-9218-39643f289c13.jpeg", "Алексей Бирюков: Ссылка на изображение")</f>
        <v>Алексей Бирюков: Ссылка на изображение</v>
      </c>
      <c r="EJ501" t="str">
        <f>HYPERLINK("https://d33htgqikc2pj4.cloudfront.net/qvHDimMUqxZcQnsj/33e5df8d-be24-49fc-9c40-5af25575bd7a.jpeg", "Алексей Бирюков: Ссылка на изображение")</f>
        <v>Алексей Бирюков: Ссылка на изображение</v>
      </c>
      <c r="EK501" t="str">
        <f>HYPERLINK("https://d33htgqikc2pj4.cloudfront.net/qvHDimMUqxZcQnsj/1b54e1de-e864-4340-9897-6d60bdb12c96.jpeg", "Алексей Бирюков: Ссылка на изображение")</f>
        <v>Алексей Бирюков: Ссылка на изображение</v>
      </c>
      <c r="EL501" t="str">
        <f>HYPERLINK("https://d33htgqikc2pj4.cloudfront.net/qvHDimMUqxZcQnsj/428c54d3-97f8-4168-895c-adc2cb894c4f.jpeg", "Алексей Бирюков: Ссылка на изображение")</f>
        <v>Алексей Бирюков: Ссылка на изображение</v>
      </c>
      <c r="EM501" t="str">
        <f>HYPERLINK("https://d33htgqikc2pj4.cloudfront.net/qvHDimMUqxZcQnsj/a2666a2a-0f9b-421b-8cf3-2336ae9d15eb.jpeg", "Алексей Бирюков: Ссылка на изображение")</f>
        <v>Алексей Бирюков: Ссылка на изображение</v>
      </c>
      <c r="EN501" t="str">
        <f>HYPERLINK("https://d33htgqikc2pj4.cloudfront.net/qvHDimMUqxZcQnsj/2451369b-1e46-475a-a7be-50f8f1d8448e.jpeg", "Алексей Бирюков: Ссылка на изображение")</f>
        <v>Алексей Бирюков: Ссылка на изображение</v>
      </c>
      <c r="EO501" t="str">
        <f>HYPERLINK("https://d33htgqikc2pj4.cloudfront.net/qvHDimMUqxZcQnsj/7c6f570f-8a80-4576-b597-31b9ba388454.jpeg", "Алексей Бирюков: Ссылка на изображение")</f>
        <v>Алексей Бирюков: Ссылка на изображение</v>
      </c>
      <c r="EP501" t="str">
        <f>HYPERLINK("https://d33htgqikc2pj4.cloudfront.net/qvHDimMUqxZcQnsj/e94fa70e-1233-46c8-983d-8cae355b585c.jpeg", "Алексей Бирюков: Ссылка на изображение")</f>
        <v>Алексей Бирюков: Ссылка на изображение</v>
      </c>
      <c r="EQ501" t="str">
        <f>HYPERLINK("https://d33htgqikc2pj4.cloudfront.net/qvHDimMUqxZcQnsj/22274143-9d53-4ae5-af11-3b659fe5f845.jpeg", "Алексей Бирюков: Ссылка на изображение")</f>
        <v>Алексей Бирюков: Ссылка на изображение</v>
      </c>
      <c r="ER501" t="str">
        <f>HYPERLINK("https://d33htgqikc2pj4.cloudfront.net/qvHDimMUqxZcQnsj/77a85e07-9613-48bb-ac4e-ebba780fbf5a.jpeg", "Алексей Бирюков: Ссылка на изображение")</f>
        <v>Алексей Бирюков: Ссылка на изображение</v>
      </c>
      <c r="ES501" t="str">
        <f>HYPERLINK("https://d33htgqikc2pj4.cloudfront.net/qvHDimMUqxZcQnsj/c89e445c-f51c-4365-abd4-1bb5ec06480e.jpeg", "Алексей Бирюков: Ссылка на изображение")</f>
        <v>Алексей Бирюков: Ссылка на изображение</v>
      </c>
      <c r="ET501" t="str">
        <f>HYPERLINK("https://d33htgqikc2pj4.cloudfront.net/qvHDimMUqxZcQnsj/86904a21-ac7b-4caa-9a6c-f978b9f808c5.jpeg", "Алексей Бирюков: Ссылка на изображение")</f>
        <v>Алексей Бирюков: Ссылка на изображение</v>
      </c>
      <c r="EU501" t="str">
        <f>HYPERLINK("https://d33htgqikc2pj4.cloudfront.net/qvHDimMUqxZcQnsj/effd2718-2536-426b-9910-4a3b22fc2a78.jpeg", "Алексей Бирюков: Ссылка на изображение")</f>
        <v>Алексей Бирюков: Ссылка на изображение</v>
      </c>
      <c r="EV501" t="str">
        <f>HYPERLINK("https://d33htgqikc2pj4.cloudfront.net/qvHDimMUqxZcQnsj/29dc59ff-c366-4812-9292-147316538efa.jpeg", "Алексей Бирюков: Ссылка на изображение")</f>
        <v>Алексей Бирюков: Ссылка на изображение</v>
      </c>
      <c r="EW501" t="s">
        <v>1899</v>
      </c>
    </row>
    <row r="502" spans="1:153" ht="15" customHeight="1" x14ac:dyDescent="0.35">
      <c r="A502">
        <v>840</v>
      </c>
      <c r="B502" t="s">
        <v>3131</v>
      </c>
      <c r="C502">
        <v>2</v>
      </c>
      <c r="D502" t="str">
        <f>VLOOKUP(source[[#This Row],[Приоритет]],тПриоритеты[],2,0)</f>
        <v>Значительное</v>
      </c>
      <c r="E502" t="str">
        <f>IF(ISBLANK(source[[#This Row],[Проверенные]]),IF(ISBLANK(source[[#This Row],[Завершенные]]),source[[#This Row],[Приоритет_]],"Завершено"),"Проверено")</f>
        <v>Проверено</v>
      </c>
      <c r="F502" t="s">
        <v>2870</v>
      </c>
      <c r="G502" t="s">
        <v>2926</v>
      </c>
      <c r="H502" t="e">
        <f>VLOOKUP(source[[#This Row],[Отвественный]],тОтветственные[],2,0)</f>
        <v>#N/A</v>
      </c>
      <c r="I502" s="2">
        <v>43833</v>
      </c>
      <c r="J502" s="2">
        <v>43834</v>
      </c>
      <c r="S502" s="1">
        <v>43833.922662037039</v>
      </c>
      <c r="T502" s="1">
        <v>43834.214629629627</v>
      </c>
      <c r="U502" s="1">
        <v>43834.214629629627</v>
      </c>
      <c r="W502" s="1">
        <v>43834.214641203704</v>
      </c>
      <c r="EC502" t="s">
        <v>3132</v>
      </c>
      <c r="ED502" t="s">
        <v>2939</v>
      </c>
      <c r="EE502" t="s">
        <v>3133</v>
      </c>
      <c r="EF502" t="str">
        <f>HYPERLINK("https://d33htgqikc2pj4.cloudfront.net/qvHDimMUqxZcQnsj/282c87ff-3148-4946-a300-f3f943c0a8d7.jpeg", "Алексей Бирюков: Ссылка на изображение")</f>
        <v>Алексей Бирюков: Ссылка на изображение</v>
      </c>
      <c r="EG502" t="str">
        <f>HYPERLINK("https://d33htgqikc2pj4.cloudfront.net/qvHDimMUqxZcQnsj/c10d121d-fe2d-4ba5-bb94-e68d39c3fa19.jpeg", "Алексей Бирюков: Ссылка на изображение")</f>
        <v>Алексей Бирюков: Ссылка на изображение</v>
      </c>
      <c r="EH502" t="str">
        <f>HYPERLINK("https://d33htgqikc2pj4.cloudfront.net/qvHDimMUqxZcQnsj/e8908b2c-6a92-4f8b-b637-3cb0f61f5387.jpeg", "Алексей Бирюков: Ссылка на изображение")</f>
        <v>Алексей Бирюков: Ссылка на изображение</v>
      </c>
      <c r="EI502" t="str">
        <f>HYPERLINK("https://d33htgqikc2pj4.cloudfront.net/qvHDimMUqxZcQnsj/8db48746-b127-43de-8dfa-2c1fb678827e.jpeg", "Алексей Бирюков: Ссылка на изображение")</f>
        <v>Алексей Бирюков: Ссылка на изображение</v>
      </c>
      <c r="EJ502" t="str">
        <f>HYPERLINK("https://d33htgqikc2pj4.cloudfront.net/qvHDimMUqxZcQnsj/ae037e0e-d8a1-437e-868a-949aacbc5c04.jpeg", "Алексей Бирюков: Ссылка на изображение")</f>
        <v>Алексей Бирюков: Ссылка на изображение</v>
      </c>
      <c r="EK502" t="str">
        <f>HYPERLINK("https://d33htgqikc2pj4.cloudfront.net/qvHDimMUqxZcQnsj/de6ea74a-483f-4098-82a3-35860514df24.jpeg", "Алексей Бирюков: Ссылка на изображение")</f>
        <v>Алексей Бирюков: Ссылка на изображение</v>
      </c>
      <c r="EL502" t="str">
        <f>HYPERLINK("https://d33htgqikc2pj4.cloudfront.net/qvHDimMUqxZcQnsj/b69e22e3-3e10-4563-bc42-e9b43831c1eb.jpeg", "Алексей Бирюков: Ссылка на изображение")</f>
        <v>Алексей Бирюков: Ссылка на изображение</v>
      </c>
      <c r="EM502" t="str">
        <f>HYPERLINK("https://d33htgqikc2pj4.cloudfront.net/qvHDimMUqxZcQnsj/83217705-3b15-4703-89d6-1d0ed508cea9.jpeg", "Алексей Бирюков: Ссылка на изображение")</f>
        <v>Алексей Бирюков: Ссылка на изображение</v>
      </c>
      <c r="EN502" t="s">
        <v>3134</v>
      </c>
      <c r="EO502" t="s">
        <v>3135</v>
      </c>
      <c r="EP502" t="s">
        <v>3136</v>
      </c>
      <c r="EQ502" t="s">
        <v>1902</v>
      </c>
      <c r="ER502" t="s">
        <v>1899</v>
      </c>
    </row>
    <row r="503" spans="1:153" ht="15" customHeight="1" x14ac:dyDescent="0.35">
      <c r="A503">
        <v>1148</v>
      </c>
      <c r="B503" t="s">
        <v>3137</v>
      </c>
      <c r="C503">
        <v>2</v>
      </c>
      <c r="D503" t="str">
        <f>VLOOKUP(source[[#This Row],[Приоритет]],тПриоритеты[],2,0)</f>
        <v>Значительное</v>
      </c>
      <c r="E503" t="str">
        <f>IF(ISBLANK(source[[#This Row],[Проверенные]]),IF(ISBLANK(source[[#This Row],[Завершенные]]),source[[#This Row],[Приоритет_]],"Завершено"),"Проверено")</f>
        <v>Проверено</v>
      </c>
      <c r="F503" t="s">
        <v>2870</v>
      </c>
      <c r="G503" t="s">
        <v>2926</v>
      </c>
      <c r="H503" t="e">
        <f>VLOOKUP(source[[#This Row],[Отвественный]],тОтветственные[],2,0)</f>
        <v>#N/A</v>
      </c>
      <c r="I503" s="2">
        <v>43862</v>
      </c>
      <c r="J503" s="2">
        <v>43862</v>
      </c>
      <c r="S503" s="1">
        <v>43861.990983796299</v>
      </c>
      <c r="T503" s="1">
        <v>43862.020162037035</v>
      </c>
      <c r="U503" s="1">
        <v>43862.020162037035</v>
      </c>
      <c r="W503" s="1">
        <v>43862.020162037035</v>
      </c>
      <c r="X503" t="s">
        <v>2941</v>
      </c>
      <c r="AH503" t="s">
        <v>3138</v>
      </c>
      <c r="AI503" t="s">
        <v>3139</v>
      </c>
      <c r="AJ503" t="s">
        <v>3140</v>
      </c>
      <c r="AK503" t="s">
        <v>3141</v>
      </c>
      <c r="EC503" t="s">
        <v>3142</v>
      </c>
      <c r="ED503" t="str">
        <f>HYPERLINK("https://d33htgqikc2pj4.cloudfront.net/qvHDimMUqxZcQnsj/79227eca-55b8-4ad1-9cf1-a5e84b4671e5.jpeg", "Алексей Бирюков: Ссылка на изображение")</f>
        <v>Алексей Бирюков: Ссылка на изображение</v>
      </c>
      <c r="EE503" t="str">
        <f>HYPERLINK("https://d33htgqikc2pj4.cloudfront.net/qvHDimMUqxZcQnsj/39ab20ab-572b-4e8a-9d77-a8d545598622.jpeg", "Алексей Бирюков: Ссылка на изображение")</f>
        <v>Алексей Бирюков: Ссылка на изображение</v>
      </c>
      <c r="EF503" t="str">
        <f>HYPERLINK("https://d33htgqikc2pj4.cloudfront.net/qvHDimMUqxZcQnsj/59cb3442-e246-447c-a0ed-07e8e6ad58ff.jpeg", "Алексей Бирюков: Ссылка на изображение")</f>
        <v>Алексей Бирюков: Ссылка на изображение</v>
      </c>
      <c r="EG503" t="str">
        <f>HYPERLINK("https://d33htgqikc2pj4.cloudfront.net/qvHDimMUqxZcQnsj/b6b05ab9-ff8d-4c0a-9dc1-4fdfc006c376.jpeg", "Алексей Бирюков: Ссылка на изображение")</f>
        <v>Алексей Бирюков: Ссылка на изображение</v>
      </c>
      <c r="EH503" t="str">
        <f>HYPERLINK("https://d33htgqikc2pj4.cloudfront.net/qvHDimMUqxZcQnsj/7be31062-ca79-4659-ad78-a4c42274e11a.jpeg", "Алексей Бирюков: Ссылка на изображение")</f>
        <v>Алексей Бирюков: Ссылка на изображение</v>
      </c>
      <c r="EI503" t="s">
        <v>3143</v>
      </c>
      <c r="EJ503" t="s">
        <v>2939</v>
      </c>
      <c r="EK503" t="s">
        <v>3144</v>
      </c>
      <c r="EL503" t="s">
        <v>1899</v>
      </c>
    </row>
    <row r="504" spans="1:153" ht="15" customHeight="1" x14ac:dyDescent="0.35">
      <c r="A504">
        <v>857</v>
      </c>
      <c r="B504" t="s">
        <v>3145</v>
      </c>
      <c r="C504">
        <v>3</v>
      </c>
      <c r="D504" t="str">
        <f>VLOOKUP(source[[#This Row],[Приоритет]],тПриоритеты[],2,0)</f>
        <v>Малозначительное</v>
      </c>
      <c r="E504" t="str">
        <f>IF(ISBLANK(source[[#This Row],[Проверенные]]),IF(ISBLANK(source[[#This Row],[Завершенные]]),source[[#This Row],[Приоритет_]],"Завершено"),"Проверено")</f>
        <v>Проверено</v>
      </c>
      <c r="F504" t="s">
        <v>2870</v>
      </c>
      <c r="G504" t="s">
        <v>2926</v>
      </c>
      <c r="H504" t="e">
        <f>VLOOKUP(source[[#This Row],[Отвественный]],тОтветственные[],2,0)</f>
        <v>#N/A</v>
      </c>
      <c r="I504" s="2">
        <v>43837</v>
      </c>
      <c r="J504" s="2">
        <v>43837</v>
      </c>
      <c r="S504" s="1">
        <v>43837.981215277781</v>
      </c>
      <c r="T504" s="1">
        <v>43837.982233796298</v>
      </c>
      <c r="U504" s="1">
        <v>43837.982233796298</v>
      </c>
      <c r="W504" s="1">
        <v>43837.982233796298</v>
      </c>
      <c r="X504" t="s">
        <v>444</v>
      </c>
      <c r="AH504" t="s">
        <v>3146</v>
      </c>
      <c r="AI504" t="s">
        <v>3147</v>
      </c>
      <c r="AJ504" t="s">
        <v>3148</v>
      </c>
      <c r="AK504" t="s">
        <v>3149</v>
      </c>
      <c r="AL504" t="s">
        <v>3150</v>
      </c>
      <c r="AM504" t="s">
        <v>3151</v>
      </c>
      <c r="AN504" t="s">
        <v>3152</v>
      </c>
      <c r="EC504" t="s">
        <v>3153</v>
      </c>
      <c r="ED504" t="s">
        <v>2617</v>
      </c>
      <c r="EE504" t="s">
        <v>3154</v>
      </c>
      <c r="EF504" t="s">
        <v>3155</v>
      </c>
      <c r="EG504" t="str">
        <f>HYPERLINK("https://d33htgqikc2pj4.cloudfront.net/qvHDimMUqxZcQnsj/4ba1335a-752f-418a-ab54-66c89667225f.jpeg", "Алексей Бирюков: Ссылка на изображение")</f>
        <v>Алексей Бирюков: Ссылка на изображение</v>
      </c>
      <c r="EH504" t="str">
        <f>HYPERLINK("https://d33htgqikc2pj4.cloudfront.net/qvHDimMUqxZcQnsj/0c23e66d-2d2a-42c6-89a5-8edd556d05c8.jpeg", "Алексей Бирюков: Ссылка на изображение")</f>
        <v>Алексей Бирюков: Ссылка на изображение</v>
      </c>
      <c r="EI504" t="str">
        <f>HYPERLINK("https://d33htgqikc2pj4.cloudfront.net/qvHDimMUqxZcQnsj/2e160246-dfee-4d8f-8804-d71514baa60b.jpeg", "Алексей Бирюков: Ссылка на изображение")</f>
        <v>Алексей Бирюков: Ссылка на изображение</v>
      </c>
      <c r="EJ504" t="str">
        <f>HYPERLINK("https://d33htgqikc2pj4.cloudfront.net/qvHDimMUqxZcQnsj/648ded63-d658-4219-a2d2-3f4e4e35503f.jpeg", "Алексей Бирюков: Ссылка на изображение")</f>
        <v>Алексей Бирюков: Ссылка на изображение</v>
      </c>
      <c r="EK504" t="str">
        <f>HYPERLINK("https://d33htgqikc2pj4.cloudfront.net/qvHDimMUqxZcQnsj/c1416ee0-a322-4b56-bcea-663d94f2bdc2.jpeg", "Алексей Бирюков: Ссылка на изображение")</f>
        <v>Алексей Бирюков: Ссылка на изображение</v>
      </c>
      <c r="EL504" t="str">
        <f>HYPERLINK("https://d33htgqikc2pj4.cloudfront.net/qvHDimMUqxZcQnsj/42609b41-a51e-4595-9a61-7255d9186be9.jpeg", "Алексей Бирюков: Ссылка на изображение")</f>
        <v>Алексей Бирюков: Ссылка на изображение</v>
      </c>
      <c r="EM504" t="str">
        <f>HYPERLINK("https://d33htgqikc2pj4.cloudfront.net/qvHDimMUqxZcQnsj/4831b9c7-1bae-4a29-a6ca-7caa17bfa794.mp4", "Алексей Бирюков: Ссылка на видео")</f>
        <v>Алексей Бирюков: Ссылка на видео</v>
      </c>
      <c r="EN504" t="str">
        <f>HYPERLINK("https://d33htgqikc2pj4.cloudfront.net/qvHDimMUqxZcQnsj/dcb23c25-9117-481c-8ecf-13d01e24a254.mp4", "Алексей Бирюков: Ссылка на видео")</f>
        <v>Алексей Бирюков: Ссылка на видео</v>
      </c>
      <c r="EO504" t="str">
        <f>HYPERLINK("https://d33htgqikc2pj4.cloudfront.net/qvHDimMUqxZcQnsj/4d63e9f7-2164-43c9-acfe-926a6d338146.jpeg", "Алексей Бирюков: Ссылка на изображение")</f>
        <v>Алексей Бирюков: Ссылка на изображение</v>
      </c>
      <c r="EP504" t="str">
        <f>HYPERLINK("https://d33htgqikc2pj4.cloudfront.net/qvHDimMUqxZcQnsj/14dfcc86-a9c5-47ee-b2a1-95645abd0e26.jpeg", "Алексей Бирюков: Ссылка на изображение")</f>
        <v>Алексей Бирюков: Ссылка на изображение</v>
      </c>
      <c r="EQ504" t="s">
        <v>2977</v>
      </c>
      <c r="ER504" t="s">
        <v>3156</v>
      </c>
      <c r="ES504" t="s">
        <v>2939</v>
      </c>
      <c r="ET504" t="s">
        <v>1902</v>
      </c>
      <c r="EU504" t="s">
        <v>1899</v>
      </c>
    </row>
    <row r="505" spans="1:153" ht="15" customHeight="1" x14ac:dyDescent="0.35">
      <c r="A505">
        <v>1182</v>
      </c>
      <c r="B505" t="s">
        <v>3157</v>
      </c>
      <c r="C505">
        <v>3</v>
      </c>
      <c r="D505" t="str">
        <f>VLOOKUP(source[[#This Row],[Приоритет]],тПриоритеты[],2,0)</f>
        <v>Малозначительное</v>
      </c>
      <c r="E505" t="str">
        <f>IF(ISBLANK(source[[#This Row],[Проверенные]]),IF(ISBLANK(source[[#This Row],[Завершенные]]),source[[#This Row],[Приоритет_]],"Завершено"),"Проверено")</f>
        <v>Проверено</v>
      </c>
      <c r="F505" t="s">
        <v>2870</v>
      </c>
      <c r="G505" t="s">
        <v>2926</v>
      </c>
      <c r="H505" t="e">
        <f>VLOOKUP(source[[#This Row],[Отвественный]],тОтветственные[],2,0)</f>
        <v>#N/A</v>
      </c>
      <c r="I505" s="2">
        <v>43866</v>
      </c>
      <c r="J505" s="2">
        <v>43866</v>
      </c>
      <c r="S505" s="1">
        <v>43865.998518518521</v>
      </c>
      <c r="T505" s="1">
        <v>43866.124027777776</v>
      </c>
      <c r="U505" s="1">
        <v>43866.124027777776</v>
      </c>
      <c r="W505" s="1">
        <v>43866.124050925922</v>
      </c>
      <c r="X505" t="s">
        <v>2941</v>
      </c>
      <c r="AH505" t="s">
        <v>3158</v>
      </c>
      <c r="AI505" t="s">
        <v>3159</v>
      </c>
      <c r="AJ505" t="s">
        <v>3160</v>
      </c>
      <c r="AK505" t="s">
        <v>3161</v>
      </c>
      <c r="EC505" t="s">
        <v>3162</v>
      </c>
      <c r="ED505" t="str">
        <f>HYPERLINK("https://d33htgqikc2pj4.cloudfront.net/qvHDimMUqxZcQnsj/3e05e2d8-ac7d-42a8-9263-dc2e26357ee6.jpeg", "Алексей Бирюков: Ссылка на изображение")</f>
        <v>Алексей Бирюков: Ссылка на изображение</v>
      </c>
      <c r="EE505" t="str">
        <f>HYPERLINK("https://d33htgqikc2pj4.cloudfront.net/qvHDimMUqxZcQnsj/7817e6bf-476f-4e5e-ac11-df3d2b12e619.jpeg", "Алексей Бирюков: Ссылка на изображение")</f>
        <v>Алексей Бирюков: Ссылка на изображение</v>
      </c>
      <c r="EF505" t="str">
        <f>HYPERLINK("https://d33htgqikc2pj4.cloudfront.net/qvHDimMUqxZcQnsj/1b7e171b-f02a-43e3-ab69-a01ca262addb.jpeg", "Алексей Бирюков: Ссылка на изображение")</f>
        <v>Алексей Бирюков: Ссылка на изображение</v>
      </c>
      <c r="EG505" t="str">
        <f>HYPERLINK("https://d33htgqikc2pj4.cloudfront.net/qvHDimMUqxZcQnsj/ec79ffa4-caa9-494c-b65c-ec40de6c56b2.jpeg", "Алексей Бирюков: Ссылка на изображение")</f>
        <v>Алексей Бирюков: Ссылка на изображение</v>
      </c>
      <c r="EH505" t="str">
        <f>HYPERLINK("https://d33htgqikc2pj4.cloudfront.net/qvHDimMUqxZcQnsj/a8ece7cd-fde7-4932-8fc0-940055129036.jpeg", "Алексей Бирюков: Ссылка на изображение")</f>
        <v>Алексей Бирюков: Ссылка на изображение</v>
      </c>
      <c r="EI505" t="str">
        <f>HYPERLINK("https://d33htgqikc2pj4.cloudfront.net/qvHDimMUqxZcQnsj/a2b8d22a-9572-45ac-b403-bb5e81d66714.jpeg", "Алексей Бирюков: Ссылка на изображение")</f>
        <v>Алексей Бирюков: Ссылка на изображение</v>
      </c>
      <c r="EJ505" t="str">
        <f>HYPERLINK("https://d33htgqikc2pj4.cloudfront.net/qvHDimMUqxZcQnsj/3d250db2-38c8-4688-99d4-8a6a0391bdae.jpeg", "Алексей Бирюков: Ссылка на изображение")</f>
        <v>Алексей Бирюков: Ссылка на изображение</v>
      </c>
      <c r="EK505" t="str">
        <f>HYPERLINK("https://d33htgqikc2pj4.cloudfront.net/qvHDimMUqxZcQnsj/5e2e36af-b184-4335-b478-d5e3872e7e54.jpeg", "Алексей Бирюков: Ссылка на изображение")</f>
        <v>Алексей Бирюков: Ссылка на изображение</v>
      </c>
      <c r="EL505" t="str">
        <f>HYPERLINK("https://d33htgqikc2pj4.cloudfront.net/qvHDimMUqxZcQnsj/218c2251-d7e8-4065-9312-514d5d21d313.jpeg", "Алексей Бирюков: Ссылка на изображение")</f>
        <v>Алексей Бирюков: Ссылка на изображение</v>
      </c>
      <c r="EM505" t="s">
        <v>3163</v>
      </c>
      <c r="EN505" t="s">
        <v>2939</v>
      </c>
      <c r="EO505" t="str">
        <f>HYPERLINK("https://d33htgqikc2pj4.cloudfront.net/qvHDimMUqxZcQnsj/3dc4f603-3a7f-498a-a949-aa84879051ef.jpeg", "Алексей Бирюков: Ссылка на изображение")</f>
        <v>Алексей Бирюков: Ссылка на изображение</v>
      </c>
      <c r="EP505" t="str">
        <f>HYPERLINK("https://d33htgqikc2pj4.cloudfront.net/qvHDimMUqxZcQnsj/4187107c-dffe-4f66-ac2e-189bc3a202ea.jpeg", "Алексей Бирюков: Ссылка на изображение")</f>
        <v>Алексей Бирюков: Ссылка на изображение</v>
      </c>
      <c r="EQ505" t="str">
        <f>HYPERLINK("https://d33htgqikc2pj4.cloudfront.net/qvHDimMUqxZcQnsj/90d90ede-c294-488d-8147-9002961e2322.jpeg", "Алексей Бирюков: Ссылка на изображение")</f>
        <v>Алексей Бирюков: Ссылка на изображение</v>
      </c>
      <c r="ER505" t="str">
        <f>HYPERLINK("https://d33htgqikc2pj4.cloudfront.net/qvHDimMUqxZcQnsj/3c4c26bd-0951-4ba2-81ed-0f22638873a7.jpeg", "Алексей Бирюков: Ссылка на изображение")</f>
        <v>Алексей Бирюков: Ссылка на изображение</v>
      </c>
      <c r="ES505" t="s">
        <v>2977</v>
      </c>
      <c r="ET505" t="s">
        <v>3164</v>
      </c>
      <c r="EU505" t="s">
        <v>1899</v>
      </c>
    </row>
    <row r="506" spans="1:153" ht="15" customHeight="1" x14ac:dyDescent="0.35">
      <c r="A506">
        <v>880</v>
      </c>
      <c r="B506" t="s">
        <v>3165</v>
      </c>
      <c r="C506">
        <v>2</v>
      </c>
      <c r="D506" t="str">
        <f>VLOOKUP(source[[#This Row],[Приоритет]],тПриоритеты[],2,0)</f>
        <v>Значительное</v>
      </c>
      <c r="E506" t="str">
        <f>IF(ISBLANK(source[[#This Row],[Проверенные]]),IF(ISBLANK(source[[#This Row],[Завершенные]]),source[[#This Row],[Приоритет_]],"Завершено"),"Проверено")</f>
        <v>Проверено</v>
      </c>
      <c r="F506" t="s">
        <v>2870</v>
      </c>
      <c r="G506" t="s">
        <v>2926</v>
      </c>
      <c r="H506" t="e">
        <f>VLOOKUP(source[[#This Row],[Отвественный]],тОтветственные[],2,0)</f>
        <v>#N/A</v>
      </c>
      <c r="I506" s="2">
        <v>43840</v>
      </c>
      <c r="J506" s="2">
        <v>43840</v>
      </c>
      <c r="S506" s="1">
        <v>43840.493993055556</v>
      </c>
      <c r="T506" s="1">
        <v>43840.587094907409</v>
      </c>
      <c r="U506" s="1">
        <v>43840.587094907409</v>
      </c>
      <c r="W506" s="1">
        <v>43840.717199074075</v>
      </c>
      <c r="X506" t="s">
        <v>2941</v>
      </c>
      <c r="AH506" t="s">
        <v>3166</v>
      </c>
      <c r="AI506" t="s">
        <v>3167</v>
      </c>
      <c r="AJ506" t="s">
        <v>3168</v>
      </c>
      <c r="AK506" t="s">
        <v>3169</v>
      </c>
      <c r="EC506" t="s">
        <v>3170</v>
      </c>
      <c r="ED506" t="s">
        <v>2939</v>
      </c>
      <c r="EE506" t="s">
        <v>3171</v>
      </c>
      <c r="EF506" t="str">
        <f>HYPERLINK("https://d33htgqikc2pj4.cloudfront.net/qvHDimMUqxZcQnsj/e24576f9-ca52-4487-8369-653690ee44b1.jpeg", "Алексей Бирюков: Ссылка на изображение")</f>
        <v>Алексей Бирюков: Ссылка на изображение</v>
      </c>
      <c r="EG506" t="str">
        <f>HYPERLINK("https://d33htgqikc2pj4.cloudfront.net/qvHDimMUqxZcQnsj/b0236043-c32a-4df5-87b2-5fff4ff65621.jpeg", "Алексей Бирюков: Ссылка на изображение")</f>
        <v>Алексей Бирюков: Ссылка на изображение</v>
      </c>
      <c r="EH506" t="str">
        <f>HYPERLINK("https://d33htgqikc2pj4.cloudfront.net/qvHDimMUqxZcQnsj/8a6b847c-8a64-4c05-b4d0-ec026028d651.jpeg", "Алексей Бирюков: Ссылка на изображение")</f>
        <v>Алексей Бирюков: Ссылка на изображение</v>
      </c>
      <c r="EI506" t="str">
        <f>HYPERLINK("https://d33htgqikc2pj4.cloudfront.net/qvHDimMUqxZcQnsj/77bd814c-5493-450f-92fd-f157b685bb40.jpeg", "Алексей Бирюков: Ссылка на изображение")</f>
        <v>Алексей Бирюков: Ссылка на изображение</v>
      </c>
      <c r="EJ506" t="str">
        <f>HYPERLINK("https://d33htgqikc2pj4.cloudfront.net/qvHDimMUqxZcQnsj/b12ae685-9775-4843-bab4-9a10d760f775.jpeg", "Алексей Бирюков: Ссылка на изображение")</f>
        <v>Алексей Бирюков: Ссылка на изображение</v>
      </c>
      <c r="EK506" t="s">
        <v>3172</v>
      </c>
      <c r="EL506" t="s">
        <v>3173</v>
      </c>
      <c r="EM506" t="s">
        <v>1899</v>
      </c>
    </row>
    <row r="507" spans="1:153" ht="15" customHeight="1" x14ac:dyDescent="0.35">
      <c r="A507">
        <v>889</v>
      </c>
      <c r="B507" t="s">
        <v>3174</v>
      </c>
      <c r="C507">
        <v>3</v>
      </c>
      <c r="D507" t="str">
        <f>VLOOKUP(source[[#This Row],[Приоритет]],тПриоритеты[],2,0)</f>
        <v>Малозначительное</v>
      </c>
      <c r="E507" t="str">
        <f>IF(ISBLANK(source[[#This Row],[Проверенные]]),IF(ISBLANK(source[[#This Row],[Завершенные]]),source[[#This Row],[Приоритет_]],"Завершено"),"Проверено")</f>
        <v>Проверено</v>
      </c>
      <c r="F507" t="s">
        <v>2870</v>
      </c>
      <c r="G507" t="s">
        <v>2926</v>
      </c>
      <c r="H507" t="e">
        <f>VLOOKUP(source[[#This Row],[Отвественный]],тОтветственные[],2,0)</f>
        <v>#N/A</v>
      </c>
      <c r="I507" s="2">
        <v>43840</v>
      </c>
      <c r="J507" s="2">
        <v>43840</v>
      </c>
      <c r="S507" s="1">
        <v>43840.717210648145</v>
      </c>
      <c r="T507" s="1">
        <v>43840.610462962963</v>
      </c>
      <c r="U507" s="1">
        <v>43840.610462962963</v>
      </c>
      <c r="W507" s="1">
        <v>43840.717210648145</v>
      </c>
      <c r="EC507" t="s">
        <v>3175</v>
      </c>
      <c r="ED507" t="s">
        <v>2939</v>
      </c>
      <c r="EE507" t="s">
        <v>3171</v>
      </c>
      <c r="EF507" t="str">
        <f>HYPERLINK("https://d33htgqikc2pj4.cloudfront.net/qvHDimMUqxZcQnsj/6d3ce57b-2c26-438e-83c9-eefac93def42.jpeg", "Алексей Бирюков: Ссылка на изображение")</f>
        <v>Алексей Бирюков: Ссылка на изображение</v>
      </c>
      <c r="EG507" t="str">
        <f>HYPERLINK("https://d33htgqikc2pj4.cloudfront.net/qvHDimMUqxZcQnsj/3092d4d1-f70d-4fd4-98d1-65cdc89cf85c.jpeg", "Алексей Бирюков: Ссылка на изображение")</f>
        <v>Алексей Бирюков: Ссылка на изображение</v>
      </c>
      <c r="EH507" t="str">
        <f>HYPERLINK("https://d33htgqikc2pj4.cloudfront.net/qvHDimMUqxZcQnsj/aba31bce-ba35-401e-a3f9-3c3e0ce52e65.jpeg", "Алексей Бирюков: Ссылка на изображение")</f>
        <v>Алексей Бирюков: Ссылка на изображение</v>
      </c>
      <c r="EI507" t="str">
        <f>HYPERLINK("https://d33htgqikc2pj4.cloudfront.net/qvHDimMUqxZcQnsj/0f1c4596-1390-4cc3-932c-bd1cb606a58b.jpeg", "Алексей Бирюков: Ссылка на изображение")</f>
        <v>Алексей Бирюков: Ссылка на изображение</v>
      </c>
      <c r="EJ507" t="s">
        <v>1902</v>
      </c>
      <c r="EK507" t="s">
        <v>1899</v>
      </c>
      <c r="EL507" t="s">
        <v>1902</v>
      </c>
      <c r="EM507" t="s">
        <v>2977</v>
      </c>
      <c r="EN507" t="s">
        <v>1902</v>
      </c>
      <c r="EO507" t="s">
        <v>1899</v>
      </c>
    </row>
    <row r="508" spans="1:153" ht="15" customHeight="1" x14ac:dyDescent="0.35">
      <c r="A508">
        <v>887</v>
      </c>
      <c r="B508" t="s">
        <v>3176</v>
      </c>
      <c r="C508">
        <v>2</v>
      </c>
      <c r="D508" t="str">
        <f>VLOOKUP(source[[#This Row],[Приоритет]],тПриоритеты[],2,0)</f>
        <v>Значительное</v>
      </c>
      <c r="E508" t="str">
        <f>IF(ISBLANK(source[[#This Row],[Проверенные]]),IF(ISBLANK(source[[#This Row],[Завершенные]]),source[[#This Row],[Приоритет_]],"Завершено"),"Проверено")</f>
        <v>Проверено</v>
      </c>
      <c r="F508" t="s">
        <v>2870</v>
      </c>
      <c r="G508" t="s">
        <v>2926</v>
      </c>
      <c r="H508" t="e">
        <f>VLOOKUP(source[[#This Row],[Отвественный]],тОтветственные[],2,0)</f>
        <v>#N/A</v>
      </c>
      <c r="I508" s="2">
        <v>43840</v>
      </c>
      <c r="J508" s="2">
        <v>43840</v>
      </c>
      <c r="S508" s="1">
        <v>43840.717199074075</v>
      </c>
      <c r="T508" s="1">
        <v>43840.587002314816</v>
      </c>
      <c r="U508" s="1">
        <v>43840.587002314816</v>
      </c>
      <c r="W508" s="1">
        <v>43840.717210648145</v>
      </c>
      <c r="X508" t="s">
        <v>2941</v>
      </c>
      <c r="AH508" t="s">
        <v>3166</v>
      </c>
      <c r="AI508" t="s">
        <v>3167</v>
      </c>
      <c r="AJ508" t="s">
        <v>3168</v>
      </c>
      <c r="AK508" t="s">
        <v>3169</v>
      </c>
      <c r="EC508" t="s">
        <v>3177</v>
      </c>
      <c r="ED508" t="s">
        <v>2939</v>
      </c>
      <c r="EE508" t="s">
        <v>3171</v>
      </c>
      <c r="EF508" t="str">
        <f>HYPERLINK("https://d33htgqikc2pj4.cloudfront.net/qvHDimMUqxZcQnsj/c3db0264-62dd-479f-a793-62bcba421c7d.jpeg", "Алексей Бирюков: Ссылка на изображение")</f>
        <v>Алексей Бирюков: Ссылка на изображение</v>
      </c>
      <c r="EG508" t="str">
        <f>HYPERLINK("https://d33htgqikc2pj4.cloudfront.net/qvHDimMUqxZcQnsj/bf14be44-7712-49d1-90f7-1373e3bd1675.jpeg", "Алексей Бирюков: Ссылка на изображение")</f>
        <v>Алексей Бирюков: Ссылка на изображение</v>
      </c>
      <c r="EH508" t="str">
        <f>HYPERLINK("https://d33htgqikc2pj4.cloudfront.net/qvHDimMUqxZcQnsj/6d46232c-654c-4b80-88a1-c73016515884.jpeg", "Алексей Бирюков: Ссылка на изображение")</f>
        <v>Алексей Бирюков: Ссылка на изображение</v>
      </c>
      <c r="EI508" t="str">
        <f>HYPERLINK("https://d33htgqikc2pj4.cloudfront.net/qvHDimMUqxZcQnsj/e8c61bcc-59d0-4432-9e51-0112a2a60371.jpeg", "Алексей Бирюков: Ссылка на изображение")</f>
        <v>Алексей Бирюков: Ссылка на изображение</v>
      </c>
      <c r="EJ508" t="str">
        <f>HYPERLINK("https://d33htgqikc2pj4.cloudfront.net/qvHDimMUqxZcQnsj/b6a6b094-e4d2-4228-a666-2871acfc63b6.jpeg", "Алексей Бирюков: Ссылка на изображение")</f>
        <v>Алексей Бирюков: Ссылка на изображение</v>
      </c>
      <c r="EK508" t="str">
        <f>HYPERLINK("https://d33htgqikc2pj4.cloudfront.net/qvHDimMUqxZcQnsj/5ea5a12f-fdaf-464b-8ee5-5984a947df20.jpeg", "Алексей Бирюков: Ссылка на изображение")</f>
        <v>Алексей Бирюков: Ссылка на изображение</v>
      </c>
      <c r="EL508" t="s">
        <v>3178</v>
      </c>
      <c r="EM508" t="s">
        <v>1899</v>
      </c>
    </row>
    <row r="509" spans="1:153" ht="15" customHeight="1" x14ac:dyDescent="0.35">
      <c r="A509">
        <v>1233</v>
      </c>
      <c r="B509" t="s">
        <v>3179</v>
      </c>
      <c r="C509">
        <v>2</v>
      </c>
      <c r="D509" t="str">
        <f>VLOOKUP(source[[#This Row],[Приоритет]],тПриоритеты[],2,0)</f>
        <v>Значительное</v>
      </c>
      <c r="E509" t="str">
        <f>IF(ISBLANK(source[[#This Row],[Проверенные]]),IF(ISBLANK(source[[#This Row],[Завершенные]]),source[[#This Row],[Приоритет_]],"Завершено"),"Проверено")</f>
        <v>Проверено</v>
      </c>
      <c r="F509" t="s">
        <v>2870</v>
      </c>
      <c r="G509" t="s">
        <v>2926</v>
      </c>
      <c r="H509" t="e">
        <f>VLOOKUP(source[[#This Row],[Отвественный]],тОтветственные[],2,0)</f>
        <v>#N/A</v>
      </c>
      <c r="I509" s="2">
        <v>43868</v>
      </c>
      <c r="J509" s="2">
        <v>43868</v>
      </c>
      <c r="S509" s="1">
        <v>43868.471990740742</v>
      </c>
      <c r="T509" s="1">
        <v>43868.774814814817</v>
      </c>
      <c r="U509" s="1">
        <v>43868.774814814817</v>
      </c>
      <c r="W509" s="1">
        <v>43868.774814814817</v>
      </c>
      <c r="X509" t="s">
        <v>2606</v>
      </c>
      <c r="AH509" t="s">
        <v>3180</v>
      </c>
      <c r="AI509" t="s">
        <v>3181</v>
      </c>
      <c r="AJ509" t="s">
        <v>3182</v>
      </c>
      <c r="AK509" t="s">
        <v>3183</v>
      </c>
      <c r="AL509" t="s">
        <v>3184</v>
      </c>
      <c r="AM509" t="s">
        <v>3185</v>
      </c>
      <c r="AN509" t="s">
        <v>3186</v>
      </c>
      <c r="AO509" t="s">
        <v>3187</v>
      </c>
      <c r="EC509" t="s">
        <v>3188</v>
      </c>
      <c r="ED509" t="str">
        <f>HYPERLINK("https://d33htgqikc2pj4.cloudfront.net/qvHDimMUqxZcQnsj/658a8f89-a5af-4082-81d4-462aa5ef4237.jpeg", "Алексей Бирюков: Ссылка на изображение")</f>
        <v>Алексей Бирюков: Ссылка на изображение</v>
      </c>
      <c r="EE509" t="str">
        <f>HYPERLINK("https://d33htgqikc2pj4.cloudfront.net/qvHDimMUqxZcQnsj/cd79bdf6-761c-4dc0-ae5c-b0a29700c21c.jpeg", "Алексей Бирюков: Ссылка на изображение")</f>
        <v>Алексей Бирюков: Ссылка на изображение</v>
      </c>
      <c r="EF509" t="str">
        <f>HYPERLINK("https://d33htgqikc2pj4.cloudfront.net/qvHDimMUqxZcQnsj/3ce981b8-9afa-44e8-9eb9-3f77575eb486.jpeg", "Алексей Бирюков: Ссылка на изображение")</f>
        <v>Алексей Бирюков: Ссылка на изображение</v>
      </c>
      <c r="EG509" t="str">
        <f>HYPERLINK("https://d33htgqikc2pj4.cloudfront.net/qvHDimMUqxZcQnsj/5e5559c3-b9e0-4afd-b0e8-1f42aa9b095e.jpeg", "Алексей Бирюков: Ссылка на изображение")</f>
        <v>Алексей Бирюков: Ссылка на изображение</v>
      </c>
      <c r="EH509" t="str">
        <f>HYPERLINK("https://d33htgqikc2pj4.cloudfront.net/qvHDimMUqxZcQnsj/fabe5e94-9e1a-45e5-a826-405ffd7097df.jpeg", "Алексей Бирюков: Ссылка на изображение")</f>
        <v>Алексей Бирюков: Ссылка на изображение</v>
      </c>
      <c r="EI509" t="s">
        <v>2939</v>
      </c>
      <c r="EJ509" t="s">
        <v>3189</v>
      </c>
      <c r="EK509" t="s">
        <v>1899</v>
      </c>
      <c r="EL509" t="str">
        <f>HYPERLINK("https://d33htgqikc2pj4.cloudfront.net/qvHDimMUqxZcQnsj/dedb1ac6-4581-4c26-963f-c71ef5aab60e.jpeg", "Алексей Бирюков: Ссылка на изображение")</f>
        <v>Алексей Бирюков: Ссылка на изображение</v>
      </c>
      <c r="EM509" t="str">
        <f>HYPERLINK("https://d33htgqikc2pj4.cloudfront.net/qvHDimMUqxZcQnsj/1348a0fe-c258-439c-9ba9-25352d127cca.jpeg", "Алексей Бирюков: Ссылка на изображение")</f>
        <v>Алексей Бирюков: Ссылка на изображение</v>
      </c>
      <c r="EN509" t="str">
        <f>HYPERLINK("https://d33htgqikc2pj4.cloudfront.net/qvHDimMUqxZcQnsj/d8c833e6-f9c0-48b3-bbda-6d76f4accc51.jpeg", "Алексей Бирюков: Ссылка на изображение")</f>
        <v>Алексей Бирюков: Ссылка на изображение</v>
      </c>
      <c r="EO509" t="str">
        <f>HYPERLINK("https://d33htgqikc2pj4.cloudfront.net/qvHDimMUqxZcQnsj/14d4e818-11a6-4c20-8a6b-58f1b232b8f5.jpeg", "Алексей Бирюков: Ссылка на изображение")</f>
        <v>Алексей Бирюков: Ссылка на изображение</v>
      </c>
      <c r="EP509" t="str">
        <f>HYPERLINK("https://d33htgqikc2pj4.cloudfront.net/qvHDimMUqxZcQnsj/18b45ee2-3b1e-4872-a2d6-79d78c42447c.jpeg", "Алексей Бирюков: Ссылка на изображение")</f>
        <v>Алексей Бирюков: Ссылка на изображение</v>
      </c>
      <c r="EQ509" t="str">
        <f>HYPERLINK("https://d33htgqikc2pj4.cloudfront.net/qvHDimMUqxZcQnsj/7836a5a6-a13e-49ae-b438-22ad4b2214c0.jpeg", "Алексей Бирюков: Ссылка на изображение")</f>
        <v>Алексей Бирюков: Ссылка на изображение</v>
      </c>
      <c r="ER509" t="str">
        <f>HYPERLINK("https://d33htgqikc2pj4.cloudfront.net/qvHDimMUqxZcQnsj/f4066121-c11c-42fe-9bd0-79ea13683c72.jpeg", "Алексей Бирюков: Ссылка на изображение")</f>
        <v>Алексей Бирюков: Ссылка на изображение</v>
      </c>
    </row>
    <row r="510" spans="1:153" ht="15" customHeight="1" x14ac:dyDescent="0.35">
      <c r="A510">
        <v>1249</v>
      </c>
      <c r="B510" t="s">
        <v>3190</v>
      </c>
      <c r="C510">
        <v>2</v>
      </c>
      <c r="D510" t="str">
        <f>VLOOKUP(source[[#This Row],[Приоритет]],тПриоритеты[],2,0)</f>
        <v>Значительное</v>
      </c>
      <c r="E510" t="str">
        <f>IF(ISBLANK(source[[#This Row],[Проверенные]]),IF(ISBLANK(source[[#This Row],[Завершенные]]),source[[#This Row],[Приоритет_]],"Завершено"),"Проверено")</f>
        <v>Проверено</v>
      </c>
      <c r="F510" t="s">
        <v>2870</v>
      </c>
      <c r="G510" t="s">
        <v>2926</v>
      </c>
      <c r="H510" t="e">
        <f>VLOOKUP(source[[#This Row],[Отвественный]],тОтветственные[],2,0)</f>
        <v>#N/A</v>
      </c>
      <c r="I510" s="2">
        <v>43869</v>
      </c>
      <c r="J510" s="2">
        <v>43869</v>
      </c>
      <c r="S510" s="1">
        <v>43869.527013888888</v>
      </c>
      <c r="T510" s="1">
        <v>43869.739432870374</v>
      </c>
      <c r="U510" s="1">
        <v>43869.739432870374</v>
      </c>
      <c r="W510" s="1">
        <v>43869.739432870374</v>
      </c>
      <c r="X510" t="s">
        <v>3191</v>
      </c>
      <c r="AH510" t="s">
        <v>3192</v>
      </c>
      <c r="AI510" t="s">
        <v>3193</v>
      </c>
      <c r="AJ510" t="s">
        <v>3194</v>
      </c>
      <c r="AK510" t="s">
        <v>3195</v>
      </c>
      <c r="AL510" t="s">
        <v>3196</v>
      </c>
      <c r="AM510" t="s">
        <v>3197</v>
      </c>
      <c r="AN510" t="s">
        <v>3198</v>
      </c>
      <c r="AO510" t="s">
        <v>3199</v>
      </c>
      <c r="EC510" t="s">
        <v>3200</v>
      </c>
      <c r="ED510" t="s">
        <v>2939</v>
      </c>
      <c r="EE510" t="s">
        <v>3201</v>
      </c>
      <c r="EF510" t="str">
        <f>HYPERLINK("https://d33htgqikc2pj4.cloudfront.net/qvHDimMUqxZcQnsj/c0083e6f-b616-4776-9671-c6cd18e77c3d.jpeg", "Алексей Бирюков: Ссылка на изображение")</f>
        <v>Алексей Бирюков: Ссылка на изображение</v>
      </c>
      <c r="EG510" t="str">
        <f>HYPERLINK("https://d33htgqikc2pj4.cloudfront.net/qvHDimMUqxZcQnsj/3db2493d-b4f8-4ddf-b61b-af954239de5f.jpeg", "Алексей Бирюков: Ссылка на изображение")</f>
        <v>Алексей Бирюков: Ссылка на изображение</v>
      </c>
      <c r="EH510" t="str">
        <f>HYPERLINK("https://d33htgqikc2pj4.cloudfront.net/qvHDimMUqxZcQnsj/fa3e3274-f9c4-4962-a146-a85ac5bd7855.jpeg", "Алексей Бирюков: Ссылка на изображение")</f>
        <v>Алексей Бирюков: Ссылка на изображение</v>
      </c>
      <c r="EI510" t="str">
        <f>HYPERLINK("https://d33htgqikc2pj4.cloudfront.net/qvHDimMUqxZcQnsj/7bdc72c0-ee29-4027-be9d-8017f9ba7724.jpeg", "Алексей Бирюков: Ссылка на изображение")</f>
        <v>Алексей Бирюков: Ссылка на изображение</v>
      </c>
      <c r="EJ510" t="str">
        <f>HYPERLINK("https://d33htgqikc2pj4.cloudfront.net/qvHDimMUqxZcQnsj/06ab0b21-dead-414b-9348-a9c85a2bf7f2.jpeg", "Алексей Бирюков: Ссылка на изображение")</f>
        <v>Алексей Бирюков: Ссылка на изображение</v>
      </c>
      <c r="EK510" t="s">
        <v>3202</v>
      </c>
      <c r="EL510" t="s">
        <v>1899</v>
      </c>
    </row>
    <row r="511" spans="1:153" ht="15" customHeight="1" x14ac:dyDescent="0.35">
      <c r="A511">
        <v>925</v>
      </c>
      <c r="B511" t="s">
        <v>3203</v>
      </c>
      <c r="C511">
        <v>2</v>
      </c>
      <c r="D511" t="str">
        <f>VLOOKUP(source[[#This Row],[Приоритет]],тПриоритеты[],2,0)</f>
        <v>Значительное</v>
      </c>
      <c r="E511" t="str">
        <f>IF(ISBLANK(source[[#This Row],[Проверенные]]),IF(ISBLANK(source[[#This Row],[Завершенные]]),source[[#This Row],[Приоритет_]],"Завершено"),"Проверено")</f>
        <v>Проверено</v>
      </c>
      <c r="F511" t="s">
        <v>2870</v>
      </c>
      <c r="G511" t="s">
        <v>2926</v>
      </c>
      <c r="H511" t="e">
        <f>VLOOKUP(source[[#This Row],[Отвественный]],тОтветственные[],2,0)</f>
        <v>#N/A</v>
      </c>
      <c r="I511" s="2">
        <v>43846</v>
      </c>
      <c r="J511" s="2">
        <v>43846</v>
      </c>
      <c r="S511" s="1">
        <v>43846.259432870371</v>
      </c>
      <c r="T511" s="1">
        <v>43846.260092592594</v>
      </c>
      <c r="U511" s="1">
        <v>43846.260092592594</v>
      </c>
      <c r="W511" s="1">
        <v>43846.260092592594</v>
      </c>
      <c r="X511" t="s">
        <v>2941</v>
      </c>
      <c r="AH511" t="s">
        <v>3204</v>
      </c>
      <c r="AI511" t="s">
        <v>3205</v>
      </c>
      <c r="AJ511" t="s">
        <v>3206</v>
      </c>
      <c r="AK511" t="s">
        <v>3207</v>
      </c>
      <c r="EC511" t="s">
        <v>3208</v>
      </c>
      <c r="ED511" t="s">
        <v>2939</v>
      </c>
      <c r="EE511" t="s">
        <v>3209</v>
      </c>
      <c r="EF511" t="str">
        <f>HYPERLINK("https://d33htgqikc2pj4.cloudfront.net/qvHDimMUqxZcQnsj/05063c47-0b70-4596-b276-0cda83fffdfd.jpeg", "Алексей Бирюков: Ссылка на изображение")</f>
        <v>Алексей Бирюков: Ссылка на изображение</v>
      </c>
      <c r="EG511" t="str">
        <f>HYPERLINK("https://d33htgqikc2pj4.cloudfront.net/qvHDimMUqxZcQnsj/62c35c88-15d2-4489-a4d8-8507b22b9b3a.jpeg", "Алексей Бирюков: Ссылка на изображение")</f>
        <v>Алексей Бирюков: Ссылка на изображение</v>
      </c>
      <c r="EH511" t="str">
        <f>HYPERLINK("https://d33htgqikc2pj4.cloudfront.net/qvHDimMUqxZcQnsj/ea253a58-a0c3-41db-ae50-4fb1ae45f72d.jpeg", "Алексей Бирюков: Ссылка на изображение")</f>
        <v>Алексей Бирюков: Ссылка на изображение</v>
      </c>
      <c r="EI511" t="str">
        <f>HYPERLINK("https://d33htgqikc2pj4.cloudfront.net/qvHDimMUqxZcQnsj/a9045ee8-126c-4b04-87d7-c0af7ad3be00.jpeg", "Алексей Бирюков: Ссылка на изображение")</f>
        <v>Алексей Бирюков: Ссылка на изображение</v>
      </c>
      <c r="EJ511" t="s">
        <v>1902</v>
      </c>
      <c r="EK511" t="s">
        <v>1899</v>
      </c>
    </row>
    <row r="512" spans="1:153" ht="15" customHeight="1" x14ac:dyDescent="0.35">
      <c r="A512">
        <v>941</v>
      </c>
      <c r="B512" t="s">
        <v>3210</v>
      </c>
      <c r="C512">
        <v>2</v>
      </c>
      <c r="D512" t="str">
        <f>VLOOKUP(source[[#This Row],[Приоритет]],тПриоритеты[],2,0)</f>
        <v>Значительное</v>
      </c>
      <c r="E512" t="str">
        <f>IF(ISBLANK(source[[#This Row],[Проверенные]]),IF(ISBLANK(source[[#This Row],[Завершенные]]),source[[#This Row],[Приоритет_]],"Завершено"),"Проверено")</f>
        <v>Проверено</v>
      </c>
      <c r="F512" t="s">
        <v>2870</v>
      </c>
      <c r="G512" t="s">
        <v>2926</v>
      </c>
      <c r="H512" t="e">
        <f>VLOOKUP(source[[#This Row],[Отвественный]],тОтветственные[],2,0)</f>
        <v>#N/A</v>
      </c>
      <c r="I512" s="2">
        <v>43848</v>
      </c>
      <c r="J512" s="2">
        <v>43848</v>
      </c>
      <c r="S512" s="1">
        <v>43848.518680555557</v>
      </c>
      <c r="T512" s="1">
        <v>43848.456724537034</v>
      </c>
      <c r="U512" s="1">
        <v>43848.456724537034</v>
      </c>
      <c r="W512" s="1">
        <v>43848.518680555557</v>
      </c>
      <c r="X512" t="s">
        <v>2941</v>
      </c>
      <c r="AH512" t="s">
        <v>3211</v>
      </c>
      <c r="AI512" t="s">
        <v>3212</v>
      </c>
      <c r="AJ512" t="s">
        <v>3213</v>
      </c>
      <c r="AK512" t="s">
        <v>3214</v>
      </c>
      <c r="EC512" t="s">
        <v>3215</v>
      </c>
      <c r="ED512" t="s">
        <v>3216</v>
      </c>
      <c r="EE512" t="str">
        <f>HYPERLINK("https://d33htgqikc2pj4.cloudfront.net/qvHDimMUqxZcQnsj/0282e535-2689-4277-a673-7352d7605cfd.jpeg", "Алексей Бирюков: Ссылка на изображение")</f>
        <v>Алексей Бирюков: Ссылка на изображение</v>
      </c>
      <c r="EF512" t="str">
        <f>HYPERLINK("https://d33htgqikc2pj4.cloudfront.net/qvHDimMUqxZcQnsj/8d4731c8-f1b2-47e7-b76d-894ce986ff39.jpeg", "Алексей Бирюков: Ссылка на изображение")</f>
        <v>Алексей Бирюков: Ссылка на изображение</v>
      </c>
      <c r="EG512" t="str">
        <f>HYPERLINK("https://d33htgqikc2pj4.cloudfront.net/qvHDimMUqxZcQnsj/f91ad5ac-2cdf-4de2-bca7-aa74a5fb33f8.jpeg", "Алексей Бирюков: Ссылка на изображение")</f>
        <v>Алексей Бирюков: Ссылка на изображение</v>
      </c>
      <c r="EH512" t="str">
        <f>HYPERLINK("https://d33htgqikc2pj4.cloudfront.net/qvHDimMUqxZcQnsj/ff9a6b0e-c916-468a-b6f6-2e15c19ad647.jpeg", "Алексей Бирюков: Ссылка на изображение")</f>
        <v>Алексей Бирюков: Ссылка на изображение</v>
      </c>
      <c r="EI512" t="str">
        <f>HYPERLINK("https://d33htgqikc2pj4.cloudfront.net/qvHDimMUqxZcQnsj/c373b79a-b011-4139-8d3b-7b9ba62ad682.jpeg", "Алексей Бирюков: Ссылка на изображение")</f>
        <v>Алексей Бирюков: Ссылка на изображение</v>
      </c>
      <c r="EJ512" t="str">
        <f>HYPERLINK("https://d33htgqikc2pj4.cloudfront.net/qvHDimMUqxZcQnsj/b9f269d9-24a0-4389-9ab0-c415f7190d71.jpeg", "Алексей Бирюков: Ссылка на изображение")</f>
        <v>Алексей Бирюков: Ссылка на изображение</v>
      </c>
      <c r="EK512" t="s">
        <v>3217</v>
      </c>
      <c r="EL512" t="s">
        <v>3218</v>
      </c>
      <c r="EM512" t="s">
        <v>2939</v>
      </c>
      <c r="EN512" t="s">
        <v>1902</v>
      </c>
      <c r="EO512" t="s">
        <v>1899</v>
      </c>
    </row>
    <row r="513" spans="1:152" ht="15" customHeight="1" x14ac:dyDescent="0.35">
      <c r="A513">
        <v>945</v>
      </c>
      <c r="B513" t="s">
        <v>3219</v>
      </c>
      <c r="C513">
        <v>2</v>
      </c>
      <c r="D513" t="str">
        <f>VLOOKUP(source[[#This Row],[Приоритет]],тПриоритеты[],2,0)</f>
        <v>Значительное</v>
      </c>
      <c r="E513" t="str">
        <f>IF(ISBLANK(source[[#This Row],[Проверенные]]),IF(ISBLANK(source[[#This Row],[Завершенные]]),source[[#This Row],[Приоритет_]],"Завершено"),"Проверено")</f>
        <v>Проверено</v>
      </c>
      <c r="F513" t="s">
        <v>2870</v>
      </c>
      <c r="G513" t="s">
        <v>2926</v>
      </c>
      <c r="H513" t="e">
        <f>VLOOKUP(source[[#This Row],[Отвественный]],тОтветственные[],2,0)</f>
        <v>#N/A</v>
      </c>
      <c r="I513" s="2">
        <v>43848</v>
      </c>
      <c r="J513" s="2">
        <v>43848</v>
      </c>
      <c r="S513" s="1">
        <v>43848.518680555557</v>
      </c>
      <c r="T513" s="1">
        <v>43848.519212962965</v>
      </c>
      <c r="U513" s="1">
        <v>43848.519212962965</v>
      </c>
      <c r="W513" s="1">
        <v>43848.519212962965</v>
      </c>
      <c r="X513" t="s">
        <v>2919</v>
      </c>
      <c r="AH513" t="s">
        <v>3220</v>
      </c>
      <c r="AI513" t="s">
        <v>3221</v>
      </c>
      <c r="AJ513" t="s">
        <v>3222</v>
      </c>
      <c r="AK513" t="s">
        <v>3223</v>
      </c>
      <c r="AL513" t="s">
        <v>3224</v>
      </c>
      <c r="AM513" t="s">
        <v>3225</v>
      </c>
      <c r="AN513" t="s">
        <v>3226</v>
      </c>
      <c r="AO513" t="s">
        <v>3227</v>
      </c>
      <c r="AP513" t="s">
        <v>3228</v>
      </c>
      <c r="AQ513" t="s">
        <v>3229</v>
      </c>
      <c r="AR513" t="s">
        <v>3230</v>
      </c>
      <c r="AS513" t="s">
        <v>3231</v>
      </c>
      <c r="EC513" t="s">
        <v>3232</v>
      </c>
      <c r="ED513" t="str">
        <f>HYPERLINK("https://d33htgqikc2pj4.cloudfront.net/qvHDimMUqxZcQnsj/779909b7-3b33-4971-a681-7f8908840daa.jpeg", "Алексей Бирюков: Ссылка на изображение")</f>
        <v>Алексей Бирюков: Ссылка на изображение</v>
      </c>
      <c r="EE513" t="str">
        <f>HYPERLINK("https://d33htgqikc2pj4.cloudfront.net/qvHDimMUqxZcQnsj/5b57d7b7-9d56-444e-9664-e647ab1a093e.jpeg", "Алексей Бирюков: Ссылка на изображение")</f>
        <v>Алексей Бирюков: Ссылка на изображение</v>
      </c>
      <c r="EF513" t="str">
        <f>HYPERLINK("https://d33htgqikc2pj4.cloudfront.net/qvHDimMUqxZcQnsj/74968c16-4de4-450d-b27b-37f2ea7bd5ed.jpeg", "Алексей Бирюков: Ссылка на изображение")</f>
        <v>Алексей Бирюков: Ссылка на изображение</v>
      </c>
      <c r="EG513" t="str">
        <f>HYPERLINK("https://d33htgqikc2pj4.cloudfront.net/qvHDimMUqxZcQnsj/f3922b78-fe4f-433d-8a44-b6e97ecf3ca5.jpeg", "Алексей Бирюков: Ссылка на изображение")</f>
        <v>Алексей Бирюков: Ссылка на изображение</v>
      </c>
      <c r="EH513" t="str">
        <f>HYPERLINK("https://d33htgqikc2pj4.cloudfront.net/qvHDimMUqxZcQnsj/877af384-af8c-402b-9f9a-9c170bc8736f.jpeg", "Алексей Бирюков: Ссылка на изображение")</f>
        <v>Алексей Бирюков: Ссылка на изображение</v>
      </c>
      <c r="EI513" t="str">
        <f>HYPERLINK("https://d33htgqikc2pj4.cloudfront.net/qvHDimMUqxZcQnsj/7265d484-10e9-4649-8118-bd2065b52841.jpeg", "Алексей Бирюков: Ссылка на изображение")</f>
        <v>Алексей Бирюков: Ссылка на изображение</v>
      </c>
      <c r="EJ513" t="str">
        <f>HYPERLINK("https://d33htgqikc2pj4.cloudfront.net/qvHDimMUqxZcQnsj/4cc8804c-d330-4176-8a9a-dd64d050f097.jpeg", "Алексей Бирюков: Ссылка на изображение")</f>
        <v>Алексей Бирюков: Ссылка на изображение</v>
      </c>
      <c r="EK513" t="s">
        <v>3233</v>
      </c>
      <c r="EL513" t="s">
        <v>2939</v>
      </c>
      <c r="EM513" t="s">
        <v>3216</v>
      </c>
      <c r="EN513" t="s">
        <v>1902</v>
      </c>
      <c r="EO513" t="s">
        <v>1899</v>
      </c>
    </row>
    <row r="514" spans="1:152" ht="15" customHeight="1" x14ac:dyDescent="0.35">
      <c r="A514">
        <v>942</v>
      </c>
      <c r="B514" t="s">
        <v>3234</v>
      </c>
      <c r="C514">
        <v>2</v>
      </c>
      <c r="D514" t="str">
        <f>VLOOKUP(source[[#This Row],[Приоритет]],тПриоритеты[],2,0)</f>
        <v>Значительное</v>
      </c>
      <c r="E514" t="str">
        <f>IF(ISBLANK(source[[#This Row],[Проверенные]]),IF(ISBLANK(source[[#This Row],[Завершенные]]),source[[#This Row],[Приоритет_]],"Завершено"),"Проверено")</f>
        <v>Проверено</v>
      </c>
      <c r="F514" t="s">
        <v>2870</v>
      </c>
      <c r="G514" t="s">
        <v>2926</v>
      </c>
      <c r="H514" t="e">
        <f>VLOOKUP(source[[#This Row],[Отвественный]],тОтветственные[],2,0)</f>
        <v>#N/A</v>
      </c>
      <c r="I514" s="2">
        <v>43848</v>
      </c>
      <c r="J514" s="2">
        <v>43848</v>
      </c>
      <c r="S514" s="1">
        <v>43848.518680555557</v>
      </c>
      <c r="T514" s="1">
        <v>43848.462465277778</v>
      </c>
      <c r="U514" s="1">
        <v>43848.462465277778</v>
      </c>
      <c r="W514" s="1">
        <v>43848.518680555557</v>
      </c>
      <c r="X514" t="s">
        <v>2606</v>
      </c>
      <c r="AH514" t="s">
        <v>3235</v>
      </c>
      <c r="AI514" t="s">
        <v>3236</v>
      </c>
      <c r="AJ514" t="s">
        <v>3237</v>
      </c>
      <c r="AK514" t="s">
        <v>3238</v>
      </c>
      <c r="AL514" t="s">
        <v>3239</v>
      </c>
      <c r="AM514" t="s">
        <v>3240</v>
      </c>
      <c r="AN514" t="s">
        <v>3241</v>
      </c>
      <c r="AO514" t="s">
        <v>3242</v>
      </c>
      <c r="EC514" t="s">
        <v>3243</v>
      </c>
      <c r="ED514" t="str">
        <f>HYPERLINK("https://d33htgqikc2pj4.cloudfront.net/qvHDimMUqxZcQnsj/3ab1f0ce-c35c-482c-bb21-567ff3b5edfa.jpeg", "Алексей Бирюков: Ссылка на изображение")</f>
        <v>Алексей Бирюков: Ссылка на изображение</v>
      </c>
      <c r="EE514" t="str">
        <f>HYPERLINK("https://d33htgqikc2pj4.cloudfront.net/qvHDimMUqxZcQnsj/f980c1a4-794a-4497-baf3-85688819e606.jpeg", "Алексей Бирюков: Ссылка на изображение")</f>
        <v>Алексей Бирюков: Ссылка на изображение</v>
      </c>
      <c r="EF514" t="str">
        <f>HYPERLINK("https://d33htgqikc2pj4.cloudfront.net/qvHDimMUqxZcQnsj/f02f85dd-ef31-45f7-91da-ea64c276d2d2.jpeg", "Алексей Бирюков: Ссылка на изображение")</f>
        <v>Алексей Бирюков: Ссылка на изображение</v>
      </c>
      <c r="EG514" t="str">
        <f>HYPERLINK("https://d33htgqikc2pj4.cloudfront.net/qvHDimMUqxZcQnsj/28a832ab-fd24-496c-87d0-1780a3d7b97b.jpeg", "Алексей Бирюков: Ссылка на изображение")</f>
        <v>Алексей Бирюков: Ссылка на изображение</v>
      </c>
      <c r="EH514" t="s">
        <v>2939</v>
      </c>
      <c r="EI514" t="s">
        <v>3244</v>
      </c>
      <c r="EJ514" t="s">
        <v>3216</v>
      </c>
      <c r="EK514" t="s">
        <v>1899</v>
      </c>
    </row>
    <row r="515" spans="1:152" ht="15" customHeight="1" x14ac:dyDescent="0.35">
      <c r="A515">
        <v>946</v>
      </c>
      <c r="B515" t="s">
        <v>3245</v>
      </c>
      <c r="C515">
        <v>2</v>
      </c>
      <c r="D515" t="str">
        <f>VLOOKUP(source[[#This Row],[Приоритет]],тПриоритеты[],2,0)</f>
        <v>Значительное</v>
      </c>
      <c r="E515" t="str">
        <f>IF(ISBLANK(source[[#This Row],[Проверенные]]),IF(ISBLANK(source[[#This Row],[Завершенные]]),source[[#This Row],[Приоритет_]],"Завершено"),"Проверено")</f>
        <v>Проверено</v>
      </c>
      <c r="F515" t="s">
        <v>2870</v>
      </c>
      <c r="G515" t="s">
        <v>2926</v>
      </c>
      <c r="H515" t="e">
        <f>VLOOKUP(source[[#This Row],[Отвественный]],тОтветственные[],2,0)</f>
        <v>#N/A</v>
      </c>
      <c r="I515" s="2">
        <v>43848</v>
      </c>
      <c r="J515" s="2">
        <v>43848</v>
      </c>
      <c r="S515" s="1">
        <v>43848.518692129626</v>
      </c>
      <c r="T515" s="1">
        <v>43848.520833333336</v>
      </c>
      <c r="U515" s="1">
        <v>43848.520833333336</v>
      </c>
      <c r="W515" s="1">
        <v>43848.520833333336</v>
      </c>
      <c r="X515" t="s">
        <v>2941</v>
      </c>
      <c r="AH515" t="s">
        <v>3211</v>
      </c>
      <c r="AI515" t="s">
        <v>3212</v>
      </c>
      <c r="AJ515" t="s">
        <v>3213</v>
      </c>
      <c r="AK515" t="s">
        <v>3214</v>
      </c>
      <c r="EC515" t="s">
        <v>3246</v>
      </c>
      <c r="ED515" t="str">
        <f>HYPERLINK("https://d33htgqikc2pj4.cloudfront.net/qvHDimMUqxZcQnsj/62122def-806b-48fe-87eb-3cc3667397ce.jpeg", "Алексей Бирюков: Ссылка на изображение")</f>
        <v>Алексей Бирюков: Ссылка на изображение</v>
      </c>
      <c r="EE515" t="str">
        <f>HYPERLINK("https://d33htgqikc2pj4.cloudfront.net/qvHDimMUqxZcQnsj/c4292ed5-6aa8-4979-b3b9-b45a786269d0.jpeg", "Алексей Бирюков: Ссылка на изображение")</f>
        <v>Алексей Бирюков: Ссылка на изображение</v>
      </c>
      <c r="EF515" t="str">
        <f>HYPERLINK("https://d33htgqikc2pj4.cloudfront.net/qvHDimMUqxZcQnsj/647f8da8-9d28-4186-acbc-e496aef061e5.jpeg", "Алексей Бирюков: Ссылка на изображение")</f>
        <v>Алексей Бирюков: Ссылка на изображение</v>
      </c>
      <c r="EG515" t="str">
        <f>HYPERLINK("https://d33htgqikc2pj4.cloudfront.net/qvHDimMUqxZcQnsj/817bdab4-73f8-4ba7-bfc8-1c9766aa3b5c.jpeg", "Алексей Бирюков: Ссылка на изображение")</f>
        <v>Алексей Бирюков: Ссылка на изображение</v>
      </c>
      <c r="EH515" t="str">
        <f>HYPERLINK("https://d33htgqikc2pj4.cloudfront.net/qvHDimMUqxZcQnsj/00f42918-9ec7-4ee3-9c4a-556fb8de8d4a.jpeg", "Алексей Бирюков: Ссылка на изображение")</f>
        <v>Алексей Бирюков: Ссылка на изображение</v>
      </c>
      <c r="EI515" t="str">
        <f>HYPERLINK("https://d33htgqikc2pj4.cloudfront.net/qvHDimMUqxZcQnsj/9ec7527b-1a97-4729-b842-d11e6d32c754.jpeg", "Алексей Бирюков: Ссылка на изображение")</f>
        <v>Алексей Бирюков: Ссылка на изображение</v>
      </c>
      <c r="EJ515" t="str">
        <f>HYPERLINK("https://d33htgqikc2pj4.cloudfront.net/qvHDimMUqxZcQnsj/70d20c49-40ea-429f-933a-9f03cac0e8e7.jpeg", "Алексей Бирюков: Ссылка на изображение")</f>
        <v>Алексей Бирюков: Ссылка на изображение</v>
      </c>
      <c r="EK515" t="str">
        <f>HYPERLINK("https://d33htgqikc2pj4.cloudfront.net/qvHDimMUqxZcQnsj/6615ee2f-3c3c-4eb5-a70d-88303b7a5b36.jpeg", "Алексей Бирюков: Ссылка на изображение")</f>
        <v>Алексей Бирюков: Ссылка на изображение</v>
      </c>
      <c r="EL515" t="str">
        <f>HYPERLINK("https://d33htgqikc2pj4.cloudfront.net/qvHDimMUqxZcQnsj/bb94a017-16f4-4ce3-9ac1-5d0f1f1baf31.jpeg", "Алексей Бирюков: Ссылка на изображение")</f>
        <v>Алексей Бирюков: Ссылка на изображение</v>
      </c>
      <c r="EM515" t="str">
        <f>HYPERLINK("https://d33htgqikc2pj4.cloudfront.net/qvHDimMUqxZcQnsj/5a1079a7-afca-4208-85ed-da3cd34d8d15.jpeg", "Алексей Бирюков: Ссылка на изображение")</f>
        <v>Алексей Бирюков: Ссылка на изображение</v>
      </c>
      <c r="EN515" t="str">
        <f>HYPERLINK("https://d33htgqikc2pj4.cloudfront.net/qvHDimMUqxZcQnsj/5b019c0d-5adf-4e7b-8030-d03602fae2a8.jpeg", "Алексей Бирюков: Ссылка на изображение")</f>
        <v>Алексей Бирюков: Ссылка на изображение</v>
      </c>
      <c r="EO515" t="str">
        <f>HYPERLINK("https://d33htgqikc2pj4.cloudfront.net/qvHDimMUqxZcQnsj/4f88a137-eb33-4f5d-acc4-c3530b076e30.jpeg", "Алексей Бирюков: Ссылка на изображение")</f>
        <v>Алексей Бирюков: Ссылка на изображение</v>
      </c>
      <c r="EP515" t="s">
        <v>3247</v>
      </c>
      <c r="EQ515" t="s">
        <v>3248</v>
      </c>
      <c r="ER515" t="s">
        <v>2939</v>
      </c>
      <c r="ES515" t="s">
        <v>3216</v>
      </c>
      <c r="ET515" t="s">
        <v>3249</v>
      </c>
      <c r="EU515" t="s">
        <v>1902</v>
      </c>
      <c r="EV515" t="s">
        <v>1899</v>
      </c>
    </row>
    <row r="516" spans="1:152" ht="15" customHeight="1" x14ac:dyDescent="0.35">
      <c r="A516">
        <v>953</v>
      </c>
      <c r="B516" t="s">
        <v>3250</v>
      </c>
      <c r="C516">
        <v>2</v>
      </c>
      <c r="D516" t="str">
        <f>VLOOKUP(source[[#This Row],[Приоритет]],тПриоритеты[],2,0)</f>
        <v>Значительное</v>
      </c>
      <c r="E516" t="str">
        <f>IF(ISBLANK(source[[#This Row],[Проверенные]]),IF(ISBLANK(source[[#This Row],[Завершенные]]),source[[#This Row],[Приоритет_]],"Завершено"),"Проверено")</f>
        <v>Проверено</v>
      </c>
      <c r="F516" t="s">
        <v>2870</v>
      </c>
      <c r="G516" t="s">
        <v>2926</v>
      </c>
      <c r="H516" t="e">
        <f>VLOOKUP(source[[#This Row],[Отвественный]],тОтветственные[],2,0)</f>
        <v>#N/A</v>
      </c>
      <c r="I516" s="2">
        <v>43849</v>
      </c>
      <c r="J516" s="2">
        <v>43849</v>
      </c>
      <c r="S516" s="1">
        <v>43849.666817129626</v>
      </c>
      <c r="T516" s="1">
        <v>43849.687013888892</v>
      </c>
      <c r="U516" s="1">
        <v>43849.687013888892</v>
      </c>
      <c r="W516" s="1">
        <v>43849.687013888892</v>
      </c>
      <c r="X516" t="s">
        <v>3191</v>
      </c>
      <c r="AH516" t="s">
        <v>3251</v>
      </c>
      <c r="AI516" t="s">
        <v>3252</v>
      </c>
      <c r="AJ516" t="s">
        <v>3253</v>
      </c>
      <c r="AK516" t="s">
        <v>3254</v>
      </c>
      <c r="AL516" t="s">
        <v>3255</v>
      </c>
      <c r="AM516" t="s">
        <v>3256</v>
      </c>
      <c r="AN516" t="s">
        <v>3257</v>
      </c>
      <c r="AO516" t="s">
        <v>3258</v>
      </c>
      <c r="EC516" t="s">
        <v>3259</v>
      </c>
      <c r="ED516" t="str">
        <f>HYPERLINK("https://d33htgqikc2pj4.cloudfront.net/qvHDimMUqxZcQnsj/af9b47f6-2803-476a-b4d0-a149df830d3a.jpeg", "Алексей Бирюков: Ссылка на изображение")</f>
        <v>Алексей Бирюков: Ссылка на изображение</v>
      </c>
      <c r="EE516" t="str">
        <f>HYPERLINK("https://d33htgqikc2pj4.cloudfront.net/qvHDimMUqxZcQnsj/51f083d9-41cf-4b36-b3be-71185389544b.jpeg", "Алексей Бирюков: Ссылка на изображение")</f>
        <v>Алексей Бирюков: Ссылка на изображение</v>
      </c>
      <c r="EF516" t="s">
        <v>3260</v>
      </c>
      <c r="EG516" t="s">
        <v>2617</v>
      </c>
      <c r="EH516" t="s">
        <v>3091</v>
      </c>
      <c r="EI516" t="s">
        <v>2939</v>
      </c>
      <c r="EJ516" t="s">
        <v>1902</v>
      </c>
      <c r="EK516" t="s">
        <v>1899</v>
      </c>
    </row>
    <row r="517" spans="1:152" ht="15" customHeight="1" x14ac:dyDescent="0.35">
      <c r="A517">
        <v>1024</v>
      </c>
      <c r="B517" t="s">
        <v>3261</v>
      </c>
      <c r="C517">
        <v>2</v>
      </c>
      <c r="D517" t="str">
        <f>VLOOKUP(source[[#This Row],[Приоритет]],тПриоритеты[],2,0)</f>
        <v>Значительное</v>
      </c>
      <c r="E517" t="str">
        <f>IF(ISBLANK(source[[#This Row],[Проверенные]]),IF(ISBLANK(source[[#This Row],[Завершенные]]),source[[#This Row],[Приоритет_]],"Завершено"),"Проверено")</f>
        <v>Проверено</v>
      </c>
      <c r="F517" t="s">
        <v>2870</v>
      </c>
      <c r="G517" t="s">
        <v>2926</v>
      </c>
      <c r="H517" t="e">
        <f>VLOOKUP(source[[#This Row],[Отвественный]],тОтветственные[],2,0)</f>
        <v>#N/A</v>
      </c>
      <c r="I517" s="2">
        <v>43853</v>
      </c>
      <c r="J517" s="2">
        <v>43853</v>
      </c>
      <c r="S517" s="1">
        <v>43853.714259259257</v>
      </c>
      <c r="T517" s="1">
        <v>43853.775868055556</v>
      </c>
      <c r="U517" s="1">
        <v>43853.775868055556</v>
      </c>
      <c r="W517" s="1">
        <v>43853.775868055556</v>
      </c>
      <c r="X517" t="s">
        <v>3262</v>
      </c>
      <c r="AH517" t="s">
        <v>3263</v>
      </c>
      <c r="AI517" t="s">
        <v>3264</v>
      </c>
      <c r="AJ517" t="s">
        <v>3265</v>
      </c>
      <c r="AK517" t="s">
        <v>3266</v>
      </c>
      <c r="AL517" t="s">
        <v>3267</v>
      </c>
      <c r="AM517" t="s">
        <v>3268</v>
      </c>
      <c r="AN517" t="s">
        <v>3269</v>
      </c>
      <c r="AO517" t="s">
        <v>3270</v>
      </c>
      <c r="AP517" t="s">
        <v>3271</v>
      </c>
      <c r="AQ517" t="s">
        <v>3272</v>
      </c>
      <c r="AR517" t="s">
        <v>3273</v>
      </c>
      <c r="AS517" t="s">
        <v>3274</v>
      </c>
      <c r="AT517" t="s">
        <v>3275</v>
      </c>
      <c r="AU517" s="3" t="s">
        <v>3276</v>
      </c>
      <c r="EC517" t="s">
        <v>3277</v>
      </c>
      <c r="ED517" t="s">
        <v>2939</v>
      </c>
      <c r="EE517" t="s">
        <v>3278</v>
      </c>
      <c r="EF517" t="str">
        <f>HYPERLINK("https://d33htgqikc2pj4.cloudfront.net/qvHDimMUqxZcQnsj/80c433dc-05bc-4569-b9c3-ed0246ea2002.jpeg", "Алексей Бирюков: Ссылка на изображение")</f>
        <v>Алексей Бирюков: Ссылка на изображение</v>
      </c>
      <c r="EG517" t="str">
        <f>HYPERLINK("https://d33htgqikc2pj4.cloudfront.net/qvHDimMUqxZcQnsj/7d27ff80-2d9a-4bdb-a293-4feeedd49985.jpeg", "Алексей Бирюков: Ссылка на изображение")</f>
        <v>Алексей Бирюков: Ссылка на изображение</v>
      </c>
      <c r="EH517" t="str">
        <f>HYPERLINK("https://d33htgqikc2pj4.cloudfront.net/qvHDimMUqxZcQnsj/4102f2b9-909e-488a-b604-8e19ac184254.jpeg", "Алексей Бирюков: Ссылка на изображение")</f>
        <v>Алексей Бирюков: Ссылка на изображение</v>
      </c>
      <c r="EI517" t="str">
        <f>HYPERLINK("https://d33htgqikc2pj4.cloudfront.net/qvHDimMUqxZcQnsj/e7256941-a129-4b2f-b202-f76fca50f626.jpeg", "Алексей Бирюков: Ссылка на изображение")</f>
        <v>Алексей Бирюков: Ссылка на изображение</v>
      </c>
      <c r="EJ517" t="str">
        <f>HYPERLINK("https://d33htgqikc2pj4.cloudfront.net/qvHDimMUqxZcQnsj/998c0f73-e49e-4823-b4a2-0b5c11630219.jpeg", "Алексей Бирюков: Ссылка на изображение")</f>
        <v>Алексей Бирюков: Ссылка на изображение</v>
      </c>
      <c r="EK517" t="str">
        <f>HYPERLINK("https://d33htgqikc2pj4.cloudfront.net/qvHDimMUqxZcQnsj/098a4cb5-d846-4861-a7d1-9702aa0516f4.jpeg", "Алексей Бирюков: Ссылка на изображение")</f>
        <v>Алексей Бирюков: Ссылка на изображение</v>
      </c>
      <c r="EL517" t="str">
        <f>HYPERLINK("https://d33htgqikc2pj4.cloudfront.net/qvHDimMUqxZcQnsj/dad013f2-bc9a-4da9-b0f5-20b720aac73d.jpeg", "Алексей Бирюков: Ссылка на изображение")</f>
        <v>Алексей Бирюков: Ссылка на изображение</v>
      </c>
      <c r="EM517" t="str">
        <f>HYPERLINK("https://d33htgqikc2pj4.cloudfront.net/qvHDimMUqxZcQnsj/aef5d194-4313-4faf-ba5f-613c34278d19.jpeg", "Алексей Бирюков: Ссылка на изображение")</f>
        <v>Алексей Бирюков: Ссылка на изображение</v>
      </c>
      <c r="EN517" t="str">
        <f>HYPERLINK("https://d33htgqikc2pj4.cloudfront.net/qvHDimMUqxZcQnsj/0cf3a7b1-3113-44a7-a3a8-7206c154f1be.jpeg", "Алексей Бирюков: Ссылка на изображение")</f>
        <v>Алексей Бирюков: Ссылка на изображение</v>
      </c>
      <c r="EO517" t="s">
        <v>1902</v>
      </c>
      <c r="EP517" t="s">
        <v>1899</v>
      </c>
    </row>
    <row r="518" spans="1:152" ht="15" customHeight="1" x14ac:dyDescent="0.35">
      <c r="A518">
        <v>1023</v>
      </c>
      <c r="B518" t="s">
        <v>3279</v>
      </c>
      <c r="C518">
        <v>2</v>
      </c>
      <c r="D518" t="str">
        <f>VLOOKUP(source[[#This Row],[Приоритет]],тПриоритеты[],2,0)</f>
        <v>Значительное</v>
      </c>
      <c r="E518" t="str">
        <f>IF(ISBLANK(source[[#This Row],[Проверенные]]),IF(ISBLANK(source[[#This Row],[Завершенные]]),source[[#This Row],[Приоритет_]],"Завершено"),"Проверено")</f>
        <v>Проверено</v>
      </c>
      <c r="F518" t="s">
        <v>2870</v>
      </c>
      <c r="G518" t="s">
        <v>2926</v>
      </c>
      <c r="H518" t="e">
        <f>VLOOKUP(source[[#This Row],[Отвественный]],тОтветственные[],2,0)</f>
        <v>#N/A</v>
      </c>
      <c r="I518" s="2">
        <v>43853</v>
      </c>
      <c r="J518" s="2">
        <v>43853</v>
      </c>
      <c r="S518" s="1">
        <v>43853.714247685188</v>
      </c>
      <c r="T518" s="1">
        <v>43856.651469907411</v>
      </c>
      <c r="U518" s="1">
        <v>43856.651469907411</v>
      </c>
      <c r="W518" s="1">
        <v>43856.780324074076</v>
      </c>
      <c r="X518" t="s">
        <v>2941</v>
      </c>
      <c r="AH518" t="s">
        <v>3280</v>
      </c>
      <c r="AI518" t="s">
        <v>3281</v>
      </c>
      <c r="AJ518" t="s">
        <v>3282</v>
      </c>
      <c r="AK518" t="s">
        <v>3283</v>
      </c>
      <c r="EC518" t="s">
        <v>3284</v>
      </c>
      <c r="ED518" t="str">
        <f>HYPERLINK("https://d33htgqikc2pj4.cloudfront.net/qvHDimMUqxZcQnsj/e11098e6-c1af-4318-afdd-801b08fa0f99.jpeg", "Алексей Бирюков: Ссылка на изображение")</f>
        <v>Алексей Бирюков: Ссылка на изображение</v>
      </c>
      <c r="EE518" t="str">
        <f>HYPERLINK("https://d33htgqikc2pj4.cloudfront.net/qvHDimMUqxZcQnsj/81de9a53-b341-400e-a3d1-c616146b4d38.jpeg", "Алексей Бирюков: Ссылка на изображение")</f>
        <v>Алексей Бирюков: Ссылка на изображение</v>
      </c>
      <c r="EF518" t="str">
        <f>HYPERLINK("https://d33htgqikc2pj4.cloudfront.net/qvHDimMUqxZcQnsj/0ceb5eb8-6632-4bbf-a1de-f28719fa38fe.jpeg", "Алексей Бирюков: Ссылка на изображение")</f>
        <v>Алексей Бирюков: Ссылка на изображение</v>
      </c>
      <c r="EG518" t="str">
        <f>HYPERLINK("https://d33htgqikc2pj4.cloudfront.net/qvHDimMUqxZcQnsj/422c115c-6d28-4de7-8e20-cfa632106993.jpeg", "Алексей Бирюков: Ссылка на изображение")</f>
        <v>Алексей Бирюков: Ссылка на изображение</v>
      </c>
      <c r="EH518" t="str">
        <f>HYPERLINK("https://d33htgqikc2pj4.cloudfront.net/qvHDimMUqxZcQnsj/4c615ee0-70dc-4a1d-9063-eabd9df2826d.jpeg", "Алексей Бирюков: Ссылка на изображение")</f>
        <v>Алексей Бирюков: Ссылка на изображение</v>
      </c>
      <c r="EI518" t="str">
        <f>HYPERLINK("https://d33htgqikc2pj4.cloudfront.net/qvHDimMUqxZcQnsj/8fba95b1-376e-4fc9-92d2-056aed05524d.jpeg", "Алексей Бирюков: Ссылка на изображение")</f>
        <v>Алексей Бирюков: Ссылка на изображение</v>
      </c>
      <c r="EJ518" t="str">
        <f>HYPERLINK("https://d33htgqikc2pj4.cloudfront.net/qvHDimMUqxZcQnsj/dd4b1094-e301-4e50-b8d3-baa31fae8a07.jpeg", "Алексей Бирюков: Ссылка на изображение")</f>
        <v>Алексей Бирюков: Ссылка на изображение</v>
      </c>
      <c r="EK518" t="str">
        <f>HYPERLINK("https://d33htgqikc2pj4.cloudfront.net/qvHDimMUqxZcQnsj/610806f4-4d64-4479-ba6d-980ca8e9a846.jpeg", "Алексей Бирюков: Ссылка на изображение")</f>
        <v>Алексей Бирюков: Ссылка на изображение</v>
      </c>
      <c r="EL518" t="s">
        <v>3285</v>
      </c>
      <c r="EM518" t="s">
        <v>2939</v>
      </c>
      <c r="EN518" t="s">
        <v>3278</v>
      </c>
      <c r="EO518" t="s">
        <v>1902</v>
      </c>
      <c r="EP518" t="s">
        <v>1899</v>
      </c>
      <c r="EQ518" t="s">
        <v>1902</v>
      </c>
      <c r="ER518" t="s">
        <v>1899</v>
      </c>
    </row>
    <row r="519" spans="1:152" ht="15" customHeight="1" x14ac:dyDescent="0.35">
      <c r="A519">
        <v>1021</v>
      </c>
      <c r="B519" t="s">
        <v>3286</v>
      </c>
      <c r="C519">
        <v>2</v>
      </c>
      <c r="D519" t="str">
        <f>VLOOKUP(source[[#This Row],[Приоритет]],тПриоритеты[],2,0)</f>
        <v>Значительное</v>
      </c>
      <c r="E519" t="str">
        <f>IF(ISBLANK(source[[#This Row],[Проверенные]]),IF(ISBLANK(source[[#This Row],[Завершенные]]),source[[#This Row],[Приоритет_]],"Завершено"),"Проверено")</f>
        <v>Проверено</v>
      </c>
      <c r="F519" t="s">
        <v>2870</v>
      </c>
      <c r="G519" t="s">
        <v>2926</v>
      </c>
      <c r="H519" t="e">
        <f>VLOOKUP(source[[#This Row],[Отвественный]],тОтветственные[],2,0)</f>
        <v>#N/A</v>
      </c>
      <c r="I519" s="2">
        <v>43853</v>
      </c>
      <c r="J519" s="2">
        <v>43853</v>
      </c>
      <c r="S519" s="1">
        <v>43853.446817129632</v>
      </c>
      <c r="T519" s="1">
        <v>43853.774178240739</v>
      </c>
      <c r="U519" s="1">
        <v>43853.774178240739</v>
      </c>
      <c r="W519" s="1">
        <v>43853.774178240739</v>
      </c>
      <c r="X519" t="s">
        <v>2606</v>
      </c>
      <c r="AH519" t="s">
        <v>3287</v>
      </c>
      <c r="AI519" t="s">
        <v>3288</v>
      </c>
      <c r="AJ519" t="s">
        <v>3289</v>
      </c>
      <c r="AK519" t="s">
        <v>3290</v>
      </c>
      <c r="AL519" t="s">
        <v>3272</v>
      </c>
      <c r="AM519" t="s">
        <v>3273</v>
      </c>
      <c r="AN519" t="s">
        <v>3274</v>
      </c>
      <c r="AO519" t="s">
        <v>3291</v>
      </c>
      <c r="EC519" t="s">
        <v>3292</v>
      </c>
      <c r="ED519" t="s">
        <v>2939</v>
      </c>
      <c r="EE519" t="str">
        <f>HYPERLINK("https://d33htgqikc2pj4.cloudfront.net/qvHDimMUqxZcQnsj/dacdcf13-3657-46f6-9860-20a325d0ba14.jpeg", "Алексей Бирюков: Ссылка на изображение")</f>
        <v>Алексей Бирюков: Ссылка на изображение</v>
      </c>
      <c r="EF519" t="str">
        <f>HYPERLINK("https://d33htgqikc2pj4.cloudfront.net/qvHDimMUqxZcQnsj/0d60b624-b50a-4477-ab34-f9dacbe077aa.jpeg", "Алексей Бирюков: Ссылка на изображение")</f>
        <v>Алексей Бирюков: Ссылка на изображение</v>
      </c>
      <c r="EG519" t="str">
        <f>HYPERLINK("https://d33htgqikc2pj4.cloudfront.net/qvHDimMUqxZcQnsj/d61e764c-7a16-41c0-a4ee-314b3e1b680d.jpeg", "Алексей Бирюков: Ссылка на изображение")</f>
        <v>Алексей Бирюков: Ссылка на изображение</v>
      </c>
      <c r="EH519" t="str">
        <f>HYPERLINK("https://d33htgqikc2pj4.cloudfront.net/qvHDimMUqxZcQnsj/8e00d4dc-373c-443a-8ff7-02504f47b191.jpeg", "Алексей Бирюков: Ссылка на изображение")</f>
        <v>Алексей Бирюков: Ссылка на изображение</v>
      </c>
      <c r="EI519" t="str">
        <f>HYPERLINK("https://d33htgqikc2pj4.cloudfront.net/qvHDimMUqxZcQnsj/f69e515e-92c8-4c5a-bec8-58d76201e305.jpeg", "Алексей Бирюков: Ссылка на изображение")</f>
        <v>Алексей Бирюков: Ссылка на изображение</v>
      </c>
      <c r="EJ519" t="s">
        <v>1902</v>
      </c>
      <c r="EK519" t="s">
        <v>3278</v>
      </c>
      <c r="EL519" t="s">
        <v>1899</v>
      </c>
    </row>
    <row r="520" spans="1:152" ht="15" customHeight="1" x14ac:dyDescent="0.35">
      <c r="A520">
        <v>1096</v>
      </c>
      <c r="B520" t="s">
        <v>3293</v>
      </c>
      <c r="C520">
        <v>2</v>
      </c>
      <c r="D520" t="str">
        <f>VLOOKUP(source[[#This Row],[Приоритет]],тПриоритеты[],2,0)</f>
        <v>Значительное</v>
      </c>
      <c r="E520" t="str">
        <f>IF(ISBLANK(source[[#This Row],[Проверенные]]),IF(ISBLANK(source[[#This Row],[Завершенные]]),source[[#This Row],[Приоритет_]],"Завершено"),"Проверено")</f>
        <v>Завершено</v>
      </c>
      <c r="F520" t="s">
        <v>2870</v>
      </c>
      <c r="G520" t="s">
        <v>217</v>
      </c>
      <c r="H520" t="e">
        <f>VLOOKUP(source[[#This Row],[Отвественный]],тОтветственные[],2,0)</f>
        <v>#N/A</v>
      </c>
      <c r="K520" t="s">
        <v>3294</v>
      </c>
      <c r="L520">
        <v>0</v>
      </c>
      <c r="M520">
        <v>0</v>
      </c>
      <c r="Q520" t="s">
        <v>3295</v>
      </c>
      <c r="R520" t="str">
        <f>HYPERLINK("https://d28ji4sm1vmprj.cloudfront.net/149152bc98a2866e104fdcf805ebee94/f4926795aaf55a070b31464a6f2f24c5.jpeg", "Ссылка на план")</f>
        <v>Ссылка на план</v>
      </c>
      <c r="S520" s="1">
        <v>43859.717256944445</v>
      </c>
      <c r="T520" s="1">
        <v>43859.722326388888</v>
      </c>
      <c r="W520" s="1">
        <v>43859.722326388888</v>
      </c>
      <c r="EC520" t="s">
        <v>3296</v>
      </c>
      <c r="ED520" t="s">
        <v>3297</v>
      </c>
      <c r="EE520" t="s">
        <v>3298</v>
      </c>
    </row>
    <row r="521" spans="1:152" ht="15" customHeight="1" x14ac:dyDescent="0.35">
      <c r="A521">
        <v>1102</v>
      </c>
      <c r="B521" t="s">
        <v>3293</v>
      </c>
      <c r="C521">
        <v>2</v>
      </c>
      <c r="D521" t="str">
        <f>VLOOKUP(source[[#This Row],[Приоритет]],тПриоритеты[],2,0)</f>
        <v>Значительное</v>
      </c>
      <c r="E521" t="str">
        <f>IF(ISBLANK(source[[#This Row],[Проверенные]]),IF(ISBLANK(source[[#This Row],[Завершенные]]),source[[#This Row],[Приоритет_]],"Завершено"),"Проверено")</f>
        <v>Завершено</v>
      </c>
      <c r="F521" t="s">
        <v>2870</v>
      </c>
      <c r="G521" t="s">
        <v>217</v>
      </c>
      <c r="H521" t="e">
        <f>VLOOKUP(source[[#This Row],[Отвественный]],тОтветственные[],2,0)</f>
        <v>#N/A</v>
      </c>
      <c r="K521" t="s">
        <v>3299</v>
      </c>
      <c r="L521">
        <v>0</v>
      </c>
      <c r="M521">
        <v>0</v>
      </c>
      <c r="Q521" t="s">
        <v>3295</v>
      </c>
      <c r="R521" t="str">
        <f>HYPERLINK("https://d28ji4sm1vmprj.cloudfront.net/4fc1247cfad41981f99f3ab90b182279/d74e1fb1940f10766eb04bcb8855fb1a.jpeg", "Ссылка на план")</f>
        <v>Ссылка на план</v>
      </c>
      <c r="S521" s="1">
        <v>43859.72861111111</v>
      </c>
      <c r="T521" s="1">
        <v>43859.72865740741</v>
      </c>
      <c r="W521" s="1">
        <v>43859.728668981479</v>
      </c>
      <c r="EC521" t="s">
        <v>3296</v>
      </c>
      <c r="ED521" t="s">
        <v>3298</v>
      </c>
    </row>
    <row r="522" spans="1:152" ht="15" customHeight="1" x14ac:dyDescent="0.35">
      <c r="A522">
        <v>1100</v>
      </c>
      <c r="B522" t="s">
        <v>3293</v>
      </c>
      <c r="C522">
        <v>2</v>
      </c>
      <c r="D522" t="str">
        <f>VLOOKUP(source[[#This Row],[Приоритет]],тПриоритеты[],2,0)</f>
        <v>Значительное</v>
      </c>
      <c r="E522" t="str">
        <f>IF(ISBLANK(source[[#This Row],[Проверенные]]),IF(ISBLANK(source[[#This Row],[Завершенные]]),source[[#This Row],[Приоритет_]],"Завершено"),"Проверено")</f>
        <v>Завершено</v>
      </c>
      <c r="F522" t="s">
        <v>2870</v>
      </c>
      <c r="G522" t="s">
        <v>217</v>
      </c>
      <c r="H522" t="e">
        <f>VLOOKUP(source[[#This Row],[Отвественный]],тОтветственные[],2,0)</f>
        <v>#N/A</v>
      </c>
      <c r="K522" t="s">
        <v>3300</v>
      </c>
      <c r="L522">
        <v>0</v>
      </c>
      <c r="M522">
        <v>0</v>
      </c>
      <c r="Q522" t="s">
        <v>3295</v>
      </c>
      <c r="R522" t="str">
        <f>HYPERLINK("https://d28ji4sm1vmprj.cloudfront.net/bb1a72115b6edc5574d5f5e30b62e70e/acfdb0c55937b111c3c7edf3d04b1349.jpeg", "Ссылка на план")</f>
        <v>Ссылка на план</v>
      </c>
      <c r="S522" s="1">
        <v>43859.72729166667</v>
      </c>
      <c r="T522" s="1">
        <v>43859.727361111109</v>
      </c>
      <c r="W522" s="1">
        <v>43859.727592592593</v>
      </c>
      <c r="EC522" t="s">
        <v>3298</v>
      </c>
      <c r="ED522" t="s">
        <v>3296</v>
      </c>
    </row>
    <row r="523" spans="1:152" ht="15" customHeight="1" x14ac:dyDescent="0.35">
      <c r="A523">
        <v>1101</v>
      </c>
      <c r="B523" t="s">
        <v>3293</v>
      </c>
      <c r="C523">
        <v>2</v>
      </c>
      <c r="D523" t="str">
        <f>VLOOKUP(source[[#This Row],[Приоритет]],тПриоритеты[],2,0)</f>
        <v>Значительное</v>
      </c>
      <c r="E523" t="str">
        <f>IF(ISBLANK(source[[#This Row],[Проверенные]]),IF(ISBLANK(source[[#This Row],[Завершенные]]),source[[#This Row],[Приоритет_]],"Завершено"),"Проверено")</f>
        <v>Завершено</v>
      </c>
      <c r="F523" t="s">
        <v>2870</v>
      </c>
      <c r="G523" t="s">
        <v>217</v>
      </c>
      <c r="H523" t="e">
        <f>VLOOKUP(source[[#This Row],[Отвественный]],тОтветственные[],2,0)</f>
        <v>#N/A</v>
      </c>
      <c r="K523" t="s">
        <v>3301</v>
      </c>
      <c r="L523">
        <v>0</v>
      </c>
      <c r="M523">
        <v>0</v>
      </c>
      <c r="Q523" t="s">
        <v>3295</v>
      </c>
      <c r="R523" t="str">
        <f>HYPERLINK("https://d28ji4sm1vmprj.cloudfront.net/e834678884ac75caade8c2d52ac79512/06182e25181d102ca2677d162ceeaf2f.jpeg", "Ссылка на план")</f>
        <v>Ссылка на план</v>
      </c>
      <c r="S523" s="1">
        <v>43859.72797453704</v>
      </c>
      <c r="T523" s="1">
        <v>43859.727997685186</v>
      </c>
      <c r="W523" s="1">
        <v>43859.728206018517</v>
      </c>
      <c r="EC523" t="s">
        <v>3298</v>
      </c>
      <c r="ED523" t="s">
        <v>3296</v>
      </c>
    </row>
    <row r="524" spans="1:152" ht="15" customHeight="1" x14ac:dyDescent="0.35">
      <c r="A524">
        <v>1098</v>
      </c>
      <c r="B524" t="s">
        <v>3293</v>
      </c>
      <c r="C524">
        <v>2</v>
      </c>
      <c r="D524" t="str">
        <f>VLOOKUP(source[[#This Row],[Приоритет]],тПриоритеты[],2,0)</f>
        <v>Значительное</v>
      </c>
      <c r="E524" t="str">
        <f>IF(ISBLANK(source[[#This Row],[Проверенные]]),IF(ISBLANK(source[[#This Row],[Завершенные]]),source[[#This Row],[Приоритет_]],"Завершено"),"Проверено")</f>
        <v>Завершено</v>
      </c>
      <c r="F524" t="s">
        <v>2870</v>
      </c>
      <c r="G524" t="s">
        <v>217</v>
      </c>
      <c r="H524" t="e">
        <f>VLOOKUP(source[[#This Row],[Отвественный]],тОтветственные[],2,0)</f>
        <v>#N/A</v>
      </c>
      <c r="K524" t="s">
        <v>3302</v>
      </c>
      <c r="L524">
        <v>0</v>
      </c>
      <c r="M524">
        <v>0</v>
      </c>
      <c r="Q524" t="s">
        <v>3295</v>
      </c>
      <c r="R524" t="str">
        <f>HYPERLINK("https://d28ji4sm1vmprj.cloudfront.net/261e34a1973ac9c237e5e6b728ba359c/dbc00a1c0631767d109fc53a84819ed6.jpeg", "Ссылка на план")</f>
        <v>Ссылка на план</v>
      </c>
      <c r="S524" s="1">
        <v>43859.72179398148</v>
      </c>
      <c r="T524" s="1">
        <v>43859.722175925926</v>
      </c>
      <c r="W524" s="1">
        <v>43859.722569444442</v>
      </c>
      <c r="EC524" t="s">
        <v>3303</v>
      </c>
      <c r="ED524" t="s">
        <v>218</v>
      </c>
      <c r="EE524" t="s">
        <v>3298</v>
      </c>
      <c r="EF524" t="s">
        <v>3296</v>
      </c>
    </row>
    <row r="525" spans="1:152" ht="15" customHeight="1" x14ac:dyDescent="0.35">
      <c r="A525">
        <v>1105</v>
      </c>
      <c r="B525" t="s">
        <v>3293</v>
      </c>
      <c r="C525">
        <v>2</v>
      </c>
      <c r="D525" t="str">
        <f>VLOOKUP(source[[#This Row],[Приоритет]],тПриоритеты[],2,0)</f>
        <v>Значительное</v>
      </c>
      <c r="E525" t="str">
        <f>IF(ISBLANK(source[[#This Row],[Проверенные]]),IF(ISBLANK(source[[#This Row],[Завершенные]]),source[[#This Row],[Приоритет_]],"Завершено"),"Проверено")</f>
        <v>Завершено</v>
      </c>
      <c r="F525" t="s">
        <v>2870</v>
      </c>
      <c r="G525" t="s">
        <v>217</v>
      </c>
      <c r="H525" t="e">
        <f>VLOOKUP(source[[#This Row],[Отвественный]],тОтветственные[],2,0)</f>
        <v>#N/A</v>
      </c>
      <c r="K525" t="s">
        <v>3304</v>
      </c>
      <c r="L525">
        <v>0</v>
      </c>
      <c r="M525">
        <v>0</v>
      </c>
      <c r="Q525" t="s">
        <v>3295</v>
      </c>
      <c r="R525" t="str">
        <f>HYPERLINK("https://d28ji4sm1vmprj.cloudfront.net/ca6a1023c041eb5aa6f8bcbe211944d8/d3ff63b03ebf4089969e189d56e65d9c.jpeg", "Ссылка на план")</f>
        <v>Ссылка на план</v>
      </c>
      <c r="S525" s="1">
        <v>43859.730185185188</v>
      </c>
      <c r="T525" s="1">
        <v>43859.730243055557</v>
      </c>
      <c r="W525" s="1">
        <v>43859.730243055557</v>
      </c>
      <c r="EC525" t="s">
        <v>3296</v>
      </c>
      <c r="ED525" t="s">
        <v>3298</v>
      </c>
    </row>
    <row r="526" spans="1:152" ht="15" customHeight="1" x14ac:dyDescent="0.35">
      <c r="A526">
        <v>1099</v>
      </c>
      <c r="B526" t="s">
        <v>3293</v>
      </c>
      <c r="C526">
        <v>2</v>
      </c>
      <c r="D526" t="str">
        <f>VLOOKUP(source[[#This Row],[Приоритет]],тПриоритеты[],2,0)</f>
        <v>Значительное</v>
      </c>
      <c r="E526" t="str">
        <f>IF(ISBLANK(source[[#This Row],[Проверенные]]),IF(ISBLANK(source[[#This Row],[Завершенные]]),source[[#This Row],[Приоритет_]],"Завершено"),"Проверено")</f>
        <v>Завершено</v>
      </c>
      <c r="F526" t="s">
        <v>2870</v>
      </c>
      <c r="G526" t="s">
        <v>217</v>
      </c>
      <c r="H526" t="e">
        <f>VLOOKUP(source[[#This Row],[Отвественный]],тОтветственные[],2,0)</f>
        <v>#N/A</v>
      </c>
      <c r="K526" t="s">
        <v>3305</v>
      </c>
      <c r="L526">
        <v>0</v>
      </c>
      <c r="M526">
        <v>0</v>
      </c>
      <c r="Q526" t="s">
        <v>3295</v>
      </c>
      <c r="R526" t="str">
        <f>HYPERLINK("https://d28ji4sm1vmprj.cloudfront.net/41f4d58c7dacde85da9a05c3151831e1/1001613c6679dc4dff298440ab15718c.jpeg", "Ссылка на план")</f>
        <v>Ссылка на план</v>
      </c>
      <c r="S526" s="1">
        <v>43859.723263888889</v>
      </c>
      <c r="T526" s="1">
        <v>43859.723298611112</v>
      </c>
      <c r="W526" s="1">
        <v>43859.723402777781</v>
      </c>
      <c r="EC526" t="s">
        <v>3298</v>
      </c>
      <c r="ED526" t="s">
        <v>3296</v>
      </c>
    </row>
    <row r="527" spans="1:152" ht="15" customHeight="1" x14ac:dyDescent="0.35">
      <c r="A527">
        <v>1103</v>
      </c>
      <c r="B527" t="s">
        <v>3293</v>
      </c>
      <c r="C527">
        <v>2</v>
      </c>
      <c r="D527" t="str">
        <f>VLOOKUP(source[[#This Row],[Приоритет]],тПриоритеты[],2,0)</f>
        <v>Значительное</v>
      </c>
      <c r="E527" t="str">
        <f>IF(ISBLANK(source[[#This Row],[Проверенные]]),IF(ISBLANK(source[[#This Row],[Завершенные]]),source[[#This Row],[Приоритет_]],"Завершено"),"Проверено")</f>
        <v>Завершено</v>
      </c>
      <c r="F527" t="s">
        <v>2870</v>
      </c>
      <c r="G527" t="s">
        <v>217</v>
      </c>
      <c r="H527" t="e">
        <f>VLOOKUP(source[[#This Row],[Отвественный]],тОтветственные[],2,0)</f>
        <v>#N/A</v>
      </c>
      <c r="K527" t="s">
        <v>3306</v>
      </c>
      <c r="L527">
        <v>0</v>
      </c>
      <c r="M527">
        <v>0</v>
      </c>
      <c r="Q527" t="s">
        <v>3295</v>
      </c>
      <c r="R527" t="str">
        <f>HYPERLINK("https://d28ji4sm1vmprj.cloudfront.net/6c17877f2bcf8f7bf187734ffe56deda/4ee8b3f2ca0e6f47fed5ae60774de836.jpeg", "Ссылка на план")</f>
        <v>Ссылка на план</v>
      </c>
      <c r="S527" s="1">
        <v>43859.729050925926</v>
      </c>
      <c r="T527" s="1">
        <v>43859.729074074072</v>
      </c>
      <c r="W527" s="1">
        <v>43859.729120370372</v>
      </c>
      <c r="EC527" t="s">
        <v>3298</v>
      </c>
      <c r="ED527" t="s">
        <v>3296</v>
      </c>
    </row>
    <row r="528" spans="1:152" ht="15" customHeight="1" x14ac:dyDescent="0.35">
      <c r="A528">
        <v>1104</v>
      </c>
      <c r="B528" t="s">
        <v>3293</v>
      </c>
      <c r="C528">
        <v>2</v>
      </c>
      <c r="D528" t="str">
        <f>VLOOKUP(source[[#This Row],[Приоритет]],тПриоритеты[],2,0)</f>
        <v>Значительное</v>
      </c>
      <c r="E528" t="str">
        <f>IF(ISBLANK(source[[#This Row],[Проверенные]]),IF(ISBLANK(source[[#This Row],[Завершенные]]),source[[#This Row],[Приоритет_]],"Завершено"),"Проверено")</f>
        <v>Завершено</v>
      </c>
      <c r="F528" t="s">
        <v>2870</v>
      </c>
      <c r="G528" t="s">
        <v>217</v>
      </c>
      <c r="H528" t="e">
        <f>VLOOKUP(source[[#This Row],[Отвественный]],тОтветственные[],2,0)</f>
        <v>#N/A</v>
      </c>
      <c r="K528" t="s">
        <v>3307</v>
      </c>
      <c r="L528">
        <v>0</v>
      </c>
      <c r="M528">
        <v>0</v>
      </c>
      <c r="Q528" t="s">
        <v>3295</v>
      </c>
      <c r="R528" t="str">
        <f>HYPERLINK("https://d28ji4sm1vmprj.cloudfront.net/70ac0748541980bed902241cd7509a95/29c4aab42a885219c1a15ee3e636a0e0.jpeg", "Ссылка на план")</f>
        <v>Ссылка на план</v>
      </c>
      <c r="S528" s="1">
        <v>43859.729444444441</v>
      </c>
      <c r="T528" s="1">
        <v>43859.729490740741</v>
      </c>
      <c r="W528" s="1">
        <v>43859.729502314818</v>
      </c>
      <c r="EC528" t="s">
        <v>3296</v>
      </c>
      <c r="ED528" t="s">
        <v>3298</v>
      </c>
    </row>
    <row r="529" spans="1:164" ht="15" customHeight="1" x14ac:dyDescent="0.35">
      <c r="A529">
        <v>1106</v>
      </c>
      <c r="B529" t="s">
        <v>3293</v>
      </c>
      <c r="C529">
        <v>2</v>
      </c>
      <c r="D529" t="str">
        <f>VLOOKUP(source[[#This Row],[Приоритет]],тПриоритеты[],2,0)</f>
        <v>Значительное</v>
      </c>
      <c r="E529" t="str">
        <f>IF(ISBLANK(source[[#This Row],[Проверенные]]),IF(ISBLANK(source[[#This Row],[Завершенные]]),source[[#This Row],[Приоритет_]],"Завершено"),"Проверено")</f>
        <v>Завершено</v>
      </c>
      <c r="F529" t="s">
        <v>2870</v>
      </c>
      <c r="G529" t="s">
        <v>217</v>
      </c>
      <c r="H529" t="e">
        <f>VLOOKUP(source[[#This Row],[Отвественный]],тОтветственные[],2,0)</f>
        <v>#N/A</v>
      </c>
      <c r="K529" t="s">
        <v>3308</v>
      </c>
      <c r="L529">
        <v>0</v>
      </c>
      <c r="M529">
        <v>0</v>
      </c>
      <c r="Q529" t="s">
        <v>3295</v>
      </c>
      <c r="R529" t="str">
        <f>HYPERLINK("https://d28ji4sm1vmprj.cloudfront.net/81fafa6eedf2201ca1e709efaf37aa46/3fe0bfad81bdc17019756267608d6e4a.jpeg", "Ссылка на план")</f>
        <v>Ссылка на план</v>
      </c>
      <c r="S529" s="1">
        <v>43859.731145833335</v>
      </c>
      <c r="T529" s="1">
        <v>43859.731192129628</v>
      </c>
      <c r="W529" s="1">
        <v>43859.731192129628</v>
      </c>
      <c r="EC529" t="s">
        <v>3296</v>
      </c>
      <c r="ED529" t="s">
        <v>3298</v>
      </c>
    </row>
    <row r="530" spans="1:164" ht="15" customHeight="1" x14ac:dyDescent="0.35">
      <c r="A530">
        <v>1225</v>
      </c>
      <c r="B530" t="s">
        <v>3309</v>
      </c>
      <c r="C530">
        <v>2</v>
      </c>
      <c r="D530" t="str">
        <f>VLOOKUP(source[[#This Row],[Приоритет]],тПриоритеты[],2,0)</f>
        <v>Значительное</v>
      </c>
      <c r="E530" t="str">
        <f>IF(ISBLANK(source[[#This Row],[Проверенные]]),IF(ISBLANK(source[[#This Row],[Завершенные]]),source[[#This Row],[Приоритет_]],"Завершено"),"Проверено")</f>
        <v>Завершено</v>
      </c>
      <c r="F530" t="s">
        <v>2870</v>
      </c>
      <c r="G530" t="s">
        <v>217</v>
      </c>
      <c r="H530" t="e">
        <f>VLOOKUP(source[[#This Row],[Отвественный]],тОтветственные[],2,0)</f>
        <v>#N/A</v>
      </c>
      <c r="I530" s="2">
        <v>43868</v>
      </c>
      <c r="J530" s="2">
        <v>43868</v>
      </c>
      <c r="S530" s="1">
        <v>43868.277812499997</v>
      </c>
      <c r="T530" s="1">
        <v>43868.277870370373</v>
      </c>
      <c r="W530" s="1">
        <v>43868.281342592592</v>
      </c>
      <c r="EC530" t="s">
        <v>3298</v>
      </c>
      <c r="ED530" t="s">
        <v>3310</v>
      </c>
      <c r="EE530" t="s">
        <v>3311</v>
      </c>
      <c r="EF530" t="str">
        <f>HYPERLINK("https://d33htgqikc2pj4.cloudfront.net/af9975fb562762667ff36a8175fb16d3/ef516b83441513988aebbce5448f22f8-file.jpeg", "Антон Федоров: Ссылка на изображение")</f>
        <v>Антон Федоров: Ссылка на изображение</v>
      </c>
      <c r="EG530" t="s">
        <v>258</v>
      </c>
      <c r="EH530" t="s">
        <v>3312</v>
      </c>
    </row>
    <row r="531" spans="1:164" ht="15" customHeight="1" x14ac:dyDescent="0.35">
      <c r="A531">
        <v>673</v>
      </c>
      <c r="B531" t="s">
        <v>3313</v>
      </c>
      <c r="C531">
        <v>2</v>
      </c>
      <c r="D531" t="str">
        <f>VLOOKUP(source[[#This Row],[Приоритет]],тПриоритеты[],2,0)</f>
        <v>Значительное</v>
      </c>
      <c r="E531" t="str">
        <f>IF(ISBLANK(source[[#This Row],[Проверенные]]),IF(ISBLANK(source[[#This Row],[Завершенные]]),source[[#This Row],[Приоритет_]],"Завершено"),"Проверено")</f>
        <v>Проверено</v>
      </c>
      <c r="F531" t="s">
        <v>2870</v>
      </c>
      <c r="G531" t="s">
        <v>217</v>
      </c>
      <c r="H531" t="e">
        <f>VLOOKUP(source[[#This Row],[Отвественный]],тОтветственные[],2,0)</f>
        <v>#N/A</v>
      </c>
      <c r="I531" s="2">
        <v>43818</v>
      </c>
      <c r="J531" s="2">
        <v>43818</v>
      </c>
      <c r="S531" s="1">
        <v>43818.502974537034</v>
      </c>
      <c r="T531" s="1">
        <v>43818.503263888888</v>
      </c>
      <c r="U531" s="1">
        <v>43818.503263888888</v>
      </c>
      <c r="W531" s="1">
        <v>43818.504988425928</v>
      </c>
      <c r="EC531" t="s">
        <v>218</v>
      </c>
      <c r="ED531" t="s">
        <v>1966</v>
      </c>
      <c r="EE531" t="s">
        <v>3314</v>
      </c>
      <c r="EF531" t="str">
        <f>HYPERLINK("https://d33htgqikc2pj4.cloudfront.net/7817404af73edbfa70de70131333e1c2/12de00dcd7f94fe3755e630161a7471b-file.jpeg", "Антон Федоров: Ссылка на изображение")</f>
        <v>Антон Федоров: Ссылка на изображение</v>
      </c>
      <c r="EG531" t="str">
        <f>HYPERLINK("https://d33htgqikc2pj4.cloudfront.net/9a1fc1e9de148b42a531e9fd493732a4/07dfafb570be25f4cf92ce3dbdca7c7f-file.jpeg", "Антон Федоров: Ссылка на изображение")</f>
        <v>Антон Федоров: Ссылка на изображение</v>
      </c>
    </row>
    <row r="532" spans="1:164" ht="15" customHeight="1" x14ac:dyDescent="0.35">
      <c r="A532">
        <v>751</v>
      </c>
      <c r="B532" t="s">
        <v>3315</v>
      </c>
      <c r="C532">
        <v>2</v>
      </c>
      <c r="D532" t="str">
        <f>VLOOKUP(source[[#This Row],[Приоритет]],тПриоритеты[],2,0)</f>
        <v>Значительное</v>
      </c>
      <c r="E532" t="str">
        <f>IF(ISBLANK(source[[#This Row],[Проверенные]]),IF(ISBLANK(source[[#This Row],[Завершенные]]),source[[#This Row],[Приоритет_]],"Завершено"),"Проверено")</f>
        <v>Проверено</v>
      </c>
      <c r="F532" t="s">
        <v>2870</v>
      </c>
      <c r="G532" t="s">
        <v>217</v>
      </c>
      <c r="H532" t="e">
        <f>VLOOKUP(source[[#This Row],[Отвественный]],тОтветственные[],2,0)</f>
        <v>#N/A</v>
      </c>
      <c r="I532" s="2">
        <v>43822</v>
      </c>
      <c r="J532" s="2">
        <v>43822</v>
      </c>
      <c r="S532" s="1">
        <v>43822.785416666666</v>
      </c>
      <c r="T532" s="1">
        <v>43822.785451388889</v>
      </c>
      <c r="U532" s="1">
        <v>43823.410393518519</v>
      </c>
      <c r="W532" s="1">
        <v>43823.410405092596</v>
      </c>
      <c r="EC532" t="s">
        <v>3298</v>
      </c>
      <c r="ED532" t="s">
        <v>3310</v>
      </c>
      <c r="EE532" t="s">
        <v>3316</v>
      </c>
      <c r="EF532" t="s">
        <v>3317</v>
      </c>
      <c r="EG532" t="str">
        <f>HYPERLINK("https://d33htgqikc2pj4.cloudfront.net/13655f89e4b641e67354a96128ffde70/6315924779bfdad97cd531589bcec54b-file.jpeg", "Антон Федоров: Ссылка на изображение")</f>
        <v>Антон Федоров: Ссылка на изображение</v>
      </c>
      <c r="EH532" t="str">
        <f>HYPERLINK("https://d33htgqikc2pj4.cloudfront.net/4962f068076514d9d0b13d771c30ffe5/24beca51382b728aca3f178787cc3f73-file.jpeg", "Антон Федоров: Ссылка на изображение")</f>
        <v>Антон Федоров: Ссылка на изображение</v>
      </c>
      <c r="EI532" t="s">
        <v>3318</v>
      </c>
      <c r="EJ532" t="s">
        <v>2357</v>
      </c>
      <c r="EK532" t="s">
        <v>3319</v>
      </c>
      <c r="EL532" t="s">
        <v>794</v>
      </c>
    </row>
    <row r="533" spans="1:164" ht="15" customHeight="1" x14ac:dyDescent="0.35">
      <c r="A533">
        <v>761</v>
      </c>
      <c r="B533" t="s">
        <v>3320</v>
      </c>
      <c r="C533">
        <v>2</v>
      </c>
      <c r="D533" t="str">
        <f>VLOOKUP(source[[#This Row],[Приоритет]],тПриоритеты[],2,0)</f>
        <v>Значительное</v>
      </c>
      <c r="E533" t="str">
        <f>IF(ISBLANK(source[[#This Row],[Проверенные]]),IF(ISBLANK(source[[#This Row],[Завершенные]]),source[[#This Row],[Приоритет_]],"Завершено"),"Проверено")</f>
        <v>Проверено</v>
      </c>
      <c r="F533" t="s">
        <v>2870</v>
      </c>
      <c r="G533" t="s">
        <v>217</v>
      </c>
      <c r="H533" t="e">
        <f>VLOOKUP(source[[#This Row],[Отвественный]],тОтветственные[],2,0)</f>
        <v>#N/A</v>
      </c>
      <c r="I533" s="2">
        <v>43823</v>
      </c>
      <c r="J533" s="2">
        <v>43823</v>
      </c>
      <c r="S533" s="1">
        <v>43823.467395833337</v>
      </c>
      <c r="T533" s="1">
        <v>43823.467893518522</v>
      </c>
      <c r="U533" s="1">
        <v>43823.467893518522</v>
      </c>
      <c r="W533" s="1">
        <v>43823.467997685184</v>
      </c>
      <c r="EC533" t="s">
        <v>3321</v>
      </c>
      <c r="ED533" t="s">
        <v>218</v>
      </c>
      <c r="EE533" t="s">
        <v>3322</v>
      </c>
      <c r="EF533" t="str">
        <f>HYPERLINK("https://d33htgqikc2pj4.cloudfront.net/143f4a566676117d170257f972c6fb57/888108fa2839eb1143279f9a2999719d-file.jpeg", "Антон Федоров: Ссылка на изображение")</f>
        <v>Антон Федоров: Ссылка на изображение</v>
      </c>
    </row>
    <row r="534" spans="1:164" ht="15" customHeight="1" x14ac:dyDescent="0.35">
      <c r="A534">
        <v>1261</v>
      </c>
      <c r="B534" t="s">
        <v>3323</v>
      </c>
      <c r="C534">
        <v>2</v>
      </c>
      <c r="D534" t="str">
        <f>VLOOKUP(source[[#This Row],[Приоритет]],тПриоритеты[],2,0)</f>
        <v>Значительное</v>
      </c>
      <c r="E534" t="str">
        <f>IF(ISBLANK(source[[#This Row],[Проверенные]]),IF(ISBLANK(source[[#This Row],[Завершенные]]),source[[#This Row],[Приоритет_]],"Завершено"),"Проверено")</f>
        <v>Проверено</v>
      </c>
      <c r="F534" t="s">
        <v>2870</v>
      </c>
      <c r="G534" t="s">
        <v>217</v>
      </c>
      <c r="H534" t="e">
        <f>VLOOKUP(source[[#This Row],[Отвественный]],тОтветственные[],2,0)</f>
        <v>#N/A</v>
      </c>
      <c r="I534" s="2">
        <v>43870</v>
      </c>
      <c r="J534" s="2">
        <v>43870</v>
      </c>
      <c r="K534" t="s">
        <v>857</v>
      </c>
      <c r="L534">
        <v>31.08</v>
      </c>
      <c r="M534">
        <v>61.9</v>
      </c>
      <c r="Q534" t="s">
        <v>858</v>
      </c>
      <c r="R534" t="str">
        <f>HYPERLINK("https://d28ji4sm1vmprj.cloudfront.net/8eebbf7ea37f9890bba2b6658f1b7508/d4bda9818e0514824ff17bf1c3596771.jpeg", "Ссылка на план")</f>
        <v>Ссылка на план</v>
      </c>
      <c r="S534" s="1">
        <v>43870.976863425924</v>
      </c>
      <c r="T534" s="1">
        <v>43870.977118055554</v>
      </c>
      <c r="U534" s="1">
        <v>43871.253750000003</v>
      </c>
      <c r="W534" s="1">
        <v>43871.253750000003</v>
      </c>
      <c r="EC534" t="s">
        <v>3324</v>
      </c>
      <c r="ED534" t="s">
        <v>3325</v>
      </c>
      <c r="EE534" t="s">
        <v>3298</v>
      </c>
      <c r="EF534" t="s">
        <v>3310</v>
      </c>
      <c r="EG534" t="s">
        <v>218</v>
      </c>
    </row>
    <row r="535" spans="1:164" ht="15" customHeight="1" x14ac:dyDescent="0.35">
      <c r="A535">
        <v>1262</v>
      </c>
      <c r="B535" t="s">
        <v>3326</v>
      </c>
      <c r="C535">
        <v>2</v>
      </c>
      <c r="D535" t="str">
        <f>VLOOKUP(source[[#This Row],[Приоритет]],тПриоритеты[],2,0)</f>
        <v>Значительное</v>
      </c>
      <c r="E535" t="str">
        <f>IF(ISBLANK(source[[#This Row],[Проверенные]]),IF(ISBLANK(source[[#This Row],[Завершенные]]),source[[#This Row],[Приоритет_]],"Завершено"),"Проверено")</f>
        <v>Проверено</v>
      </c>
      <c r="F535" t="s">
        <v>2870</v>
      </c>
      <c r="G535" t="s">
        <v>217</v>
      </c>
      <c r="H535" t="e">
        <f>VLOOKUP(source[[#This Row],[Отвественный]],тОтветственные[],2,0)</f>
        <v>#N/A</v>
      </c>
      <c r="I535" s="2">
        <v>43871</v>
      </c>
      <c r="J535" s="2">
        <v>43871</v>
      </c>
      <c r="S535" s="1">
        <v>43871.252233796295</v>
      </c>
      <c r="T535" s="1">
        <v>43871.252268518518</v>
      </c>
      <c r="U535" s="1">
        <v>43871.252291666664</v>
      </c>
      <c r="W535" s="1">
        <v>43871.25341435185</v>
      </c>
      <c r="EC535" t="s">
        <v>3298</v>
      </c>
      <c r="ED535" t="s">
        <v>218</v>
      </c>
      <c r="EE535" t="s">
        <v>3310</v>
      </c>
      <c r="EF535" t="s">
        <v>3327</v>
      </c>
      <c r="EG535" t="s">
        <v>3328</v>
      </c>
      <c r="EH535" t="str">
        <f>HYPERLINK("https://d33htgqikc2pj4.cloudfront.net/63dd7e725a36930fdf4936b850a96c42/228f763dc60e16d2a89dc58e7f8d5495-file.jpeg", "Антон Федоров: Ссылка на изображение")</f>
        <v>Антон Федоров: Ссылка на изображение</v>
      </c>
    </row>
    <row r="536" spans="1:164" ht="15" customHeight="1" x14ac:dyDescent="0.35">
      <c r="A536">
        <v>790</v>
      </c>
      <c r="B536" t="s">
        <v>3329</v>
      </c>
      <c r="C536">
        <v>1</v>
      </c>
      <c r="D536" t="str">
        <f>VLOOKUP(source[[#This Row],[Приоритет]],тПриоритеты[],2,0)</f>
        <v>КРИТИЧЕСКОЕ</v>
      </c>
      <c r="E536" t="str">
        <f>IF(ISBLANK(source[[#This Row],[Проверенные]]),IF(ISBLANK(source[[#This Row],[Завершенные]]),source[[#This Row],[Приоритет_]],"Завершено"),"Проверено")</f>
        <v>КРИТИЧЕСКОЕ</v>
      </c>
      <c r="F536" t="s">
        <v>2870</v>
      </c>
      <c r="G536" t="s">
        <v>2843</v>
      </c>
      <c r="H536" t="e">
        <f>VLOOKUP(source[[#This Row],[Отвественный]],тОтветственные[],2,0)</f>
        <v>#N/A</v>
      </c>
      <c r="I536" s="2">
        <v>43824</v>
      </c>
      <c r="J536" s="2">
        <v>43861</v>
      </c>
      <c r="K536" t="s">
        <v>1720</v>
      </c>
      <c r="L536">
        <v>22.81</v>
      </c>
      <c r="M536">
        <v>13.34</v>
      </c>
      <c r="P536">
        <v>0</v>
      </c>
      <c r="Q536" t="s">
        <v>1721</v>
      </c>
      <c r="R536" t="str">
        <f>HYPERLINK("https://d28ji4sm1vmprj.cloudfront.net/c1c1b591ce77c82044efa6b5d6f7663a/cf818dc1bc24c008af413328cec2292d.jpeg", "Ссылка на план")</f>
        <v>Ссылка на план</v>
      </c>
      <c r="S536" s="1">
        <v>43824.7106712963</v>
      </c>
      <c r="W536" s="1">
        <v>43862.596898148149</v>
      </c>
      <c r="AH536" t="s">
        <v>3330</v>
      </c>
      <c r="EC536" t="s">
        <v>3331</v>
      </c>
      <c r="ED536" t="str">
        <f>HYPERLINK("https://d33htgqikc2pj4.cloudfront.net/d2e5a21d-da63-4f97-9ba0-54b568d64778.jpeg", "Александр Светашов: Ссылка на изображение")</f>
        <v>Александр Светашов: Ссылка на изображение</v>
      </c>
      <c r="EE536" t="str">
        <f>HYPERLINK("https://d33htgqikc2pj4.cloudfront.net/c65a0988-bbdd-426c-b1e5-271003929023.jpeg", "Александр Светашов: Ссылка на изображение")</f>
        <v>Александр Светашов: Ссылка на изображение</v>
      </c>
      <c r="EF536" t="str">
        <f>HYPERLINK("https://d33htgqikc2pj4.cloudfront.net/81b9e543-29c3-4556-a894-f3bc939664f4.jpeg", "Александр Светашов: Ссылка на изображение")</f>
        <v>Александр Светашов: Ссылка на изображение</v>
      </c>
      <c r="EG536" t="str">
        <f>HYPERLINK("https://d33htgqikc2pj4.cloudfront.net/87da940e-1946-4dde-8199-d53ad984a81f.jpeg", "Александр Светашов: Ссылка на изображение")</f>
        <v>Александр Светашов: Ссылка на изображение</v>
      </c>
      <c r="EH536" t="str">
        <f>HYPERLINK("https://d33htgqikc2pj4.cloudfront.net/7800a840-e9dd-4767-a2c4-06a948ab2fe2.jpeg", "Александр Светашов: Ссылка на изображение")</f>
        <v>Александр Светашов: Ссылка на изображение</v>
      </c>
      <c r="EI536" t="str">
        <f>HYPERLINK("https://d33htgqikc2pj4.cloudfront.net/f3d910aa-5aa0-4e66-aff3-a910da2022aa.jpeg", "Александр Светашов: Ссылка на изображение")</f>
        <v>Александр Светашов: Ссылка на изображение</v>
      </c>
      <c r="EJ536" t="str">
        <f>HYPERLINK("https://d33htgqikc2pj4.cloudfront.net/fb3ec92f-cb09-430d-9463-c3e10d5df6e9.jpeg", "Александр Светашов: Ссылка на изображение")</f>
        <v>Александр Светашов: Ссылка на изображение</v>
      </c>
      <c r="EK536" t="str">
        <f>HYPERLINK("https://d33htgqikc2pj4.cloudfront.net/c1f29158-5eb3-454f-bcc5-cafea6d73597.jpeg", "Александр Светашов: Ссылка на изображение")</f>
        <v>Александр Светашов: Ссылка на изображение</v>
      </c>
      <c r="EL536" t="str">
        <f>HYPERLINK("https://d33htgqikc2pj4.cloudfront.net/76c63b56-4841-4e77-9223-9a08f3196f23.jpeg", "Александр Светашов: Ссылка на изображение")</f>
        <v>Александр Светашов: Ссылка на изображение</v>
      </c>
      <c r="EM536" t="s">
        <v>1717</v>
      </c>
      <c r="EN536" t="s">
        <v>2922</v>
      </c>
      <c r="EO536" t="s">
        <v>1755</v>
      </c>
      <c r="EP536" t="s">
        <v>1703</v>
      </c>
      <c r="EQ536" t="s">
        <v>699</v>
      </c>
      <c r="ER536" t="s">
        <v>1712</v>
      </c>
      <c r="ES536" t="s">
        <v>3332</v>
      </c>
      <c r="ET536" t="s">
        <v>3333</v>
      </c>
      <c r="EU536" t="s">
        <v>3334</v>
      </c>
      <c r="EV536" t="s">
        <v>486</v>
      </c>
    </row>
    <row r="537" spans="1:164" ht="15" customHeight="1" x14ac:dyDescent="0.35">
      <c r="A537">
        <v>795</v>
      </c>
      <c r="B537" t="s">
        <v>3335</v>
      </c>
      <c r="C537">
        <v>2</v>
      </c>
      <c r="D537" t="str">
        <f>VLOOKUP(source[[#This Row],[Приоритет]],тПриоритеты[],2,0)</f>
        <v>Значительное</v>
      </c>
      <c r="E537" t="str">
        <f>IF(ISBLANK(source[[#This Row],[Проверенные]]),IF(ISBLANK(source[[#This Row],[Завершенные]]),source[[#This Row],[Приоритет_]],"Завершено"),"Проверено")</f>
        <v>Значительное</v>
      </c>
      <c r="F537" t="s">
        <v>2870</v>
      </c>
      <c r="G537" t="s">
        <v>2843</v>
      </c>
      <c r="H537" t="e">
        <f>VLOOKUP(source[[#This Row],[Отвественный]],тОтветственные[],2,0)</f>
        <v>#N/A</v>
      </c>
      <c r="I537" s="2">
        <v>43824</v>
      </c>
      <c r="J537" s="2">
        <v>43861</v>
      </c>
      <c r="K537" t="s">
        <v>1720</v>
      </c>
      <c r="L537">
        <v>29.3</v>
      </c>
      <c r="M537">
        <v>15.23</v>
      </c>
      <c r="Q537" t="s">
        <v>1721</v>
      </c>
      <c r="R537" t="str">
        <f>HYPERLINK("https://d28ji4sm1vmprj.cloudfront.net/c1c1b591ce77c82044efa6b5d6f7663a/cf818dc1bc24c008af413328cec2292d.jpeg", "Ссылка на план")</f>
        <v>Ссылка на план</v>
      </c>
      <c r="S537" s="1">
        <v>43824.740127314813</v>
      </c>
      <c r="W537" s="1">
        <v>43846.460185185184</v>
      </c>
      <c r="AH537" t="s">
        <v>3336</v>
      </c>
      <c r="EC537" t="s">
        <v>3337</v>
      </c>
      <c r="ED537" t="str">
        <f>HYPERLINK("https://d33htgqikc2pj4.cloudfront.net/867d61fd-063b-4143-91a2-5c2925ac3555.jpeg", "Александр Светашов: Ссылка на изображение")</f>
        <v>Александр Светашов: Ссылка на изображение</v>
      </c>
      <c r="EE537" t="str">
        <f>HYPERLINK("https://d33htgqikc2pj4.cloudfront.net/b4d6b4b0-7da5-42dc-b1ca-6c10f0902cf3.jpeg", "Александр Светашов: Ссылка на изображение")</f>
        <v>Александр Светашов: Ссылка на изображение</v>
      </c>
      <c r="EF537" t="str">
        <f>HYPERLINK("https://d33htgqikc2pj4.cloudfront.net/352a174f-ecf7-4033-a2b9-a9ad8e7f8f10.jpeg", "Александр Светашов: Ссылка на изображение")</f>
        <v>Александр Светашов: Ссылка на изображение</v>
      </c>
      <c r="EG537" t="s">
        <v>1703</v>
      </c>
      <c r="EH537" t="s">
        <v>1717</v>
      </c>
      <c r="EI537" t="s">
        <v>2922</v>
      </c>
      <c r="EJ537" t="s">
        <v>1755</v>
      </c>
      <c r="EK537" t="s">
        <v>699</v>
      </c>
      <c r="EL537" t="s">
        <v>1676</v>
      </c>
      <c r="EM537" t="s">
        <v>3333</v>
      </c>
      <c r="EN537" t="s">
        <v>3334</v>
      </c>
      <c r="EO537" t="s">
        <v>3338</v>
      </c>
    </row>
    <row r="538" spans="1:164" ht="15" customHeight="1" x14ac:dyDescent="0.35">
      <c r="A538">
        <v>936</v>
      </c>
      <c r="C538">
        <v>2</v>
      </c>
      <c r="D538" t="str">
        <f>VLOOKUP(source[[#This Row],[Приоритет]],тПриоритеты[],2,0)</f>
        <v>Значительное</v>
      </c>
      <c r="E538" t="str">
        <f>IF(ISBLANK(source[[#This Row],[Проверенные]]),IF(ISBLANK(source[[#This Row],[Завершенные]]),source[[#This Row],[Приоритет_]],"Завершено"),"Проверено")</f>
        <v>Значительное</v>
      </c>
      <c r="F538" t="s">
        <v>2870</v>
      </c>
      <c r="G538" t="s">
        <v>2843</v>
      </c>
      <c r="H538" t="e">
        <f>VLOOKUP(source[[#This Row],[Отвественный]],тОтветственные[],2,0)</f>
        <v>#N/A</v>
      </c>
      <c r="K538" t="s">
        <v>1194</v>
      </c>
      <c r="L538">
        <v>0</v>
      </c>
      <c r="M538">
        <v>0</v>
      </c>
      <c r="Q538" t="s">
        <v>939</v>
      </c>
      <c r="R538" t="str">
        <f>HYPERLINK("https://d28ji4sm1vmprj.cloudfront.net/af5c38728385314170b8955fc9ead135/dc8ea51d3ce730b0b4952b60f51947f4.jpeg", "Ссылка на план")</f>
        <v>Ссылка на план</v>
      </c>
      <c r="S538" s="1">
        <v>43847.643750000003</v>
      </c>
      <c r="W538" s="1">
        <v>43847.644317129627</v>
      </c>
      <c r="X538" t="s">
        <v>3339</v>
      </c>
      <c r="Y538" t="s">
        <v>3340</v>
      </c>
      <c r="AH538" t="s">
        <v>3341</v>
      </c>
      <c r="AI538" t="s">
        <v>3342</v>
      </c>
      <c r="AJ538" t="s">
        <v>3343</v>
      </c>
      <c r="AK538" t="s">
        <v>3344</v>
      </c>
      <c r="AL538" t="s">
        <v>3345</v>
      </c>
      <c r="AM538" t="s">
        <v>3346</v>
      </c>
      <c r="AN538" t="s">
        <v>3347</v>
      </c>
      <c r="AO538" t="s">
        <v>3348</v>
      </c>
      <c r="AP538" t="s">
        <v>3349</v>
      </c>
      <c r="AQ538" t="s">
        <v>3350</v>
      </c>
      <c r="AR538" t="s">
        <v>3351</v>
      </c>
      <c r="AS538" t="s">
        <v>3352</v>
      </c>
      <c r="AT538" t="s">
        <v>3353</v>
      </c>
      <c r="AU538" t="s">
        <v>3354</v>
      </c>
      <c r="AV538" t="s">
        <v>3355</v>
      </c>
      <c r="AW538" t="s">
        <v>3356</v>
      </c>
      <c r="AX538" t="s">
        <v>3357</v>
      </c>
      <c r="AY538" t="s">
        <v>3358</v>
      </c>
      <c r="AZ538" t="s">
        <v>3359</v>
      </c>
      <c r="EC538" t="s">
        <v>3360</v>
      </c>
    </row>
    <row r="539" spans="1:164" ht="15" customHeight="1" x14ac:dyDescent="0.35">
      <c r="A539">
        <v>681</v>
      </c>
      <c r="B539" t="s">
        <v>3361</v>
      </c>
      <c r="C539">
        <v>2</v>
      </c>
      <c r="D539" t="str">
        <f>VLOOKUP(source[[#This Row],[Приоритет]],тПриоритеты[],2,0)</f>
        <v>Значительное</v>
      </c>
      <c r="E539" t="str">
        <f>IF(ISBLANK(source[[#This Row],[Проверенные]]),IF(ISBLANK(source[[#This Row],[Завершенные]]),source[[#This Row],[Приоритет_]],"Завершено"),"Проверено")</f>
        <v>Проверено</v>
      </c>
      <c r="F539" t="s">
        <v>2870</v>
      </c>
      <c r="G539" t="s">
        <v>260</v>
      </c>
      <c r="H539" t="e">
        <f>VLOOKUP(source[[#This Row],[Отвественный]],тОтветственные[],2,0)</f>
        <v>#N/A</v>
      </c>
      <c r="I539" s="2">
        <v>43818</v>
      </c>
      <c r="J539" s="2">
        <v>43818</v>
      </c>
      <c r="S539" s="1">
        <v>43818.734375</v>
      </c>
      <c r="T539" s="1">
        <v>43820.476481481484</v>
      </c>
      <c r="U539" s="1">
        <v>43820.476481481484</v>
      </c>
      <c r="W539" s="1">
        <v>43820.49590277778</v>
      </c>
      <c r="EC539" t="s">
        <v>3362</v>
      </c>
      <c r="ED539" t="s">
        <v>3363</v>
      </c>
      <c r="EE539" t="s">
        <v>265</v>
      </c>
      <c r="EF539" t="s">
        <v>3364</v>
      </c>
      <c r="EG539" t="s">
        <v>3365</v>
      </c>
      <c r="EH539" t="s">
        <v>3366</v>
      </c>
      <c r="EI539" t="str">
        <f>HYPERLINK("https://d33htgqikc2pj4.cloudfront.net/0187b5dc5e5577709608d5ffe1f5a584/063aa460d9db85340a45fce71f06107b-file.jpeg", "Вячеслав Сорокин: Ссылка на изображение")</f>
        <v>Вячеслав Сорокин: Ссылка на изображение</v>
      </c>
      <c r="EJ539" t="str">
        <f>HYPERLINK("https://d33htgqikc2pj4.cloudfront.net/e3b271979e7557934f05162fc817f008/806cd54bd95216cad6fca30e3015ec97-file.jpeg", "Вячеслав Сорокин: Ссылка на изображение")</f>
        <v>Вячеслав Сорокин: Ссылка на изображение</v>
      </c>
    </row>
    <row r="540" spans="1:164" ht="15" customHeight="1" x14ac:dyDescent="0.35">
      <c r="A540">
        <v>909</v>
      </c>
      <c r="B540" t="s">
        <v>3367</v>
      </c>
      <c r="C540">
        <v>2</v>
      </c>
      <c r="D540" t="str">
        <f>VLOOKUP(source[[#This Row],[Приоритет]],тПриоритеты[],2,0)</f>
        <v>Значительное</v>
      </c>
      <c r="E540" t="str">
        <f>IF(ISBLANK(source[[#This Row],[Проверенные]]),IF(ISBLANK(source[[#This Row],[Завершенные]]),source[[#This Row],[Приоритет_]],"Завершено"),"Проверено")</f>
        <v>Проверено</v>
      </c>
      <c r="F540" t="s">
        <v>2870</v>
      </c>
      <c r="G540" t="s">
        <v>260</v>
      </c>
      <c r="H540" t="e">
        <f>VLOOKUP(source[[#This Row],[Отвественный]],тОтветственные[],2,0)</f>
        <v>#N/A</v>
      </c>
      <c r="I540" s="2">
        <v>43850</v>
      </c>
      <c r="J540" s="2">
        <v>43850</v>
      </c>
      <c r="S540" s="1">
        <v>43844.635347222225</v>
      </c>
      <c r="T540" s="1">
        <v>43850.474722222221</v>
      </c>
      <c r="U540" s="1">
        <v>43850.474722222221</v>
      </c>
      <c r="W540" s="1">
        <v>43850.474722222221</v>
      </c>
      <c r="EC540" t="s">
        <v>3368</v>
      </c>
      <c r="ED540" t="str">
        <f>HYPERLINK("https://d33htgqikc2pj4.cloudfront.net/qvHDimMUqxZcQnsj/953d9159-7867-45c6-a36c-cff4f461ae38.jpeg", "Вячеслав Сорокин: Ссылка на изображение")</f>
        <v>Вячеслав Сорокин: Ссылка на изображение</v>
      </c>
      <c r="EE540" t="str">
        <f>HYPERLINK("https://d33htgqikc2pj4.cloudfront.net/qvHDimMUqxZcQnsj/69a92ed5-b6f3-47d6-9fff-a01805db159b.jpeg", "Вячеслав Сорокин: Ссылка на изображение")</f>
        <v>Вячеслав Сорокин: Ссылка на изображение</v>
      </c>
      <c r="EF540" t="str">
        <f>HYPERLINK("https://d33htgqikc2pj4.cloudfront.net/qvHDimMUqxZcQnsj/e07ae7aa-17d2-49d3-aae6-7dea9afd16e6.jpeg", "Вячеслав Сорокин: Ссылка на изображение")</f>
        <v>Вячеслав Сорокин: Ссылка на изображение</v>
      </c>
      <c r="EG540" t="s">
        <v>2922</v>
      </c>
      <c r="EH540" t="s">
        <v>1932</v>
      </c>
      <c r="EI540" t="s">
        <v>794</v>
      </c>
    </row>
    <row r="541" spans="1:164" ht="15" customHeight="1" x14ac:dyDescent="0.35">
      <c r="A541">
        <v>907</v>
      </c>
      <c r="B541" t="s">
        <v>3369</v>
      </c>
      <c r="C541">
        <v>2</v>
      </c>
      <c r="D541" t="str">
        <f>VLOOKUP(source[[#This Row],[Приоритет]],тПриоритеты[],2,0)</f>
        <v>Значительное</v>
      </c>
      <c r="E541" t="str">
        <f>IF(ISBLANK(source[[#This Row],[Проверенные]]),IF(ISBLANK(source[[#This Row],[Завершенные]]),source[[#This Row],[Приоритет_]],"Завершено"),"Проверено")</f>
        <v>Проверено</v>
      </c>
      <c r="F541" t="s">
        <v>2870</v>
      </c>
      <c r="G541" t="s">
        <v>260</v>
      </c>
      <c r="H541" t="e">
        <f>VLOOKUP(source[[#This Row],[Отвественный]],тОтветственные[],2,0)</f>
        <v>#N/A</v>
      </c>
      <c r="I541" s="2">
        <v>43850</v>
      </c>
      <c r="J541" s="2">
        <v>43850</v>
      </c>
      <c r="S541" s="1">
        <v>43844.635347222225</v>
      </c>
      <c r="T541" s="1">
        <v>43850.475034722222</v>
      </c>
      <c r="U541" s="1">
        <v>43850.475034722222</v>
      </c>
      <c r="W541" s="1">
        <v>43850.475034722222</v>
      </c>
      <c r="EC541" t="s">
        <v>3370</v>
      </c>
      <c r="ED541" t="str">
        <f>HYPERLINK("https://d33htgqikc2pj4.cloudfront.net/qvHDimMUqxZcQnsj/3fbb476b-da79-4fae-8567-9b6e6f0cadb6.jpeg", "Вячеслав Сорокин: Ссылка на изображение")</f>
        <v>Вячеслав Сорокин: Ссылка на изображение</v>
      </c>
      <c r="EE541" t="str">
        <f>HYPERLINK("https://d33htgqikc2pj4.cloudfront.net/qvHDimMUqxZcQnsj/77ede267-dcb4-4600-9a2e-08f3aaa8496c.jpeg", "Вячеслав Сорокин: Ссылка на изображение")</f>
        <v>Вячеслав Сорокин: Ссылка на изображение</v>
      </c>
      <c r="EF541" t="s">
        <v>2922</v>
      </c>
      <c r="EG541" t="s">
        <v>1932</v>
      </c>
      <c r="EH541" t="s">
        <v>794</v>
      </c>
    </row>
    <row r="542" spans="1:164" ht="15" customHeight="1" x14ac:dyDescent="0.35">
      <c r="A542">
        <v>903</v>
      </c>
      <c r="B542" t="s">
        <v>3371</v>
      </c>
      <c r="C542">
        <v>2</v>
      </c>
      <c r="D542" t="str">
        <f>VLOOKUP(source[[#This Row],[Приоритет]],тПриоритеты[],2,0)</f>
        <v>Значительное</v>
      </c>
      <c r="E542" t="str">
        <f>IF(ISBLANK(source[[#This Row],[Проверенные]]),IF(ISBLANK(source[[#This Row],[Завершенные]]),source[[#This Row],[Приоритет_]],"Завершено"),"Проверено")</f>
        <v>Значительное</v>
      </c>
      <c r="F542" t="s">
        <v>2870</v>
      </c>
      <c r="G542" t="s">
        <v>1714</v>
      </c>
      <c r="H542" t="e">
        <f>VLOOKUP(source[[#This Row],[Отвественный]],тОтветственные[],2,0)</f>
        <v>#N/A</v>
      </c>
      <c r="I542" s="2">
        <v>43843</v>
      </c>
      <c r="J542" s="2">
        <v>43845</v>
      </c>
      <c r="K542" t="s">
        <v>1720</v>
      </c>
      <c r="L542">
        <v>48.37</v>
      </c>
      <c r="M542">
        <v>48.98</v>
      </c>
      <c r="Q542" t="s">
        <v>1721</v>
      </c>
      <c r="R542" t="str">
        <f t="shared" ref="R542:R548" si="4">HYPERLINK("https://d28ji4sm1vmprj.cloudfront.net/c1c1b591ce77c82044efa6b5d6f7663a/cf818dc1bc24c008af413328cec2292d.jpeg", "Ссылка на план")</f>
        <v>Ссылка на план</v>
      </c>
      <c r="S542" s="1">
        <v>43843.703796296293</v>
      </c>
      <c r="W542" s="1">
        <v>43843.708321759259</v>
      </c>
      <c r="AH542" t="s">
        <v>3372</v>
      </c>
      <c r="AI542" t="s">
        <v>3373</v>
      </c>
      <c r="AJ542" t="s">
        <v>3374</v>
      </c>
      <c r="EC542" t="s">
        <v>3375</v>
      </c>
      <c r="ED542" t="str">
        <f>HYPERLINK("https://d33htgqikc2pj4.cloudfront.net/4b88df04-5226-4793-86db-045260fee23c.jpeg", "Александр Светашов: Ссылка на изображение")</f>
        <v>Александр Светашов: Ссылка на изображение</v>
      </c>
      <c r="EE542" t="str">
        <f>HYPERLINK("https://d33htgqikc2pj4.cloudfront.net/a48efeaa-4769-4ea6-aae0-7bcc86e10234.jpeg", "Александр Светашов: Ссылка на изображение")</f>
        <v>Александр Светашов: Ссылка на изображение</v>
      </c>
      <c r="EF542" t="str">
        <f>HYPERLINK("https://d33htgqikc2pj4.cloudfront.net/3fad29f3-e00f-4087-9397-241fd309585c.jpeg", "Александр Светашов: Ссылка на изображение")</f>
        <v>Александр Светашов: Ссылка на изображение</v>
      </c>
      <c r="EG542" t="str">
        <f>HYPERLINK("https://d33htgqikc2pj4.cloudfront.net/31760dad-f622-486c-b569-0199af156a46.jpeg", "Александр Светашов: Ссылка на изображение")</f>
        <v>Александр Светашов: Ссылка на изображение</v>
      </c>
      <c r="EH542" t="str">
        <f>HYPERLINK("https://d33htgqikc2pj4.cloudfront.net/7f4f23b2-92a5-4e37-8fd1-0cf5d43a8a63.jpeg", "Александр Светашов: Ссылка на изображение")</f>
        <v>Александр Светашов: Ссылка на изображение</v>
      </c>
      <c r="EI542" t="str">
        <f>HYPERLINK("https://d33htgqikc2pj4.cloudfront.net/873d95b6-6c97-4213-9426-10ef9b136af0.jpeg", "Александр Светашов: Ссылка на изображение")</f>
        <v>Александр Светашов: Ссылка на изображение</v>
      </c>
      <c r="EJ542" t="str">
        <f>HYPERLINK("https://d33htgqikc2pj4.cloudfront.net/f21446b0-9741-4eb4-872a-f0599e4556a6.jpeg", "Александр Светашов: Ссылка на изображение")</f>
        <v>Александр Светашов: Ссылка на изображение</v>
      </c>
      <c r="EK542" t="str">
        <f>HYPERLINK("https://d33htgqikc2pj4.cloudfront.net/b9da2bd4-8ebf-4e23-9bf3-da2bbe5e9da7.jpeg", "Александр Светашов: Ссылка на изображение")</f>
        <v>Александр Светашов: Ссылка на изображение</v>
      </c>
      <c r="EL542" t="str">
        <f>HYPERLINK("https://d33htgqikc2pj4.cloudfront.net/87eab721-23f5-4a6b-9a33-ce8af117f578.jpeg", "Александр Светашов: Ссылка на изображение")</f>
        <v>Александр Светашов: Ссылка на изображение</v>
      </c>
      <c r="EM542" t="str">
        <f>HYPERLINK("https://d33htgqikc2pj4.cloudfront.net/397a2a8d-ff2d-4756-8346-1d949a21bcae.jpeg", "Александр Светашов: Ссылка на изображение")</f>
        <v>Александр Светашов: Ссылка на изображение</v>
      </c>
      <c r="EN542" t="str">
        <f>HYPERLINK("https://d33htgqikc2pj4.cloudfront.net/aa240d5f-dbfb-44dd-94a4-61523ba8ac30.jpeg", "Александр Светашов: Ссылка на изображение")</f>
        <v>Александр Светашов: Ссылка на изображение</v>
      </c>
      <c r="EO542" t="str">
        <f>HYPERLINK("https://d33htgqikc2pj4.cloudfront.net/e30b523c-177f-40f5-8497-ae5fc8afed7c.jpeg", "Александр Светашов: Ссылка на изображение")</f>
        <v>Александр Светашов: Ссылка на изображение</v>
      </c>
      <c r="EP542" t="str">
        <f>HYPERLINK("https://d33htgqikc2pj4.cloudfront.net/ef1cbd92-ef94-4c59-a021-157a0d322619.jpeg", "Александр Светашов: Ссылка на изображение")</f>
        <v>Александр Светашов: Ссылка на изображение</v>
      </c>
      <c r="EQ542" t="str">
        <f>HYPERLINK("https://d33htgqikc2pj4.cloudfront.net/25d88ac1-a6c9-48f7-b924-4c2760e4adef.jpeg", "Александр Светашов: Ссылка на изображение")</f>
        <v>Александр Светашов: Ссылка на изображение</v>
      </c>
      <c r="ER542" t="str">
        <f>HYPERLINK("https://d33htgqikc2pj4.cloudfront.net/50260bf6-4b0f-4f4e-be28-c036bc03ee6c.jpeg", "Александр Светашов: Ссылка на изображение")</f>
        <v>Александр Светашов: Ссылка на изображение</v>
      </c>
      <c r="ES542" t="str">
        <f>HYPERLINK("https://d33htgqikc2pj4.cloudfront.net/22f1d2cb-c96f-44c8-830a-ef89a6380563.jpeg", "Александр Светашов: Ссылка на изображение")</f>
        <v>Александр Светашов: Ссылка на изображение</v>
      </c>
      <c r="ET542" t="str">
        <f>HYPERLINK("https://d33htgqikc2pj4.cloudfront.net/45d71426-9113-449f-a40c-1c72454faf3b.jpeg", "Александр Светашов: Ссылка на изображение")</f>
        <v>Александр Светашов: Ссылка на изображение</v>
      </c>
      <c r="EU542" t="s">
        <v>1717</v>
      </c>
      <c r="EV542" t="s">
        <v>2922</v>
      </c>
      <c r="EW542" t="s">
        <v>3376</v>
      </c>
      <c r="EX542" t="s">
        <v>3377</v>
      </c>
      <c r="EY542" t="str">
        <f>HYPERLINK("https://d33htgqikc2pj4.cloudfront.net/5553f918-2726-4e2f-ab91-293a62e49e25.jpeg", "Александр Светашов: Ссылка на изображение")</f>
        <v>Александр Светашов: Ссылка на изображение</v>
      </c>
      <c r="EZ542" t="str">
        <f>HYPERLINK("https://d33htgqikc2pj4.cloudfront.net/70c6a42d-4cbe-4c52-969e-c569681d2ea0.jpeg", "Александр Светашов: Ссылка на изображение")</f>
        <v>Александр Светашов: Ссылка на изображение</v>
      </c>
      <c r="FA542" t="str">
        <f>HYPERLINK("https://d33htgqikc2pj4.cloudfront.net/b85da053-abe2-4b8e-b2e8-1ff820c94cca.jpeg", "Александр Светашов: Ссылка на изображение")</f>
        <v>Александр Светашов: Ссылка на изображение</v>
      </c>
      <c r="FB542" t="str">
        <f>HYPERLINK("https://d33htgqikc2pj4.cloudfront.net/cf4109d4-4357-4a5e-9c92-e388ffc9dff9.jpeg", "Александр Светашов: Ссылка на изображение")</f>
        <v>Александр Светашов: Ссылка на изображение</v>
      </c>
      <c r="FC542" t="str">
        <f>HYPERLINK("https://d33htgqikc2pj4.cloudfront.net/33be8de3-ed83-473e-a211-4a762ca706be.jpeg", "Александр Светашов: Ссылка на изображение")</f>
        <v>Александр Светашов: Ссылка на изображение</v>
      </c>
      <c r="FD542" t="s">
        <v>3378</v>
      </c>
      <c r="FE542" t="str">
        <f>HYPERLINK("https://d33htgqikc2pj4.cloudfront.net/a4a0bd27-0e84-45c4-bb1d-3f0341324330.jpeg", "Евгений Кузнецов: Ссылка на изображение")</f>
        <v>Евгений Кузнецов: Ссылка на изображение</v>
      </c>
      <c r="FF542" t="s">
        <v>3379</v>
      </c>
      <c r="FG542" t="str">
        <f>HYPERLINK("https://d33htgqikc2pj4.cloudfront.net/d6bf7322-61f4-4d78-8ce9-245cfc8d693f.jpeg", "Евгений Кузнецов: Ссылка на изображение")</f>
        <v>Евгений Кузнецов: Ссылка на изображение</v>
      </c>
      <c r="FH542" t="s">
        <v>3380</v>
      </c>
    </row>
    <row r="543" spans="1:164" ht="15" customHeight="1" x14ac:dyDescent="0.35">
      <c r="A543">
        <v>645</v>
      </c>
      <c r="B543" t="s">
        <v>1743</v>
      </c>
      <c r="C543">
        <v>2</v>
      </c>
      <c r="D543" t="str">
        <f>VLOOKUP(source[[#This Row],[Приоритет]],тПриоритеты[],2,0)</f>
        <v>Значительное</v>
      </c>
      <c r="E543" t="str">
        <f>IF(ISBLANK(source[[#This Row],[Проверенные]]),IF(ISBLANK(source[[#This Row],[Завершенные]]),source[[#This Row],[Приоритет_]],"Завершено"),"Проверено")</f>
        <v>Проверено</v>
      </c>
      <c r="F543" t="s">
        <v>2870</v>
      </c>
      <c r="G543" t="s">
        <v>1714</v>
      </c>
      <c r="H543" t="e">
        <f>VLOOKUP(source[[#This Row],[Отвественный]],тОтветственные[],2,0)</f>
        <v>#N/A</v>
      </c>
      <c r="I543" s="2">
        <v>43816</v>
      </c>
      <c r="J543" s="2">
        <v>43816</v>
      </c>
      <c r="K543" t="s">
        <v>1720</v>
      </c>
      <c r="L543">
        <v>43.04</v>
      </c>
      <c r="M543">
        <v>17.57</v>
      </c>
      <c r="Q543" t="s">
        <v>1721</v>
      </c>
      <c r="R543" t="str">
        <f t="shared" si="4"/>
        <v>Ссылка на план</v>
      </c>
      <c r="S543" s="1">
        <v>43816.576273148145</v>
      </c>
      <c r="T543" s="1">
        <v>43816.730856481481</v>
      </c>
      <c r="U543" s="1">
        <v>43816.730856481481</v>
      </c>
      <c r="W543" s="1">
        <v>43816.730879629627</v>
      </c>
      <c r="EC543" t="s">
        <v>3381</v>
      </c>
      <c r="ED543" t="str">
        <f>HYPERLINK("https://d33htgqikc2pj4.cloudfront.net/5221e4f3-217f-4d1c-9199-8544cb3fb611.jpeg", "Александр Светашов: Ссылка на изображение")</f>
        <v>Александр Светашов: Ссылка на изображение</v>
      </c>
      <c r="EE543" t="str">
        <f>HYPERLINK("https://d33htgqikc2pj4.cloudfront.net/15793f0e-5c63-4027-95f8-246ec0768964.jpeg", "Александр Светашов: Ссылка на изображение")</f>
        <v>Александр Светашов: Ссылка на изображение</v>
      </c>
      <c r="EF543" t="str">
        <f>HYPERLINK("https://d33htgqikc2pj4.cloudfront.net/86fc6bc5-4bb2-499a-9892-43f29cfd0bdb.jpeg", "Александр Светашов: Ссылка на изображение")</f>
        <v>Александр Светашов: Ссылка на изображение</v>
      </c>
      <c r="EG543" t="str">
        <f>HYPERLINK("https://d33htgqikc2pj4.cloudfront.net/dfc659ad-2e64-48bd-a738-1a84ecbd589b.jpeg", "Александр Светашов: Ссылка на изображение")</f>
        <v>Александр Светашов: Ссылка на изображение</v>
      </c>
      <c r="EH543" t="str">
        <f>HYPERLINK("https://d33htgqikc2pj4.cloudfront.net/54917bab-d54b-4631-93d4-8b47ad8d6a8c.jpeg", "Александр Светашов: Ссылка на изображение")</f>
        <v>Александр Светашов: Ссылка на изображение</v>
      </c>
      <c r="EI543" t="str">
        <f>HYPERLINK("https://d33htgqikc2pj4.cloudfront.net/8eab9461-4e30-452e-bc57-400ccb52be9f.jpeg", "Александр Светашов: Ссылка на изображение")</f>
        <v>Александр Светашов: Ссылка на изображение</v>
      </c>
      <c r="EJ543" t="str">
        <f>HYPERLINK("https://d33htgqikc2pj4.cloudfront.net/e85ba128-1c24-4931-a306-d33539414464.jpeg", "Александр Светашов: Ссылка на изображение")</f>
        <v>Александр Светашов: Ссылка на изображение</v>
      </c>
      <c r="EK543" t="str">
        <f>HYPERLINK("https://d33htgqikc2pj4.cloudfront.net/6065bdba-fc1d-4688-b41b-7169b41f68ac.jpeg", "Александр Светашов: Ссылка на изображение")</f>
        <v>Александр Светашов: Ссылка на изображение</v>
      </c>
      <c r="EL543" t="str">
        <f>HYPERLINK("https://d33htgqikc2pj4.cloudfront.net/5fded8db-0528-454e-9430-2ccb89fc9dd6.jpeg", "Александр Светашов: Ссылка на изображение")</f>
        <v>Александр Светашов: Ссылка на изображение</v>
      </c>
      <c r="EM543" t="str">
        <f>HYPERLINK("https://d33htgqikc2pj4.cloudfront.net/eebb18a9-8860-45da-a3b4-8860ecf19158.jpeg", "Александр Светашов: Ссылка на изображение")</f>
        <v>Александр Светашов: Ссылка на изображение</v>
      </c>
      <c r="EN543" t="str">
        <f>HYPERLINK("https://d33htgqikc2pj4.cloudfront.net/8f20937f-1507-416b-8560-07d6a282f0c9.jpeg", "Александр Светашов: Ссылка на изображение")</f>
        <v>Александр Светашов: Ссылка на изображение</v>
      </c>
      <c r="EO543" t="str">
        <f>HYPERLINK("https://d33htgqikc2pj4.cloudfront.net/674ce53c-923a-43c6-8f0e-28cf05d3344f.jpeg", "Александр Светашов: Ссылка на изображение")</f>
        <v>Александр Светашов: Ссылка на изображение</v>
      </c>
      <c r="EP543" t="str">
        <f>HYPERLINK("https://d33htgqikc2pj4.cloudfront.net/a075dffe-ca42-40d5-867c-4676b87be915.jpeg", "Александр Светашов: Ссылка на изображение")</f>
        <v>Александр Светашов: Ссылка на изображение</v>
      </c>
      <c r="EQ543" t="str">
        <f>HYPERLINK("https://d33htgqikc2pj4.cloudfront.net/c2741bc2-4a06-480b-9875-ecb2428007d4.jpeg", "Александр Светашов: Ссылка на изображение")</f>
        <v>Александр Светашов: Ссылка на изображение</v>
      </c>
      <c r="ER543" t="str">
        <f>HYPERLINK("https://d33htgqikc2pj4.cloudfront.net/ba06eb80-5137-4c2f-8b1c-71f80b62eb9a.jpeg", "Александр Светашов: Ссылка на изображение")</f>
        <v>Александр Светашов: Ссылка на изображение</v>
      </c>
      <c r="ES543" t="str">
        <f>HYPERLINK("https://d33htgqikc2pj4.cloudfront.net/abdc48a4-af79-4ac4-85f8-36bf762dbec2.jpeg", "Александр Светашов: Ссылка на изображение")</f>
        <v>Александр Светашов: Ссылка на изображение</v>
      </c>
      <c r="ET543" t="str">
        <f>HYPERLINK("https://d33htgqikc2pj4.cloudfront.net/61c65453-728a-4dff-a2ad-df18f38abc79.jpeg", "Александр Светашов: Ссылка на изображение")</f>
        <v>Александр Светашов: Ссылка на изображение</v>
      </c>
      <c r="EU543" t="str">
        <f>HYPERLINK("https://d33htgqikc2pj4.cloudfront.net/21f7fd2b-9cec-4e75-b1ce-f9c2730801fe.jpeg", "Александр Светашов: Ссылка на изображение")</f>
        <v>Александр Светашов: Ссылка на изображение</v>
      </c>
      <c r="EV543" t="s">
        <v>1717</v>
      </c>
      <c r="EW543" t="s">
        <v>3382</v>
      </c>
      <c r="EX543" t="s">
        <v>2922</v>
      </c>
      <c r="EY543" t="s">
        <v>3383</v>
      </c>
      <c r="EZ543" t="s">
        <v>794</v>
      </c>
    </row>
    <row r="544" spans="1:164" ht="15" customHeight="1" x14ac:dyDescent="0.35">
      <c r="A544">
        <v>646</v>
      </c>
      <c r="B544" t="s">
        <v>1743</v>
      </c>
      <c r="C544">
        <v>2</v>
      </c>
      <c r="D544" t="str">
        <f>VLOOKUP(source[[#This Row],[Приоритет]],тПриоритеты[],2,0)</f>
        <v>Значительное</v>
      </c>
      <c r="E544" t="str">
        <f>IF(ISBLANK(source[[#This Row],[Проверенные]]),IF(ISBLANK(source[[#This Row],[Завершенные]]),source[[#This Row],[Приоритет_]],"Завершено"),"Проверено")</f>
        <v>Проверено</v>
      </c>
      <c r="F544" t="s">
        <v>2870</v>
      </c>
      <c r="G544" t="s">
        <v>1714</v>
      </c>
      <c r="H544" t="e">
        <f>VLOOKUP(source[[#This Row],[Отвественный]],тОтветственные[],2,0)</f>
        <v>#N/A</v>
      </c>
      <c r="I544" s="2">
        <v>43816</v>
      </c>
      <c r="J544" s="2">
        <v>43816</v>
      </c>
      <c r="K544" t="s">
        <v>1720</v>
      </c>
      <c r="L544">
        <v>46.89</v>
      </c>
      <c r="M544">
        <v>36.729999999999997</v>
      </c>
      <c r="Q544" t="s">
        <v>1721</v>
      </c>
      <c r="R544" t="str">
        <f t="shared" si="4"/>
        <v>Ссылка на план</v>
      </c>
      <c r="S544" s="1">
        <v>43816.579976851855</v>
      </c>
      <c r="T544" s="1">
        <v>43816.730787037035</v>
      </c>
      <c r="U544" s="1">
        <v>43816.730787037035</v>
      </c>
      <c r="W544" s="1">
        <v>43816.730810185189</v>
      </c>
      <c r="EC544" t="s">
        <v>3384</v>
      </c>
      <c r="ED544" t="str">
        <f>HYPERLINK("https://d33htgqikc2pj4.cloudfront.net/62ced31a-b346-4ba2-be35-59aed8e9f1f7.jpeg", "Александр Светашов: Ссылка на изображение")</f>
        <v>Александр Светашов: Ссылка на изображение</v>
      </c>
      <c r="EE544" t="str">
        <f>HYPERLINK("https://d33htgqikc2pj4.cloudfront.net/beae91fb-8827-4379-8eed-a0ab5afe180f.jpeg", "Александр Светашов: Ссылка на изображение")</f>
        <v>Александр Светашов: Ссылка на изображение</v>
      </c>
      <c r="EF544" t="str">
        <f>HYPERLINK("https://d33htgqikc2pj4.cloudfront.net/6f9b2b42-9023-4dc5-9b66-05c7ac60b585.jpeg", "Александр Светашов: Ссылка на изображение")</f>
        <v>Александр Светашов: Ссылка на изображение</v>
      </c>
      <c r="EG544" t="str">
        <f>HYPERLINK("https://d33htgqikc2pj4.cloudfront.net/6af5bb04-ef34-4ba2-8d9c-24f3598a22b3.jpeg", "Александр Светашов: Ссылка на изображение")</f>
        <v>Александр Светашов: Ссылка на изображение</v>
      </c>
      <c r="EH544" t="s">
        <v>2922</v>
      </c>
      <c r="EI544" t="s">
        <v>3382</v>
      </c>
      <c r="EJ544" t="s">
        <v>3385</v>
      </c>
      <c r="EK544" t="s">
        <v>3386</v>
      </c>
      <c r="EL544" t="s">
        <v>1717</v>
      </c>
      <c r="EM544" t="s">
        <v>794</v>
      </c>
    </row>
    <row r="545" spans="1:159" ht="15" customHeight="1" x14ac:dyDescent="0.35">
      <c r="A545">
        <v>644</v>
      </c>
      <c r="B545" t="s">
        <v>1743</v>
      </c>
      <c r="C545">
        <v>2</v>
      </c>
      <c r="D545" t="str">
        <f>VLOOKUP(source[[#This Row],[Приоритет]],тПриоритеты[],2,0)</f>
        <v>Значительное</v>
      </c>
      <c r="E545" t="str">
        <f>IF(ISBLANK(source[[#This Row],[Проверенные]]),IF(ISBLANK(source[[#This Row],[Завершенные]]),source[[#This Row],[Приоритет_]],"Завершено"),"Проверено")</f>
        <v>Проверено</v>
      </c>
      <c r="F545" t="s">
        <v>2870</v>
      </c>
      <c r="G545" t="s">
        <v>1714</v>
      </c>
      <c r="H545" t="e">
        <f>VLOOKUP(source[[#This Row],[Отвественный]],тОтветственные[],2,0)</f>
        <v>#N/A</v>
      </c>
      <c r="I545" s="2">
        <v>43816</v>
      </c>
      <c r="J545" s="2">
        <v>43816</v>
      </c>
      <c r="K545" t="s">
        <v>1720</v>
      </c>
      <c r="L545">
        <v>33.56</v>
      </c>
      <c r="M545">
        <v>15.82</v>
      </c>
      <c r="Q545" t="s">
        <v>1721</v>
      </c>
      <c r="R545" t="str">
        <f t="shared" si="4"/>
        <v>Ссылка на план</v>
      </c>
      <c r="S545" s="1">
        <v>43816.574120370373</v>
      </c>
      <c r="T545" s="1">
        <v>43816.730914351851</v>
      </c>
      <c r="U545" s="1">
        <v>43816.730914351851</v>
      </c>
      <c r="W545" s="1">
        <v>43816.730937499997</v>
      </c>
      <c r="EC545" t="s">
        <v>3387</v>
      </c>
      <c r="ED545" t="str">
        <f>HYPERLINK("https://d33htgqikc2pj4.cloudfront.net/132815d5-60b4-4f74-a54d-1d9ac0e0dc65.jpeg", "Александр Светашов: Ссылка на изображение")</f>
        <v>Александр Светашов: Ссылка на изображение</v>
      </c>
      <c r="EE545" t="str">
        <f>HYPERLINK("https://d33htgqikc2pj4.cloudfront.net/6a530aef-224a-4c65-9924-fa2fffd93a13.jpeg", "Александр Светашов: Ссылка на изображение")</f>
        <v>Александр Светашов: Ссылка на изображение</v>
      </c>
      <c r="EF545" t="str">
        <f>HYPERLINK("https://d33htgqikc2pj4.cloudfront.net/be9d5725-f6b2-4c18-8828-620ccccec69a.jpeg", "Александр Светашов: Ссылка на изображение")</f>
        <v>Александр Светашов: Ссылка на изображение</v>
      </c>
      <c r="EG545" t="str">
        <f>HYPERLINK("https://d33htgqikc2pj4.cloudfront.net/21af422d-08eb-4e13-a1d6-7d5687495877.jpeg", "Александр Светашов: Ссылка на изображение")</f>
        <v>Александр Светашов: Ссылка на изображение</v>
      </c>
      <c r="EH545" t="str">
        <f>HYPERLINK("https://d33htgqikc2pj4.cloudfront.net/e2cec9a9-fcca-4713-a0b2-fadd2ed1d961.jpeg", "Александр Светашов: Ссылка на изображение")</f>
        <v>Александр Светашов: Ссылка на изображение</v>
      </c>
      <c r="EI545" t="str">
        <f>HYPERLINK("https://d33htgqikc2pj4.cloudfront.net/06de4aaf-ac08-41cc-a8cc-ba66385540b5.jpeg", "Александр Светашов: Ссылка на изображение")</f>
        <v>Александр Светашов: Ссылка на изображение</v>
      </c>
      <c r="EJ545" t="s">
        <v>1717</v>
      </c>
      <c r="EK545" t="s">
        <v>3382</v>
      </c>
      <c r="EL545" t="s">
        <v>3388</v>
      </c>
      <c r="EM545" t="s">
        <v>3389</v>
      </c>
      <c r="EN545" t="s">
        <v>3390</v>
      </c>
      <c r="EO545" t="s">
        <v>794</v>
      </c>
    </row>
    <row r="546" spans="1:159" ht="15" customHeight="1" x14ac:dyDescent="0.35">
      <c r="A546">
        <v>972</v>
      </c>
      <c r="B546" t="s">
        <v>3391</v>
      </c>
      <c r="C546">
        <v>2</v>
      </c>
      <c r="D546" t="str">
        <f>VLOOKUP(source[[#This Row],[Приоритет]],тПриоритеты[],2,0)</f>
        <v>Значительное</v>
      </c>
      <c r="E546" t="str">
        <f>IF(ISBLANK(source[[#This Row],[Проверенные]]),IF(ISBLANK(source[[#This Row],[Завершенные]]),source[[#This Row],[Приоритет_]],"Завершено"),"Проверено")</f>
        <v>Проверено</v>
      </c>
      <c r="F546" t="s">
        <v>2870</v>
      </c>
      <c r="G546" t="s">
        <v>1714</v>
      </c>
      <c r="H546" t="e">
        <f>VLOOKUP(source[[#This Row],[Отвественный]],тОтветственные[],2,0)</f>
        <v>#N/A</v>
      </c>
      <c r="I546" s="2">
        <v>43851</v>
      </c>
      <c r="J546" s="2">
        <v>43851</v>
      </c>
      <c r="K546" t="s">
        <v>1720</v>
      </c>
      <c r="L546">
        <v>5.5</v>
      </c>
      <c r="M546">
        <v>55.17</v>
      </c>
      <c r="Q546" t="s">
        <v>1721</v>
      </c>
      <c r="R546" t="str">
        <f t="shared" si="4"/>
        <v>Ссылка на план</v>
      </c>
      <c r="S546" s="1">
        <v>43851.419444444444</v>
      </c>
      <c r="T546" s="1">
        <v>43854.696006944447</v>
      </c>
      <c r="U546" s="1">
        <v>43854.696006944447</v>
      </c>
      <c r="W546" s="1">
        <v>43854.696018518516</v>
      </c>
      <c r="EC546" t="s">
        <v>3392</v>
      </c>
      <c r="ED546" t="str">
        <f>HYPERLINK("https://d33htgqikc2pj4.cloudfront.net/e07f8a8a-d297-4704-9fe1-403e18adeba8.jpeg", "Александр Светашов: Ссылка на изображение")</f>
        <v>Александр Светашов: Ссылка на изображение</v>
      </c>
      <c r="EE546" t="str">
        <f>HYPERLINK("https://d33htgqikc2pj4.cloudfront.net/b95b7123-3d34-4dc9-a33c-46675724b241.jpeg", "Александр Светашов: Ссылка на изображение")</f>
        <v>Александр Светашов: Ссылка на изображение</v>
      </c>
      <c r="EF546" t="str">
        <f>HYPERLINK("https://d33htgqikc2pj4.cloudfront.net/f3255668-2be2-4076-b12c-768f2184a731.jpeg", "Александр Светашов: Ссылка на изображение")</f>
        <v>Александр Светашов: Ссылка на изображение</v>
      </c>
      <c r="EG546" t="str">
        <f>HYPERLINK("https://d33htgqikc2pj4.cloudfront.net/63ff13d4-f8a4-42cb-a35a-7236254727dc.jpeg", "Александр Светашов: Ссылка на изображение")</f>
        <v>Александр Светашов: Ссылка на изображение</v>
      </c>
      <c r="EH546" t="s">
        <v>1717</v>
      </c>
      <c r="EI546" t="s">
        <v>2922</v>
      </c>
      <c r="EJ546" t="s">
        <v>2163</v>
      </c>
      <c r="EK546" t="s">
        <v>794</v>
      </c>
    </row>
    <row r="547" spans="1:159" ht="15" customHeight="1" x14ac:dyDescent="0.35">
      <c r="A547">
        <v>974</v>
      </c>
      <c r="B547" t="s">
        <v>3393</v>
      </c>
      <c r="C547">
        <v>2</v>
      </c>
      <c r="D547" t="str">
        <f>VLOOKUP(source[[#This Row],[Приоритет]],тПриоритеты[],2,0)</f>
        <v>Значительное</v>
      </c>
      <c r="E547" t="str">
        <f>IF(ISBLANK(source[[#This Row],[Проверенные]]),IF(ISBLANK(source[[#This Row],[Завершенные]]),source[[#This Row],[Приоритет_]],"Завершено"),"Проверено")</f>
        <v>Проверено</v>
      </c>
      <c r="F547" t="s">
        <v>2870</v>
      </c>
      <c r="G547" t="s">
        <v>1714</v>
      </c>
      <c r="H547" t="e">
        <f>VLOOKUP(source[[#This Row],[Отвественный]],тОтветственные[],2,0)</f>
        <v>#N/A</v>
      </c>
      <c r="I547" s="2">
        <v>43851</v>
      </c>
      <c r="J547" s="2">
        <v>43851</v>
      </c>
      <c r="K547" t="s">
        <v>1720</v>
      </c>
      <c r="L547">
        <v>4.7699999999999996</v>
      </c>
      <c r="M547">
        <v>62.54</v>
      </c>
      <c r="Q547" t="s">
        <v>1721</v>
      </c>
      <c r="R547" t="str">
        <f t="shared" si="4"/>
        <v>Ссылка на план</v>
      </c>
      <c r="S547" s="1">
        <v>43851.425625000003</v>
      </c>
      <c r="T547" s="1">
        <v>43854.696087962962</v>
      </c>
      <c r="U547" s="1">
        <v>43854.696087962962</v>
      </c>
      <c r="W547" s="1">
        <v>43854.696099537039</v>
      </c>
      <c r="EC547" t="s">
        <v>3394</v>
      </c>
      <c r="ED547" t="str">
        <f>HYPERLINK("https://d33htgqikc2pj4.cloudfront.net/a0efa807-7221-44d1-a373-6d0a0668849e.jpeg", "Александр Светашов: Ссылка на изображение")</f>
        <v>Александр Светашов: Ссылка на изображение</v>
      </c>
      <c r="EE547" t="str">
        <f>HYPERLINK("https://d33htgqikc2pj4.cloudfront.net/a4722691-890c-4540-b5a5-2424ed1bf204.jpeg", "Александр Светашов: Ссылка на изображение")</f>
        <v>Александр Светашов: Ссылка на изображение</v>
      </c>
      <c r="EF547" t="str">
        <f>HYPERLINK("https://d33htgqikc2pj4.cloudfront.net/b291d346-b195-4684-9857-f2ae92309e9f.jpeg", "Александр Светашов: Ссылка на изображение")</f>
        <v>Александр Светашов: Ссылка на изображение</v>
      </c>
      <c r="EG547" t="s">
        <v>1717</v>
      </c>
      <c r="EH547" t="s">
        <v>2922</v>
      </c>
      <c r="EI547" t="s">
        <v>2163</v>
      </c>
      <c r="EJ547" t="s">
        <v>794</v>
      </c>
    </row>
    <row r="548" spans="1:159" ht="15" customHeight="1" x14ac:dyDescent="0.35">
      <c r="A548">
        <v>973</v>
      </c>
      <c r="B548" t="s">
        <v>3395</v>
      </c>
      <c r="C548">
        <v>2</v>
      </c>
      <c r="D548" t="str">
        <f>VLOOKUP(source[[#This Row],[Приоритет]],тПриоритеты[],2,0)</f>
        <v>Значительное</v>
      </c>
      <c r="E548" t="str">
        <f>IF(ISBLANK(source[[#This Row],[Проверенные]]),IF(ISBLANK(source[[#This Row],[Завершенные]]),source[[#This Row],[Приоритет_]],"Завершено"),"Проверено")</f>
        <v>Проверено</v>
      </c>
      <c r="F548" t="s">
        <v>2870</v>
      </c>
      <c r="G548" t="s">
        <v>1714</v>
      </c>
      <c r="H548" t="e">
        <f>VLOOKUP(source[[#This Row],[Отвественный]],тОтветственные[],2,0)</f>
        <v>#N/A</v>
      </c>
      <c r="I548" s="2">
        <v>43851</v>
      </c>
      <c r="J548" s="2">
        <v>43851</v>
      </c>
      <c r="K548" t="s">
        <v>1720</v>
      </c>
      <c r="L548">
        <v>4.88</v>
      </c>
      <c r="M548">
        <v>48.47</v>
      </c>
      <c r="Q548" t="s">
        <v>1721</v>
      </c>
      <c r="R548" t="str">
        <f t="shared" si="4"/>
        <v>Ссылка на план</v>
      </c>
      <c r="S548" s="1">
        <v>43851.423217592594</v>
      </c>
      <c r="T548" s="1">
        <v>43854.695914351854</v>
      </c>
      <c r="U548" s="1">
        <v>43854.695914351854</v>
      </c>
      <c r="W548" s="1">
        <v>43854.695925925924</v>
      </c>
      <c r="EC548" t="s">
        <v>3396</v>
      </c>
      <c r="ED548" t="str">
        <f>HYPERLINK("https://d33htgqikc2pj4.cloudfront.net/377f00e8-3f7a-46ed-a0c0-2379276041b3.jpeg", "Александр Светашов: Ссылка на изображение")</f>
        <v>Александр Светашов: Ссылка на изображение</v>
      </c>
      <c r="EE548" t="str">
        <f>HYPERLINK("https://d33htgqikc2pj4.cloudfront.net/8d2ecbd9-12d7-46f3-9168-8d75a997a670.jpeg", "Александр Светашов: Ссылка на изображение")</f>
        <v>Александр Светашов: Ссылка на изображение</v>
      </c>
      <c r="EF548" t="str">
        <f>HYPERLINK("https://d33htgqikc2pj4.cloudfront.net/c2508ad3-c420-4435-ad43-206d663e7172.jpeg", "Александр Светашов: Ссылка на изображение")</f>
        <v>Александр Светашов: Ссылка на изображение</v>
      </c>
      <c r="EG548" t="s">
        <v>1717</v>
      </c>
      <c r="EH548" t="s">
        <v>2922</v>
      </c>
      <c r="EI548" t="s">
        <v>2163</v>
      </c>
      <c r="EJ548" t="s">
        <v>794</v>
      </c>
    </row>
    <row r="549" spans="1:159" ht="15" customHeight="1" x14ac:dyDescent="0.35">
      <c r="A549">
        <v>1222</v>
      </c>
      <c r="B549" t="s">
        <v>3397</v>
      </c>
      <c r="C549">
        <v>2</v>
      </c>
      <c r="D549" t="str">
        <f>VLOOKUP(source[[#This Row],[Приоритет]],тПриоритеты[],2,0)</f>
        <v>Значительное</v>
      </c>
      <c r="E549" t="str">
        <f>IF(ISBLANK(source[[#This Row],[Проверенные]]),IF(ISBLANK(source[[#This Row],[Завершенные]]),source[[#This Row],[Приоритет_]],"Завершено"),"Проверено")</f>
        <v>Проверено</v>
      </c>
      <c r="F549" t="s">
        <v>2870</v>
      </c>
      <c r="G549" t="s">
        <v>269</v>
      </c>
      <c r="H549" t="e">
        <f>VLOOKUP(source[[#This Row],[Отвественный]],тОтветственные[],2,0)</f>
        <v>#N/A</v>
      </c>
      <c r="I549" s="2">
        <v>43867</v>
      </c>
      <c r="J549" s="2">
        <v>43867</v>
      </c>
      <c r="S549" s="1">
        <v>43867.818530092591</v>
      </c>
      <c r="T549" s="1">
        <v>43867.822812500002</v>
      </c>
      <c r="U549" s="1">
        <v>43867.822812500002</v>
      </c>
      <c r="W549" s="1">
        <v>43867.822824074072</v>
      </c>
      <c r="EC549" t="s">
        <v>3398</v>
      </c>
      <c r="ED549" t="str">
        <f>HYPERLINK("https://d33htgqikc2pj4.cloudfront.net/7befe59d-baaa-4666-8f7d-e6204bb8b393.jpeg", "Вячеслав Сорокин: Ссылка на изображение")</f>
        <v>Вячеслав Сорокин: Ссылка на изображение</v>
      </c>
      <c r="EE549" t="s">
        <v>3399</v>
      </c>
      <c r="EF549" t="str">
        <f>HYPERLINK("https://d33htgqikc2pj4.cloudfront.net/052e68ad-16f7-4e6c-a4d7-110a86c87231.jpeg", "Вячеслав Сорокин: Ссылка на изображение")</f>
        <v>Вячеслав Сорокин: Ссылка на изображение</v>
      </c>
      <c r="EG549" t="str">
        <f>HYPERLINK("https://d33htgqikc2pj4.cloudfront.net/901381d7-4824-49ed-b8a5-71a49310c685.jpeg", "Вячеслав Сорокин: Ссылка на изображение")</f>
        <v>Вячеслав Сорокин: Ссылка на изображение</v>
      </c>
      <c r="EH549" t="s">
        <v>3399</v>
      </c>
      <c r="EI549" t="s">
        <v>3400</v>
      </c>
      <c r="EJ549" t="s">
        <v>3401</v>
      </c>
      <c r="EK549" t="s">
        <v>3364</v>
      </c>
      <c r="EL549" t="s">
        <v>3402</v>
      </c>
      <c r="EM549" t="s">
        <v>265</v>
      </c>
    </row>
    <row r="550" spans="1:159" ht="15" customHeight="1" x14ac:dyDescent="0.35">
      <c r="A550">
        <v>977</v>
      </c>
      <c r="B550" t="s">
        <v>3403</v>
      </c>
      <c r="C550">
        <v>2</v>
      </c>
      <c r="D550" t="str">
        <f>VLOOKUP(source[[#This Row],[Приоритет]],тПриоритеты[],2,0)</f>
        <v>Значительное</v>
      </c>
      <c r="E550" t="str">
        <f>IF(ISBLANK(source[[#This Row],[Проверенные]]),IF(ISBLANK(source[[#This Row],[Завершенные]]),source[[#This Row],[Приоритет_]],"Завершено"),"Проверено")</f>
        <v>Проверено</v>
      </c>
      <c r="F550" t="s">
        <v>2870</v>
      </c>
      <c r="G550" t="s">
        <v>269</v>
      </c>
      <c r="H550" t="e">
        <f>VLOOKUP(source[[#This Row],[Отвественный]],тОтветственные[],2,0)</f>
        <v>#N/A</v>
      </c>
      <c r="I550" s="2">
        <v>43851</v>
      </c>
      <c r="J550" s="2">
        <v>43851</v>
      </c>
      <c r="S550" s="1">
        <v>43851.472581018519</v>
      </c>
      <c r="T550" s="1">
        <v>43851.738263888888</v>
      </c>
      <c r="U550" s="1">
        <v>43851.738263888888</v>
      </c>
      <c r="W550" s="1">
        <v>43851.738541666666</v>
      </c>
      <c r="EC550" t="s">
        <v>3404</v>
      </c>
      <c r="ED550" t="str">
        <f>HYPERLINK("https://d33htgqikc2pj4.cloudfront.net/qvHDimMUqxZcQnsj/60aa8104-f627-429b-acaa-1eab07c5b6fe.jpeg", "Вячеслав Сорокин: Ссылка на изображение")</f>
        <v>Вячеслав Сорокин: Ссылка на изображение</v>
      </c>
      <c r="EE550" t="str">
        <f>HYPERLINK("https://d33htgqikc2pj4.cloudfront.net/qvHDimMUqxZcQnsj/52bdd1e9-3e81-4cae-b1c1-614dd787abba.jpeg", "Вячеслав Сорокин: Ссылка на изображение")</f>
        <v>Вячеслав Сорокин: Ссылка на изображение</v>
      </c>
      <c r="EF550" t="str">
        <f>HYPERLINK("https://d33htgqikc2pj4.cloudfront.net/qvHDimMUqxZcQnsj/21e703fb-02e0-4152-bacc-80708f5dd66f.jpeg", "Вячеслав Сорокин: Ссылка на изображение")</f>
        <v>Вячеслав Сорокин: Ссылка на изображение</v>
      </c>
      <c r="EG550" t="str">
        <f>HYPERLINK("https://d33htgqikc2pj4.cloudfront.net/qvHDimMUqxZcQnsj/6e8b0f9b-d46d-47a3-ba0b-887dc0501604.jpeg", "Вячеслав Сорокин: Ссылка на изображение")</f>
        <v>Вячеслав Сорокин: Ссылка на изображение</v>
      </c>
      <c r="EH550" t="str">
        <f>HYPERLINK("https://d33htgqikc2pj4.cloudfront.net/qvHDimMUqxZcQnsj/80092dc2-a688-4045-93db-d79dfb0e92eb.jpeg", "Вячеслав Сорокин: Ссылка на изображение")</f>
        <v>Вячеслав Сорокин: Ссылка на изображение</v>
      </c>
      <c r="EI550" t="s">
        <v>3405</v>
      </c>
      <c r="EJ550" t="s">
        <v>3406</v>
      </c>
      <c r="EK550" t="s">
        <v>3364</v>
      </c>
      <c r="EL550" t="s">
        <v>265</v>
      </c>
      <c r="EM550" t="s">
        <v>803</v>
      </c>
      <c r="EN550" t="s">
        <v>3407</v>
      </c>
    </row>
    <row r="551" spans="1:159" ht="15" customHeight="1" x14ac:dyDescent="0.35">
      <c r="A551">
        <v>1175</v>
      </c>
      <c r="B551" t="s">
        <v>3408</v>
      </c>
      <c r="C551">
        <v>1</v>
      </c>
      <c r="D551" t="str">
        <f>VLOOKUP(source[[#This Row],[Приоритет]],тПриоритеты[],2,0)</f>
        <v>КРИТИЧЕСКОЕ</v>
      </c>
      <c r="E551" t="str">
        <f>IF(ISBLANK(source[[#This Row],[Проверенные]]),IF(ISBLANK(source[[#This Row],[Завершенные]]),source[[#This Row],[Приоритет_]],"Завершено"),"Проверено")</f>
        <v>КРИТИЧЕСКОЕ</v>
      </c>
      <c r="F551" t="s">
        <v>2870</v>
      </c>
      <c r="G551" t="s">
        <v>478</v>
      </c>
      <c r="H551" t="e">
        <f>VLOOKUP(source[[#This Row],[Отвественный]],тОтветственные[],2,0)</f>
        <v>#N/A</v>
      </c>
      <c r="I551" s="2">
        <v>43865</v>
      </c>
      <c r="J551" s="2">
        <v>43865</v>
      </c>
      <c r="K551" t="s">
        <v>2113</v>
      </c>
      <c r="L551">
        <v>13.26</v>
      </c>
      <c r="M551">
        <v>16.18</v>
      </c>
      <c r="Q551" t="s">
        <v>2114</v>
      </c>
      <c r="R551" t="str">
        <f>HYPERLINK("https://d28ji4sm1vmprj.cloudfront.net/3021cb41417a6407c6d00c02f6a24f54/260a2324e0f0083a3c1fc6e8517e8511.jpeg", "Ссылка на план")</f>
        <v>Ссылка на план</v>
      </c>
      <c r="S551" s="1">
        <v>43865.624988425923</v>
      </c>
      <c r="W551" s="1">
        <v>43865.626180555555</v>
      </c>
      <c r="EC551" t="s">
        <v>3409</v>
      </c>
      <c r="ED551" t="str">
        <f>HYPERLINK("https://d33htgqikc2pj4.cloudfront.net/3011f5df-edb3-437d-8189-64bb3c6f4f30.jpeg", "Александр Светашов: Ссылка на изображение")</f>
        <v>Александр Светашов: Ссылка на изображение</v>
      </c>
      <c r="EE551" t="str">
        <f>HYPERLINK("https://d33htgqikc2pj4.cloudfront.net/4be9dac6-e0f0-40b5-9a80-c40fadb0c34c.jpeg", "Александр Светашов: Ссылка на изображение")</f>
        <v>Александр Светашов: Ссылка на изображение</v>
      </c>
      <c r="EF551" t="str">
        <f>HYPERLINK("https://d33htgqikc2pj4.cloudfront.net/d62170d2-1f9f-4c7b-a25f-f780d88b2790.jpeg", "Александр Светашов: Ссылка на изображение")</f>
        <v>Александр Светашов: Ссылка на изображение</v>
      </c>
      <c r="EG551" t="str">
        <f>HYPERLINK("https://d33htgqikc2pj4.cloudfront.net/4ee87094-0aea-44a1-9c70-51ebf4414efb.jpeg", "Александр Светашов: Ссылка на изображение")</f>
        <v>Александр Светашов: Ссылка на изображение</v>
      </c>
      <c r="EH551" t="str">
        <f>HYPERLINK("https://d33htgqikc2pj4.cloudfront.net/ca8bd916-85ba-42c7-82de-e93723d50f67.jpeg", "Александр Светашов: Ссылка на изображение")</f>
        <v>Александр Светашов: Ссылка на изображение</v>
      </c>
      <c r="EI551" t="str">
        <f>HYPERLINK("https://d33htgqikc2pj4.cloudfront.net/fd64f9ec-5842-4501-8cd2-e6503f86a3db.jpeg", "Александр Светашов: Ссылка на изображение")</f>
        <v>Александр Светашов: Ссылка на изображение</v>
      </c>
      <c r="EJ551" t="str">
        <f>HYPERLINK("https://d33htgqikc2pj4.cloudfront.net/37a4b6b6-2e51-4535-bb60-697c6f5f0459.jpeg", "Александр Светашов: Ссылка на изображение")</f>
        <v>Александр Светашов: Ссылка на изображение</v>
      </c>
      <c r="EK551" t="str">
        <f>HYPERLINK("https://d33htgqikc2pj4.cloudfront.net/498dc734-a48a-492b-ab3a-81f92367b4ac.jpeg", "Александр Светашов: Ссылка на изображение")</f>
        <v>Александр Светашов: Ссылка на изображение</v>
      </c>
      <c r="EL551" t="s">
        <v>1910</v>
      </c>
      <c r="EM551" t="s">
        <v>1676</v>
      </c>
      <c r="EN551" t="s">
        <v>699</v>
      </c>
      <c r="EO551" t="s">
        <v>2922</v>
      </c>
      <c r="EP551" t="s">
        <v>1674</v>
      </c>
    </row>
    <row r="552" spans="1:159" ht="15" customHeight="1" x14ac:dyDescent="0.35">
      <c r="A552">
        <v>1171</v>
      </c>
      <c r="B552" t="s">
        <v>3410</v>
      </c>
      <c r="C552">
        <v>2</v>
      </c>
      <c r="D552" t="str">
        <f>VLOOKUP(source[[#This Row],[Приоритет]],тПриоритеты[],2,0)</f>
        <v>Значительное</v>
      </c>
      <c r="E552" t="str">
        <f>IF(ISBLANK(source[[#This Row],[Проверенные]]),IF(ISBLANK(source[[#This Row],[Завершенные]]),source[[#This Row],[Приоритет_]],"Завершено"),"Проверено")</f>
        <v>Завершено</v>
      </c>
      <c r="F552" t="s">
        <v>2870</v>
      </c>
      <c r="G552" t="s">
        <v>478</v>
      </c>
      <c r="H552" t="e">
        <f>VLOOKUP(source[[#This Row],[Отвественный]],тОтветственные[],2,0)</f>
        <v>#N/A</v>
      </c>
      <c r="I552" s="2">
        <v>43865</v>
      </c>
      <c r="J552" s="2">
        <v>43865</v>
      </c>
      <c r="K552" t="s">
        <v>3411</v>
      </c>
      <c r="L552">
        <v>43.59</v>
      </c>
      <c r="M552">
        <v>47.01</v>
      </c>
      <c r="Q552" t="s">
        <v>553</v>
      </c>
      <c r="R552" t="str">
        <f>HYPERLINK("https://d28ji4sm1vmprj.cloudfront.net/9a626b54b688bbe6561e199ae63777ee/842935513717e9cb30d58baaa5539bd9.jpeg", "Ссылка на план")</f>
        <v>Ссылка на план</v>
      </c>
      <c r="S552" s="1">
        <v>43865.609722222223</v>
      </c>
      <c r="T552" s="1">
        <v>43865.602199074077</v>
      </c>
      <c r="W552" s="1">
        <v>43865.60974537037</v>
      </c>
      <c r="EC552" t="s">
        <v>3412</v>
      </c>
      <c r="ED552" t="str">
        <f>HYPERLINK("https://d33htgqikc2pj4.cloudfront.net/3840d509-377c-41d9-9d39-7d1ca7a997bf.jpeg", "Александр Светашов: Ссылка на изображение")</f>
        <v>Александр Светашов: Ссылка на изображение</v>
      </c>
      <c r="EE552" t="str">
        <f>HYPERLINK("https://d33htgqikc2pj4.cloudfront.net/09a315d1-9461-4be5-ad47-67bef1f60a8a.jpeg", "Александр Светашов: Ссылка на изображение")</f>
        <v>Александр Светашов: Ссылка на изображение</v>
      </c>
      <c r="EF552" t="str">
        <f>HYPERLINK("https://d33htgqikc2pj4.cloudfront.net/427e4886-01f5-4e1f-a524-e938ef8720fa.jpeg", "Александр Светашов: Ссылка на изображение")</f>
        <v>Александр Светашов: Ссылка на изображение</v>
      </c>
      <c r="EG552" t="s">
        <v>1703</v>
      </c>
      <c r="EH552" t="s">
        <v>1674</v>
      </c>
      <c r="EI552" t="s">
        <v>699</v>
      </c>
      <c r="EJ552" t="s">
        <v>2922</v>
      </c>
    </row>
    <row r="553" spans="1:159" ht="15" customHeight="1" x14ac:dyDescent="0.35">
      <c r="A553">
        <v>1170</v>
      </c>
      <c r="B553" t="s">
        <v>3413</v>
      </c>
      <c r="C553">
        <v>2</v>
      </c>
      <c r="D553" t="str">
        <f>VLOOKUP(source[[#This Row],[Приоритет]],тПриоритеты[],2,0)</f>
        <v>Значительное</v>
      </c>
      <c r="E553" t="str">
        <f>IF(ISBLANK(source[[#This Row],[Проверенные]]),IF(ISBLANK(source[[#This Row],[Завершенные]]),source[[#This Row],[Приоритет_]],"Завершено"),"Проверено")</f>
        <v>Завершено</v>
      </c>
      <c r="F553" t="s">
        <v>2870</v>
      </c>
      <c r="G553" t="s">
        <v>478</v>
      </c>
      <c r="H553" t="e">
        <f>VLOOKUP(source[[#This Row],[Отвественный]],тОтветственные[],2,0)</f>
        <v>#N/A</v>
      </c>
      <c r="I553" s="2">
        <v>43865</v>
      </c>
      <c r="J553" s="2">
        <v>43865</v>
      </c>
      <c r="K553" t="s">
        <v>1670</v>
      </c>
      <c r="L553">
        <v>13.95</v>
      </c>
      <c r="M553">
        <v>26.97</v>
      </c>
      <c r="Q553" t="s">
        <v>789</v>
      </c>
      <c r="R553" t="str">
        <f>HYPERLINK("https://d28ji4sm1vmprj.cloudfront.net/ad15462a64f9a2745b54f51ce9154d41/1ae5aabc4102d9651fda668fc59d327e.jpeg", "Ссылка на план")</f>
        <v>Ссылка на план</v>
      </c>
      <c r="S553" s="1">
        <v>43865.609699074077</v>
      </c>
      <c r="T553" s="1">
        <v>43865.595625000002</v>
      </c>
      <c r="W553" s="1">
        <v>43865.609722222223</v>
      </c>
      <c r="EC553" t="s">
        <v>3414</v>
      </c>
      <c r="ED553" t="str">
        <f>HYPERLINK("https://d33htgqikc2pj4.cloudfront.net/eb462c21-8ccd-499e-85ea-ad065ce68814.jpeg", "Александр Светашов: Ссылка на изображение")</f>
        <v>Александр Светашов: Ссылка на изображение</v>
      </c>
      <c r="EE553" t="str">
        <f>HYPERLINK("https://d33htgqikc2pj4.cloudfront.net/7cede40b-31a0-43b6-b671-8b76e5a789a4.jpeg", "Александр Светашов: Ссылка на изображение")</f>
        <v>Александр Светашов: Ссылка на изображение</v>
      </c>
      <c r="EF553" t="str">
        <f>HYPERLINK("https://d33htgqikc2pj4.cloudfront.net/c6b6b0f3-81b8-43af-837b-aacd53c7af62.jpeg", "Александр Светашов: Ссылка на изображение")</f>
        <v>Александр Светашов: Ссылка на изображение</v>
      </c>
      <c r="EG553" t="str">
        <f>HYPERLINK("https://d33htgqikc2pj4.cloudfront.net/8c2ee630-84ac-4e25-a6b5-afede0d1bdd9.jpeg", "Александр Светашов: Ссылка на изображение")</f>
        <v>Александр Светашов: Ссылка на изображение</v>
      </c>
      <c r="EH553" t="s">
        <v>1703</v>
      </c>
      <c r="EI553" t="s">
        <v>2922</v>
      </c>
      <c r="EJ553" t="s">
        <v>699</v>
      </c>
      <c r="EK553" t="s">
        <v>1674</v>
      </c>
    </row>
    <row r="554" spans="1:159" ht="15" customHeight="1" x14ac:dyDescent="0.35">
      <c r="A554">
        <v>1045</v>
      </c>
      <c r="B554" t="s">
        <v>3415</v>
      </c>
      <c r="C554">
        <v>2</v>
      </c>
      <c r="D554" t="str">
        <f>VLOOKUP(source[[#This Row],[Приоритет]],тПриоритеты[],2,0)</f>
        <v>Значительное</v>
      </c>
      <c r="E554" t="str">
        <f>IF(ISBLANK(source[[#This Row],[Проверенные]]),IF(ISBLANK(source[[#This Row],[Завершенные]]),source[[#This Row],[Приоритет_]],"Завершено"),"Проверено")</f>
        <v>Проверено</v>
      </c>
      <c r="F554" t="s">
        <v>2870</v>
      </c>
      <c r="G554" t="s">
        <v>478</v>
      </c>
      <c r="H554" t="e">
        <f>VLOOKUP(source[[#This Row],[Отвественный]],тОтветственные[],2,0)</f>
        <v>#N/A</v>
      </c>
      <c r="I554" s="2">
        <v>43854</v>
      </c>
      <c r="J554" s="2">
        <v>43854</v>
      </c>
      <c r="K554" t="s">
        <v>1720</v>
      </c>
      <c r="L554">
        <v>16.32</v>
      </c>
      <c r="M554">
        <v>60.2</v>
      </c>
      <c r="Q554" t="s">
        <v>1721</v>
      </c>
      <c r="R554" t="str">
        <f>HYPERLINK("https://d28ji4sm1vmprj.cloudfront.net/c1c1b591ce77c82044efa6b5d6f7663a/cf818dc1bc24c008af413328cec2292d.jpeg", "Ссылка на план")</f>
        <v>Ссылка на план</v>
      </c>
      <c r="S554" s="1">
        <v>43854.6950462963</v>
      </c>
      <c r="T554" s="1">
        <v>43854.60528935185</v>
      </c>
      <c r="U554" s="1">
        <v>43859.582060185188</v>
      </c>
      <c r="W554" s="1">
        <v>43859.582071759258</v>
      </c>
      <c r="EC554" t="s">
        <v>3416</v>
      </c>
      <c r="ED554" t="str">
        <f>HYPERLINK("https://d33htgqikc2pj4.cloudfront.net/c043b607-84c7-45aa-b25b-fd675d6f15fe.jpeg", "Александр Светашов: Ссылка на изображение")</f>
        <v>Александр Светашов: Ссылка на изображение</v>
      </c>
      <c r="EE554" t="str">
        <f>HYPERLINK("https://d33htgqikc2pj4.cloudfront.net/73d41aa1-dd9e-4a2f-b4d5-8c44fdcab615.jpeg", "Александр Светашов: Ссылка на изображение")</f>
        <v>Александр Светашов: Ссылка на изображение</v>
      </c>
      <c r="EF554" t="str">
        <f>HYPERLINK("https://d33htgqikc2pj4.cloudfront.net/24e90767-8ebf-4ba8-b714-2bac3f5d8c7e.jpeg", "Александр Светашов: Ссылка на изображение")</f>
        <v>Александр Светашов: Ссылка на изображение</v>
      </c>
      <c r="EG554" t="str">
        <f>HYPERLINK("https://d33htgqikc2pj4.cloudfront.net/3e8d0e19-9a6a-4ee9-b443-feeae371734c.jpeg", "Александр Светашов: Ссылка на изображение")</f>
        <v>Александр Светашов: Ссылка на изображение</v>
      </c>
      <c r="EH554" t="str">
        <f>HYPERLINK("https://d33htgqikc2pj4.cloudfront.net/cdf4db90-2d11-4d3a-8b08-d7e47fcd8889.jpeg", "Александр Светашов: Ссылка на изображение")</f>
        <v>Александр Светашов: Ссылка на изображение</v>
      </c>
      <c r="EI554" t="str">
        <f>HYPERLINK("https://d33htgqikc2pj4.cloudfront.net/1704b136-308b-4fdb-b6d6-c41d6df73014.jpeg", "Александр Светашов: Ссылка на изображение")</f>
        <v>Александр Светашов: Ссылка на изображение</v>
      </c>
      <c r="EJ554" t="str">
        <f>HYPERLINK("https://d33htgqikc2pj4.cloudfront.net/2ccf71a1-e8e7-4b53-9c69-fe4396b684f9.jpeg", "Александр Светашов: Ссылка на изображение")</f>
        <v>Александр Светашов: Ссылка на изображение</v>
      </c>
      <c r="EK554" t="str">
        <f>HYPERLINK("https://d33htgqikc2pj4.cloudfront.net/350cf9dc-53f9-4c86-a55b-d9392f141e26.jpeg", "Александр Светашов: Ссылка на изображение")</f>
        <v>Александр Светашов: Ссылка на изображение</v>
      </c>
      <c r="EL554" t="str">
        <f>HYPERLINK("https://d33htgqikc2pj4.cloudfront.net/56168deb-261a-4e09-a954-15df02daba19.jpeg", "Александр Светашов: Ссылка на изображение")</f>
        <v>Александр Светашов: Ссылка на изображение</v>
      </c>
      <c r="EM554" t="str">
        <f>HYPERLINK("https://d33htgqikc2pj4.cloudfront.net/9128adb6-f5d3-428c-9e45-4a4eeb4f3f02.jpeg", "Александр Светашов: Ссылка на изображение")</f>
        <v>Александр Светашов: Ссылка на изображение</v>
      </c>
      <c r="EN554" t="str">
        <f>HYPERLINK("https://d33htgqikc2pj4.cloudfront.net/c1ab50f0-817e-4924-90c4-6d34621d8fe9.jpeg", "Александр Светашов: Ссылка на изображение")</f>
        <v>Александр Светашов: Ссылка на изображение</v>
      </c>
      <c r="EO554" t="str">
        <f>HYPERLINK("https://d33htgqikc2pj4.cloudfront.net/c0d5bc4e-72b3-4ab4-b3ab-619d4de37b18.jpeg", "Александр Светашов: Ссылка на изображение")</f>
        <v>Александр Светашов: Ссылка на изображение</v>
      </c>
      <c r="EP554" t="str">
        <f>HYPERLINK("https://d33htgqikc2pj4.cloudfront.net/d8af82a8-8b10-4adf-ad01-5866667bfd5b.jpeg", "Александр Светашов: Ссылка на изображение")</f>
        <v>Александр Светашов: Ссылка на изображение</v>
      </c>
      <c r="EQ554" t="str">
        <f>HYPERLINK("https://d33htgqikc2pj4.cloudfront.net/492f8a79-f629-4803-9d29-71ee63e8965f.jpeg", "Александр Светашов: Ссылка на изображение")</f>
        <v>Александр Светашов: Ссылка на изображение</v>
      </c>
      <c r="ER554" t="s">
        <v>2922</v>
      </c>
      <c r="ES554" t="s">
        <v>3417</v>
      </c>
      <c r="ET554" t="s">
        <v>699</v>
      </c>
      <c r="EU554" t="s">
        <v>1703</v>
      </c>
      <c r="EV554" t="s">
        <v>794</v>
      </c>
    </row>
    <row r="555" spans="1:159" ht="15" customHeight="1" x14ac:dyDescent="0.35">
      <c r="A555">
        <v>654</v>
      </c>
      <c r="B555" t="s">
        <v>3418</v>
      </c>
      <c r="C555">
        <v>2</v>
      </c>
      <c r="D555" t="str">
        <f>VLOOKUP(source[[#This Row],[Приоритет]],тПриоритеты[],2,0)</f>
        <v>Значительное</v>
      </c>
      <c r="E555" t="str">
        <f>IF(ISBLANK(source[[#This Row],[Проверенные]]),IF(ISBLANK(source[[#This Row],[Завершенные]]),source[[#This Row],[Приоритет_]],"Завершено"),"Проверено")</f>
        <v>Проверено</v>
      </c>
      <c r="F555" t="s">
        <v>2870</v>
      </c>
      <c r="G555" t="s">
        <v>478</v>
      </c>
      <c r="H555" t="e">
        <f>VLOOKUP(source[[#This Row],[Отвественный]],тОтветственные[],2,0)</f>
        <v>#N/A</v>
      </c>
      <c r="I555" s="2">
        <v>43816</v>
      </c>
      <c r="J555" s="2">
        <v>43821</v>
      </c>
      <c r="K555" t="s">
        <v>1670</v>
      </c>
      <c r="L555">
        <v>33.46</v>
      </c>
      <c r="M555">
        <v>50.51</v>
      </c>
      <c r="Q555" t="s">
        <v>789</v>
      </c>
      <c r="R555" t="str">
        <f>HYPERLINK("https://d28ji4sm1vmprj.cloudfront.net/ad15462a64f9a2745b54f51ce9154d41/1ae5aabc4102d9651fda668fc59d327e.jpeg", "Ссылка на план")</f>
        <v>Ссылка на план</v>
      </c>
      <c r="S555" s="1">
        <v>43816.638090277775</v>
      </c>
      <c r="T555" s="1">
        <v>43817.359594907408</v>
      </c>
      <c r="U555" s="1">
        <v>43817.366574074076</v>
      </c>
      <c r="W555" s="1">
        <v>43817.366597222222</v>
      </c>
      <c r="EC555" t="s">
        <v>3419</v>
      </c>
      <c r="ED555" t="str">
        <f>HYPERLINK("https://d33htgqikc2pj4.cloudfront.net/65a2191e-96b4-49bb-9f40-a07de6c7503c.jpeg", "Александр Светашов: Ссылка на изображение")</f>
        <v>Александр Светашов: Ссылка на изображение</v>
      </c>
      <c r="EE555" t="str">
        <f>HYPERLINK("https://d33htgqikc2pj4.cloudfront.net/c6415db7-2de2-415d-b7d0-3931dffacffd.jpeg", "Александр Светашов: Ссылка на изображение")</f>
        <v>Александр Светашов: Ссылка на изображение</v>
      </c>
      <c r="EF555" t="str">
        <f>HYPERLINK("https://d33htgqikc2pj4.cloudfront.net/cdf96fd9-dcab-4686-a4aa-889f22d04446.jpeg", "Александр Светашов: Ссылка на изображение")</f>
        <v>Александр Светашов: Ссылка на изображение</v>
      </c>
      <c r="EG555" t="str">
        <f>HYPERLINK("https://d33htgqikc2pj4.cloudfront.net/997634b2-de2c-479b-896e-3a3cabe3168b.jpeg", "Александр Светашов: Ссылка на изображение")</f>
        <v>Александр Светашов: Ссылка на изображение</v>
      </c>
      <c r="EH555" t="str">
        <f>HYPERLINK("https://d33htgqikc2pj4.cloudfront.net/c768f16f-123d-440a-bc38-090bafd860bb.jpeg", "Александр Светашов: Ссылка на изображение")</f>
        <v>Александр Светашов: Ссылка на изображение</v>
      </c>
      <c r="EI555" t="str">
        <f>HYPERLINK("https://d33htgqikc2pj4.cloudfront.net/47ea03b6-0ec8-4852-899b-ddabdcf5a116.jpeg", "Александр Светашов: Ссылка на изображение")</f>
        <v>Александр Светашов: Ссылка на изображение</v>
      </c>
      <c r="EJ555" t="str">
        <f>HYPERLINK("https://d33htgqikc2pj4.cloudfront.net/c75da36c-b9fb-408d-a07a-5a535cef7504.jpeg", "Александр Светашов: Ссылка на изображение")</f>
        <v>Александр Светашов: Ссылка на изображение</v>
      </c>
      <c r="EK555" t="str">
        <f>HYPERLINK("https://d33htgqikc2pj4.cloudfront.net/c103c4d3-7ee3-47fe-847f-4a3a2cc91b6e.jpeg", "Александр Светашов: Ссылка на изображение")</f>
        <v>Александр Светашов: Ссылка на изображение</v>
      </c>
      <c r="EL555" t="str">
        <f>HYPERLINK("https://d33htgqikc2pj4.cloudfront.net/43718de9-02f6-4398-a058-9a109786cf2a.jpeg", "Александр Светашов: Ссылка на изображение")</f>
        <v>Александр Светашов: Ссылка на изображение</v>
      </c>
      <c r="EM555" t="s">
        <v>699</v>
      </c>
      <c r="EN555" t="s">
        <v>3382</v>
      </c>
      <c r="EO555" t="s">
        <v>3420</v>
      </c>
      <c r="EP555" t="s">
        <v>2361</v>
      </c>
      <c r="EQ555" t="s">
        <v>2035</v>
      </c>
      <c r="ER555" t="s">
        <v>794</v>
      </c>
    </row>
    <row r="556" spans="1:159" ht="15" customHeight="1" x14ac:dyDescent="0.35">
      <c r="A556">
        <v>1070</v>
      </c>
      <c r="B556" t="s">
        <v>2192</v>
      </c>
      <c r="C556">
        <v>2</v>
      </c>
      <c r="D556" t="str">
        <f>VLOOKUP(source[[#This Row],[Приоритет]],тПриоритеты[],2,0)</f>
        <v>Значительное</v>
      </c>
      <c r="E556" t="str">
        <f>IF(ISBLANK(source[[#This Row],[Проверенные]]),IF(ISBLANK(source[[#This Row],[Завершенные]]),source[[#This Row],[Приоритет_]],"Завершено"),"Проверено")</f>
        <v>Проверено</v>
      </c>
      <c r="F556" t="s">
        <v>2870</v>
      </c>
      <c r="G556" t="s">
        <v>478</v>
      </c>
      <c r="H556" t="e">
        <f>VLOOKUP(source[[#This Row],[Отвественный]],тОтветственные[],2,0)</f>
        <v>#N/A</v>
      </c>
      <c r="I556" s="2">
        <v>43858</v>
      </c>
      <c r="J556" s="2">
        <v>43858</v>
      </c>
      <c r="K556" t="s">
        <v>1913</v>
      </c>
      <c r="L556">
        <v>35.93</v>
      </c>
      <c r="M556">
        <v>30.61</v>
      </c>
      <c r="Q556" t="s">
        <v>789</v>
      </c>
      <c r="R556" t="str">
        <f>HYPERLINK("https://d28ji4sm1vmprj.cloudfront.net/66b42f802263492bba17f2ae7b1443c7/e21aa70d5981168508628998e6a067af.jpeg", "Ссылка на план")</f>
        <v>Ссылка на план</v>
      </c>
      <c r="S556" s="1">
        <v>43858.417962962965</v>
      </c>
      <c r="T556" s="1">
        <v>43859.428935185184</v>
      </c>
      <c r="U556" s="1">
        <v>43859.428935185184</v>
      </c>
      <c r="W556" s="1">
        <v>43859.42895833333</v>
      </c>
      <c r="AH556" t="s">
        <v>3421</v>
      </c>
      <c r="EC556" t="s">
        <v>2194</v>
      </c>
      <c r="ED556" t="str">
        <f>HYPERLINK("https://d33htgqikc2pj4.cloudfront.net/3df1c760-7d3b-4324-9c5d-ba19642de3a4.jpeg", "Александр Светашов: Ссылка на изображение")</f>
        <v>Александр Светашов: Ссылка на изображение</v>
      </c>
      <c r="EE556" t="str">
        <f>HYPERLINK("https://d33htgqikc2pj4.cloudfront.net/6decc1be-f00d-41fd-be57-ff1e2a02e4f5.jpeg", "Александр Светашов: Ссылка на изображение")</f>
        <v>Александр Светашов: Ссылка на изображение</v>
      </c>
      <c r="EF556" t="str">
        <f>HYPERLINK("https://d33htgqikc2pj4.cloudfront.net/d18025a5-e3a6-47a0-a0b2-f0696e5b5353.jpeg", "Александр Светашов: Ссылка на изображение")</f>
        <v>Александр Светашов: Ссылка на изображение</v>
      </c>
      <c r="EG556" t="str">
        <f>HYPERLINK("https://d33htgqikc2pj4.cloudfront.net/1eda3240-b729-4de7-af36-b2d75595deb0.jpeg", "Александр Светашов: Ссылка на изображение")</f>
        <v>Александр Светашов: Ссылка на изображение</v>
      </c>
      <c r="EH556" t="str">
        <f>HYPERLINK("https://d33htgqikc2pj4.cloudfront.net/a489ba8b-84d3-44d1-a746-b79152c30e83.jpeg", "Александр Светашов: Ссылка на изображение")</f>
        <v>Александр Светашов: Ссылка на изображение</v>
      </c>
      <c r="EI556" t="str">
        <f>HYPERLINK("https://d33htgqikc2pj4.cloudfront.net/bb44fe32-da63-420b-b775-7702bc9c8657.jpeg", "Александр Светашов: Ссылка на изображение")</f>
        <v>Александр Светашов: Ссылка на изображение</v>
      </c>
      <c r="EJ556" t="str">
        <f>HYPERLINK("https://d33htgqikc2pj4.cloudfront.net/c07ae4b2-09cc-469d-be80-bc1c51746af0.jpeg", "Александр Светашов: Ссылка на изображение")</f>
        <v>Александр Светашов: Ссылка на изображение</v>
      </c>
      <c r="EK556" t="str">
        <f>HYPERLINK("https://d33htgqikc2pj4.cloudfront.net/2f890750-e3f0-458a-9bbb-af3c08091562.jpeg", "Александр Светашов: Ссылка на изображение")</f>
        <v>Александр Светашов: Ссылка на изображение</v>
      </c>
      <c r="EL556" t="str">
        <f>HYPERLINK("https://d33htgqikc2pj4.cloudfront.net/1c1b6e6b-2767-491c-96d8-516a366f328a.jpeg", "Александр Светашов: Ссылка на изображение")</f>
        <v>Александр Светашов: Ссылка на изображение</v>
      </c>
      <c r="EM556" t="str">
        <f>HYPERLINK("https://d33htgqikc2pj4.cloudfront.net/1dcc4b7a-a2a0-43d8-8253-4131219a4eba.jpeg", "Александр Светашов: Ссылка на изображение")</f>
        <v>Александр Светашов: Ссылка на изображение</v>
      </c>
      <c r="EN556" t="str">
        <f>HYPERLINK("https://d33htgqikc2pj4.cloudfront.net/356870a8-ca3b-48d0-a3e5-9bd11a512533.jpeg", "Александр Светашов: Ссылка на изображение")</f>
        <v>Александр Светашов: Ссылка на изображение</v>
      </c>
      <c r="EO556" t="str">
        <f>HYPERLINK("https://d33htgqikc2pj4.cloudfront.net/8540ba8c-3aff-4e29-9c72-df4e569ea31c.jpeg", "Александр Светашов: Ссылка на изображение")</f>
        <v>Александр Светашов: Ссылка на изображение</v>
      </c>
      <c r="EP556" t="str">
        <f>HYPERLINK("https://d33htgqikc2pj4.cloudfront.net/56040c47-608f-4220-92c8-be537577485f.jpeg", "Александр Светашов: Ссылка на изображение")</f>
        <v>Александр Светашов: Ссылка на изображение</v>
      </c>
      <c r="EQ556" t="str">
        <f>HYPERLINK("https://d33htgqikc2pj4.cloudfront.net/f8dea705-87c2-480e-aafe-1fa32e35a445.jpeg", "Александр Светашов: Ссылка на изображение")</f>
        <v>Александр Светашов: Ссылка на изображение</v>
      </c>
      <c r="ER556" t="str">
        <f>HYPERLINK("https://d33htgqikc2pj4.cloudfront.net/6591990a-4467-46ee-b7d0-22155237d58d.jpeg", "Александр Светашов: Ссылка на изображение")</f>
        <v>Александр Светашов: Ссылка на изображение</v>
      </c>
      <c r="ES556" t="str">
        <f>HYPERLINK("https://d33htgqikc2pj4.cloudfront.net/df0a05e8-b399-4f4c-a2db-2507aa7d1b61.jpeg", "Александр Светашов: Ссылка на изображение")</f>
        <v>Александр Светашов: Ссылка на изображение</v>
      </c>
      <c r="ET556" t="str">
        <f>HYPERLINK("https://d33htgqikc2pj4.cloudfront.net/cffa3e09-c3cb-4ee8-a60c-6d1923b56101.jpeg", "Александр Светашов: Ссылка на изображение")</f>
        <v>Александр Светашов: Ссылка на изображение</v>
      </c>
      <c r="EU556" t="str">
        <f>HYPERLINK("https://d33htgqikc2pj4.cloudfront.net/e351ab9d-eb10-4d99-a001-ecc1d4af4df4.jpeg", "Александр Светашов: Ссылка на изображение")</f>
        <v>Александр Светашов: Ссылка на изображение</v>
      </c>
      <c r="EV556" t="s">
        <v>3422</v>
      </c>
      <c r="EW556" t="s">
        <v>3423</v>
      </c>
      <c r="EX556" t="s">
        <v>3424</v>
      </c>
      <c r="EY556" t="s">
        <v>3425</v>
      </c>
      <c r="EZ556" t="s">
        <v>699</v>
      </c>
      <c r="FA556" t="s">
        <v>2081</v>
      </c>
      <c r="FB556" t="s">
        <v>2922</v>
      </c>
      <c r="FC556" t="s">
        <v>794</v>
      </c>
    </row>
    <row r="557" spans="1:159" ht="15" customHeight="1" x14ac:dyDescent="0.35">
      <c r="A557">
        <v>1046</v>
      </c>
      <c r="B557" t="s">
        <v>3426</v>
      </c>
      <c r="C557">
        <v>2</v>
      </c>
      <c r="D557" t="str">
        <f>VLOOKUP(source[[#This Row],[Приоритет]],тПриоритеты[],2,0)</f>
        <v>Значительное</v>
      </c>
      <c r="E557" t="str">
        <f>IF(ISBLANK(source[[#This Row],[Проверенные]]),IF(ISBLANK(source[[#This Row],[Завершенные]]),source[[#This Row],[Приоритет_]],"Завершено"),"Проверено")</f>
        <v>Проверено</v>
      </c>
      <c r="F557" t="s">
        <v>2870</v>
      </c>
      <c r="G557" t="s">
        <v>478</v>
      </c>
      <c r="H557" t="e">
        <f>VLOOKUP(source[[#This Row],[Отвественный]],тОтветственные[],2,0)</f>
        <v>#N/A</v>
      </c>
      <c r="I557" s="2">
        <v>43854</v>
      </c>
      <c r="J557" s="2">
        <v>43854</v>
      </c>
      <c r="K557" t="s">
        <v>1720</v>
      </c>
      <c r="L557">
        <v>16.59</v>
      </c>
      <c r="M557">
        <v>61.88</v>
      </c>
      <c r="Q557" t="s">
        <v>1721</v>
      </c>
      <c r="R557" t="str">
        <f>HYPERLINK("https://d28ji4sm1vmprj.cloudfront.net/c1c1b591ce77c82044efa6b5d6f7663a/cf818dc1bc24c008af413328cec2292d.jpeg", "Ссылка на план")</f>
        <v>Ссылка на план</v>
      </c>
      <c r="S557" s="1">
        <v>43854.695115740738</v>
      </c>
      <c r="T557" s="1">
        <v>43854.606192129628</v>
      </c>
      <c r="U557" s="1">
        <v>43859.582129629627</v>
      </c>
      <c r="W557" s="1">
        <v>43859.582141203704</v>
      </c>
      <c r="EC557" t="s">
        <v>3427</v>
      </c>
      <c r="ED557" t="str">
        <f>HYPERLINK("https://d33htgqikc2pj4.cloudfront.net/6e4cfefd-649e-4fb4-a09a-49b5315a6ada.jpeg", "Александр Светашов: Ссылка на изображение")</f>
        <v>Александр Светашов: Ссылка на изображение</v>
      </c>
      <c r="EE557" t="str">
        <f>HYPERLINK("https://d33htgqikc2pj4.cloudfront.net/bb039d66-b8cb-4062-8ecc-711ee06c65c7.jpeg", "Александр Светашов: Ссылка на изображение")</f>
        <v>Александр Светашов: Ссылка на изображение</v>
      </c>
      <c r="EF557" t="str">
        <f>HYPERLINK("https://d33htgqikc2pj4.cloudfront.net/2b51a459-b16c-4cb3-8e2d-481d09dc10f6.jpeg", "Александр Светашов: Ссылка на изображение")</f>
        <v>Александр Светашов: Ссылка на изображение</v>
      </c>
      <c r="EG557" t="str">
        <f>HYPERLINK("https://d33htgqikc2pj4.cloudfront.net/f1cc3cf8-5630-4a0d-922f-c6dfa034fe75.jpeg", "Александр Светашов: Ссылка на изображение")</f>
        <v>Александр Светашов: Ссылка на изображение</v>
      </c>
      <c r="EH557" t="str">
        <f>HYPERLINK("https://d33htgqikc2pj4.cloudfront.net/4006de84-723c-42ee-a499-897287753533.jpeg", "Александр Светашов: Ссылка на изображение")</f>
        <v>Александр Светашов: Ссылка на изображение</v>
      </c>
      <c r="EI557" t="str">
        <f>HYPERLINK("https://d33htgqikc2pj4.cloudfront.net/bd8862f6-2421-4b76-808e-0838c27d0610.jpeg", "Александр Светашов: Ссылка на изображение")</f>
        <v>Александр Светашов: Ссылка на изображение</v>
      </c>
      <c r="EJ557" t="s">
        <v>699</v>
      </c>
      <c r="EK557" t="s">
        <v>1703</v>
      </c>
      <c r="EL557" t="s">
        <v>3417</v>
      </c>
      <c r="EM557" t="s">
        <v>2922</v>
      </c>
      <c r="EN557" t="str">
        <f>HYPERLINK("https://d33htgqikc2pj4.cloudfront.net/9b98fb4e-bd08-4871-9688-7531ca0b08d2.jpeg", "Александр Светашов: Ссылка на изображение")</f>
        <v>Александр Светашов: Ссылка на изображение</v>
      </c>
      <c r="EO557" t="str">
        <f>HYPERLINK("https://d33htgqikc2pj4.cloudfront.net/aaa0ebd3-9cf6-49ba-aab9-2ff546c5fc2a.jpeg", "Александр Светашов: Ссылка на изображение")</f>
        <v>Александр Светашов: Ссылка на изображение</v>
      </c>
      <c r="EP557" t="str">
        <f>HYPERLINK("https://d33htgqikc2pj4.cloudfront.net/5ffad8df-cb01-4e4c-8db0-19c98015dc47.jpeg", "Александр Светашов: Ссылка на изображение")</f>
        <v>Александр Светашов: Ссылка на изображение</v>
      </c>
      <c r="EQ557" t="s">
        <v>794</v>
      </c>
    </row>
    <row r="558" spans="1:159" ht="15" customHeight="1" x14ac:dyDescent="0.35">
      <c r="A558">
        <v>1047</v>
      </c>
      <c r="B558" t="s">
        <v>3426</v>
      </c>
      <c r="C558">
        <v>2</v>
      </c>
      <c r="D558" t="str">
        <f>VLOOKUP(source[[#This Row],[Приоритет]],тПриоритеты[],2,0)</f>
        <v>Значительное</v>
      </c>
      <c r="E558" t="str">
        <f>IF(ISBLANK(source[[#This Row],[Проверенные]]),IF(ISBLANK(source[[#This Row],[Завершенные]]),source[[#This Row],[Приоритет_]],"Завершено"),"Проверено")</f>
        <v>Проверено</v>
      </c>
      <c r="F558" t="s">
        <v>2870</v>
      </c>
      <c r="G558" t="s">
        <v>478</v>
      </c>
      <c r="H558" t="e">
        <f>VLOOKUP(source[[#This Row],[Отвественный]],тОтветственные[],2,0)</f>
        <v>#N/A</v>
      </c>
      <c r="I558" s="2">
        <v>43854</v>
      </c>
      <c r="J558" s="2">
        <v>43854</v>
      </c>
      <c r="K558" t="s">
        <v>1720</v>
      </c>
      <c r="L558">
        <v>16.149999999999999</v>
      </c>
      <c r="M558">
        <v>62.9</v>
      </c>
      <c r="Q558" t="s">
        <v>1721</v>
      </c>
      <c r="R558" t="str">
        <f>HYPERLINK("https://d28ji4sm1vmprj.cloudfront.net/c1c1b591ce77c82044efa6b5d6f7663a/cf818dc1bc24c008af413328cec2292d.jpeg", "Ссылка на план")</f>
        <v>Ссылка на план</v>
      </c>
      <c r="S558" s="1">
        <v>43854.695162037038</v>
      </c>
      <c r="T558" s="1">
        <v>43854.608020833337</v>
      </c>
      <c r="U558" s="1">
        <v>43859.582245370373</v>
      </c>
      <c r="W558" s="1">
        <v>43859.582268518519</v>
      </c>
      <c r="EC558" t="s">
        <v>3427</v>
      </c>
      <c r="ED558" t="str">
        <f>HYPERLINK("https://d33htgqikc2pj4.cloudfront.net/b833184c-e519-44bf-80c6-5df91bf72c14.jpeg", "Александр Светашов: Ссылка на изображение")</f>
        <v>Александр Светашов: Ссылка на изображение</v>
      </c>
      <c r="EE558" t="str">
        <f>HYPERLINK("https://d33htgqikc2pj4.cloudfront.net/b5ec0019-aa88-4bc2-843e-79cde2b5f05c.jpeg", "Александр Светашов: Ссылка на изображение")</f>
        <v>Александр Светашов: Ссылка на изображение</v>
      </c>
      <c r="EF558" t="str">
        <f>HYPERLINK("https://d33htgqikc2pj4.cloudfront.net/d15f8872-ef1b-41b6-b96a-a77faeb13ea5.jpeg", "Александр Светашов: Ссылка на изображение")</f>
        <v>Александр Светашов: Ссылка на изображение</v>
      </c>
      <c r="EG558" t="str">
        <f>HYPERLINK("https://d33htgqikc2pj4.cloudfront.net/2d33718c-f61a-440c-ba70-17518020843f.jpeg", "Александр Светашов: Ссылка на изображение")</f>
        <v>Александр Светашов: Ссылка на изображение</v>
      </c>
      <c r="EH558" t="str">
        <f>HYPERLINK("https://d33htgqikc2pj4.cloudfront.net/264f3b9f-0442-4434-bf76-a3093b458ed7.jpeg", "Александр Светашов: Ссылка на изображение")</f>
        <v>Александр Светашов: Ссылка на изображение</v>
      </c>
      <c r="EI558" t="str">
        <f>HYPERLINK("https://d33htgqikc2pj4.cloudfront.net/01a26f1d-6765-4b0b-9478-57cd5479588b.jpeg", "Александр Светашов: Ссылка на изображение")</f>
        <v>Александр Светашов: Ссылка на изображение</v>
      </c>
      <c r="EJ558" t="s">
        <v>1703</v>
      </c>
      <c r="EK558" t="s">
        <v>699</v>
      </c>
      <c r="EL558" t="s">
        <v>2922</v>
      </c>
      <c r="EM558" t="s">
        <v>3417</v>
      </c>
      <c r="EN558" t="s">
        <v>794</v>
      </c>
    </row>
    <row r="559" spans="1:159" ht="15" customHeight="1" x14ac:dyDescent="0.35">
      <c r="A559">
        <v>1082</v>
      </c>
      <c r="B559" t="s">
        <v>3428</v>
      </c>
      <c r="C559">
        <v>2</v>
      </c>
      <c r="D559" t="str">
        <f>VLOOKUP(source[[#This Row],[Приоритет]],тПриоритеты[],2,0)</f>
        <v>Значительное</v>
      </c>
      <c r="E559" t="str">
        <f>IF(ISBLANK(source[[#This Row],[Проверенные]]),IF(ISBLANK(source[[#This Row],[Завершенные]]),source[[#This Row],[Приоритет_]],"Завершено"),"Проверено")</f>
        <v>Проверено</v>
      </c>
      <c r="F559" t="s">
        <v>2870</v>
      </c>
      <c r="G559" t="s">
        <v>478</v>
      </c>
      <c r="H559" t="e">
        <f>VLOOKUP(source[[#This Row],[Отвественный]],тОтветственные[],2,0)</f>
        <v>#N/A</v>
      </c>
      <c r="I559" s="2">
        <v>43859</v>
      </c>
      <c r="J559" s="2">
        <v>43859</v>
      </c>
      <c r="K559" t="s">
        <v>2113</v>
      </c>
      <c r="L559">
        <v>10.89</v>
      </c>
      <c r="M559">
        <v>58.38</v>
      </c>
      <c r="Q559" t="s">
        <v>2114</v>
      </c>
      <c r="R559" t="str">
        <f>HYPERLINK("https://d28ji4sm1vmprj.cloudfront.net/3021cb41417a6407c6d00c02f6a24f54/260a2324e0f0083a3c1fc6e8517e8511.jpeg", "Ссылка на план")</f>
        <v>Ссылка на план</v>
      </c>
      <c r="S559" s="1">
        <v>43859.438437500001</v>
      </c>
      <c r="T559" s="1">
        <v>43859.437881944446</v>
      </c>
      <c r="U559" s="1">
        <v>43859.437881944446</v>
      </c>
      <c r="W559" s="1">
        <v>43859.438483796293</v>
      </c>
      <c r="EC559" t="s">
        <v>3429</v>
      </c>
      <c r="ED559" t="str">
        <f>HYPERLINK("https://d33htgqikc2pj4.cloudfront.net/f70bd74a-802c-4a11-b0d4-572d7789312c.jpeg", "Александр Светашов: Ссылка на изображение")</f>
        <v>Александр Светашов: Ссылка на изображение</v>
      </c>
      <c r="EE559" t="str">
        <f>HYPERLINK("https://d33htgqikc2pj4.cloudfront.net/2e583dac-1deb-43f9-97ef-6fda58ef170a.jpeg", "Александр Светашов: Ссылка на изображение")</f>
        <v>Александр Светашов: Ссылка на изображение</v>
      </c>
      <c r="EF559" t="str">
        <f>HYPERLINK("https://d33htgqikc2pj4.cloudfront.net/a6dfbc6b-3219-4b97-9ebc-5589fbef058b.jpeg", "Александр Светашов: Ссылка на изображение")</f>
        <v>Александр Светашов: Ссылка на изображение</v>
      </c>
      <c r="EG559" t="str">
        <f>HYPERLINK("https://d33htgqikc2pj4.cloudfront.net/d67c0595-b7c3-489c-88a5-77ec59facb60.jpeg", "Александр Светашов: Ссылка на изображение")</f>
        <v>Александр Светашов: Ссылка на изображение</v>
      </c>
      <c r="EH559" t="str">
        <f>HYPERLINK("https://d33htgqikc2pj4.cloudfront.net/327e045e-8b4f-48db-9e53-0cb1fdee5a98.jpeg", "Александр Светашов: Ссылка на изображение")</f>
        <v>Александр Светашов: Ссылка на изображение</v>
      </c>
      <c r="EI559" t="s">
        <v>794</v>
      </c>
      <c r="EJ559" t="s">
        <v>2922</v>
      </c>
      <c r="EK559" t="s">
        <v>699</v>
      </c>
      <c r="EL559" t="s">
        <v>1916</v>
      </c>
    </row>
    <row r="560" spans="1:159" ht="15" customHeight="1" x14ac:dyDescent="0.35">
      <c r="A560">
        <v>509</v>
      </c>
      <c r="B560" t="s">
        <v>3430</v>
      </c>
      <c r="C560">
        <v>2</v>
      </c>
      <c r="D560" t="str">
        <f>VLOOKUP(source[[#This Row],[Приоритет]],тПриоритеты[],2,0)</f>
        <v>Значительное</v>
      </c>
      <c r="E560" t="str">
        <f>IF(ISBLANK(source[[#This Row],[Проверенные]]),IF(ISBLANK(source[[#This Row],[Завершенные]]),source[[#This Row],[Приоритет_]],"Завершено"),"Проверено")</f>
        <v>Проверено</v>
      </c>
      <c r="F560" t="s">
        <v>2870</v>
      </c>
      <c r="G560" t="s">
        <v>478</v>
      </c>
      <c r="H560" t="e">
        <f>VLOOKUP(source[[#This Row],[Отвественный]],тОтветственные[],2,0)</f>
        <v>#N/A</v>
      </c>
      <c r="I560" s="2">
        <v>43802</v>
      </c>
      <c r="J560" s="2">
        <v>43802</v>
      </c>
      <c r="K560" t="s">
        <v>1670</v>
      </c>
      <c r="L560">
        <v>40.090000000000003</v>
      </c>
      <c r="M560">
        <v>28.35</v>
      </c>
      <c r="Q560" t="s">
        <v>789</v>
      </c>
      <c r="R560" t="str">
        <f>HYPERLINK("https://d28ji4sm1vmprj.cloudfront.net/ad15462a64f9a2745b54f51ce9154d41/1ae5aabc4102d9651fda668fc59d327e.jpeg", "Ссылка на план")</f>
        <v>Ссылка на план</v>
      </c>
      <c r="S560" s="1">
        <v>43802.425775462965</v>
      </c>
      <c r="T560" s="1">
        <v>43803.543414351851</v>
      </c>
      <c r="U560" s="1">
        <v>43811.740405092591</v>
      </c>
      <c r="W560" s="1">
        <v>43811.740405092591</v>
      </c>
      <c r="AH560" t="s">
        <v>3431</v>
      </c>
      <c r="EC560" t="s">
        <v>3432</v>
      </c>
      <c r="ED560" t="str">
        <f>HYPERLINK("https://d33htgqikc2pj4.cloudfront.net/e1448747-a1c5-4387-b9a5-1ea8dc3222a3.jpeg", "Александр Светашов: Ссылка на изображение")</f>
        <v>Александр Светашов: Ссылка на изображение</v>
      </c>
      <c r="EE560" t="str">
        <f>HYPERLINK("https://d33htgqikc2pj4.cloudfront.net/9a336cd7-0096-4139-a37a-9c55faf3750b.jpeg", "Александр Светашов: Ссылка на изображение")</f>
        <v>Александр Светашов: Ссылка на изображение</v>
      </c>
      <c r="EF560" t="str">
        <f>HYPERLINK("https://d33htgqikc2pj4.cloudfront.net/5b5bcc71-9dd5-4a11-8520-d176b3942589.jpeg", "Александр Светашов: Ссылка на изображение")</f>
        <v>Александр Светашов: Ссылка на изображение</v>
      </c>
      <c r="EG560" t="str">
        <f>HYPERLINK("https://d33htgqikc2pj4.cloudfront.net/4feea1cd-3bb5-46f0-86fc-327109d41ccc.jpeg", "Александр Светашов: Ссылка на изображение")</f>
        <v>Александр Светашов: Ссылка на изображение</v>
      </c>
      <c r="EH560" t="str">
        <f>HYPERLINK("https://d33htgqikc2pj4.cloudfront.net/28470409-efa8-45ef-b064-2c4b7386fc07.jpeg", "Александр Светашов: Ссылка на изображение")</f>
        <v>Александр Светашов: Ссылка на изображение</v>
      </c>
      <c r="EI560" t="str">
        <f>HYPERLINK("https://d33htgqikc2pj4.cloudfront.net/5927e536-af63-4e61-8756-bd42be38eaeb.jpeg", "Александр Светашов: Ссылка на изображение")</f>
        <v>Александр Светашов: Ссылка на изображение</v>
      </c>
      <c r="EJ560" t="str">
        <f>HYPERLINK("https://d33htgqikc2pj4.cloudfront.net/c621f431-c689-40c9-bf31-2468196bb435.jpeg", "Александр Светашов: Ссылка на изображение")</f>
        <v>Александр Светашов: Ссылка на изображение</v>
      </c>
      <c r="EK560" t="s">
        <v>699</v>
      </c>
      <c r="EL560" t="s">
        <v>2922</v>
      </c>
      <c r="EM560" t="s">
        <v>1700</v>
      </c>
      <c r="EN560" t="s">
        <v>1703</v>
      </c>
      <c r="EO560" t="s">
        <v>836</v>
      </c>
    </row>
    <row r="561" spans="1:166" ht="15" customHeight="1" x14ac:dyDescent="0.35">
      <c r="A561">
        <v>371</v>
      </c>
      <c r="B561" t="s">
        <v>2315</v>
      </c>
      <c r="C561">
        <v>2</v>
      </c>
      <c r="D561" t="str">
        <f>VLOOKUP(source[[#This Row],[Приоритет]],тПриоритеты[],2,0)</f>
        <v>Значительное</v>
      </c>
      <c r="E561" t="str">
        <f>IF(ISBLANK(source[[#This Row],[Проверенные]]),IF(ISBLANK(source[[#This Row],[Завершенные]]),source[[#This Row],[Приоритет_]],"Завершено"),"Проверено")</f>
        <v>Проверено</v>
      </c>
      <c r="F561" t="s">
        <v>2870</v>
      </c>
      <c r="G561" t="s">
        <v>478</v>
      </c>
      <c r="H561" t="e">
        <f>VLOOKUP(source[[#This Row],[Отвественный]],тОтветственные[],2,0)</f>
        <v>#N/A</v>
      </c>
      <c r="I561" s="2">
        <v>43789</v>
      </c>
      <c r="J561" s="2">
        <v>43789</v>
      </c>
      <c r="K561" t="s">
        <v>1720</v>
      </c>
      <c r="L561">
        <v>43.87</v>
      </c>
      <c r="M561">
        <v>51.68</v>
      </c>
      <c r="Q561" t="s">
        <v>1721</v>
      </c>
      <c r="R561" t="str">
        <f>HYPERLINK("https://d28ji4sm1vmprj.cloudfront.net/c1c1b591ce77c82044efa6b5d6f7663a/cf818dc1bc24c008af413328cec2292d.jpeg", "Ссылка на план")</f>
        <v>Ссылка на план</v>
      </c>
      <c r="S561" s="1">
        <v>43789.713622685187</v>
      </c>
      <c r="T561" s="1">
        <v>43790.732638888891</v>
      </c>
      <c r="U561" s="1">
        <v>43811.742858796293</v>
      </c>
      <c r="W561" s="1">
        <v>43811.742858796293</v>
      </c>
      <c r="AH561" t="s">
        <v>3433</v>
      </c>
      <c r="EC561" t="s">
        <v>2317</v>
      </c>
      <c r="ED561" t="str">
        <f>HYPERLINK("https://d33htgqikc2pj4.cloudfront.net/410c7ef2-abb6-4245-9d47-d26d732104d7.jpeg", "Александр Светашов: Ссылка на изображение")</f>
        <v>Александр Светашов: Ссылка на изображение</v>
      </c>
      <c r="EE561" t="str">
        <f>HYPERLINK("https://d33htgqikc2pj4.cloudfront.net/a8f1f7e8-4475-43cb-b8b3-282e51c4380e.jpeg", "Александр Светашов: Ссылка на изображение")</f>
        <v>Александр Светашов: Ссылка на изображение</v>
      </c>
      <c r="EF561" t="str">
        <f>HYPERLINK("https://d33htgqikc2pj4.cloudfront.net/e49ec998-34f5-49a9-a8ba-351700a28c3a.jpeg", "Александр Светашов: Ссылка на изображение")</f>
        <v>Александр Светашов: Ссылка на изображение</v>
      </c>
      <c r="EG561" t="str">
        <f>HYPERLINK("https://d33htgqikc2pj4.cloudfront.net/9e857a85-bdc3-4557-8cbe-1d78f0838892.jpeg", "Александр Светашов: Ссылка на изображение")</f>
        <v>Александр Светашов: Ссылка на изображение</v>
      </c>
      <c r="EH561" t="str">
        <f>HYPERLINK("https://d33htgqikc2pj4.cloudfront.net/35e82db8-fb09-489b-8f4f-9e988f6aeeaf.jpeg", "Александр Светашов: Ссылка на изображение")</f>
        <v>Александр Светашов: Ссылка на изображение</v>
      </c>
      <c r="EI561" t="str">
        <f>HYPERLINK("https://d33htgqikc2pj4.cloudfront.net/b8698faf-72fa-451e-be2b-296ec2c556bb.jpeg", "Александр Светашов: Ссылка на изображение")</f>
        <v>Александр Светашов: Ссылка на изображение</v>
      </c>
      <c r="EJ561" t="s">
        <v>699</v>
      </c>
      <c r="EK561" t="s">
        <v>3434</v>
      </c>
      <c r="EL561" t="s">
        <v>2922</v>
      </c>
      <c r="EM561" t="s">
        <v>3435</v>
      </c>
      <c r="EN561" t="s">
        <v>1703</v>
      </c>
      <c r="EO561" t="s">
        <v>836</v>
      </c>
    </row>
    <row r="562" spans="1:166" ht="15" customHeight="1" x14ac:dyDescent="0.35">
      <c r="A562">
        <v>834</v>
      </c>
      <c r="B562" t="s">
        <v>3436</v>
      </c>
      <c r="C562">
        <v>2</v>
      </c>
      <c r="D562" t="str">
        <f>VLOOKUP(source[[#This Row],[Приоритет]],тПриоритеты[],2,0)</f>
        <v>Значительное</v>
      </c>
      <c r="E562" t="str">
        <f>IF(ISBLANK(source[[#This Row],[Проверенные]]),IF(ISBLANK(source[[#This Row],[Завершенные]]),source[[#This Row],[Приоритет_]],"Завершено"),"Проверено")</f>
        <v>Проверено</v>
      </c>
      <c r="F562" t="s">
        <v>2870</v>
      </c>
      <c r="G562" t="s">
        <v>478</v>
      </c>
      <c r="H562" t="e">
        <f>VLOOKUP(source[[#This Row],[Отвественный]],тОтветственные[],2,0)</f>
        <v>#N/A</v>
      </c>
      <c r="I562" s="2">
        <v>43850</v>
      </c>
      <c r="J562" s="2">
        <v>43850</v>
      </c>
      <c r="S562" s="1">
        <v>43833.711469907408</v>
      </c>
      <c r="T562" s="1">
        <v>43846.460138888891</v>
      </c>
      <c r="U562" s="1">
        <v>43850.464317129627</v>
      </c>
      <c r="W562" s="1">
        <v>43850.464328703703</v>
      </c>
      <c r="EC562" t="s">
        <v>3437</v>
      </c>
      <c r="ED562" t="s">
        <v>3438</v>
      </c>
      <c r="EE562" t="str">
        <f>HYPERLINK("https://d33htgqikc2pj4.cloudfront.net/qvHDimMUqxZcQnsj/5cb6a82e-6534-487b-8d29-0d9ee2f46943.jpeg", "Вячеслав Сорокин: Ссылка на изображение")</f>
        <v>Вячеслав Сорокин: Ссылка на изображение</v>
      </c>
      <c r="EF562" t="str">
        <f>HYPERLINK("https://d33htgqikc2pj4.cloudfront.net/qvHDimMUqxZcQnsj/f0901346-f99c-4548-9799-3069985a0271.jpeg", "Вячеслав Сорокин: Ссылка на изображение")</f>
        <v>Вячеслав Сорокин: Ссылка на изображение</v>
      </c>
      <c r="EG562" t="s">
        <v>2035</v>
      </c>
      <c r="EH562" t="s">
        <v>2922</v>
      </c>
      <c r="EI562" t="s">
        <v>1932</v>
      </c>
      <c r="EJ562" t="s">
        <v>794</v>
      </c>
    </row>
    <row r="563" spans="1:166" ht="15" customHeight="1" x14ac:dyDescent="0.35">
      <c r="A563">
        <v>833</v>
      </c>
      <c r="B563" t="s">
        <v>3439</v>
      </c>
      <c r="C563">
        <v>2</v>
      </c>
      <c r="D563" t="str">
        <f>VLOOKUP(source[[#This Row],[Приоритет]],тПриоритеты[],2,0)</f>
        <v>Значительное</v>
      </c>
      <c r="E563" t="str">
        <f>IF(ISBLANK(source[[#This Row],[Проверенные]]),IF(ISBLANK(source[[#This Row],[Завершенные]]),source[[#This Row],[Приоритет_]],"Завершено"),"Проверено")</f>
        <v>Проверено</v>
      </c>
      <c r="F563" t="s">
        <v>2870</v>
      </c>
      <c r="G563" t="s">
        <v>478</v>
      </c>
      <c r="H563" t="e">
        <f>VLOOKUP(source[[#This Row],[Отвественный]],тОтветственные[],2,0)</f>
        <v>#N/A</v>
      </c>
      <c r="I563" s="2">
        <v>43850</v>
      </c>
      <c r="J563" s="2">
        <v>43850</v>
      </c>
      <c r="S563" s="1">
        <v>43833.711469907408</v>
      </c>
      <c r="T563" s="1">
        <v>43850.476168981484</v>
      </c>
      <c r="U563" s="1">
        <v>43850.476168981484</v>
      </c>
      <c r="W563" s="1">
        <v>43850.476168981484</v>
      </c>
      <c r="EC563" t="s">
        <v>3440</v>
      </c>
      <c r="ED563" t="s">
        <v>3438</v>
      </c>
      <c r="EE563" t="s">
        <v>3441</v>
      </c>
      <c r="EF563" t="str">
        <f>HYPERLINK("https://d33htgqikc2pj4.cloudfront.net/qvHDimMUqxZcQnsj/32ea01f1-d664-406d-891d-3e9a8071d6ce.jpeg", "Вячеслав Сорокин: Ссылка на изображение")</f>
        <v>Вячеслав Сорокин: Ссылка на изображение</v>
      </c>
      <c r="EG563" t="s">
        <v>2922</v>
      </c>
      <c r="EH563" t="s">
        <v>1932</v>
      </c>
      <c r="EI563" t="s">
        <v>794</v>
      </c>
    </row>
    <row r="564" spans="1:166" ht="15" customHeight="1" x14ac:dyDescent="0.35">
      <c r="A564">
        <v>324</v>
      </c>
      <c r="B564" t="s">
        <v>2338</v>
      </c>
      <c r="C564">
        <v>2</v>
      </c>
      <c r="D564" t="str">
        <f>VLOOKUP(source[[#This Row],[Приоритет]],тПриоритеты[],2,0)</f>
        <v>Значительное</v>
      </c>
      <c r="E564" t="str">
        <f>IF(ISBLANK(source[[#This Row],[Проверенные]]),IF(ISBLANK(source[[#This Row],[Завершенные]]),source[[#This Row],[Приоритет_]],"Завершено"),"Проверено")</f>
        <v>Проверено</v>
      </c>
      <c r="F564" t="s">
        <v>2870</v>
      </c>
      <c r="G564" t="s">
        <v>478</v>
      </c>
      <c r="H564" t="e">
        <f>VLOOKUP(source[[#This Row],[Отвественный]],тОтветственные[],2,0)</f>
        <v>#N/A</v>
      </c>
      <c r="I564" s="2">
        <v>43787</v>
      </c>
      <c r="J564" s="2">
        <v>43799</v>
      </c>
      <c r="K564" t="s">
        <v>1720</v>
      </c>
      <c r="L564">
        <v>14.7</v>
      </c>
      <c r="M564">
        <v>16.690000000000001</v>
      </c>
      <c r="N564" t="s">
        <v>3442</v>
      </c>
      <c r="Q564" t="s">
        <v>1721</v>
      </c>
      <c r="R564" t="str">
        <f>HYPERLINK("https://d28ji4sm1vmprj.cloudfront.net/c1c1b591ce77c82044efa6b5d6f7663a/cf818dc1bc24c008af413328cec2292d.jpeg", "Ссылка на план")</f>
        <v>Ссылка на план</v>
      </c>
      <c r="S564" s="1">
        <v>43787.658402777779</v>
      </c>
      <c r="T564" s="1">
        <v>43790.733344907407</v>
      </c>
      <c r="U564" s="1">
        <v>43809.496898148151</v>
      </c>
      <c r="W564" s="1">
        <v>43809.496898148151</v>
      </c>
      <c r="X564" t="s">
        <v>2339</v>
      </c>
      <c r="EC564" t="s">
        <v>2341</v>
      </c>
      <c r="ED564" t="str">
        <f>HYPERLINK("https://d33htgqikc2pj4.cloudfront.net/656b55e2-b736-43c3-9ad8-ac57976ea281.jpeg", "Александр Светашов: Ссылка на изображение")</f>
        <v>Александр Светашов: Ссылка на изображение</v>
      </c>
      <c r="EE564" t="str">
        <f>HYPERLINK("https://d33htgqikc2pj4.cloudfront.net/e007f3b0-7091-44b6-bdbc-101a3f68b652.jpeg", "Александр Светашов: Ссылка на изображение")</f>
        <v>Александр Светашов: Ссылка на изображение</v>
      </c>
      <c r="EF564" t="str">
        <f>HYPERLINK("https://d33htgqikc2pj4.cloudfront.net/949bff74-82c4-410e-8ac8-a89e50020528.jpeg", "Александр Светашов: Ссылка на изображение")</f>
        <v>Александр Светашов: Ссылка на изображение</v>
      </c>
      <c r="EG564" t="str">
        <f>HYPERLINK("https://d33htgqikc2pj4.cloudfront.net/a32c23ae-3d84-4437-ab4f-0cd744bc6ad6.jpeg", "Александр Светашов: Ссылка на изображение")</f>
        <v>Александр Светашов: Ссылка на изображение</v>
      </c>
      <c r="EH564" t="str">
        <f>HYPERLINK("https://d33htgqikc2pj4.cloudfront.net/9c448f2e-9b63-49bb-841e-19671aeb3fd3.jpeg", "Александр Светашов: Ссылка на изображение")</f>
        <v>Александр Светашов: Ссылка на изображение</v>
      </c>
      <c r="EI564" t="s">
        <v>2922</v>
      </c>
      <c r="EJ564" t="s">
        <v>2342</v>
      </c>
      <c r="EK564" t="s">
        <v>2343</v>
      </c>
      <c r="EL564" t="s">
        <v>699</v>
      </c>
      <c r="EM564" t="str">
        <f>HYPERLINK("https://d33htgqikc2pj4.cloudfront.net/b455663d-9663-4c5e-9721-ed60b8bb96c6.jpeg", "Александр Светашов: Ссылка на изображение")</f>
        <v>Александр Светашов: Ссылка на изображение</v>
      </c>
      <c r="EN564" t="s">
        <v>1703</v>
      </c>
      <c r="EO564" t="s">
        <v>794</v>
      </c>
    </row>
    <row r="565" spans="1:166" ht="15" customHeight="1" x14ac:dyDescent="0.35">
      <c r="A565">
        <v>866</v>
      </c>
      <c r="B565" t="s">
        <v>2152</v>
      </c>
      <c r="C565">
        <v>2</v>
      </c>
      <c r="D565" t="str">
        <f>VLOOKUP(source[[#This Row],[Приоритет]],тПриоритеты[],2,0)</f>
        <v>Значительное</v>
      </c>
      <c r="E565" t="str">
        <f>IF(ISBLANK(source[[#This Row],[Проверенные]]),IF(ISBLANK(source[[#This Row],[Завершенные]]),source[[#This Row],[Приоритет_]],"Завершено"),"Проверено")</f>
        <v>Проверено</v>
      </c>
      <c r="F565" t="s">
        <v>2870</v>
      </c>
      <c r="G565" t="s">
        <v>478</v>
      </c>
      <c r="H565" t="e">
        <f>VLOOKUP(source[[#This Row],[Отвественный]],тОтветственные[],2,0)</f>
        <v>#N/A</v>
      </c>
      <c r="I565" s="2">
        <v>43839</v>
      </c>
      <c r="J565" s="2">
        <v>43839</v>
      </c>
      <c r="K565" t="s">
        <v>1929</v>
      </c>
      <c r="L565">
        <v>36.549999999999997</v>
      </c>
      <c r="M565">
        <v>62.9</v>
      </c>
      <c r="Q565" t="s">
        <v>789</v>
      </c>
      <c r="R565" t="str">
        <f>HYPERLINK("https://d28ji4sm1vmprj.cloudfront.net/7446a2f5ce823f14d6caa916eb9a53b7/572060d4144487f43b3d4838b133b524.jpeg", "Ссылка на план")</f>
        <v>Ссылка на план</v>
      </c>
      <c r="S565" s="1">
        <v>43839.450937499998</v>
      </c>
      <c r="T565" s="1">
        <v>43846.360648148147</v>
      </c>
      <c r="U565" s="1">
        <v>43850.467314814814</v>
      </c>
      <c r="W565" s="1">
        <v>43850.467326388891</v>
      </c>
      <c r="AH565" t="s">
        <v>3443</v>
      </c>
      <c r="EC565" t="s">
        <v>2154</v>
      </c>
      <c r="ED565" t="str">
        <f>HYPERLINK("https://d33htgqikc2pj4.cloudfront.net/e22cbe68-aa1a-4038-81e2-6464dfa44aee.jpeg", "Александр Светашов: Ссылка на изображение")</f>
        <v>Александр Светашов: Ссылка на изображение</v>
      </c>
      <c r="EE565" t="str">
        <f>HYPERLINK("https://d33htgqikc2pj4.cloudfront.net/55fd653d-6f8a-43d3-b802-d7e208c1a3a4.jpeg", "Александр Светашов: Ссылка на изображение")</f>
        <v>Александр Светашов: Ссылка на изображение</v>
      </c>
      <c r="EF565" t="str">
        <f>HYPERLINK("https://d33htgqikc2pj4.cloudfront.net/7cb54bf4-fb26-47b2-b60a-8201597e2058.jpeg", "Александр Светашов: Ссылка на изображение")</f>
        <v>Александр Светашов: Ссылка на изображение</v>
      </c>
      <c r="EG565" t="str">
        <f>HYPERLINK("https://d33htgqikc2pj4.cloudfront.net/e2c8033f-3c5c-4228-92ca-91760f490da5.jpeg", "Александр Светашов: Ссылка на изображение")</f>
        <v>Александр Светашов: Ссылка на изображение</v>
      </c>
      <c r="EH565" t="str">
        <f>HYPERLINK("https://d33htgqikc2pj4.cloudfront.net/4cd0497f-8c57-4015-97ac-19ba7114ea84.jpeg", "Александр Светашов: Ссылка на изображение")</f>
        <v>Александр Светашов: Ссылка на изображение</v>
      </c>
      <c r="EI565" t="str">
        <f>HYPERLINK("https://d33htgqikc2pj4.cloudfront.net/7c73a903-bf13-4be8-8faa-a01869393b56.jpeg", "Александр Светашов: Ссылка на изображение")</f>
        <v>Александр Светашов: Ссылка на изображение</v>
      </c>
      <c r="EJ565" t="s">
        <v>699</v>
      </c>
      <c r="EK565" t="s">
        <v>2922</v>
      </c>
      <c r="EL565" t="s">
        <v>1708</v>
      </c>
      <c r="EM565" t="s">
        <v>2035</v>
      </c>
      <c r="EN565" t="s">
        <v>794</v>
      </c>
    </row>
    <row r="566" spans="1:166" ht="15" customHeight="1" x14ac:dyDescent="0.35">
      <c r="A566">
        <v>902</v>
      </c>
      <c r="B566" t="s">
        <v>3444</v>
      </c>
      <c r="C566">
        <v>2</v>
      </c>
      <c r="D566" t="str">
        <f>VLOOKUP(source[[#This Row],[Приоритет]],тПриоритеты[],2,0)</f>
        <v>Значительное</v>
      </c>
      <c r="E566" t="str">
        <f>IF(ISBLANK(source[[#This Row],[Проверенные]]),IF(ISBLANK(source[[#This Row],[Завершенные]]),source[[#This Row],[Приоритет_]],"Завершено"),"Проверено")</f>
        <v>Проверено</v>
      </c>
      <c r="F566" t="s">
        <v>2870</v>
      </c>
      <c r="G566" t="s">
        <v>478</v>
      </c>
      <c r="H566" t="e">
        <f>VLOOKUP(source[[#This Row],[Отвественный]],тОтветственные[],2,0)</f>
        <v>#N/A</v>
      </c>
      <c r="I566" s="2">
        <v>43843</v>
      </c>
      <c r="J566" s="2">
        <v>43843</v>
      </c>
      <c r="K566" t="s">
        <v>1913</v>
      </c>
      <c r="L566">
        <v>30.81</v>
      </c>
      <c r="M566">
        <v>58.82</v>
      </c>
      <c r="Q566" t="s">
        <v>789</v>
      </c>
      <c r="R566" t="str">
        <f>HYPERLINK("https://d28ji4sm1vmprj.cloudfront.net/66b42f802263492bba17f2ae7b1443c7/e21aa70d5981168508628998e6a067af.jpeg", "Ссылка на план")</f>
        <v>Ссылка на план</v>
      </c>
      <c r="S566" s="1">
        <v>43843.430324074077</v>
      </c>
      <c r="T566" s="1">
        <v>43846.359722222223</v>
      </c>
      <c r="U566" s="1">
        <v>43850.466817129629</v>
      </c>
      <c r="W566" s="1">
        <v>43850.466828703706</v>
      </c>
      <c r="AH566" t="s">
        <v>3445</v>
      </c>
      <c r="EC566" t="s">
        <v>3446</v>
      </c>
      <c r="ED566" t="str">
        <f>HYPERLINK("https://d33htgqikc2pj4.cloudfront.net/54569474-da6e-4864-99ea-680c50b3c7fe.jpeg", "Александр Светашов: Ссылка на изображение")</f>
        <v>Александр Светашов: Ссылка на изображение</v>
      </c>
      <c r="EE566" t="str">
        <f>HYPERLINK("https://d33htgqikc2pj4.cloudfront.net/f1c9a6d0-90dc-4038-b51e-c6cbd6938a35.jpeg", "Александр Светашов: Ссылка на изображение")</f>
        <v>Александр Светашов: Ссылка на изображение</v>
      </c>
      <c r="EF566" t="str">
        <f>HYPERLINK("https://d33htgqikc2pj4.cloudfront.net/d54beea8-e453-4421-a55b-8564387b88c1.jpeg", "Александр Светашов: Ссылка на изображение")</f>
        <v>Александр Светашов: Ссылка на изображение</v>
      </c>
      <c r="EG566" t="str">
        <f>HYPERLINK("https://d33htgqikc2pj4.cloudfront.net/5d626b08-8cf2-4149-b106-7b9e2c10367b.jpeg", "Александр Светашов: Ссылка на изображение")</f>
        <v>Александр Светашов: Ссылка на изображение</v>
      </c>
      <c r="EH566" t="str">
        <f>HYPERLINK("https://d33htgqikc2pj4.cloudfront.net/c9247ab9-60d1-4956-90b1-b9576a5a26f7.jpeg", "Александр Светашов: Ссылка на изображение")</f>
        <v>Александр Светашов: Ссылка на изображение</v>
      </c>
      <c r="EI566" t="str">
        <f>HYPERLINK("https://d33htgqikc2pj4.cloudfront.net/dacd88b6-edf1-496c-8e17-df1f0ec6989d.jpeg", "Александр Светашов: Ссылка на изображение")</f>
        <v>Александр Светашов: Ссылка на изображение</v>
      </c>
      <c r="EJ566" t="s">
        <v>2922</v>
      </c>
      <c r="EK566" t="s">
        <v>699</v>
      </c>
      <c r="EL566" t="s">
        <v>3376</v>
      </c>
      <c r="EM566" t="s">
        <v>3447</v>
      </c>
      <c r="EN566" t="s">
        <v>2035</v>
      </c>
      <c r="EO566" t="s">
        <v>3448</v>
      </c>
      <c r="EP566" t="s">
        <v>794</v>
      </c>
    </row>
    <row r="567" spans="1:166" ht="15" customHeight="1" x14ac:dyDescent="0.35">
      <c r="A567">
        <v>988</v>
      </c>
      <c r="B567" t="s">
        <v>3449</v>
      </c>
      <c r="C567">
        <v>2</v>
      </c>
      <c r="D567" t="str">
        <f>VLOOKUP(source[[#This Row],[Приоритет]],тПриоритеты[],2,0)</f>
        <v>Значительное</v>
      </c>
      <c r="E567" t="str">
        <f>IF(ISBLANK(source[[#This Row],[Проверенные]]),IF(ISBLANK(source[[#This Row],[Завершенные]]),source[[#This Row],[Приоритет_]],"Завершено"),"Проверено")</f>
        <v>Проверено</v>
      </c>
      <c r="F567" t="s">
        <v>2870</v>
      </c>
      <c r="G567" t="s">
        <v>478</v>
      </c>
      <c r="H567" t="e">
        <f>VLOOKUP(source[[#This Row],[Отвественный]],тОтветственные[],2,0)</f>
        <v>#N/A</v>
      </c>
      <c r="I567" s="2">
        <v>43851</v>
      </c>
      <c r="J567" s="2">
        <v>43851</v>
      </c>
      <c r="K567" t="s">
        <v>3450</v>
      </c>
      <c r="L567">
        <v>15.9</v>
      </c>
      <c r="M567">
        <v>49.64</v>
      </c>
      <c r="Q567" t="s">
        <v>789</v>
      </c>
      <c r="R567" t="str">
        <f>HYPERLINK("https://d28ji4sm1vmprj.cloudfront.net/f6d974b623f4630d72b5392b4d37376a/821b5ae26201bd875155d18dae79cab4.jpeg", "Ссылка на план")</f>
        <v>Ссылка на план</v>
      </c>
      <c r="S567" s="1">
        <v>43851.670775462961</v>
      </c>
      <c r="T567" s="1">
        <v>43852.689513888887</v>
      </c>
      <c r="U567" s="1">
        <v>43852.690682870372</v>
      </c>
      <c r="W567" s="1">
        <v>43852.690694444442</v>
      </c>
      <c r="EC567" t="s">
        <v>3451</v>
      </c>
      <c r="ED567" t="str">
        <f>HYPERLINK("https://d33htgqikc2pj4.cloudfront.net/b87c82f9-be6e-4ba7-b194-20ed7ee4c557.jpeg", "Александр Светашов: Ссылка на изображение")</f>
        <v>Александр Светашов: Ссылка на изображение</v>
      </c>
      <c r="EE567" t="str">
        <f>HYPERLINK("https://d33htgqikc2pj4.cloudfront.net/7ce6aea8-9417-461c-903c-bd221dac1c9e.jpeg", "Александр Светашов: Ссылка на изображение")</f>
        <v>Александр Светашов: Ссылка на изображение</v>
      </c>
      <c r="EF567" t="str">
        <f>HYPERLINK("https://d33htgqikc2pj4.cloudfront.net/7bccba58-0eec-4d60-9612-ad9e6e347739.jpeg", "Александр Светашов: Ссылка на изображение")</f>
        <v>Александр Светашов: Ссылка на изображение</v>
      </c>
      <c r="EG567" t="s">
        <v>699</v>
      </c>
      <c r="EH567" t="s">
        <v>2922</v>
      </c>
      <c r="EI567" t="s">
        <v>2163</v>
      </c>
      <c r="EJ567" t="s">
        <v>2035</v>
      </c>
      <c r="EK567" t="s">
        <v>794</v>
      </c>
    </row>
    <row r="568" spans="1:166" ht="15" customHeight="1" x14ac:dyDescent="0.35">
      <c r="A568">
        <v>991</v>
      </c>
      <c r="B568" t="s">
        <v>3452</v>
      </c>
      <c r="C568">
        <v>2</v>
      </c>
      <c r="D568" t="str">
        <f>VLOOKUP(source[[#This Row],[Приоритет]],тПриоритеты[],2,0)</f>
        <v>Значительное</v>
      </c>
      <c r="E568" t="str">
        <f>IF(ISBLANK(source[[#This Row],[Проверенные]]),IF(ISBLANK(source[[#This Row],[Завершенные]]),source[[#This Row],[Приоритет_]],"Завершено"),"Проверено")</f>
        <v>Проверено</v>
      </c>
      <c r="F568" t="s">
        <v>2870</v>
      </c>
      <c r="G568" t="s">
        <v>478</v>
      </c>
      <c r="H568" t="e">
        <f>VLOOKUP(source[[#This Row],[Отвественный]],тОтветственные[],2,0)</f>
        <v>#N/A</v>
      </c>
      <c r="I568" s="2">
        <v>43851</v>
      </c>
      <c r="J568" s="2">
        <v>43851</v>
      </c>
      <c r="K568" t="s">
        <v>2165</v>
      </c>
      <c r="L568">
        <v>20.47</v>
      </c>
      <c r="M568">
        <v>42.13</v>
      </c>
      <c r="Q568" t="s">
        <v>789</v>
      </c>
      <c r="R568" t="str">
        <f>HYPERLINK("https://d28ji4sm1vmprj.cloudfront.net/0ca5a36e9332229d981e0a78477cba62/4c55d5df90ce77f042dad1d5758e38cd.jpeg", "Ссылка на план")</f>
        <v>Ссылка на план</v>
      </c>
      <c r="S568" s="1">
        <v>43851.673090277778</v>
      </c>
      <c r="T568" s="1">
        <v>43851.67392361111</v>
      </c>
      <c r="U568" s="1">
        <v>43851.67392361111</v>
      </c>
      <c r="W568" s="1">
        <v>43851.674062500002</v>
      </c>
      <c r="EC568" t="s">
        <v>3453</v>
      </c>
      <c r="ED568" t="str">
        <f>HYPERLINK("https://d33htgqikc2pj4.cloudfront.net/1c7587c5-2545-45b4-9b97-9e3c20b549cd.jpeg", "Александр Светашов: Ссылка на изображение")</f>
        <v>Александр Светашов: Ссылка на изображение</v>
      </c>
      <c r="EE568" t="str">
        <f>HYPERLINK("https://d33htgqikc2pj4.cloudfront.net/0431cdeb-e2f4-4b2d-9894-6972a5132c42.jpeg", "Александр Светашов: Ссылка на изображение")</f>
        <v>Александр Светашов: Ссылка на изображение</v>
      </c>
      <c r="EF568" t="str">
        <f>HYPERLINK("https://d33htgqikc2pj4.cloudfront.net/0fc5b549-1d12-4ed2-9168-811e2528c31d.jpeg", "Александр Светашов: Ссылка на изображение")</f>
        <v>Александр Светашов: Ссылка на изображение</v>
      </c>
      <c r="EG568" t="s">
        <v>699</v>
      </c>
      <c r="EH568" t="s">
        <v>2922</v>
      </c>
      <c r="EI568" t="s">
        <v>2163</v>
      </c>
      <c r="EJ568" t="s">
        <v>794</v>
      </c>
    </row>
    <row r="569" spans="1:166" ht="15" customHeight="1" x14ac:dyDescent="0.35">
      <c r="A569">
        <v>471</v>
      </c>
      <c r="B569" t="s">
        <v>3454</v>
      </c>
      <c r="C569">
        <v>2</v>
      </c>
      <c r="D569" t="str">
        <f>VLOOKUP(source[[#This Row],[Приоритет]],тПриоритеты[],2,0)</f>
        <v>Значительное</v>
      </c>
      <c r="E569" t="str">
        <f>IF(ISBLANK(source[[#This Row],[Проверенные]]),IF(ISBLANK(source[[#This Row],[Завершенные]]),source[[#This Row],[Приоритет_]],"Завершено"),"Проверено")</f>
        <v>Проверено</v>
      </c>
      <c r="F569" t="s">
        <v>2870</v>
      </c>
      <c r="G569" t="s">
        <v>806</v>
      </c>
      <c r="H569" t="e">
        <f>VLOOKUP(source[[#This Row],[Отвественный]],тОтветственные[],2,0)</f>
        <v>#N/A</v>
      </c>
      <c r="I569" s="2">
        <v>43798</v>
      </c>
      <c r="J569" s="2">
        <v>43798</v>
      </c>
      <c r="S569" s="1">
        <v>43798.226481481484</v>
      </c>
      <c r="T569" s="1">
        <v>43798.227222222224</v>
      </c>
      <c r="U569" s="1">
        <v>43798.227222222224</v>
      </c>
      <c r="W569" s="1">
        <v>43798.228819444441</v>
      </c>
      <c r="AA569" t="s">
        <v>3455</v>
      </c>
      <c r="EC569" t="s">
        <v>807</v>
      </c>
      <c r="ED569" t="s">
        <v>3456</v>
      </c>
      <c r="EE569" t="s">
        <v>3457</v>
      </c>
      <c r="EF569" t="s">
        <v>3458</v>
      </c>
    </row>
    <row r="570" spans="1:166" ht="15" customHeight="1" x14ac:dyDescent="0.35">
      <c r="A570">
        <v>949</v>
      </c>
      <c r="B570" t="s">
        <v>3459</v>
      </c>
      <c r="C570">
        <v>2</v>
      </c>
      <c r="D570" t="str">
        <f>VLOOKUP(source[[#This Row],[Приоритет]],тПриоритеты[],2,0)</f>
        <v>Значительное</v>
      </c>
      <c r="E570" t="str">
        <f>IF(ISBLANK(source[[#This Row],[Проверенные]]),IF(ISBLANK(source[[#This Row],[Завершенные]]),source[[#This Row],[Приоритет_]],"Завершено"),"Проверено")</f>
        <v>Проверено</v>
      </c>
      <c r="F570" t="s">
        <v>2870</v>
      </c>
      <c r="G570" t="s">
        <v>806</v>
      </c>
      <c r="H570" t="e">
        <f>VLOOKUP(source[[#This Row],[Отвественный]],тОтветственные[],2,0)</f>
        <v>#N/A</v>
      </c>
      <c r="I570" s="2">
        <v>43848</v>
      </c>
      <c r="J570" s="2">
        <v>43849</v>
      </c>
      <c r="S570" s="1">
        <v>43849.279456018521</v>
      </c>
      <c r="T570" s="1">
        <v>43849.280023148145</v>
      </c>
      <c r="U570" s="1">
        <v>43849.280023148145</v>
      </c>
      <c r="W570" s="1">
        <v>43849.282569444447</v>
      </c>
      <c r="EC570" t="s">
        <v>3460</v>
      </c>
      <c r="ED570" t="s">
        <v>807</v>
      </c>
      <c r="EE570" t="s">
        <v>3457</v>
      </c>
      <c r="EF570" t="s">
        <v>3461</v>
      </c>
      <c r="EG570" t="s">
        <v>3462</v>
      </c>
      <c r="EH570" t="str">
        <f>HYPERLINK("https://d33htgqikc2pj4.cloudfront.net/2123d416-6fae-4f28-92c9-a7ec704a7320.jpeg", "Святослав Грохольский: Ссылка на изображение")</f>
        <v>Святослав Грохольский: Ссылка на изображение</v>
      </c>
      <c r="EI570" t="str">
        <f>HYPERLINK("https://d33htgqikc2pj4.cloudfront.net/38c1c4a9-a0f5-4fc6-b8fe-467702d1c8cb.jpeg", "Святослав Грохольский: Ссылка на изображение")</f>
        <v>Святослав Грохольский: Ссылка на изображение</v>
      </c>
      <c r="EJ570" t="s">
        <v>3463</v>
      </c>
      <c r="EK570" s="3" t="s">
        <v>3464</v>
      </c>
    </row>
    <row r="571" spans="1:166" ht="15" customHeight="1" x14ac:dyDescent="0.35">
      <c r="A571">
        <v>1019</v>
      </c>
      <c r="B571" t="s">
        <v>3465</v>
      </c>
      <c r="C571">
        <v>2</v>
      </c>
      <c r="D571" t="str">
        <f>VLOOKUP(source[[#This Row],[Приоритет]],тПриоритеты[],2,0)</f>
        <v>Значительное</v>
      </c>
      <c r="E571" t="str">
        <f>IF(ISBLANK(source[[#This Row],[Проверенные]]),IF(ISBLANK(source[[#This Row],[Завершенные]]),source[[#This Row],[Приоритет_]],"Завершено"),"Проверено")</f>
        <v>Проверено</v>
      </c>
      <c r="F571" t="s">
        <v>2870</v>
      </c>
      <c r="G571" t="s">
        <v>806</v>
      </c>
      <c r="H571" t="e">
        <f>VLOOKUP(source[[#This Row],[Отвественный]],тОтветственные[],2,0)</f>
        <v>#N/A</v>
      </c>
      <c r="I571" s="2">
        <v>43852</v>
      </c>
      <c r="J571" s="2">
        <v>43853</v>
      </c>
      <c r="S571" s="1">
        <v>43853.285046296296</v>
      </c>
      <c r="T571" s="1">
        <v>43853.285104166665</v>
      </c>
      <c r="U571" s="1">
        <v>43853.285104166665</v>
      </c>
      <c r="W571" s="1">
        <v>43853.285763888889</v>
      </c>
      <c r="EC571" t="s">
        <v>807</v>
      </c>
      <c r="ED571" t="s">
        <v>3457</v>
      </c>
      <c r="EE571" t="s">
        <v>3466</v>
      </c>
      <c r="EF571" t="s">
        <v>853</v>
      </c>
      <c r="EG571" t="s">
        <v>854</v>
      </c>
      <c r="EH571" t="s">
        <v>3467</v>
      </c>
      <c r="EI571" t="str">
        <f>HYPERLINK("https://d33htgqikc2pj4.cloudfront.net/a164bb93-4983-49a9-a5fb-773d61c1e271.jpeg", "Святослав Грохольский: Ссылка на изображение")</f>
        <v>Святослав Грохольский: Ссылка на изображение</v>
      </c>
    </row>
    <row r="572" spans="1:166" ht="15" customHeight="1" x14ac:dyDescent="0.35">
      <c r="A572">
        <v>308</v>
      </c>
      <c r="B572" t="s">
        <v>3468</v>
      </c>
      <c r="C572">
        <v>2</v>
      </c>
      <c r="D572" t="str">
        <f>VLOOKUP(source[[#This Row],[Приоритет]],тПриоритеты[],2,0)</f>
        <v>Значительное</v>
      </c>
      <c r="E572" t="str">
        <f>IF(ISBLANK(source[[#This Row],[Проверенные]]),IF(ISBLANK(source[[#This Row],[Завершенные]]),source[[#This Row],[Приоритет_]],"Завершено"),"Проверено")</f>
        <v>Проверено</v>
      </c>
      <c r="F572" t="s">
        <v>2870</v>
      </c>
      <c r="G572" t="s">
        <v>806</v>
      </c>
      <c r="H572" t="e">
        <f>VLOOKUP(source[[#This Row],[Отвественный]],тОтветственные[],2,0)</f>
        <v>#N/A</v>
      </c>
      <c r="I572" s="2">
        <v>43786</v>
      </c>
      <c r="J572" s="2">
        <v>43786</v>
      </c>
      <c r="S572" s="1">
        <v>43786.11791666667</v>
      </c>
      <c r="T572" s="1">
        <v>43786.12232638889</v>
      </c>
      <c r="U572" s="1">
        <v>43786.12232638889</v>
      </c>
      <c r="W572" s="1">
        <v>43786.122569444444</v>
      </c>
      <c r="X572" t="s">
        <v>3469</v>
      </c>
      <c r="AH572" t="s">
        <v>3470</v>
      </c>
      <c r="AI572" s="3" t="s">
        <v>3471</v>
      </c>
      <c r="AJ572" s="3" t="s">
        <v>3472</v>
      </c>
      <c r="AK572" t="s">
        <v>3473</v>
      </c>
      <c r="AL572" t="s">
        <v>3474</v>
      </c>
      <c r="AM572" t="s">
        <v>3475</v>
      </c>
      <c r="AN572" t="s">
        <v>3476</v>
      </c>
      <c r="AO572" t="s">
        <v>3477</v>
      </c>
      <c r="AP572" t="s">
        <v>3478</v>
      </c>
      <c r="AQ572" t="s">
        <v>3479</v>
      </c>
      <c r="AR572" t="s">
        <v>3480</v>
      </c>
      <c r="EC572" t="s">
        <v>3481</v>
      </c>
      <c r="ED572" t="s">
        <v>3482</v>
      </c>
      <c r="EE572" t="s">
        <v>807</v>
      </c>
      <c r="EF572" t="s">
        <v>3457</v>
      </c>
      <c r="EG572" t="s">
        <v>3483</v>
      </c>
      <c r="EH572" t="str">
        <f>HYPERLINK("https://d33htgqikc2pj4.cloudfront.net/9b3367ce-d72f-4a31-a3b4-6ffcb843958a.jpeg", "Святослав Грохольский: Ссылка на изображение")</f>
        <v>Святослав Грохольский: Ссылка на изображение</v>
      </c>
      <c r="EI572" t="str">
        <f>HYPERLINK("https://d33htgqikc2pj4.cloudfront.net/2d95c370-2231-4f2d-9d4a-e90c9075a55f.jpeg", "Святослав Грохольский: Ссылка на изображение")</f>
        <v>Святослав Грохольский: Ссылка на изображение</v>
      </c>
    </row>
    <row r="573" spans="1:166" ht="15" customHeight="1" x14ac:dyDescent="0.35">
      <c r="A573">
        <v>859</v>
      </c>
      <c r="B573" t="s">
        <v>3484</v>
      </c>
      <c r="C573">
        <v>2</v>
      </c>
      <c r="D573" t="str">
        <f>VLOOKUP(source[[#This Row],[Приоритет]],тПриоритеты[],2,0)</f>
        <v>Значительное</v>
      </c>
      <c r="E573" t="str">
        <f>IF(ISBLANK(source[[#This Row],[Проверенные]]),IF(ISBLANK(source[[#This Row],[Завершенные]]),source[[#This Row],[Приоритет_]],"Завершено"),"Проверено")</f>
        <v>Проверено</v>
      </c>
      <c r="F573" t="s">
        <v>2870</v>
      </c>
      <c r="G573" t="s">
        <v>806</v>
      </c>
      <c r="H573" t="e">
        <f>VLOOKUP(source[[#This Row],[Отвественный]],тОтветственные[],2,0)</f>
        <v>#N/A</v>
      </c>
      <c r="I573" s="2">
        <v>43838</v>
      </c>
      <c r="J573" s="2">
        <v>43838</v>
      </c>
      <c r="S573" s="1">
        <v>43838.585243055553</v>
      </c>
      <c r="T573" s="1">
        <v>43838.589479166665</v>
      </c>
      <c r="U573" s="1">
        <v>43838.589479166665</v>
      </c>
      <c r="W573" s="1">
        <v>43838.589722222219</v>
      </c>
      <c r="EC573" t="s">
        <v>3485</v>
      </c>
      <c r="ED573" t="s">
        <v>3486</v>
      </c>
      <c r="EE573" t="s">
        <v>3457</v>
      </c>
      <c r="EF573" t="str">
        <f>HYPERLINK("https://d33htgqikc2pj4.cloudfront.net/4b9ebc45-1a99-4e3d-bb77-8204cdd9d489.jpeg", "Святослав Грохольский: Ссылка на изображение")</f>
        <v>Святослав Грохольский: Ссылка на изображение</v>
      </c>
      <c r="EG573" t="str">
        <f>HYPERLINK("https://d33htgqikc2pj4.cloudfront.net/c5193619-6fa4-4e09-944e-a3515264e0ba.jpeg", "Святослав Грохольский: Ссылка на изображение")</f>
        <v>Святослав Грохольский: Ссылка на изображение</v>
      </c>
      <c r="EH573" t="str">
        <f>HYPERLINK("https://d33htgqikc2pj4.cloudfront.net/202fc1b4-442d-4dd6-9360-6eb80981fca5.jpeg", "Святослав Грохольский: Ссылка на изображение")</f>
        <v>Святослав Грохольский: Ссылка на изображение</v>
      </c>
      <c r="EI573" t="s">
        <v>807</v>
      </c>
      <c r="EJ573" t="s">
        <v>3487</v>
      </c>
    </row>
    <row r="574" spans="1:166" ht="15" customHeight="1" x14ac:dyDescent="0.35">
      <c r="A574">
        <v>1167</v>
      </c>
      <c r="B574" t="s">
        <v>3488</v>
      </c>
      <c r="C574">
        <v>2</v>
      </c>
      <c r="D574" t="str">
        <f>VLOOKUP(source[[#This Row],[Приоритет]],тПриоритеты[],2,0)</f>
        <v>Значительное</v>
      </c>
      <c r="E574" t="str">
        <f>IF(ISBLANK(source[[#This Row],[Проверенные]]),IF(ISBLANK(source[[#This Row],[Завершенные]]),source[[#This Row],[Приоритет_]],"Завершено"),"Проверено")</f>
        <v>Проверено</v>
      </c>
      <c r="F574" t="s">
        <v>2870</v>
      </c>
      <c r="G574" t="s">
        <v>806</v>
      </c>
      <c r="H574" t="e">
        <f>VLOOKUP(source[[#This Row],[Отвественный]],тОтветственные[],2,0)</f>
        <v>#N/A</v>
      </c>
      <c r="I574" s="2">
        <v>43857</v>
      </c>
      <c r="J574" s="2">
        <v>43858</v>
      </c>
      <c r="S574" s="1">
        <v>43865.453043981484</v>
      </c>
      <c r="T574" s="1">
        <v>43865.454062500001</v>
      </c>
      <c r="U574" s="1">
        <v>43865.454062500001</v>
      </c>
      <c r="W574" s="1">
        <v>43865.767094907409</v>
      </c>
      <c r="EC574" t="s">
        <v>3489</v>
      </c>
      <c r="ED574" t="s">
        <v>807</v>
      </c>
      <c r="EE574" t="s">
        <v>3490</v>
      </c>
      <c r="EF574" t="s">
        <v>3491</v>
      </c>
      <c r="EG574" t="s">
        <v>3492</v>
      </c>
      <c r="EH574" t="str">
        <f>HYPERLINK("https://d33htgqikc2pj4.cloudfront.net/a3b08522-f6f7-4ad9-b61d-4f72dfdc9772.jpeg", "Святослав Грохольский: Ссылка на изображение")</f>
        <v>Святослав Грохольский: Ссылка на изображение</v>
      </c>
      <c r="EI574" t="str">
        <f>HYPERLINK("https://d33htgqikc2pj4.cloudfront.net/c5a53822-858e-4cf1-8a0f-dc0aa0ceb150.jpeg", "Святослав Грохольский: Ссылка на изображение")</f>
        <v>Святослав Грохольский: Ссылка на изображение</v>
      </c>
      <c r="EJ574" t="s">
        <v>3457</v>
      </c>
    </row>
    <row r="575" spans="1:166" ht="15" customHeight="1" x14ac:dyDescent="0.35">
      <c r="A575">
        <v>892</v>
      </c>
      <c r="B575" t="s">
        <v>3493</v>
      </c>
      <c r="C575">
        <v>2</v>
      </c>
      <c r="D575" t="str">
        <f>VLOOKUP(source[[#This Row],[Приоритет]],тПриоритеты[],2,0)</f>
        <v>Значительное</v>
      </c>
      <c r="E575" t="str">
        <f>IF(ISBLANK(source[[#This Row],[Проверенные]]),IF(ISBLANK(source[[#This Row],[Завершенные]]),source[[#This Row],[Приоритет_]],"Завершено"),"Проверено")</f>
        <v>Проверено</v>
      </c>
      <c r="F575" t="s">
        <v>2870</v>
      </c>
      <c r="G575" t="s">
        <v>806</v>
      </c>
      <c r="H575" t="e">
        <f>VLOOKUP(source[[#This Row],[Отвественный]],тОтветственные[],2,0)</f>
        <v>#N/A</v>
      </c>
      <c r="I575" s="2">
        <v>43841</v>
      </c>
      <c r="J575" s="2">
        <v>43841</v>
      </c>
      <c r="S575" s="1">
        <v>43841.677175925928</v>
      </c>
      <c r="T575" s="1">
        <v>43841.69462962963</v>
      </c>
      <c r="U575" s="1">
        <v>43841.69462962963</v>
      </c>
      <c r="W575" s="1">
        <v>43841.69462962963</v>
      </c>
      <c r="EC575" t="s">
        <v>3494</v>
      </c>
      <c r="ED575" t="s">
        <v>3495</v>
      </c>
      <c r="EE575" t="s">
        <v>3457</v>
      </c>
      <c r="EF575" t="s">
        <v>813</v>
      </c>
      <c r="EG575" s="3" t="s">
        <v>3496</v>
      </c>
      <c r="EH575" t="str">
        <f>HYPERLINK("https://d33htgqikc2pj4.cloudfront.net/7067f884-ead5-4c53-9f3c-a36674c5a687.jpeg", "Святослав Грохольский: Ссылка на изображение")</f>
        <v>Святослав Грохольский: Ссылка на изображение</v>
      </c>
      <c r="EI575" t="str">
        <f>HYPERLINK("https://d33htgqikc2pj4.cloudfront.net/27e8545d-ef94-43e8-865b-9cb2cd4d7e61.jpeg", "Святослав Грохольский: Ссылка на изображение")</f>
        <v>Святослав Грохольский: Ссылка на изображение</v>
      </c>
      <c r="EJ575" t="str">
        <f>HYPERLINK("https://d33htgqikc2pj4.cloudfront.net/5b7ae284-32a3-4814-b461-3063be7a5ebf.jpeg", "Святослав Грохольский: Ссылка на изображение")</f>
        <v>Святослав Грохольский: Ссылка на изображение</v>
      </c>
      <c r="EK575" t="str">
        <f>HYPERLINK("https://d33htgqikc2pj4.cloudfront.net/c7fbe442-fd89-4fe0-97fa-e25378377441.jpeg", "Святослав Грохольский: Ссылка на изображение")</f>
        <v>Святослав Грохольский: Ссылка на изображение</v>
      </c>
      <c r="EL575" t="str">
        <f>HYPERLINK("https://d33htgqikc2pj4.cloudfront.net/04bf717b-41f3-4494-a7a2-6eb8c0120f00.jpeg", "Святослав Грохольский: Ссылка на изображение")</f>
        <v>Святослав Грохольский: Ссылка на изображение</v>
      </c>
      <c r="EM575" t="str">
        <f>HYPERLINK("https://d33htgqikc2pj4.cloudfront.net/e8d922ad-1773-41ec-8103-ca3b3ef0e391.jpeg", "Святослав Грохольский: Ссылка на изображение")</f>
        <v>Святослав Грохольский: Ссылка на изображение</v>
      </c>
      <c r="EN575" t="str">
        <f>HYPERLINK("https://d33htgqikc2pj4.cloudfront.net/f95651f7-c690-4937-bdc9-3111d1c106f9.jpeg", "Святослав Грохольский: Ссылка на изображение")</f>
        <v>Святослав Грохольский: Ссылка на изображение</v>
      </c>
      <c r="EO575" t="str">
        <f>HYPERLINK("https://d33htgqikc2pj4.cloudfront.net/4ec2a7a9-b7c2-4534-965a-15e1c0e31eb4.jpeg", "Святослав Грохольский: Ссылка на изображение")</f>
        <v>Святослав Грохольский: Ссылка на изображение</v>
      </c>
      <c r="EP575" t="str">
        <f>HYPERLINK("https://d33htgqikc2pj4.cloudfront.net/749e9f4a-2976-4e24-ae0e-e5b6f44245b9.jpeg", "Святослав Грохольский: Ссылка на изображение")</f>
        <v>Святослав Грохольский: Ссылка на изображение</v>
      </c>
      <c r="EQ575" t="str">
        <f>HYPERLINK("https://d33htgqikc2pj4.cloudfront.net/82fe523e-92c3-4c46-81aa-33e314c031d1.jpeg", "Святослав Грохольский: Ссылка на изображение")</f>
        <v>Святослав Грохольский: Ссылка на изображение</v>
      </c>
      <c r="ER575" t="str">
        <f>HYPERLINK("https://d33htgqikc2pj4.cloudfront.net/bfeeaa3f-f1ce-4663-a75f-ce60f7b7c4ee.jpeg", "Святослав Грохольский: Ссылка на изображение")</f>
        <v>Святослав Грохольский: Ссылка на изображение</v>
      </c>
      <c r="ES575" t="str">
        <f>HYPERLINK("https://d33htgqikc2pj4.cloudfront.net/63e25604-db94-46e8-9cf4-4fdd287e8df0.jpeg", "Святослав Грохольский: Ссылка на изображение")</f>
        <v>Святослав Грохольский: Ссылка на изображение</v>
      </c>
      <c r="ET575" t="str">
        <f>HYPERLINK("https://d33htgqikc2pj4.cloudfront.net/ab5d8d54-77b0-4cbf-a9f3-785056b1412d.jpeg", "Святослав Грохольский: Ссылка на изображение")</f>
        <v>Святослав Грохольский: Ссылка на изображение</v>
      </c>
      <c r="EU575" t="str">
        <f>HYPERLINK("https://d33htgqikc2pj4.cloudfront.net/f819fc87-fe53-4501-8d29-3c96561e87dd.jpeg", "Святослав Грохольский: Ссылка на изображение")</f>
        <v>Святослав Грохольский: Ссылка на изображение</v>
      </c>
      <c r="EV575" t="str">
        <f>HYPERLINK("https://d33htgqikc2pj4.cloudfront.net/16d85476-4361-4a14-b25e-02dce006bdd9.jpeg", "Святослав Грохольский: Ссылка на изображение")</f>
        <v>Святослав Грохольский: Ссылка на изображение</v>
      </c>
      <c r="EW575" t="str">
        <f>HYPERLINK("https://d33htgqikc2pj4.cloudfront.net/a6177852-6130-4a85-882d-d940c370872b.jpeg", "Святослав Грохольский: Ссылка на изображение")</f>
        <v>Святослав Грохольский: Ссылка на изображение</v>
      </c>
      <c r="EX575" t="str">
        <f>HYPERLINK("https://d33htgqikc2pj4.cloudfront.net/d1ade5e1-1899-4871-a8a2-28da5548f03b.jpeg", "Святослав Грохольский: Ссылка на изображение")</f>
        <v>Святослав Грохольский: Ссылка на изображение</v>
      </c>
      <c r="EY575" t="str">
        <f>HYPERLINK("https://d33htgqikc2pj4.cloudfront.net/075b59ff-a263-4036-bba2-3623766869df.jpeg", "Святослав Грохольский: Ссылка на изображение")</f>
        <v>Святослав Грохольский: Ссылка на изображение</v>
      </c>
      <c r="EZ575" t="str">
        <f>HYPERLINK("https://d33htgqikc2pj4.cloudfront.net/6c073fb1-5e0f-4671-a5b0-83e15662689b.jpeg", "Святослав Грохольский: Ссылка на изображение")</f>
        <v>Святослав Грохольский: Ссылка на изображение</v>
      </c>
      <c r="FA575" t="str">
        <f>HYPERLINK("https://d33htgqikc2pj4.cloudfront.net/e29ee3c0-68d9-4e04-81f4-ee62beaa1f82.jpeg", "Святослав Грохольский: Ссылка на изображение")</f>
        <v>Святослав Грохольский: Ссылка на изображение</v>
      </c>
      <c r="FB575" t="str">
        <f>HYPERLINK("https://d33htgqikc2pj4.cloudfront.net/d2b9c39e-abcb-4028-a32f-d874b75036d7.jpeg", "Святослав Грохольский: Ссылка на изображение")</f>
        <v>Святослав Грохольский: Ссылка на изображение</v>
      </c>
      <c r="FC575" t="str">
        <f>HYPERLINK("https://d33htgqikc2pj4.cloudfront.net/729a91d9-3eb6-4674-896a-8927413c03fa.jpeg", "Святослав Грохольский: Ссылка на изображение")</f>
        <v>Святослав Грохольский: Ссылка на изображение</v>
      </c>
      <c r="FD575" t="str">
        <f>HYPERLINK("https://d33htgqikc2pj4.cloudfront.net/f9601ea2-40c1-440c-8d11-2e2a8777cc11.jpeg", "Святослав Грохольский: Ссылка на изображение")</f>
        <v>Святослав Грохольский: Ссылка на изображение</v>
      </c>
      <c r="FE575" t="str">
        <f>HYPERLINK("https://d33htgqikc2pj4.cloudfront.net/96ce0a18-46dd-40e1-acb7-e583c92b5652.jpeg", "Святослав Грохольский: Ссылка на изображение")</f>
        <v>Святослав Грохольский: Ссылка на изображение</v>
      </c>
      <c r="FF575" t="str">
        <f>HYPERLINK("https://d33htgqikc2pj4.cloudfront.net/25b80182-62e3-4329-ad43-b37ac9c8fe75.jpeg", "Святослав Грохольский: Ссылка на изображение")</f>
        <v>Святослав Грохольский: Ссылка на изображение</v>
      </c>
      <c r="FG575" t="str">
        <f>HYPERLINK("https://d33htgqikc2pj4.cloudfront.net/0b71858c-a070-470f-8b9d-b3bd472311dd.jpeg", "Святослав Грохольский: Ссылка на изображение")</f>
        <v>Святослав Грохольский: Ссылка на изображение</v>
      </c>
      <c r="FH575" t="str">
        <f>HYPERLINK("https://d33htgqikc2pj4.cloudfront.net/e482290e-7b0b-431e-9e2c-fa748b34db69.jpeg", "Святослав Грохольский: Ссылка на изображение")</f>
        <v>Святослав Грохольский: Ссылка на изображение</v>
      </c>
      <c r="FI575" t="str">
        <f>HYPERLINK("https://d33htgqikc2pj4.cloudfront.net/d13fdf3e-cdd6-447b-b5b5-09b3ca41d7b3.jpeg", "Святослав Грохольский: Ссылка на изображение")</f>
        <v>Святослав Грохольский: Ссылка на изображение</v>
      </c>
      <c r="FJ575" t="s">
        <v>807</v>
      </c>
    </row>
    <row r="576" spans="1:166" ht="15" customHeight="1" x14ac:dyDescent="0.35">
      <c r="A576">
        <v>895</v>
      </c>
      <c r="B576" t="s">
        <v>3497</v>
      </c>
      <c r="C576">
        <v>2</v>
      </c>
      <c r="D576" t="str">
        <f>VLOOKUP(source[[#This Row],[Приоритет]],тПриоритеты[],2,0)</f>
        <v>Значительное</v>
      </c>
      <c r="E576" t="str">
        <f>IF(ISBLANK(source[[#This Row],[Проверенные]]),IF(ISBLANK(source[[#This Row],[Завершенные]]),source[[#This Row],[Приоритет_]],"Завершено"),"Проверено")</f>
        <v>Проверено</v>
      </c>
      <c r="F576" t="s">
        <v>2870</v>
      </c>
      <c r="G576" t="s">
        <v>806</v>
      </c>
      <c r="H576" t="e">
        <f>VLOOKUP(source[[#This Row],[Отвественный]],тОтветственные[],2,0)</f>
        <v>#N/A</v>
      </c>
      <c r="I576" s="2">
        <v>43841</v>
      </c>
      <c r="J576" s="2">
        <v>43841</v>
      </c>
      <c r="S576" s="1">
        <v>43841.729039351849</v>
      </c>
      <c r="T576" s="1">
        <v>43841.729143518518</v>
      </c>
      <c r="U576" s="1">
        <v>43841.729143518518</v>
      </c>
      <c r="W576" s="1">
        <v>43841.729560185187</v>
      </c>
      <c r="EC576" t="s">
        <v>807</v>
      </c>
      <c r="ED576" t="s">
        <v>3457</v>
      </c>
      <c r="EE576" t="s">
        <v>813</v>
      </c>
      <c r="EF576" t="s">
        <v>3498</v>
      </c>
      <c r="EG576" s="3" t="s">
        <v>3499</v>
      </c>
      <c r="EH576" t="str">
        <f>HYPERLINK("https://d33htgqikc2pj4.cloudfront.net/eb5e1f78-e2d7-4f03-ba06-cfa359ab70fa.jpeg", "Святослав Грохольский: Ссылка на изображение")</f>
        <v>Святослав Грохольский: Ссылка на изображение</v>
      </c>
      <c r="EI576" t="str">
        <f>HYPERLINK("https://d33htgqikc2pj4.cloudfront.net/590c945f-0cce-4f13-b50d-af6128ec5072.jpeg", "Святослав Грохольский: Ссылка на изображение")</f>
        <v>Святослав Грохольский: Ссылка на изображение</v>
      </c>
      <c r="EJ576" t="str">
        <f>HYPERLINK("https://d33htgqikc2pj4.cloudfront.net/6bac6cd0-47ea-40d1-b2e0-c585cfdf3b53.jpeg", "Святослав Грохольский: Ссылка на изображение")</f>
        <v>Святослав Грохольский: Ссылка на изображение</v>
      </c>
      <c r="EK576" t="str">
        <f>HYPERLINK("https://d33htgqikc2pj4.cloudfront.net/395f1dc4-4166-41e8-85dd-06b45f42faa4.jpeg", "Святослав Грохольский: Ссылка на изображение")</f>
        <v>Святослав Грохольский: Ссылка на изображение</v>
      </c>
      <c r="EL576" t="str">
        <f>HYPERLINK("https://d33htgqikc2pj4.cloudfront.net/1c9588fe-c391-4918-be84-886cc6aa419c.jpeg", "Святослав Грохольский: Ссылка на изображение")</f>
        <v>Святослав Грохольский: Ссылка на изображение</v>
      </c>
      <c r="EM576" t="str">
        <f>HYPERLINK("https://d33htgqikc2pj4.cloudfront.net/84662691-aed1-4ec9-8d6c-5935515bd6c3.jpeg", "Святослав Грохольский: Ссылка на изображение")</f>
        <v>Святослав Грохольский: Ссылка на изображение</v>
      </c>
      <c r="EN576" t="str">
        <f>HYPERLINK("https://d33htgqikc2pj4.cloudfront.net/85dd3cab-726c-4df9-ac6f-55a32dab037c.jpeg", "Святослав Грохольский: Ссылка на изображение")</f>
        <v>Святослав Грохольский: Ссылка на изображение</v>
      </c>
      <c r="EO576" t="str">
        <f>HYPERLINK("https://d33htgqikc2pj4.cloudfront.net/fd19e222-5043-4231-9f81-19640739083c.jpeg", "Святослав Грохольский: Ссылка на изображение")</f>
        <v>Святослав Грохольский: Ссылка на изображение</v>
      </c>
      <c r="EP576" t="str">
        <f>HYPERLINK("https://d33htgqikc2pj4.cloudfront.net/6a3bfe1b-caa5-4832-ac2e-2a278bb78a0a.jpeg", "Святослав Грохольский: Ссылка на изображение")</f>
        <v>Святослав Грохольский: Ссылка на изображение</v>
      </c>
      <c r="EQ576" t="str">
        <f>HYPERLINK("https://d33htgqikc2pj4.cloudfront.net/d294a704-1765-42e9-9da1-d87acc7235d6.jpeg", "Святослав Грохольский: Ссылка на изображение")</f>
        <v>Святослав Грохольский: Ссылка на изображение</v>
      </c>
      <c r="ER576" t="str">
        <f>HYPERLINK("https://d33htgqikc2pj4.cloudfront.net/ea7ed492-1743-49e7-ab31-b425c5912311.jpeg", "Святослав Грохольский: Ссылка на изображение")</f>
        <v>Святослав Грохольский: Ссылка на изображение</v>
      </c>
      <c r="ES576" t="str">
        <f>HYPERLINK("https://d33htgqikc2pj4.cloudfront.net/7d973102-daf2-43c1-8296-33cd7cf56074.jpeg", "Святослав Грохольский: Ссылка на изображение")</f>
        <v>Святослав Грохольский: Ссылка на изображение</v>
      </c>
      <c r="ET576" t="str">
        <f>HYPERLINK("https://d33htgqikc2pj4.cloudfront.net/83ae9831-b03f-4e15-bb50-b409f01cd17b.jpeg", "Святослав Грохольский: Ссылка на изображение")</f>
        <v>Святослав Грохольский: Ссылка на изображение</v>
      </c>
      <c r="EU576" t="str">
        <f>HYPERLINK("https://d33htgqikc2pj4.cloudfront.net/20e7b543-2cec-4aaa-9da1-248995cb3abd.jpeg", "Святослав Грохольский: Ссылка на изображение")</f>
        <v>Святослав Грохольский: Ссылка на изображение</v>
      </c>
      <c r="EV576" t="str">
        <f>HYPERLINK("https://d33htgqikc2pj4.cloudfront.net/985dfb5d-85c0-414e-ad61-398273ee2481.jpeg", "Святослав Грохольский: Ссылка на изображение")</f>
        <v>Святослав Грохольский: Ссылка на изображение</v>
      </c>
    </row>
    <row r="577" spans="1:143" ht="15" customHeight="1" x14ac:dyDescent="0.35">
      <c r="A577">
        <v>1253</v>
      </c>
      <c r="B577" t="s">
        <v>3500</v>
      </c>
      <c r="C577">
        <v>2</v>
      </c>
      <c r="D577" t="str">
        <f>VLOOKUP(source[[#This Row],[Приоритет]],тПриоритеты[],2,0)</f>
        <v>Значительное</v>
      </c>
      <c r="E577" t="str">
        <f>IF(ISBLANK(source[[#This Row],[Проверенные]]),IF(ISBLANK(source[[#This Row],[Завершенные]]),source[[#This Row],[Приоритет_]],"Завершено"),"Проверено")</f>
        <v>Проверено</v>
      </c>
      <c r="F577" t="s">
        <v>2870</v>
      </c>
      <c r="G577" t="s">
        <v>806</v>
      </c>
      <c r="H577" t="e">
        <f>VLOOKUP(source[[#This Row],[Отвественный]],тОтветственные[],2,0)</f>
        <v>#N/A</v>
      </c>
      <c r="I577" s="2">
        <v>43869</v>
      </c>
      <c r="J577" s="2">
        <v>43870</v>
      </c>
      <c r="S577" s="1">
        <v>43870.240254629629</v>
      </c>
      <c r="T577" s="1">
        <v>43870.240694444445</v>
      </c>
      <c r="U577" s="1">
        <v>43870.240694444445</v>
      </c>
      <c r="W577" s="1">
        <v>43870.240949074076</v>
      </c>
      <c r="EC577" t="s">
        <v>3501</v>
      </c>
      <c r="ED577" t="s">
        <v>807</v>
      </c>
      <c r="EE577" t="s">
        <v>3457</v>
      </c>
      <c r="EF577" t="s">
        <v>3502</v>
      </c>
      <c r="EG577" t="s">
        <v>3503</v>
      </c>
      <c r="EH577" s="3" t="s">
        <v>3504</v>
      </c>
      <c r="EI577" t="str">
        <f>HYPERLINK("https://d33htgqikc2pj4.cloudfront.net/682c92f3-79b5-4e4d-972f-5f9af1ad2654.jpeg", "Святослав Грохольский: Ссылка на изображение")</f>
        <v>Святослав Грохольский: Ссылка на изображение</v>
      </c>
      <c r="EJ577" t="str">
        <f>HYPERLINK("https://d33htgqikc2pj4.cloudfront.net/8c805bd6-5c33-4f53-b978-a1f4e76b7432.jpeg", "Святослав Грохольский: Ссылка на изображение")</f>
        <v>Святослав Грохольский: Ссылка на изображение</v>
      </c>
      <c r="EK577" t="str">
        <f>HYPERLINK("https://d33htgqikc2pj4.cloudfront.net/de2912e2-a87d-4106-accb-bd31665828fb.jpeg", "Святослав Грохольский: Ссылка на изображение")</f>
        <v>Святослав Грохольский: Ссылка на изображение</v>
      </c>
    </row>
    <row r="578" spans="1:143" ht="15" customHeight="1" x14ac:dyDescent="0.35">
      <c r="A578">
        <v>918</v>
      </c>
      <c r="B578" t="s">
        <v>3505</v>
      </c>
      <c r="C578">
        <v>2</v>
      </c>
      <c r="D578" t="str">
        <f>VLOOKUP(source[[#This Row],[Приоритет]],тПриоритеты[],2,0)</f>
        <v>Значительное</v>
      </c>
      <c r="E578" t="str">
        <f>IF(ISBLANK(source[[#This Row],[Проверенные]]),IF(ISBLANK(source[[#This Row],[Завершенные]]),source[[#This Row],[Приоритет_]],"Завершено"),"Проверено")</f>
        <v>Проверено</v>
      </c>
      <c r="F578" t="s">
        <v>2870</v>
      </c>
      <c r="G578" t="s">
        <v>806</v>
      </c>
      <c r="H578" t="e">
        <f>VLOOKUP(source[[#This Row],[Отвественный]],тОтветственные[],2,0)</f>
        <v>#N/A</v>
      </c>
      <c r="I578" s="2">
        <v>43845</v>
      </c>
      <c r="J578" s="2">
        <v>43845</v>
      </c>
      <c r="S578" s="1">
        <v>43845.721238425926</v>
      </c>
      <c r="T578" s="1">
        <v>43845.721770833334</v>
      </c>
      <c r="U578" s="1">
        <v>43845.721770833334</v>
      </c>
      <c r="W578" s="1">
        <v>43845.721898148149</v>
      </c>
      <c r="X578" t="s">
        <v>2889</v>
      </c>
      <c r="AH578" t="s">
        <v>3506</v>
      </c>
      <c r="AI578" t="s">
        <v>3507</v>
      </c>
      <c r="AJ578" t="s">
        <v>3508</v>
      </c>
      <c r="AK578" t="s">
        <v>3509</v>
      </c>
      <c r="AL578" t="s">
        <v>3510</v>
      </c>
      <c r="AM578" t="s">
        <v>3511</v>
      </c>
      <c r="AN578" t="s">
        <v>3512</v>
      </c>
      <c r="AO578" t="s">
        <v>3513</v>
      </c>
      <c r="AP578" t="s">
        <v>3514</v>
      </c>
      <c r="AQ578" t="s">
        <v>3515</v>
      </c>
      <c r="AR578" t="s">
        <v>3516</v>
      </c>
      <c r="AS578" t="s">
        <v>3517</v>
      </c>
      <c r="AT578" t="s">
        <v>3518</v>
      </c>
      <c r="AU578" t="s">
        <v>3519</v>
      </c>
      <c r="AV578" t="s">
        <v>3520</v>
      </c>
      <c r="AW578" t="s">
        <v>3521</v>
      </c>
      <c r="EC578" t="s">
        <v>3522</v>
      </c>
      <c r="ED578" t="s">
        <v>807</v>
      </c>
      <c r="EE578" t="s">
        <v>3457</v>
      </c>
      <c r="EF578" t="s">
        <v>3523</v>
      </c>
      <c r="EG578" t="str">
        <f>HYPERLINK("https://d33htgqikc2pj4.cloudfront.net/805e0c6d-dae9-4cfe-96ea-84c204bc7a0d.jpeg", "Святослав Грохольский: Ссылка на изображение")</f>
        <v>Святослав Грохольский: Ссылка на изображение</v>
      </c>
      <c r="EH578" t="str">
        <f>HYPERLINK("https://d33htgqikc2pj4.cloudfront.net/18f1a78c-4a02-4c7b-8424-67ebcda05f32.jpeg", "Святослав Грохольский: Ссылка на изображение")</f>
        <v>Святослав Грохольский: Ссылка на изображение</v>
      </c>
      <c r="EI578" t="str">
        <f>HYPERLINK("https://d33htgqikc2pj4.cloudfront.net/2cadc845-ed5a-4004-9251-1997c4b35bdd.jpeg", "Святослав Грохольский: Ссылка на изображение")</f>
        <v>Святослав Грохольский: Ссылка на изображение</v>
      </c>
      <c r="EJ578" t="str">
        <f>HYPERLINK("https://d33htgqikc2pj4.cloudfront.net/358f9a8a-c8c8-438c-9e71-6b5c975c8269.jpeg", "Святослав Грохольский: Ссылка на изображение")</f>
        <v>Святослав Грохольский: Ссылка на изображение</v>
      </c>
    </row>
    <row r="579" spans="1:143" ht="15" customHeight="1" x14ac:dyDescent="0.35">
      <c r="A579">
        <v>917</v>
      </c>
      <c r="B579" t="s">
        <v>3524</v>
      </c>
      <c r="C579">
        <v>2</v>
      </c>
      <c r="D579" t="str">
        <f>VLOOKUP(source[[#This Row],[Приоритет]],тПриоритеты[],2,0)</f>
        <v>Значительное</v>
      </c>
      <c r="E579" t="str">
        <f>IF(ISBLANK(source[[#This Row],[Проверенные]]),IF(ISBLANK(source[[#This Row],[Завершенные]]),source[[#This Row],[Приоритет_]],"Завершено"),"Проверено")</f>
        <v>Проверено</v>
      </c>
      <c r="F579" t="s">
        <v>2870</v>
      </c>
      <c r="G579" t="s">
        <v>806</v>
      </c>
      <c r="H579" t="e">
        <f>VLOOKUP(source[[#This Row],[Отвественный]],тОтветственные[],2,0)</f>
        <v>#N/A</v>
      </c>
      <c r="I579" s="2">
        <v>43845</v>
      </c>
      <c r="J579" s="2">
        <v>43845</v>
      </c>
      <c r="S579" s="1">
        <v>43845.717280092591</v>
      </c>
      <c r="T579" s="1">
        <v>43845.717349537037</v>
      </c>
      <c r="U579" s="1">
        <v>43845.717349537037</v>
      </c>
      <c r="W579" s="1">
        <v>43845.72084490741</v>
      </c>
      <c r="X579" t="s">
        <v>2889</v>
      </c>
      <c r="AH579" t="s">
        <v>3506</v>
      </c>
      <c r="AI579" t="s">
        <v>3507</v>
      </c>
      <c r="AJ579" t="s">
        <v>3508</v>
      </c>
      <c r="AK579" t="s">
        <v>3509</v>
      </c>
      <c r="AL579" t="s">
        <v>3510</v>
      </c>
      <c r="AM579" t="s">
        <v>3511</v>
      </c>
      <c r="AN579" t="s">
        <v>3512</v>
      </c>
      <c r="AO579" t="s">
        <v>3513</v>
      </c>
      <c r="AP579" t="s">
        <v>3514</v>
      </c>
      <c r="AQ579" t="s">
        <v>3515</v>
      </c>
      <c r="AR579" t="s">
        <v>3516</v>
      </c>
      <c r="AS579" t="s">
        <v>3517</v>
      </c>
      <c r="AT579" t="s">
        <v>3518</v>
      </c>
      <c r="AU579" t="s">
        <v>3525</v>
      </c>
      <c r="AV579" t="s">
        <v>3520</v>
      </c>
      <c r="AW579" t="s">
        <v>3521</v>
      </c>
      <c r="EC579" t="s">
        <v>807</v>
      </c>
      <c r="ED579" t="s">
        <v>3457</v>
      </c>
      <c r="EE579" t="s">
        <v>3526</v>
      </c>
      <c r="EF579" t="str">
        <f>HYPERLINK("https://d33htgqikc2pj4.cloudfront.net/96c24d1d-96d5-469a-8c17-560fb150e31e.jpeg", "Святослав Грохольский: Ссылка на изображение")</f>
        <v>Святослав Грохольский: Ссылка на изображение</v>
      </c>
      <c r="EG579" t="str">
        <f>HYPERLINK("https://d33htgqikc2pj4.cloudfront.net/30c1dca2-e04b-4d03-867a-def3a1188674.jpeg", "Святослав Грохольский: Ссылка на изображение")</f>
        <v>Святослав Грохольский: Ссылка на изображение</v>
      </c>
      <c r="EH579" t="str">
        <f>HYPERLINK("https://d33htgqikc2pj4.cloudfront.net/bb50ce19-27b7-4882-b4c1-a2fe4dec3706.jpeg", "Святослав Грохольский: Ссылка на изображение")</f>
        <v>Святослав Грохольский: Ссылка на изображение</v>
      </c>
      <c r="EI579" t="s">
        <v>3523</v>
      </c>
    </row>
    <row r="580" spans="1:143" ht="15" customHeight="1" x14ac:dyDescent="0.35">
      <c r="A580">
        <v>971</v>
      </c>
      <c r="B580" t="s">
        <v>3527</v>
      </c>
      <c r="C580">
        <v>2</v>
      </c>
      <c r="D580" t="str">
        <f>VLOOKUP(source[[#This Row],[Приоритет]],тПриоритеты[],2,0)</f>
        <v>Значительное</v>
      </c>
      <c r="E580" t="str">
        <f>IF(ISBLANK(source[[#This Row],[Проверенные]]),IF(ISBLANK(source[[#This Row],[Завершенные]]),source[[#This Row],[Приоритет_]],"Завершено"),"Проверено")</f>
        <v>Проверено</v>
      </c>
      <c r="F580" t="s">
        <v>2870</v>
      </c>
      <c r="G580" t="s">
        <v>2382</v>
      </c>
      <c r="H580" t="e">
        <f>VLOOKUP(source[[#This Row],[Отвественный]],тОтветственные[],2,0)</f>
        <v>#N/A</v>
      </c>
      <c r="I580" s="2">
        <v>43851</v>
      </c>
      <c r="J580" s="2">
        <v>43851</v>
      </c>
      <c r="K580" t="s">
        <v>1720</v>
      </c>
      <c r="L580">
        <v>6.8</v>
      </c>
      <c r="M580">
        <v>26.24</v>
      </c>
      <c r="Q580" t="s">
        <v>1721</v>
      </c>
      <c r="R580" t="str">
        <f>HYPERLINK("https://d28ji4sm1vmprj.cloudfront.net/c1c1b591ce77c82044efa6b5d6f7663a/cf818dc1bc24c008af413328cec2292d.jpeg", "Ссылка на план")</f>
        <v>Ссылка на план</v>
      </c>
      <c r="S580" s="1">
        <v>43851.415300925924</v>
      </c>
      <c r="T580" s="1">
        <v>43854.696261574078</v>
      </c>
      <c r="U580" s="1">
        <v>43854.696261574078</v>
      </c>
      <c r="W580" s="1">
        <v>43854.696273148147</v>
      </c>
      <c r="EC580" t="s">
        <v>3528</v>
      </c>
      <c r="ED580" t="str">
        <f>HYPERLINK("https://d33htgqikc2pj4.cloudfront.net/d7ff3e17-c6b0-428b-b0a6-fd1634257813.jpeg", "Александр Светашов: Ссылка на изображение")</f>
        <v>Александр Светашов: Ссылка на изображение</v>
      </c>
      <c r="EE580" t="str">
        <f>HYPERLINK("https://d33htgqikc2pj4.cloudfront.net/8d862b9e-431b-497c-8df6-303ac11a55a2.jpeg", "Александр Светашов: Ссылка на изображение")</f>
        <v>Александр Светашов: Ссылка на изображение</v>
      </c>
      <c r="EF580" t="str">
        <f>HYPERLINK("https://d33htgqikc2pj4.cloudfront.net/683f4845-158f-4282-b041-5b8429bd267c.jpeg", "Александр Светашов: Ссылка на изображение")</f>
        <v>Александр Светашов: Ссылка на изображение</v>
      </c>
      <c r="EG580" t="str">
        <f>HYPERLINK("https://d33htgqikc2pj4.cloudfront.net/1a0f7ea8-39b8-4049-b025-331fa8c6f450.jpeg", "Александр Светашов: Ссылка на изображение")</f>
        <v>Александр Светашов: Ссылка на изображение</v>
      </c>
      <c r="EH580" t="str">
        <f>HYPERLINK("https://d33htgqikc2pj4.cloudfront.net/edbcf376-0b19-4762-9143-44ceffb6aa83.jpeg", "Александр Светашов: Ссылка на изображение")</f>
        <v>Александр Светашов: Ссылка на изображение</v>
      </c>
      <c r="EI580" t="s">
        <v>2385</v>
      </c>
      <c r="EJ580" t="s">
        <v>2922</v>
      </c>
      <c r="EK580" t="s">
        <v>2163</v>
      </c>
      <c r="EL580" t="s">
        <v>794</v>
      </c>
    </row>
    <row r="581" spans="1:143" ht="15" customHeight="1" x14ac:dyDescent="0.35">
      <c r="A581">
        <v>666</v>
      </c>
      <c r="B581" t="s">
        <v>3529</v>
      </c>
      <c r="C581">
        <v>2</v>
      </c>
      <c r="D581" t="str">
        <f>VLOOKUP(source[[#This Row],[Приоритет]],тПриоритеты[],2,0)</f>
        <v>Значительное</v>
      </c>
      <c r="E581" t="str">
        <f>IF(ISBLANK(source[[#This Row],[Проверенные]]),IF(ISBLANK(source[[#This Row],[Завершенные]]),source[[#This Row],[Приоритет_]],"Завершено"),"Проверено")</f>
        <v>Проверено</v>
      </c>
      <c r="F581" t="s">
        <v>2870</v>
      </c>
      <c r="G581" t="s">
        <v>426</v>
      </c>
      <c r="H581" t="e">
        <f>VLOOKUP(source[[#This Row],[Отвественный]],тОтветственные[],2,0)</f>
        <v>#N/A</v>
      </c>
      <c r="S581" s="1">
        <v>43817.495439814818</v>
      </c>
      <c r="T581" s="1">
        <v>43821.726122685184</v>
      </c>
      <c r="U581" s="1">
        <v>43821.726122685184</v>
      </c>
      <c r="W581" s="1">
        <v>43821.726122685184</v>
      </c>
      <c r="EC581" t="s">
        <v>3530</v>
      </c>
      <c r="ED581" t="s">
        <v>3531</v>
      </c>
      <c r="EE581" t="s">
        <v>3532</v>
      </c>
      <c r="EF581" t="s">
        <v>3533</v>
      </c>
      <c r="EG581" t="s">
        <v>2351</v>
      </c>
      <c r="EH581" t="s">
        <v>3533</v>
      </c>
      <c r="EI581" t="str">
        <f>HYPERLINK("https://d33htgqikc2pj4.cloudfront.net/qvHDimMUqxZcQnsj/3eb79d67-e2e0-43ca-84a8-270a94884527.jpeg", "Юрий Прасолов: Ссылка на изображение")</f>
        <v>Юрий Прасолов: Ссылка на изображение</v>
      </c>
      <c r="EJ581" t="str">
        <f>HYPERLINK("https://d33htgqikc2pj4.cloudfront.net/qvHDimMUqxZcQnsj/f939a3a7-385a-47cb-9abb-fd4880ee698f.jpeg", "Юрий Прасолов: Ссылка на изображение")</f>
        <v>Юрий Прасолов: Ссылка на изображение</v>
      </c>
      <c r="EK581" t="str">
        <f>HYPERLINK("https://d33htgqikc2pj4.cloudfront.net/qvHDimMUqxZcQnsj/13b03dab-e618-4622-9b6c-757c94c26040.jpeg", "Юрий Прасолов: Ссылка на изображение")</f>
        <v>Юрий Прасолов: Ссылка на изображение</v>
      </c>
      <c r="EL581" t="s">
        <v>3534</v>
      </c>
      <c r="EM581" t="s">
        <v>428</v>
      </c>
    </row>
    <row r="582" spans="1:143" ht="15" customHeight="1" x14ac:dyDescent="0.35">
      <c r="A582">
        <v>669</v>
      </c>
      <c r="B582" t="s">
        <v>3535</v>
      </c>
      <c r="C582">
        <v>2</v>
      </c>
      <c r="D582" t="str">
        <f>VLOOKUP(source[[#This Row],[Приоритет]],тПриоритеты[],2,0)</f>
        <v>Значительное</v>
      </c>
      <c r="E582" t="str">
        <f>IF(ISBLANK(source[[#This Row],[Проверенные]]),IF(ISBLANK(source[[#This Row],[Завершенные]]),source[[#This Row],[Приоритет_]],"Завершено"),"Проверено")</f>
        <v>Проверено</v>
      </c>
      <c r="F582" t="s">
        <v>2870</v>
      </c>
      <c r="G582" t="s">
        <v>426</v>
      </c>
      <c r="H582" t="e">
        <f>VLOOKUP(source[[#This Row],[Отвественный]],тОтветственные[],2,0)</f>
        <v>#N/A</v>
      </c>
      <c r="S582" s="1">
        <v>43817.759131944447</v>
      </c>
      <c r="T582" s="1">
        <v>43821.726157407407</v>
      </c>
      <c r="U582" s="1">
        <v>43821.726157407407</v>
      </c>
      <c r="W582" s="1">
        <v>43821.726157407407</v>
      </c>
      <c r="EC582" t="s">
        <v>3536</v>
      </c>
      <c r="ED582" t="s">
        <v>3531</v>
      </c>
      <c r="EE582" t="str">
        <f>HYPERLINK("https://d33htgqikc2pj4.cloudfront.net/qvHDimMUqxZcQnsj/c0916876-0548-4b54-9214-6906777cbfdb.jpeg", "Юрий Прасолов: Ссылка на изображение")</f>
        <v>Юрий Прасолов: Ссылка на изображение</v>
      </c>
      <c r="EF582" t="str">
        <f>HYPERLINK("https://d33htgqikc2pj4.cloudfront.net/qvHDimMUqxZcQnsj/dbe4b7d6-9a36-4757-a39d-85e99ffa73c6.jpeg", "Юрий Прасолов: Ссылка на изображение")</f>
        <v>Юрий Прасолов: Ссылка на изображение</v>
      </c>
      <c r="EG582" t="str">
        <f>HYPERLINK("https://d33htgqikc2pj4.cloudfront.net/qvHDimMUqxZcQnsj/12c17297-a2a7-4d49-a497-87dfc56a2135.jpeg", "Юрий Прасолов: Ссылка на изображение")</f>
        <v>Юрий Прасолов: Ссылка на изображение</v>
      </c>
      <c r="EH582" t="str">
        <f>HYPERLINK("https://d33htgqikc2pj4.cloudfront.net/qvHDimMUqxZcQnsj/2e64dead-8709-4848-951f-b97a3f59cc69.jpeg", "Юрий Прасолов: Ссылка на изображение")</f>
        <v>Юрий Прасолов: Ссылка на изображение</v>
      </c>
      <c r="EI582" t="s">
        <v>428</v>
      </c>
    </row>
    <row r="583" spans="1:143" ht="15" customHeight="1" x14ac:dyDescent="0.35">
      <c r="A583">
        <v>663</v>
      </c>
      <c r="B583" t="s">
        <v>3537</v>
      </c>
      <c r="C583">
        <v>2</v>
      </c>
      <c r="D583" t="str">
        <f>VLOOKUP(source[[#This Row],[Приоритет]],тПриоритеты[],2,0)</f>
        <v>Значительное</v>
      </c>
      <c r="E583" t="str">
        <f>IF(ISBLANK(source[[#This Row],[Проверенные]]),IF(ISBLANK(source[[#This Row],[Завершенные]]),source[[#This Row],[Приоритет_]],"Завершено"),"Проверено")</f>
        <v>Проверено</v>
      </c>
      <c r="F583" t="s">
        <v>2870</v>
      </c>
      <c r="G583" t="s">
        <v>426</v>
      </c>
      <c r="H583" t="e">
        <f>VLOOKUP(source[[#This Row],[Отвественный]],тОтветственные[],2,0)</f>
        <v>#N/A</v>
      </c>
      <c r="S583" s="1">
        <v>43817.495416666665</v>
      </c>
      <c r="T583" s="1">
        <v>43821.726099537038</v>
      </c>
      <c r="U583" s="1">
        <v>43821.726099537038</v>
      </c>
      <c r="W583" s="1">
        <v>43821.726099537038</v>
      </c>
      <c r="X583" t="s">
        <v>3538</v>
      </c>
      <c r="AH583" t="s">
        <v>3539</v>
      </c>
      <c r="AI583" t="s">
        <v>3540</v>
      </c>
      <c r="AJ583" s="3" t="s">
        <v>3541</v>
      </c>
      <c r="AK583" s="3" t="s">
        <v>3542</v>
      </c>
      <c r="AL583" t="s">
        <v>3543</v>
      </c>
      <c r="AM583" s="3" t="s">
        <v>3544</v>
      </c>
      <c r="AN583" t="s">
        <v>3545</v>
      </c>
      <c r="AO583" t="s">
        <v>3546</v>
      </c>
      <c r="AP583" t="s">
        <v>3547</v>
      </c>
      <c r="EC583" t="s">
        <v>3548</v>
      </c>
      <c r="ED583" t="s">
        <v>3531</v>
      </c>
      <c r="EE583" t="str">
        <f>HYPERLINK("https://d33htgqikc2pj4.cloudfront.net/qvHDimMUqxZcQnsj/5a19994b-e6d8-4634-bbd9-05ea02a2f19a.jpeg", "Юрий Прасолов: Ссылка на изображение")</f>
        <v>Юрий Прасолов: Ссылка на изображение</v>
      </c>
      <c r="EF583" t="str">
        <f>HYPERLINK("https://d33htgqikc2pj4.cloudfront.net/qvHDimMUqxZcQnsj/cb68c673-071b-4da1-bf9a-e346647f04a5.jpeg", "Юрий Прасолов: Ссылка на изображение")</f>
        <v>Юрий Прасолов: Ссылка на изображение</v>
      </c>
      <c r="EG583" t="str">
        <f>HYPERLINK("https://d33htgqikc2pj4.cloudfront.net/qvHDimMUqxZcQnsj/f6e6e548-92ba-405d-8085-1ff0f0e2d4b2.jpeg", "Юрий Прасолов: Ссылка на изображение")</f>
        <v>Юрий Прасолов: Ссылка на изображение</v>
      </c>
      <c r="EH583" t="str">
        <f>HYPERLINK("https://d33htgqikc2pj4.cloudfront.net/qvHDimMUqxZcQnsj/d44f4964-70cf-4cbf-92c8-f988fa7a8d2e.jpeg", "Юрий Прасолов: Ссылка на изображение")</f>
        <v>Юрий Прасолов: Ссылка на изображение</v>
      </c>
      <c r="EI583" t="s">
        <v>428</v>
      </c>
    </row>
    <row r="584" spans="1:143" ht="15" customHeight="1" x14ac:dyDescent="0.35">
      <c r="A584">
        <v>1204</v>
      </c>
      <c r="B584" t="s">
        <v>3549</v>
      </c>
      <c r="C584">
        <v>3</v>
      </c>
      <c r="D584" t="str">
        <f>VLOOKUP(source[[#This Row],[Приоритет]],тПриоритеты[],2,0)</f>
        <v>Малозначительное</v>
      </c>
      <c r="E584" t="str">
        <f>IF(ISBLANK(source[[#This Row],[Проверенные]]),IF(ISBLANK(source[[#This Row],[Завершенные]]),source[[#This Row],[Приоритет_]],"Завершено"),"Проверено")</f>
        <v>Малозначительное</v>
      </c>
      <c r="F584" t="s">
        <v>3550</v>
      </c>
      <c r="G584" t="s">
        <v>3551</v>
      </c>
      <c r="H584" t="e">
        <f>VLOOKUP(source[[#This Row],[Отвественный]],тОтветственные[],2,0)</f>
        <v>#N/A</v>
      </c>
      <c r="I584" s="2">
        <v>43866</v>
      </c>
      <c r="J584" s="2">
        <v>43868</v>
      </c>
      <c r="S584" s="1">
        <v>43866.716932870368</v>
      </c>
      <c r="W584" s="1">
        <v>43866.752986111111</v>
      </c>
      <c r="X584" t="s">
        <v>1793</v>
      </c>
      <c r="AH584" t="s">
        <v>3552</v>
      </c>
      <c r="AI584" t="s">
        <v>3553</v>
      </c>
      <c r="AJ584" t="s">
        <v>3554</v>
      </c>
      <c r="AK584" t="s">
        <v>3555</v>
      </c>
      <c r="AL584" t="s">
        <v>3556</v>
      </c>
      <c r="AM584" t="s">
        <v>3557</v>
      </c>
      <c r="AN584" t="s">
        <v>3558</v>
      </c>
      <c r="AO584" t="s">
        <v>3559</v>
      </c>
      <c r="AP584" t="s">
        <v>3560</v>
      </c>
      <c r="AQ584" t="s">
        <v>3561</v>
      </c>
      <c r="AR584" t="s">
        <v>3562</v>
      </c>
      <c r="AS584" t="s">
        <v>3563</v>
      </c>
      <c r="AT584" t="s">
        <v>3564</v>
      </c>
      <c r="AU584" t="s">
        <v>3565</v>
      </c>
      <c r="AV584" t="s">
        <v>3566</v>
      </c>
      <c r="AW584" t="s">
        <v>3567</v>
      </c>
      <c r="AX584" t="s">
        <v>3568</v>
      </c>
      <c r="AY584" t="s">
        <v>3569</v>
      </c>
      <c r="AZ584" t="s">
        <v>3570</v>
      </c>
      <c r="BA584" t="s">
        <v>3571</v>
      </c>
      <c r="BB584" t="s">
        <v>3572</v>
      </c>
      <c r="BC584" t="s">
        <v>3573</v>
      </c>
      <c r="BD584" t="s">
        <v>3574</v>
      </c>
      <c r="BE584" t="s">
        <v>3575</v>
      </c>
      <c r="BF584" t="s">
        <v>3576</v>
      </c>
      <c r="BG584" t="s">
        <v>3577</v>
      </c>
      <c r="BH584" t="s">
        <v>3578</v>
      </c>
      <c r="BI584" t="s">
        <v>3579</v>
      </c>
      <c r="BJ584" t="s">
        <v>3580</v>
      </c>
      <c r="BK584" t="s">
        <v>3581</v>
      </c>
      <c r="BL584" t="s">
        <v>3582</v>
      </c>
      <c r="BM584" t="s">
        <v>3583</v>
      </c>
      <c r="BN584" t="s">
        <v>3584</v>
      </c>
      <c r="BO584" t="s">
        <v>3585</v>
      </c>
      <c r="BP584" t="s">
        <v>3586</v>
      </c>
      <c r="BQ584" t="s">
        <v>3587</v>
      </c>
      <c r="BR584" t="s">
        <v>3588</v>
      </c>
      <c r="BS584" t="s">
        <v>3589</v>
      </c>
      <c r="BT584" t="s">
        <v>3590</v>
      </c>
      <c r="BU584" t="s">
        <v>3591</v>
      </c>
      <c r="BV584" t="s">
        <v>3592</v>
      </c>
      <c r="BW584" t="s">
        <v>3593</v>
      </c>
      <c r="BX584" t="s">
        <v>3594</v>
      </c>
      <c r="BY584" t="s">
        <v>3595</v>
      </c>
      <c r="BZ584" t="s">
        <v>3596</v>
      </c>
      <c r="CA584" t="s">
        <v>3597</v>
      </c>
      <c r="CB584" t="s">
        <v>3598</v>
      </c>
      <c r="CC584" t="s">
        <v>3599</v>
      </c>
      <c r="CD584" t="s">
        <v>3600</v>
      </c>
      <c r="CE584" t="s">
        <v>3601</v>
      </c>
      <c r="CF584" t="s">
        <v>3602</v>
      </c>
      <c r="CG584" t="s">
        <v>3603</v>
      </c>
      <c r="CH584" t="s">
        <v>3604</v>
      </c>
      <c r="CI584" t="s">
        <v>3605</v>
      </c>
      <c r="CJ584" t="s">
        <v>3606</v>
      </c>
      <c r="CK584" t="s">
        <v>3607</v>
      </c>
      <c r="CL584" t="s">
        <v>3608</v>
      </c>
      <c r="CM584" t="s">
        <v>3609</v>
      </c>
      <c r="CN584" t="s">
        <v>3610</v>
      </c>
      <c r="CO584" t="s">
        <v>3611</v>
      </c>
      <c r="CP584" t="s">
        <v>3612</v>
      </c>
      <c r="CQ584" t="s">
        <v>3613</v>
      </c>
      <c r="CR584" t="s">
        <v>3614</v>
      </c>
      <c r="CS584" t="s">
        <v>3615</v>
      </c>
      <c r="CT584" t="s">
        <v>3616</v>
      </c>
      <c r="CU584" t="s">
        <v>3617</v>
      </c>
      <c r="CV584" t="s">
        <v>3618</v>
      </c>
      <c r="CW584" t="s">
        <v>3619</v>
      </c>
      <c r="CX584" t="s">
        <v>3620</v>
      </c>
      <c r="CY584" t="s">
        <v>3621</v>
      </c>
      <c r="CZ584" t="s">
        <v>3622</v>
      </c>
      <c r="DA584" t="s">
        <v>3623</v>
      </c>
      <c r="DB584" t="s">
        <v>3624</v>
      </c>
      <c r="DC584" t="s">
        <v>3625</v>
      </c>
      <c r="DD584" t="s">
        <v>3626</v>
      </c>
      <c r="DE584" t="s">
        <v>3627</v>
      </c>
      <c r="DF584" t="s">
        <v>3628</v>
      </c>
      <c r="DG584" t="s">
        <v>3629</v>
      </c>
      <c r="DH584" t="s">
        <v>3630</v>
      </c>
      <c r="DI584" t="s">
        <v>3631</v>
      </c>
      <c r="DJ584" t="s">
        <v>3632</v>
      </c>
      <c r="DK584" t="s">
        <v>3633</v>
      </c>
      <c r="DL584" t="s">
        <v>3634</v>
      </c>
      <c r="DM584" t="s">
        <v>3635</v>
      </c>
      <c r="DN584" t="s">
        <v>3636</v>
      </c>
      <c r="DO584" t="s">
        <v>3637</v>
      </c>
      <c r="DP584" t="s">
        <v>3638</v>
      </c>
      <c r="DQ584" t="s">
        <v>3639</v>
      </c>
      <c r="DR584" t="s">
        <v>3640</v>
      </c>
      <c r="DS584" t="s">
        <v>3641</v>
      </c>
      <c r="DT584" t="s">
        <v>3642</v>
      </c>
      <c r="DU584" t="s">
        <v>3643</v>
      </c>
      <c r="DV584" t="s">
        <v>3644</v>
      </c>
      <c r="DW584" t="s">
        <v>3645</v>
      </c>
      <c r="DX584" t="s">
        <v>3646</v>
      </c>
      <c r="DY584" t="s">
        <v>3647</v>
      </c>
      <c r="DZ584" t="s">
        <v>3648</v>
      </c>
      <c r="EA584" t="s">
        <v>3649</v>
      </c>
      <c r="EB584" t="s">
        <v>3650</v>
      </c>
      <c r="EC584" t="s">
        <v>3651</v>
      </c>
      <c r="ED584" t="s">
        <v>3652</v>
      </c>
      <c r="EE584" t="s">
        <v>3653</v>
      </c>
      <c r="EF584" t="s">
        <v>3654</v>
      </c>
    </row>
    <row r="585" spans="1:143" ht="15" customHeight="1" x14ac:dyDescent="0.35">
      <c r="A585">
        <v>399</v>
      </c>
      <c r="B585" t="s">
        <v>3655</v>
      </c>
      <c r="C585">
        <v>2</v>
      </c>
      <c r="D585" t="str">
        <f>VLOOKUP(source[[#This Row],[Приоритет]],тПриоритеты[],2,0)</f>
        <v>Значительное</v>
      </c>
      <c r="E585" t="str">
        <f>IF(ISBLANK(source[[#This Row],[Проверенные]]),IF(ISBLANK(source[[#This Row],[Завершенные]]),source[[#This Row],[Приоритет_]],"Завершено"),"Проверено")</f>
        <v>Проверено</v>
      </c>
      <c r="F585" t="s">
        <v>3550</v>
      </c>
      <c r="G585" t="s">
        <v>3551</v>
      </c>
      <c r="H585" t="e">
        <f>VLOOKUP(source[[#This Row],[Отвественный]],тОтветственные[],2,0)</f>
        <v>#N/A</v>
      </c>
      <c r="I585" s="2">
        <v>43789</v>
      </c>
      <c r="J585" s="2">
        <v>43791</v>
      </c>
      <c r="S585" s="1">
        <v>43791.695243055554</v>
      </c>
      <c r="T585" s="1">
        <v>43791.699502314812</v>
      </c>
      <c r="U585" s="1">
        <v>43791.699502314812</v>
      </c>
      <c r="W585" s="1">
        <v>43791.700150462966</v>
      </c>
      <c r="X585" t="s">
        <v>1793</v>
      </c>
      <c r="AH585" t="s">
        <v>3656</v>
      </c>
      <c r="AI585" t="s">
        <v>3657</v>
      </c>
      <c r="AJ585" t="s">
        <v>3658</v>
      </c>
      <c r="AK585" t="s">
        <v>3659</v>
      </c>
      <c r="AL585" t="s">
        <v>3660</v>
      </c>
      <c r="AM585" t="s">
        <v>3661</v>
      </c>
      <c r="AN585" t="s">
        <v>3662</v>
      </c>
      <c r="AO585" t="s">
        <v>3663</v>
      </c>
      <c r="AP585" t="s">
        <v>3664</v>
      </c>
      <c r="AQ585" t="s">
        <v>3665</v>
      </c>
      <c r="AR585" t="s">
        <v>3666</v>
      </c>
      <c r="AS585" t="s">
        <v>3667</v>
      </c>
      <c r="AT585" t="s">
        <v>3668</v>
      </c>
      <c r="AU585" t="s">
        <v>3669</v>
      </c>
      <c r="AV585" t="s">
        <v>3670</v>
      </c>
      <c r="AW585" t="s">
        <v>3671</v>
      </c>
      <c r="AX585" t="s">
        <v>3672</v>
      </c>
      <c r="AY585" t="s">
        <v>3673</v>
      </c>
      <c r="AZ585" t="s">
        <v>3674</v>
      </c>
      <c r="BA585" t="s">
        <v>3675</v>
      </c>
      <c r="BB585" t="s">
        <v>3676</v>
      </c>
      <c r="BC585" t="s">
        <v>3677</v>
      </c>
      <c r="BD585" t="s">
        <v>3678</v>
      </c>
      <c r="BE585" t="s">
        <v>3679</v>
      </c>
      <c r="BF585" t="s">
        <v>3680</v>
      </c>
      <c r="BG585" t="s">
        <v>3681</v>
      </c>
      <c r="BH585" t="s">
        <v>3682</v>
      </c>
      <c r="BI585" t="s">
        <v>3683</v>
      </c>
      <c r="BJ585" t="s">
        <v>3684</v>
      </c>
      <c r="BK585" t="s">
        <v>3685</v>
      </c>
      <c r="BL585" t="s">
        <v>3686</v>
      </c>
      <c r="BM585" t="s">
        <v>3687</v>
      </c>
      <c r="BN585" t="s">
        <v>3688</v>
      </c>
      <c r="BO585" t="s">
        <v>3689</v>
      </c>
      <c r="BP585" t="s">
        <v>3690</v>
      </c>
      <c r="BQ585" t="s">
        <v>3691</v>
      </c>
      <c r="BR585" t="s">
        <v>3692</v>
      </c>
      <c r="BS585" t="s">
        <v>3693</v>
      </c>
      <c r="BT585" t="s">
        <v>3694</v>
      </c>
      <c r="BU585" t="s">
        <v>3695</v>
      </c>
      <c r="BV585" t="s">
        <v>3696</v>
      </c>
      <c r="BW585" t="s">
        <v>3697</v>
      </c>
      <c r="BX585" t="s">
        <v>3698</v>
      </c>
      <c r="BY585" t="s">
        <v>3699</v>
      </c>
      <c r="BZ585" t="s">
        <v>3700</v>
      </c>
      <c r="CA585" t="s">
        <v>3701</v>
      </c>
      <c r="CB585" t="s">
        <v>3702</v>
      </c>
      <c r="CC585" t="s">
        <v>3703</v>
      </c>
      <c r="CD585" t="s">
        <v>3704</v>
      </c>
      <c r="CE585" t="s">
        <v>3705</v>
      </c>
      <c r="CF585" t="s">
        <v>3706</v>
      </c>
      <c r="CG585" t="s">
        <v>3707</v>
      </c>
      <c r="CH585" t="s">
        <v>3708</v>
      </c>
      <c r="CI585" t="s">
        <v>3709</v>
      </c>
      <c r="CJ585" t="s">
        <v>3710</v>
      </c>
      <c r="CK585" t="s">
        <v>3711</v>
      </c>
      <c r="CL585" t="s">
        <v>3712</v>
      </c>
      <c r="CM585" t="s">
        <v>3713</v>
      </c>
      <c r="CN585" t="s">
        <v>3714</v>
      </c>
      <c r="CO585" t="s">
        <v>3715</v>
      </c>
      <c r="CP585" t="s">
        <v>3716</v>
      </c>
      <c r="CQ585" t="s">
        <v>3717</v>
      </c>
      <c r="CR585" t="s">
        <v>3718</v>
      </c>
      <c r="CS585" t="s">
        <v>3719</v>
      </c>
      <c r="CT585" t="s">
        <v>3720</v>
      </c>
      <c r="CU585" t="s">
        <v>3721</v>
      </c>
      <c r="CV585" t="s">
        <v>3722</v>
      </c>
      <c r="CW585" t="s">
        <v>3723</v>
      </c>
      <c r="CX585" t="s">
        <v>3724</v>
      </c>
      <c r="CY585" t="s">
        <v>3725</v>
      </c>
      <c r="CZ585" t="s">
        <v>3726</v>
      </c>
      <c r="DA585" t="s">
        <v>3727</v>
      </c>
      <c r="DB585" t="s">
        <v>3728</v>
      </c>
      <c r="DC585" t="s">
        <v>3729</v>
      </c>
      <c r="DD585" t="s">
        <v>3730</v>
      </c>
      <c r="DE585" t="s">
        <v>3731</v>
      </c>
      <c r="DF585" t="s">
        <v>3732</v>
      </c>
      <c r="DG585" t="s">
        <v>3733</v>
      </c>
      <c r="DH585" t="s">
        <v>3734</v>
      </c>
      <c r="DI585" t="s">
        <v>3735</v>
      </c>
      <c r="DJ585" t="s">
        <v>3736</v>
      </c>
      <c r="DK585" t="s">
        <v>3737</v>
      </c>
      <c r="DL585" t="s">
        <v>3738</v>
      </c>
      <c r="DM585" t="s">
        <v>3739</v>
      </c>
      <c r="DN585" t="s">
        <v>3740</v>
      </c>
      <c r="DO585" t="s">
        <v>3741</v>
      </c>
      <c r="DP585" t="s">
        <v>3742</v>
      </c>
      <c r="DQ585" t="s">
        <v>3743</v>
      </c>
      <c r="DR585" t="s">
        <v>3744</v>
      </c>
      <c r="DS585" t="s">
        <v>3745</v>
      </c>
      <c r="DT585" t="s">
        <v>3746</v>
      </c>
      <c r="DU585" t="s">
        <v>3747</v>
      </c>
      <c r="DV585" t="s">
        <v>3748</v>
      </c>
      <c r="DW585" t="s">
        <v>3749</v>
      </c>
      <c r="DX585" t="s">
        <v>3750</v>
      </c>
      <c r="DY585" t="s">
        <v>3751</v>
      </c>
      <c r="DZ585" t="s">
        <v>3752</v>
      </c>
      <c r="EA585" t="s">
        <v>3753</v>
      </c>
      <c r="EB585" t="s">
        <v>3754</v>
      </c>
      <c r="EC585" t="s">
        <v>2827</v>
      </c>
      <c r="ED585" t="s">
        <v>3755</v>
      </c>
      <c r="EE585" t="s">
        <v>3756</v>
      </c>
      <c r="EF585" t="s">
        <v>3757</v>
      </c>
      <c r="EG585" t="s">
        <v>3758</v>
      </c>
    </row>
    <row r="586" spans="1:143" ht="15" customHeight="1" x14ac:dyDescent="0.35">
      <c r="A586">
        <v>436</v>
      </c>
      <c r="B586" t="s">
        <v>3759</v>
      </c>
      <c r="C586">
        <v>3</v>
      </c>
      <c r="D586" t="str">
        <f>VLOOKUP(source[[#This Row],[Приоритет]],тПриоритеты[],2,0)</f>
        <v>Малозначительное</v>
      </c>
      <c r="E586" t="str">
        <f>IF(ISBLANK(source[[#This Row],[Проверенные]]),IF(ISBLANK(source[[#This Row],[Завершенные]]),source[[#This Row],[Приоритет_]],"Завершено"),"Проверено")</f>
        <v>Проверено</v>
      </c>
      <c r="F586" t="s">
        <v>3550</v>
      </c>
      <c r="G586" t="s">
        <v>3551</v>
      </c>
      <c r="H586" t="e">
        <f>VLOOKUP(source[[#This Row],[Отвественный]],тОтветственные[],2,0)</f>
        <v>#N/A</v>
      </c>
      <c r="I586" s="2">
        <v>43794</v>
      </c>
      <c r="J586" s="2">
        <v>43798</v>
      </c>
      <c r="S586" s="1">
        <v>43795.464386574073</v>
      </c>
      <c r="T586" s="1">
        <v>43802.422546296293</v>
      </c>
      <c r="U586" s="1">
        <v>43802.422546296293</v>
      </c>
      <c r="W586" s="1">
        <v>43802.422546296293</v>
      </c>
      <c r="X586" t="s">
        <v>3760</v>
      </c>
      <c r="AH586" t="s">
        <v>3761</v>
      </c>
      <c r="AI586" t="s">
        <v>3762</v>
      </c>
      <c r="AJ586" t="s">
        <v>3763</v>
      </c>
      <c r="AK586" t="s">
        <v>3764</v>
      </c>
      <c r="AL586" t="s">
        <v>3765</v>
      </c>
      <c r="AM586" t="s">
        <v>3766</v>
      </c>
      <c r="AN586" t="s">
        <v>3767</v>
      </c>
      <c r="AO586" t="s">
        <v>3768</v>
      </c>
      <c r="AP586" t="s">
        <v>3769</v>
      </c>
      <c r="AQ586" t="s">
        <v>3770</v>
      </c>
      <c r="AR586" t="s">
        <v>3771</v>
      </c>
      <c r="AS586" t="s">
        <v>3772</v>
      </c>
      <c r="AT586" t="s">
        <v>3773</v>
      </c>
      <c r="AU586" t="s">
        <v>3774</v>
      </c>
      <c r="AV586" t="s">
        <v>3775</v>
      </c>
      <c r="AW586" t="s">
        <v>3776</v>
      </c>
      <c r="AX586" t="s">
        <v>3777</v>
      </c>
      <c r="AY586" t="s">
        <v>3778</v>
      </c>
      <c r="AZ586" t="s">
        <v>3779</v>
      </c>
      <c r="BA586" t="s">
        <v>3780</v>
      </c>
      <c r="BB586" t="s">
        <v>3781</v>
      </c>
      <c r="BC586" t="s">
        <v>3782</v>
      </c>
      <c r="BD586" t="s">
        <v>3783</v>
      </c>
      <c r="BE586" t="s">
        <v>3784</v>
      </c>
      <c r="BF586" t="s">
        <v>3785</v>
      </c>
      <c r="BG586" t="s">
        <v>3786</v>
      </c>
      <c r="BH586" t="s">
        <v>3787</v>
      </c>
      <c r="BI586" t="s">
        <v>3788</v>
      </c>
      <c r="BJ586" t="s">
        <v>3789</v>
      </c>
      <c r="BK586" t="s">
        <v>3790</v>
      </c>
      <c r="BL586" t="s">
        <v>3791</v>
      </c>
      <c r="BM586" t="s">
        <v>3792</v>
      </c>
      <c r="BN586" t="s">
        <v>3793</v>
      </c>
      <c r="BO586" t="s">
        <v>3794</v>
      </c>
      <c r="BP586" t="s">
        <v>3795</v>
      </c>
      <c r="BQ586" t="s">
        <v>3796</v>
      </c>
      <c r="BR586" t="s">
        <v>3797</v>
      </c>
      <c r="EC586" t="s">
        <v>3654</v>
      </c>
      <c r="ED586" t="s">
        <v>3758</v>
      </c>
      <c r="EE586" t="s">
        <v>3798</v>
      </c>
      <c r="EF586" t="s">
        <v>3799</v>
      </c>
      <c r="EG586" t="s">
        <v>3800</v>
      </c>
      <c r="EH586" t="s">
        <v>2827</v>
      </c>
    </row>
    <row r="587" spans="1:143" ht="15" customHeight="1" x14ac:dyDescent="0.35">
      <c r="A587">
        <v>476</v>
      </c>
      <c r="B587" t="s">
        <v>3549</v>
      </c>
      <c r="C587">
        <v>3</v>
      </c>
      <c r="D587" t="str">
        <f>VLOOKUP(source[[#This Row],[Приоритет]],тПриоритеты[],2,0)</f>
        <v>Малозначительное</v>
      </c>
      <c r="E587" t="str">
        <f>IF(ISBLANK(source[[#This Row],[Проверенные]]),IF(ISBLANK(source[[#This Row],[Завершенные]]),source[[#This Row],[Приоритет_]],"Завершено"),"Проверено")</f>
        <v>Проверено</v>
      </c>
      <c r="F587" t="s">
        <v>3550</v>
      </c>
      <c r="G587" t="s">
        <v>3551</v>
      </c>
      <c r="H587" t="e">
        <f>VLOOKUP(source[[#This Row],[Отвественный]],тОтветственные[],2,0)</f>
        <v>#N/A</v>
      </c>
      <c r="I587" s="2">
        <v>43796</v>
      </c>
      <c r="J587" s="2">
        <v>43802</v>
      </c>
      <c r="S587" s="1">
        <v>43798.500243055554</v>
      </c>
      <c r="T587" s="1">
        <v>43802.423043981478</v>
      </c>
      <c r="U587" s="1">
        <v>43802.423043981478</v>
      </c>
      <c r="W587" s="1">
        <v>43802.423055555555</v>
      </c>
      <c r="X587" t="s">
        <v>1793</v>
      </c>
      <c r="AH587" t="s">
        <v>3801</v>
      </c>
      <c r="AI587" t="s">
        <v>3802</v>
      </c>
      <c r="AJ587" t="s">
        <v>3803</v>
      </c>
      <c r="AK587" t="s">
        <v>3804</v>
      </c>
      <c r="AL587" t="s">
        <v>3805</v>
      </c>
      <c r="AM587" t="s">
        <v>3806</v>
      </c>
      <c r="AN587" t="s">
        <v>3807</v>
      </c>
      <c r="AO587" t="s">
        <v>3808</v>
      </c>
      <c r="AP587" t="s">
        <v>3809</v>
      </c>
      <c r="AQ587" t="s">
        <v>3810</v>
      </c>
      <c r="AR587" t="s">
        <v>3811</v>
      </c>
      <c r="AS587" t="s">
        <v>3812</v>
      </c>
      <c r="AT587" t="s">
        <v>3813</v>
      </c>
      <c r="AU587" t="s">
        <v>3814</v>
      </c>
      <c r="AV587" t="s">
        <v>3815</v>
      </c>
      <c r="AW587" t="s">
        <v>3816</v>
      </c>
      <c r="AX587" t="s">
        <v>3817</v>
      </c>
      <c r="AY587" t="s">
        <v>3818</v>
      </c>
      <c r="AZ587" t="s">
        <v>3819</v>
      </c>
      <c r="BA587" t="s">
        <v>3820</v>
      </c>
      <c r="BB587" t="s">
        <v>3821</v>
      </c>
      <c r="BC587" t="s">
        <v>3822</v>
      </c>
      <c r="BD587" t="s">
        <v>3823</v>
      </c>
      <c r="BE587" t="s">
        <v>3824</v>
      </c>
      <c r="BF587" t="s">
        <v>3825</v>
      </c>
      <c r="BG587" t="s">
        <v>3826</v>
      </c>
      <c r="BH587" t="s">
        <v>3827</v>
      </c>
      <c r="BI587" t="s">
        <v>3828</v>
      </c>
      <c r="BJ587" t="s">
        <v>3829</v>
      </c>
      <c r="BK587" t="s">
        <v>3830</v>
      </c>
      <c r="BL587" t="s">
        <v>3831</v>
      </c>
      <c r="BM587" t="s">
        <v>3832</v>
      </c>
      <c r="BN587" t="s">
        <v>3833</v>
      </c>
      <c r="BO587" t="s">
        <v>3834</v>
      </c>
      <c r="BP587" t="s">
        <v>3835</v>
      </c>
      <c r="BQ587" t="s">
        <v>3836</v>
      </c>
      <c r="BR587" t="s">
        <v>3837</v>
      </c>
      <c r="BS587" t="s">
        <v>3838</v>
      </c>
      <c r="BT587" t="s">
        <v>3839</v>
      </c>
      <c r="BU587" t="s">
        <v>3840</v>
      </c>
      <c r="BV587" t="s">
        <v>3841</v>
      </c>
      <c r="BW587" t="s">
        <v>3842</v>
      </c>
      <c r="BX587" t="s">
        <v>3843</v>
      </c>
      <c r="BY587" t="s">
        <v>3844</v>
      </c>
      <c r="BZ587" t="s">
        <v>3845</v>
      </c>
      <c r="CA587" t="s">
        <v>3846</v>
      </c>
      <c r="CB587" t="s">
        <v>3847</v>
      </c>
      <c r="CC587" t="s">
        <v>3848</v>
      </c>
      <c r="CD587" t="s">
        <v>3849</v>
      </c>
      <c r="CE587" t="s">
        <v>3850</v>
      </c>
      <c r="CF587" t="s">
        <v>3851</v>
      </c>
      <c r="CG587" t="s">
        <v>3852</v>
      </c>
      <c r="CH587" t="s">
        <v>3853</v>
      </c>
      <c r="CI587" t="s">
        <v>3854</v>
      </c>
      <c r="CJ587" t="s">
        <v>3855</v>
      </c>
      <c r="CK587" t="s">
        <v>3856</v>
      </c>
      <c r="CL587" t="s">
        <v>3857</v>
      </c>
      <c r="CM587" t="s">
        <v>3858</v>
      </c>
      <c r="CN587" t="s">
        <v>3859</v>
      </c>
      <c r="CO587" t="s">
        <v>3860</v>
      </c>
      <c r="CP587" t="s">
        <v>3861</v>
      </c>
      <c r="CQ587" t="s">
        <v>3862</v>
      </c>
      <c r="CR587" t="s">
        <v>3863</v>
      </c>
      <c r="CS587" t="s">
        <v>3864</v>
      </c>
      <c r="CT587" t="s">
        <v>3865</v>
      </c>
      <c r="CU587" t="s">
        <v>3866</v>
      </c>
      <c r="CV587" t="s">
        <v>3867</v>
      </c>
      <c r="CW587" t="s">
        <v>3868</v>
      </c>
      <c r="CX587" t="s">
        <v>3869</v>
      </c>
      <c r="CY587" t="s">
        <v>3870</v>
      </c>
      <c r="CZ587" t="s">
        <v>3871</v>
      </c>
      <c r="DA587" t="s">
        <v>3872</v>
      </c>
      <c r="DB587" t="s">
        <v>3873</v>
      </c>
      <c r="DC587" t="s">
        <v>3874</v>
      </c>
      <c r="DD587" t="s">
        <v>3875</v>
      </c>
      <c r="DE587" t="s">
        <v>3876</v>
      </c>
      <c r="DF587" t="s">
        <v>3877</v>
      </c>
      <c r="DG587" t="s">
        <v>3878</v>
      </c>
      <c r="DH587" t="s">
        <v>3879</v>
      </c>
      <c r="DI587" t="s">
        <v>3880</v>
      </c>
      <c r="DJ587" t="s">
        <v>3881</v>
      </c>
      <c r="DK587" t="s">
        <v>3882</v>
      </c>
      <c r="DL587" t="s">
        <v>3883</v>
      </c>
      <c r="DM587" t="s">
        <v>3884</v>
      </c>
      <c r="DN587" t="s">
        <v>3885</v>
      </c>
      <c r="DO587" t="s">
        <v>3886</v>
      </c>
      <c r="DP587" t="s">
        <v>3887</v>
      </c>
      <c r="DQ587" t="s">
        <v>3888</v>
      </c>
      <c r="DR587" t="s">
        <v>3889</v>
      </c>
      <c r="DS587" t="s">
        <v>3890</v>
      </c>
      <c r="DT587" t="s">
        <v>3891</v>
      </c>
      <c r="DU587" t="s">
        <v>3892</v>
      </c>
      <c r="DV587" t="s">
        <v>3893</v>
      </c>
      <c r="DW587" t="s">
        <v>3894</v>
      </c>
      <c r="DX587" t="s">
        <v>3895</v>
      </c>
      <c r="DY587" t="s">
        <v>3896</v>
      </c>
      <c r="DZ587" t="s">
        <v>3897</v>
      </c>
      <c r="EA587" t="s">
        <v>3898</v>
      </c>
      <c r="EB587" t="s">
        <v>3899</v>
      </c>
      <c r="EC587" t="s">
        <v>3653</v>
      </c>
      <c r="ED587" t="s">
        <v>3654</v>
      </c>
      <c r="EE587" t="s">
        <v>3758</v>
      </c>
      <c r="EF587" t="s">
        <v>3900</v>
      </c>
      <c r="EG587" t="s">
        <v>3901</v>
      </c>
      <c r="EH587" t="s">
        <v>2827</v>
      </c>
    </row>
    <row r="588" spans="1:143" ht="15" customHeight="1" x14ac:dyDescent="0.35">
      <c r="A588">
        <v>508</v>
      </c>
      <c r="B588" t="s">
        <v>3902</v>
      </c>
      <c r="C588">
        <v>3</v>
      </c>
      <c r="D588" t="str">
        <f>VLOOKUP(source[[#This Row],[Приоритет]],тПриоритеты[],2,0)</f>
        <v>Малозначительное</v>
      </c>
      <c r="E588" t="str">
        <f>IF(ISBLANK(source[[#This Row],[Проверенные]]),IF(ISBLANK(source[[#This Row],[Завершенные]]),source[[#This Row],[Приоритет_]],"Завершено"),"Проверено")</f>
        <v>Проверено</v>
      </c>
      <c r="F588" t="s">
        <v>3550</v>
      </c>
      <c r="G588" t="s">
        <v>3551</v>
      </c>
      <c r="H588" t="e">
        <f>VLOOKUP(source[[#This Row],[Отвественный]],тОтветственные[],2,0)</f>
        <v>#N/A</v>
      </c>
      <c r="I588" s="2">
        <v>43801</v>
      </c>
      <c r="J588" s="2">
        <v>43806</v>
      </c>
      <c r="S588" s="1">
        <v>43802.423148148147</v>
      </c>
      <c r="T588" s="1">
        <v>43805.723541666666</v>
      </c>
      <c r="U588" s="1">
        <v>43805.723541666666</v>
      </c>
      <c r="W588" s="1">
        <v>43805.723541666666</v>
      </c>
      <c r="X588" t="s">
        <v>3760</v>
      </c>
      <c r="AH588" t="s">
        <v>3903</v>
      </c>
      <c r="AI588" t="s">
        <v>3904</v>
      </c>
      <c r="AJ588" t="s">
        <v>3905</v>
      </c>
      <c r="AK588" t="s">
        <v>3906</v>
      </c>
      <c r="AL588" t="s">
        <v>3907</v>
      </c>
      <c r="AM588" t="s">
        <v>3908</v>
      </c>
      <c r="AN588" t="s">
        <v>3909</v>
      </c>
      <c r="AO588" t="s">
        <v>3910</v>
      </c>
      <c r="AP588" t="s">
        <v>3911</v>
      </c>
      <c r="AQ588" t="s">
        <v>3912</v>
      </c>
      <c r="AR588" t="s">
        <v>3913</v>
      </c>
      <c r="AS588" t="s">
        <v>3914</v>
      </c>
      <c r="AT588" t="s">
        <v>3915</v>
      </c>
      <c r="AU588" t="s">
        <v>3916</v>
      </c>
      <c r="AV588" t="s">
        <v>3917</v>
      </c>
      <c r="AW588" t="s">
        <v>3918</v>
      </c>
      <c r="AX588" t="s">
        <v>3919</v>
      </c>
      <c r="AY588" t="s">
        <v>3920</v>
      </c>
      <c r="AZ588" t="s">
        <v>3921</v>
      </c>
      <c r="BA588" t="s">
        <v>3922</v>
      </c>
      <c r="BB588" t="s">
        <v>3923</v>
      </c>
      <c r="BC588" t="s">
        <v>3924</v>
      </c>
      <c r="BD588" t="s">
        <v>3925</v>
      </c>
      <c r="BE588" t="s">
        <v>3926</v>
      </c>
      <c r="BF588" t="s">
        <v>3927</v>
      </c>
      <c r="BG588" t="s">
        <v>3928</v>
      </c>
      <c r="BH588" t="s">
        <v>3929</v>
      </c>
      <c r="BI588" t="s">
        <v>3930</v>
      </c>
      <c r="BJ588" t="s">
        <v>3931</v>
      </c>
      <c r="BK588" t="s">
        <v>3932</v>
      </c>
      <c r="BL588" t="s">
        <v>3933</v>
      </c>
      <c r="BM588" t="s">
        <v>3934</v>
      </c>
      <c r="BN588" t="s">
        <v>3935</v>
      </c>
      <c r="BO588" t="s">
        <v>3936</v>
      </c>
      <c r="BP588" t="s">
        <v>3937</v>
      </c>
      <c r="BQ588" t="s">
        <v>3938</v>
      </c>
      <c r="BR588" t="s">
        <v>3939</v>
      </c>
      <c r="EC588" t="s">
        <v>3758</v>
      </c>
      <c r="ED588" t="s">
        <v>3940</v>
      </c>
      <c r="EE588" t="s">
        <v>3901</v>
      </c>
      <c r="EF588" t="s">
        <v>3654</v>
      </c>
      <c r="EG588" t="s">
        <v>3941</v>
      </c>
      <c r="EH588" t="s">
        <v>3942</v>
      </c>
      <c r="EI588" t="s">
        <v>2827</v>
      </c>
    </row>
    <row r="589" spans="1:143" ht="15" customHeight="1" x14ac:dyDescent="0.35">
      <c r="A589">
        <v>806</v>
      </c>
      <c r="B589" t="s">
        <v>3943</v>
      </c>
      <c r="C589">
        <v>2</v>
      </c>
      <c r="D589" t="str">
        <f>VLOOKUP(source[[#This Row],[Приоритет]],тПриоритеты[],2,0)</f>
        <v>Значительное</v>
      </c>
      <c r="E589" t="str">
        <f>IF(ISBLANK(source[[#This Row],[Проверенные]]),IF(ISBLANK(source[[#This Row],[Завершенные]]),source[[#This Row],[Приоритет_]],"Завершено"),"Проверено")</f>
        <v>Проверено</v>
      </c>
      <c r="F589" t="s">
        <v>3550</v>
      </c>
      <c r="G589" t="s">
        <v>3551</v>
      </c>
      <c r="H589" t="e">
        <f>VLOOKUP(source[[#This Row],[Отвественный]],тОтветственные[],2,0)</f>
        <v>#N/A</v>
      </c>
      <c r="I589" s="2">
        <v>43822</v>
      </c>
      <c r="J589" s="2">
        <v>43826</v>
      </c>
      <c r="S589" s="1">
        <v>43826.504895833335</v>
      </c>
      <c r="T589" s="1">
        <v>43826.708148148151</v>
      </c>
      <c r="U589" s="1">
        <v>43826.708148148151</v>
      </c>
      <c r="W589" s="1">
        <v>43826.708171296297</v>
      </c>
      <c r="X589" t="s">
        <v>3760</v>
      </c>
      <c r="AH589" t="s">
        <v>3944</v>
      </c>
      <c r="AI589" t="s">
        <v>3945</v>
      </c>
      <c r="AJ589" t="s">
        <v>3946</v>
      </c>
      <c r="AK589" t="s">
        <v>3947</v>
      </c>
      <c r="AL589" t="s">
        <v>3948</v>
      </c>
      <c r="AM589" t="s">
        <v>3949</v>
      </c>
      <c r="AN589" t="s">
        <v>3950</v>
      </c>
      <c r="AO589" t="s">
        <v>3951</v>
      </c>
      <c r="AP589" t="s">
        <v>3952</v>
      </c>
      <c r="AQ589" t="s">
        <v>3953</v>
      </c>
      <c r="AR589" t="s">
        <v>3954</v>
      </c>
      <c r="AS589" t="s">
        <v>3955</v>
      </c>
      <c r="AT589" t="s">
        <v>3956</v>
      </c>
      <c r="AU589" t="s">
        <v>3957</v>
      </c>
      <c r="AV589" t="s">
        <v>3958</v>
      </c>
      <c r="AW589" t="s">
        <v>3959</v>
      </c>
      <c r="AX589" t="s">
        <v>3960</v>
      </c>
      <c r="AY589" t="s">
        <v>3961</v>
      </c>
      <c r="AZ589" t="s">
        <v>3962</v>
      </c>
      <c r="BA589" t="s">
        <v>3963</v>
      </c>
      <c r="BB589" t="s">
        <v>3964</v>
      </c>
      <c r="BC589" t="s">
        <v>3965</v>
      </c>
      <c r="BD589" t="s">
        <v>3966</v>
      </c>
      <c r="BE589" t="s">
        <v>3967</v>
      </c>
      <c r="BF589" t="s">
        <v>3968</v>
      </c>
      <c r="BG589" t="s">
        <v>3969</v>
      </c>
      <c r="BH589" t="s">
        <v>3970</v>
      </c>
      <c r="BI589" t="s">
        <v>3971</v>
      </c>
      <c r="BJ589" t="s">
        <v>3972</v>
      </c>
      <c r="BK589" t="s">
        <v>3973</v>
      </c>
      <c r="BL589" t="s">
        <v>3974</v>
      </c>
      <c r="BM589" t="s">
        <v>3975</v>
      </c>
      <c r="BN589" t="s">
        <v>3976</v>
      </c>
      <c r="BO589" t="s">
        <v>3977</v>
      </c>
      <c r="BP589" t="s">
        <v>3978</v>
      </c>
      <c r="BQ589" t="s">
        <v>3979</v>
      </c>
      <c r="BR589" t="s">
        <v>3980</v>
      </c>
      <c r="EC589" t="s">
        <v>3981</v>
      </c>
      <c r="ED589" t="s">
        <v>3982</v>
      </c>
      <c r="EE589" t="s">
        <v>3983</v>
      </c>
      <c r="EF589" t="s">
        <v>2827</v>
      </c>
    </row>
    <row r="590" spans="1:143" ht="15" customHeight="1" x14ac:dyDescent="0.35">
      <c r="A590">
        <v>91</v>
      </c>
      <c r="B590" t="s">
        <v>3984</v>
      </c>
      <c r="C590">
        <v>2</v>
      </c>
      <c r="D590" t="str">
        <f>VLOOKUP(source[[#This Row],[Приоритет]],тПриоритеты[],2,0)</f>
        <v>Значительное</v>
      </c>
      <c r="E590" t="str">
        <f>IF(ISBLANK(source[[#This Row],[Проверенные]]),IF(ISBLANK(source[[#This Row],[Завершенные]]),source[[#This Row],[Приоритет_]],"Завершено"),"Проверено")</f>
        <v>Проверено</v>
      </c>
      <c r="F590" t="s">
        <v>3550</v>
      </c>
      <c r="G590" t="s">
        <v>3551</v>
      </c>
      <c r="H590" t="e">
        <f>VLOOKUP(source[[#This Row],[Отвественный]],тОтветственные[],2,0)</f>
        <v>#N/A</v>
      </c>
      <c r="I590" s="2">
        <v>43770</v>
      </c>
      <c r="J590" s="2">
        <v>43770</v>
      </c>
      <c r="S590" s="1">
        <v>43770.624409722222</v>
      </c>
      <c r="T590" s="1">
        <v>43770.744641203702</v>
      </c>
      <c r="U590" s="1">
        <v>43775.374930555554</v>
      </c>
      <c r="W590" s="1">
        <v>43777.748067129629</v>
      </c>
      <c r="X590" t="s">
        <v>3760</v>
      </c>
      <c r="AH590" t="s">
        <v>3985</v>
      </c>
      <c r="AI590" t="s">
        <v>3986</v>
      </c>
      <c r="AJ590" t="s">
        <v>3987</v>
      </c>
      <c r="AK590" t="s">
        <v>3988</v>
      </c>
      <c r="AL590" t="s">
        <v>3989</v>
      </c>
      <c r="AM590" t="s">
        <v>3990</v>
      </c>
      <c r="AN590" t="s">
        <v>3991</v>
      </c>
      <c r="AO590" t="s">
        <v>3992</v>
      </c>
      <c r="AP590" t="s">
        <v>3993</v>
      </c>
      <c r="AQ590" t="s">
        <v>3994</v>
      </c>
      <c r="AR590" t="s">
        <v>3995</v>
      </c>
      <c r="AS590" t="s">
        <v>3996</v>
      </c>
      <c r="AT590" t="s">
        <v>3997</v>
      </c>
      <c r="AU590" t="s">
        <v>3998</v>
      </c>
      <c r="AV590" t="s">
        <v>3999</v>
      </c>
      <c r="AW590" t="s">
        <v>4000</v>
      </c>
      <c r="AX590" t="s">
        <v>4001</v>
      </c>
      <c r="AY590" t="s">
        <v>4002</v>
      </c>
      <c r="AZ590" t="s">
        <v>4003</v>
      </c>
      <c r="BA590" t="s">
        <v>4004</v>
      </c>
      <c r="BB590" t="s">
        <v>4005</v>
      </c>
      <c r="BC590" t="s">
        <v>4006</v>
      </c>
      <c r="BD590" t="s">
        <v>4007</v>
      </c>
      <c r="BE590" t="s">
        <v>4008</v>
      </c>
      <c r="BF590" t="s">
        <v>4009</v>
      </c>
      <c r="BG590" t="s">
        <v>4010</v>
      </c>
      <c r="BH590" t="s">
        <v>4011</v>
      </c>
      <c r="BI590" t="s">
        <v>4012</v>
      </c>
      <c r="BJ590" t="s">
        <v>4013</v>
      </c>
      <c r="BK590" t="s">
        <v>4014</v>
      </c>
      <c r="BL590" t="s">
        <v>4015</v>
      </c>
      <c r="BM590" t="s">
        <v>4016</v>
      </c>
      <c r="BN590" t="s">
        <v>4017</v>
      </c>
      <c r="BO590" t="s">
        <v>4018</v>
      </c>
      <c r="BP590" t="s">
        <v>4019</v>
      </c>
      <c r="BQ590" t="s">
        <v>4020</v>
      </c>
      <c r="BR590" t="s">
        <v>4021</v>
      </c>
      <c r="EC590" t="s">
        <v>4022</v>
      </c>
      <c r="ED590" t="s">
        <v>4023</v>
      </c>
      <c r="EE590" t="s">
        <v>2827</v>
      </c>
      <c r="EF590" t="s">
        <v>4024</v>
      </c>
      <c r="EG590" t="s">
        <v>4025</v>
      </c>
    </row>
    <row r="591" spans="1:143" ht="15" customHeight="1" x14ac:dyDescent="0.35">
      <c r="A591">
        <v>549</v>
      </c>
      <c r="B591" t="s">
        <v>4026</v>
      </c>
      <c r="C591">
        <v>2</v>
      </c>
      <c r="D591" t="str">
        <f>VLOOKUP(source[[#This Row],[Приоритет]],тПриоритеты[],2,0)</f>
        <v>Значительное</v>
      </c>
      <c r="E591" t="str">
        <f>IF(ISBLANK(source[[#This Row],[Проверенные]]),IF(ISBLANK(source[[#This Row],[Завершенные]]),source[[#This Row],[Приоритет_]],"Завершено"),"Проверено")</f>
        <v>Проверено</v>
      </c>
      <c r="F591" t="s">
        <v>3550</v>
      </c>
      <c r="G591" t="s">
        <v>3551</v>
      </c>
      <c r="H591" t="e">
        <f>VLOOKUP(source[[#This Row],[Отвественный]],тОтветственные[],2,0)</f>
        <v>#N/A</v>
      </c>
      <c r="I591" s="2">
        <v>43804</v>
      </c>
      <c r="J591" s="2">
        <v>43804</v>
      </c>
      <c r="S591" s="1">
        <v>43805.71980324074</v>
      </c>
      <c r="T591" s="1">
        <v>43805.721967592595</v>
      </c>
      <c r="U591" s="1">
        <v>43805.721967592595</v>
      </c>
      <c r="W591" s="1">
        <v>43805.722083333334</v>
      </c>
      <c r="X591" t="s">
        <v>4027</v>
      </c>
      <c r="AH591" t="s">
        <v>4028</v>
      </c>
      <c r="AI591" t="s">
        <v>4029</v>
      </c>
      <c r="AJ591" t="s">
        <v>4030</v>
      </c>
      <c r="AK591" t="s">
        <v>4031</v>
      </c>
      <c r="AL591" t="s">
        <v>4032</v>
      </c>
      <c r="AM591" t="s">
        <v>4033</v>
      </c>
      <c r="AN591" t="s">
        <v>4034</v>
      </c>
      <c r="AO591" t="s">
        <v>4035</v>
      </c>
      <c r="AP591" t="s">
        <v>4036</v>
      </c>
      <c r="AQ591" t="s">
        <v>4037</v>
      </c>
      <c r="AR591" t="s">
        <v>4038</v>
      </c>
      <c r="AS591" t="s">
        <v>4039</v>
      </c>
      <c r="AT591" t="s">
        <v>4040</v>
      </c>
      <c r="AU591" t="s">
        <v>4041</v>
      </c>
      <c r="AV591" t="s">
        <v>4042</v>
      </c>
      <c r="AW591" t="s">
        <v>4043</v>
      </c>
      <c r="AX591" t="s">
        <v>4044</v>
      </c>
      <c r="AY591" t="s">
        <v>4045</v>
      </c>
      <c r="AZ591" t="s">
        <v>4046</v>
      </c>
      <c r="BA591" t="s">
        <v>4047</v>
      </c>
      <c r="BB591" t="s">
        <v>4048</v>
      </c>
      <c r="BC591" t="s">
        <v>4049</v>
      </c>
      <c r="BD591" t="s">
        <v>4050</v>
      </c>
      <c r="BE591" t="s">
        <v>4051</v>
      </c>
      <c r="BF591" t="s">
        <v>4052</v>
      </c>
      <c r="BG591" t="s">
        <v>4053</v>
      </c>
      <c r="EC591" t="s">
        <v>4054</v>
      </c>
      <c r="ED591" t="s">
        <v>2827</v>
      </c>
      <c r="EE591" t="s">
        <v>4055</v>
      </c>
    </row>
    <row r="592" spans="1:143" ht="15" customHeight="1" x14ac:dyDescent="0.35">
      <c r="A592">
        <v>551</v>
      </c>
      <c r="B592" t="s">
        <v>4056</v>
      </c>
      <c r="C592">
        <v>2</v>
      </c>
      <c r="D592" t="str">
        <f>VLOOKUP(source[[#This Row],[Приоритет]],тПриоритеты[],2,0)</f>
        <v>Значительное</v>
      </c>
      <c r="E592" t="str">
        <f>IF(ISBLANK(source[[#This Row],[Проверенные]]),IF(ISBLANK(source[[#This Row],[Завершенные]]),source[[#This Row],[Приоритет_]],"Завершено"),"Проверено")</f>
        <v>Проверено</v>
      </c>
      <c r="F592" t="s">
        <v>3550</v>
      </c>
      <c r="G592" t="s">
        <v>3551</v>
      </c>
      <c r="H592" t="e">
        <f>VLOOKUP(source[[#This Row],[Отвественный]],тОтветственные[],2,0)</f>
        <v>#N/A</v>
      </c>
      <c r="I592" s="2">
        <v>43804</v>
      </c>
      <c r="J592" s="2">
        <v>43804</v>
      </c>
      <c r="S592" s="1">
        <v>43805.723692129628</v>
      </c>
      <c r="T592" s="1">
        <v>43805.725115740737</v>
      </c>
      <c r="U592" s="1">
        <v>43805.725115740737</v>
      </c>
      <c r="W592" s="1">
        <v>43805.725115740737</v>
      </c>
      <c r="X592" t="s">
        <v>4027</v>
      </c>
      <c r="AH592" t="s">
        <v>4028</v>
      </c>
      <c r="AI592" t="s">
        <v>4029</v>
      </c>
      <c r="AJ592" t="s">
        <v>4030</v>
      </c>
      <c r="AK592" t="s">
        <v>4031</v>
      </c>
      <c r="AL592" t="s">
        <v>4032</v>
      </c>
      <c r="AM592" t="s">
        <v>4033</v>
      </c>
      <c r="AN592" t="s">
        <v>4034</v>
      </c>
      <c r="AO592" t="s">
        <v>4035</v>
      </c>
      <c r="AP592" t="s">
        <v>4036</v>
      </c>
      <c r="AQ592" t="s">
        <v>4037</v>
      </c>
      <c r="AR592" t="s">
        <v>4038</v>
      </c>
      <c r="AS592" t="s">
        <v>4039</v>
      </c>
      <c r="AT592" t="s">
        <v>4040</v>
      </c>
      <c r="AU592" t="s">
        <v>4041</v>
      </c>
      <c r="AV592" t="s">
        <v>4042</v>
      </c>
      <c r="AW592" t="s">
        <v>4043</v>
      </c>
      <c r="AX592" t="s">
        <v>4044</v>
      </c>
      <c r="AY592" t="s">
        <v>4045</v>
      </c>
      <c r="AZ592" t="s">
        <v>4046</v>
      </c>
      <c r="BA592" t="s">
        <v>4047</v>
      </c>
      <c r="BB592" t="s">
        <v>4048</v>
      </c>
      <c r="BC592" t="s">
        <v>4049</v>
      </c>
      <c r="BD592" t="s">
        <v>4050</v>
      </c>
      <c r="BE592" t="s">
        <v>4051</v>
      </c>
      <c r="BF592" t="s">
        <v>4052</v>
      </c>
      <c r="BG592" t="s">
        <v>4053</v>
      </c>
      <c r="EC592" t="s">
        <v>4057</v>
      </c>
      <c r="ED592" t="s">
        <v>4055</v>
      </c>
      <c r="EE592" t="s">
        <v>2827</v>
      </c>
    </row>
    <row r="593" spans="1:149" ht="15" customHeight="1" x14ac:dyDescent="0.35">
      <c r="A593">
        <v>151</v>
      </c>
      <c r="B593" t="s">
        <v>4058</v>
      </c>
      <c r="C593">
        <v>3</v>
      </c>
      <c r="D593" t="str">
        <f>VLOOKUP(source[[#This Row],[Приоритет]],тПриоритеты[],2,0)</f>
        <v>Малозначительное</v>
      </c>
      <c r="E593" t="str">
        <f>IF(ISBLANK(source[[#This Row],[Проверенные]]),IF(ISBLANK(source[[#This Row],[Завершенные]]),source[[#This Row],[Приоритет_]],"Завершено"),"Проверено")</f>
        <v>Проверено</v>
      </c>
      <c r="F593" t="s">
        <v>3550</v>
      </c>
      <c r="G593" t="s">
        <v>3551</v>
      </c>
      <c r="H593" t="e">
        <f>VLOOKUP(source[[#This Row],[Отвественный]],тОтветственные[],2,0)</f>
        <v>#N/A</v>
      </c>
      <c r="I593" s="2">
        <v>43774</v>
      </c>
      <c r="J593" s="2">
        <v>43788</v>
      </c>
      <c r="S593" s="1">
        <v>43775.375127314815</v>
      </c>
      <c r="T593" s="1">
        <v>43784.504351851851</v>
      </c>
      <c r="U593" s="1">
        <v>43784.504351851851</v>
      </c>
      <c r="W593" s="1">
        <v>43784.504351851851</v>
      </c>
      <c r="X593" t="s">
        <v>4027</v>
      </c>
      <c r="AH593" t="s">
        <v>4059</v>
      </c>
      <c r="AI593" t="s">
        <v>4060</v>
      </c>
      <c r="AJ593" t="s">
        <v>4061</v>
      </c>
      <c r="AK593" t="s">
        <v>4062</v>
      </c>
      <c r="AL593" t="s">
        <v>4063</v>
      </c>
      <c r="AM593" t="s">
        <v>4064</v>
      </c>
      <c r="AN593" t="s">
        <v>4065</v>
      </c>
      <c r="AO593" t="s">
        <v>4066</v>
      </c>
      <c r="AP593" t="s">
        <v>4067</v>
      </c>
      <c r="AQ593" t="s">
        <v>4068</v>
      </c>
      <c r="AR593" t="s">
        <v>4069</v>
      </c>
      <c r="AS593" t="s">
        <v>4070</v>
      </c>
      <c r="AT593" t="s">
        <v>4071</v>
      </c>
      <c r="AU593" t="s">
        <v>4072</v>
      </c>
      <c r="AV593" t="s">
        <v>4073</v>
      </c>
      <c r="AW593" t="s">
        <v>4074</v>
      </c>
      <c r="AX593" t="s">
        <v>4075</v>
      </c>
      <c r="AY593" t="s">
        <v>4076</v>
      </c>
      <c r="AZ593" t="s">
        <v>4077</v>
      </c>
      <c r="BA593" t="s">
        <v>4078</v>
      </c>
      <c r="BB593" t="s">
        <v>4079</v>
      </c>
      <c r="BC593" t="s">
        <v>4080</v>
      </c>
      <c r="BD593" t="s">
        <v>4081</v>
      </c>
      <c r="BE593" t="s">
        <v>4082</v>
      </c>
      <c r="BF593" t="s">
        <v>4083</v>
      </c>
      <c r="BG593" t="s">
        <v>4084</v>
      </c>
      <c r="EC593" t="s">
        <v>3654</v>
      </c>
      <c r="ED593" t="s">
        <v>4085</v>
      </c>
      <c r="EE593" t="s">
        <v>4086</v>
      </c>
      <c r="EF593" t="s">
        <v>4087</v>
      </c>
      <c r="EG593" t="s">
        <v>4088</v>
      </c>
      <c r="EH593" t="s">
        <v>2827</v>
      </c>
    </row>
    <row r="594" spans="1:149" ht="15" customHeight="1" x14ac:dyDescent="0.35">
      <c r="A594">
        <v>185</v>
      </c>
      <c r="B594" t="s">
        <v>4089</v>
      </c>
      <c r="C594">
        <v>2</v>
      </c>
      <c r="D594" t="str">
        <f>VLOOKUP(source[[#This Row],[Приоритет]],тПриоритеты[],2,0)</f>
        <v>Значительное</v>
      </c>
      <c r="E594" t="str">
        <f>IF(ISBLANK(source[[#This Row],[Проверенные]]),IF(ISBLANK(source[[#This Row],[Завершенные]]),source[[#This Row],[Приоритет_]],"Завершено"),"Проверено")</f>
        <v>Проверено</v>
      </c>
      <c r="F594" t="s">
        <v>3550</v>
      </c>
      <c r="G594" t="s">
        <v>3551</v>
      </c>
      <c r="H594" t="e">
        <f>VLOOKUP(source[[#This Row],[Отвественный]],тОтветственные[],2,0)</f>
        <v>#N/A</v>
      </c>
      <c r="I594" s="2">
        <v>43775</v>
      </c>
      <c r="J594" s="2">
        <v>43780</v>
      </c>
      <c r="S594" s="1">
        <v>43777.4922337963</v>
      </c>
      <c r="T594" s="1">
        <v>43777.492986111109</v>
      </c>
      <c r="U594" s="1">
        <v>43782.741469907407</v>
      </c>
      <c r="W594" s="1">
        <v>43782.741481481484</v>
      </c>
      <c r="X594" t="s">
        <v>1793</v>
      </c>
      <c r="AH594" t="s">
        <v>4090</v>
      </c>
      <c r="AI594" t="s">
        <v>4091</v>
      </c>
      <c r="AJ594" t="s">
        <v>4092</v>
      </c>
      <c r="AK594" t="s">
        <v>4093</v>
      </c>
      <c r="AL594" t="s">
        <v>4094</v>
      </c>
      <c r="AM594" t="s">
        <v>4095</v>
      </c>
      <c r="AN594" t="s">
        <v>4096</v>
      </c>
      <c r="AO594" t="s">
        <v>4097</v>
      </c>
      <c r="AP594" t="s">
        <v>4098</v>
      </c>
      <c r="AQ594" t="s">
        <v>4099</v>
      </c>
      <c r="AR594" t="s">
        <v>4100</v>
      </c>
      <c r="AS594" t="s">
        <v>4101</v>
      </c>
      <c r="AT594" t="s">
        <v>4102</v>
      </c>
      <c r="AU594" t="s">
        <v>4103</v>
      </c>
      <c r="AV594" t="s">
        <v>4104</v>
      </c>
      <c r="AW594" t="s">
        <v>4105</v>
      </c>
      <c r="AX594" t="s">
        <v>4106</v>
      </c>
      <c r="AY594" t="s">
        <v>4107</v>
      </c>
      <c r="AZ594" t="s">
        <v>4108</v>
      </c>
      <c r="BA594" t="s">
        <v>4109</v>
      </c>
      <c r="BB594" t="s">
        <v>4110</v>
      </c>
      <c r="BC594" t="s">
        <v>4111</v>
      </c>
      <c r="BD594" t="s">
        <v>4112</v>
      </c>
      <c r="BE594" t="s">
        <v>4113</v>
      </c>
      <c r="BF594" t="s">
        <v>4114</v>
      </c>
      <c r="BG594" t="s">
        <v>4115</v>
      </c>
      <c r="BH594" t="s">
        <v>4116</v>
      </c>
      <c r="BI594" t="s">
        <v>4117</v>
      </c>
      <c r="BJ594" t="s">
        <v>4118</v>
      </c>
      <c r="BK594" t="s">
        <v>4119</v>
      </c>
      <c r="BL594" t="s">
        <v>4120</v>
      </c>
      <c r="BM594" t="s">
        <v>4121</v>
      </c>
      <c r="BN594" t="s">
        <v>4122</v>
      </c>
      <c r="BO594" t="s">
        <v>4123</v>
      </c>
      <c r="BP594" t="s">
        <v>4124</v>
      </c>
      <c r="BQ594" t="s">
        <v>4125</v>
      </c>
      <c r="BR594" t="s">
        <v>4126</v>
      </c>
      <c r="BS594" t="s">
        <v>4127</v>
      </c>
      <c r="BT594" t="s">
        <v>4128</v>
      </c>
      <c r="BU594" t="s">
        <v>4129</v>
      </c>
      <c r="BV594" t="s">
        <v>4130</v>
      </c>
      <c r="BW594" t="s">
        <v>4131</v>
      </c>
      <c r="BX594" t="s">
        <v>4132</v>
      </c>
      <c r="BY594" t="s">
        <v>4133</v>
      </c>
      <c r="BZ594" t="s">
        <v>4134</v>
      </c>
      <c r="CA594" t="s">
        <v>4135</v>
      </c>
      <c r="CB594" t="s">
        <v>4136</v>
      </c>
      <c r="CC594" t="s">
        <v>4137</v>
      </c>
      <c r="CD594" t="s">
        <v>4138</v>
      </c>
      <c r="CE594" t="s">
        <v>4139</v>
      </c>
      <c r="CF594" t="s">
        <v>4140</v>
      </c>
      <c r="CG594" t="s">
        <v>4141</v>
      </c>
      <c r="CH594" t="s">
        <v>4142</v>
      </c>
      <c r="CI594" t="s">
        <v>4143</v>
      </c>
      <c r="CJ594" t="s">
        <v>4144</v>
      </c>
      <c r="CK594" t="s">
        <v>4145</v>
      </c>
      <c r="CL594" t="s">
        <v>4146</v>
      </c>
      <c r="CM594" t="s">
        <v>4147</v>
      </c>
      <c r="CN594" t="s">
        <v>4148</v>
      </c>
      <c r="CO594" t="s">
        <v>4149</v>
      </c>
      <c r="CP594" t="s">
        <v>4150</v>
      </c>
      <c r="CQ594" t="s">
        <v>4151</v>
      </c>
      <c r="CR594" t="s">
        <v>4152</v>
      </c>
      <c r="CS594" t="s">
        <v>4153</v>
      </c>
      <c r="CT594" t="s">
        <v>4154</v>
      </c>
      <c r="CU594" t="s">
        <v>4155</v>
      </c>
      <c r="CV594" t="s">
        <v>4156</v>
      </c>
      <c r="CW594" t="s">
        <v>4157</v>
      </c>
      <c r="CX594" t="s">
        <v>4158</v>
      </c>
      <c r="CY594" t="s">
        <v>4159</v>
      </c>
      <c r="CZ594" t="s">
        <v>4160</v>
      </c>
      <c r="DA594" t="s">
        <v>4161</v>
      </c>
      <c r="DB594" t="s">
        <v>4162</v>
      </c>
      <c r="DC594" t="s">
        <v>4163</v>
      </c>
      <c r="DD594" t="s">
        <v>4164</v>
      </c>
      <c r="DE594" t="s">
        <v>4165</v>
      </c>
      <c r="DF594" t="s">
        <v>4166</v>
      </c>
      <c r="DG594" t="s">
        <v>4167</v>
      </c>
      <c r="DH594" t="s">
        <v>4168</v>
      </c>
      <c r="DI594" t="s">
        <v>4169</v>
      </c>
      <c r="DJ594" t="s">
        <v>4170</v>
      </c>
      <c r="DK594" t="s">
        <v>4171</v>
      </c>
      <c r="DL594" t="s">
        <v>4172</v>
      </c>
      <c r="DM594" t="s">
        <v>4173</v>
      </c>
      <c r="DN594" t="s">
        <v>4174</v>
      </c>
      <c r="DO594" t="s">
        <v>4175</v>
      </c>
      <c r="DP594" t="s">
        <v>4176</v>
      </c>
      <c r="DQ594" t="s">
        <v>4177</v>
      </c>
      <c r="DR594" t="s">
        <v>4178</v>
      </c>
      <c r="DS594" t="s">
        <v>4179</v>
      </c>
      <c r="DT594" t="s">
        <v>4180</v>
      </c>
      <c r="DU594" t="s">
        <v>4181</v>
      </c>
      <c r="DV594" t="s">
        <v>4182</v>
      </c>
      <c r="DW594" t="s">
        <v>4183</v>
      </c>
      <c r="DX594" t="s">
        <v>4184</v>
      </c>
      <c r="DY594" t="s">
        <v>4185</v>
      </c>
      <c r="DZ594" t="s">
        <v>4186</v>
      </c>
      <c r="EA594" t="s">
        <v>4187</v>
      </c>
      <c r="EB594" t="s">
        <v>4188</v>
      </c>
      <c r="EC594" t="s">
        <v>4022</v>
      </c>
      <c r="ED594" t="s">
        <v>4189</v>
      </c>
      <c r="EE594" t="s">
        <v>4190</v>
      </c>
      <c r="EF594" t="s">
        <v>4191</v>
      </c>
      <c r="EG594" t="s">
        <v>4192</v>
      </c>
      <c r="EH594" t="s">
        <v>4193</v>
      </c>
      <c r="EI594" t="s">
        <v>2827</v>
      </c>
    </row>
    <row r="595" spans="1:149" ht="15" customHeight="1" x14ac:dyDescent="0.35">
      <c r="A595">
        <v>578</v>
      </c>
      <c r="B595" t="s">
        <v>4194</v>
      </c>
      <c r="C595">
        <v>2</v>
      </c>
      <c r="D595" t="str">
        <f>VLOOKUP(source[[#This Row],[Приоритет]],тПриоритеты[],2,0)</f>
        <v>Значительное</v>
      </c>
      <c r="E595" t="str">
        <f>IF(ISBLANK(source[[#This Row],[Проверенные]]),IF(ISBLANK(source[[#This Row],[Завершенные]]),source[[#This Row],[Приоритет_]],"Завершено"),"Проверено")</f>
        <v>Проверено</v>
      </c>
      <c r="F595" t="s">
        <v>3550</v>
      </c>
      <c r="G595" t="s">
        <v>3551</v>
      </c>
      <c r="H595" t="e">
        <f>VLOOKUP(source[[#This Row],[Отвественный]],тОтветственные[],2,0)</f>
        <v>#N/A</v>
      </c>
      <c r="I595" s="2">
        <v>43808</v>
      </c>
      <c r="J595" s="2">
        <v>43813</v>
      </c>
      <c r="S595" s="1">
        <v>43809.516238425924</v>
      </c>
      <c r="T595" s="1">
        <v>43809.516701388886</v>
      </c>
      <c r="U595" s="1">
        <v>43812.750023148146</v>
      </c>
      <c r="W595" s="1">
        <v>43812.750034722223</v>
      </c>
      <c r="X595" t="s">
        <v>3760</v>
      </c>
      <c r="AH595" t="s">
        <v>4195</v>
      </c>
      <c r="AI595" t="s">
        <v>4196</v>
      </c>
      <c r="AJ595" t="s">
        <v>4197</v>
      </c>
      <c r="AK595" t="s">
        <v>4198</v>
      </c>
      <c r="AL595" t="s">
        <v>4199</v>
      </c>
      <c r="AM595" t="s">
        <v>4200</v>
      </c>
      <c r="AN595" t="s">
        <v>4201</v>
      </c>
      <c r="AO595" t="s">
        <v>4202</v>
      </c>
      <c r="AP595" t="s">
        <v>4203</v>
      </c>
      <c r="AQ595" t="s">
        <v>4204</v>
      </c>
      <c r="AR595" t="s">
        <v>4205</v>
      </c>
      <c r="AS595" t="s">
        <v>4206</v>
      </c>
      <c r="AT595" t="s">
        <v>4207</v>
      </c>
      <c r="AU595" t="s">
        <v>4208</v>
      </c>
      <c r="AV595" t="s">
        <v>4209</v>
      </c>
      <c r="AW595" t="s">
        <v>4210</v>
      </c>
      <c r="AX595" t="s">
        <v>4211</v>
      </c>
      <c r="AY595" t="s">
        <v>4212</v>
      </c>
      <c r="AZ595" t="s">
        <v>4213</v>
      </c>
      <c r="BA595" t="s">
        <v>4214</v>
      </c>
      <c r="BB595" t="s">
        <v>4215</v>
      </c>
      <c r="BC595" t="s">
        <v>4216</v>
      </c>
      <c r="BD595" t="s">
        <v>4217</v>
      </c>
      <c r="BE595" t="s">
        <v>4218</v>
      </c>
      <c r="BF595" t="s">
        <v>4219</v>
      </c>
      <c r="BG595" t="s">
        <v>4220</v>
      </c>
      <c r="BH595" t="s">
        <v>4221</v>
      </c>
      <c r="BI595" t="s">
        <v>4222</v>
      </c>
      <c r="BJ595" t="s">
        <v>4223</v>
      </c>
      <c r="BK595" t="s">
        <v>4224</v>
      </c>
      <c r="BL595" t="s">
        <v>4225</v>
      </c>
      <c r="BM595" t="s">
        <v>4226</v>
      </c>
      <c r="BN595" t="s">
        <v>4227</v>
      </c>
      <c r="BO595" t="s">
        <v>4228</v>
      </c>
      <c r="BP595" t="s">
        <v>4229</v>
      </c>
      <c r="BQ595" t="s">
        <v>4230</v>
      </c>
      <c r="BR595" t="s">
        <v>4231</v>
      </c>
      <c r="EC595" t="s">
        <v>4022</v>
      </c>
      <c r="ED595" t="s">
        <v>4232</v>
      </c>
      <c r="EE595" t="s">
        <v>4233</v>
      </c>
      <c r="EF595" t="s">
        <v>4234</v>
      </c>
      <c r="EG595" t="s">
        <v>2827</v>
      </c>
    </row>
    <row r="596" spans="1:149" ht="15" customHeight="1" x14ac:dyDescent="0.35">
      <c r="A596">
        <v>206</v>
      </c>
      <c r="B596" t="s">
        <v>4235</v>
      </c>
      <c r="C596">
        <v>2</v>
      </c>
      <c r="D596" t="str">
        <f>VLOOKUP(source[[#This Row],[Приоритет]],тПриоритеты[],2,0)</f>
        <v>Значительное</v>
      </c>
      <c r="E596" t="str">
        <f>IF(ISBLANK(source[[#This Row],[Проверенные]]),IF(ISBLANK(source[[#This Row],[Завершенные]]),source[[#This Row],[Приоритет_]],"Завершено"),"Проверено")</f>
        <v>Проверено</v>
      </c>
      <c r="F596" t="s">
        <v>3550</v>
      </c>
      <c r="G596" t="s">
        <v>3551</v>
      </c>
      <c r="H596" t="e">
        <f>VLOOKUP(source[[#This Row],[Отвественный]],тОтветственные[],2,0)</f>
        <v>#N/A</v>
      </c>
      <c r="I596" s="2">
        <v>43780</v>
      </c>
      <c r="J596" s="2">
        <v>43784</v>
      </c>
      <c r="S596" s="1">
        <v>43780.677199074074</v>
      </c>
      <c r="T596" s="1">
        <v>43780.677511574075</v>
      </c>
      <c r="U596" s="1">
        <v>43784.631990740738</v>
      </c>
      <c r="W596" s="1">
        <v>43784.632002314815</v>
      </c>
      <c r="X596" t="s">
        <v>3760</v>
      </c>
      <c r="AH596" t="s">
        <v>4236</v>
      </c>
      <c r="AI596" t="s">
        <v>4237</v>
      </c>
      <c r="AJ596" t="s">
        <v>4238</v>
      </c>
      <c r="AK596" t="s">
        <v>4239</v>
      </c>
      <c r="AL596" t="s">
        <v>4240</v>
      </c>
      <c r="AM596" t="s">
        <v>4241</v>
      </c>
      <c r="AN596" t="s">
        <v>4242</v>
      </c>
      <c r="AO596" t="s">
        <v>4243</v>
      </c>
      <c r="AP596" t="s">
        <v>4244</v>
      </c>
      <c r="AQ596" t="s">
        <v>4245</v>
      </c>
      <c r="AR596" t="s">
        <v>4246</v>
      </c>
      <c r="AS596" t="s">
        <v>4247</v>
      </c>
      <c r="AT596" t="s">
        <v>4248</v>
      </c>
      <c r="AU596" t="s">
        <v>4249</v>
      </c>
      <c r="AV596" t="s">
        <v>4250</v>
      </c>
      <c r="AW596" t="s">
        <v>4251</v>
      </c>
      <c r="AX596" t="s">
        <v>4252</v>
      </c>
      <c r="AY596" t="s">
        <v>4253</v>
      </c>
      <c r="AZ596" t="s">
        <v>4254</v>
      </c>
      <c r="BA596" t="s">
        <v>4255</v>
      </c>
      <c r="BB596" t="s">
        <v>4256</v>
      </c>
      <c r="BC596" t="s">
        <v>4257</v>
      </c>
      <c r="BD596" t="s">
        <v>4258</v>
      </c>
      <c r="BE596" t="s">
        <v>4259</v>
      </c>
      <c r="BF596" t="s">
        <v>4260</v>
      </c>
      <c r="BG596" t="s">
        <v>4261</v>
      </c>
      <c r="BH596" t="s">
        <v>4262</v>
      </c>
      <c r="BI596" t="s">
        <v>4263</v>
      </c>
      <c r="BJ596" t="s">
        <v>4264</v>
      </c>
      <c r="BK596" t="s">
        <v>4265</v>
      </c>
      <c r="BL596" t="s">
        <v>4266</v>
      </c>
      <c r="BM596" t="s">
        <v>4267</v>
      </c>
      <c r="BN596" t="s">
        <v>4268</v>
      </c>
      <c r="BO596" t="s">
        <v>4269</v>
      </c>
      <c r="BP596" t="s">
        <v>4270</v>
      </c>
      <c r="BQ596" t="s">
        <v>4271</v>
      </c>
      <c r="BR596" t="s">
        <v>4272</v>
      </c>
      <c r="EC596" t="s">
        <v>4022</v>
      </c>
      <c r="ED596" t="s">
        <v>4273</v>
      </c>
      <c r="EE596" t="s">
        <v>4274</v>
      </c>
      <c r="EF596" t="s">
        <v>4275</v>
      </c>
      <c r="EG596" t="s">
        <v>2827</v>
      </c>
    </row>
    <row r="597" spans="1:149" ht="15" customHeight="1" x14ac:dyDescent="0.35">
      <c r="A597">
        <v>260</v>
      </c>
      <c r="B597" t="s">
        <v>3655</v>
      </c>
      <c r="C597">
        <v>2</v>
      </c>
      <c r="D597" t="str">
        <f>VLOOKUP(source[[#This Row],[Приоритет]],тПриоритеты[],2,0)</f>
        <v>Значительное</v>
      </c>
      <c r="E597" t="str">
        <f>IF(ISBLANK(source[[#This Row],[Проверенные]]),IF(ISBLANK(source[[#This Row],[Завершенные]]),source[[#This Row],[Приоритет_]],"Завершено"),"Проверено")</f>
        <v>Проверено</v>
      </c>
      <c r="F597" t="s">
        <v>3550</v>
      </c>
      <c r="G597" t="s">
        <v>3551</v>
      </c>
      <c r="H597" t="e">
        <f>VLOOKUP(source[[#This Row],[Отвественный]],тОтветственные[],2,0)</f>
        <v>#N/A</v>
      </c>
      <c r="I597" s="2">
        <v>43782</v>
      </c>
      <c r="J597" s="2">
        <v>43787</v>
      </c>
      <c r="S597" s="1">
        <v>43782.7421412037</v>
      </c>
      <c r="T597" s="1">
        <v>43782.746805555558</v>
      </c>
      <c r="U597" s="1">
        <v>43784.636134259257</v>
      </c>
      <c r="W597" s="1">
        <v>43811.577465277776</v>
      </c>
      <c r="X597" t="s">
        <v>1793</v>
      </c>
      <c r="AH597" t="s">
        <v>4276</v>
      </c>
      <c r="AI597" t="s">
        <v>4277</v>
      </c>
      <c r="AJ597" t="s">
        <v>4278</v>
      </c>
      <c r="AK597" t="s">
        <v>4279</v>
      </c>
      <c r="AL597" t="s">
        <v>4280</v>
      </c>
      <c r="AM597" t="s">
        <v>4281</v>
      </c>
      <c r="AN597" t="s">
        <v>4282</v>
      </c>
      <c r="AO597" t="s">
        <v>4283</v>
      </c>
      <c r="AP597" t="s">
        <v>4284</v>
      </c>
      <c r="AQ597" t="s">
        <v>4285</v>
      </c>
      <c r="AR597" t="s">
        <v>4286</v>
      </c>
      <c r="AS597" t="s">
        <v>4287</v>
      </c>
      <c r="AT597" t="s">
        <v>4288</v>
      </c>
      <c r="AU597" t="s">
        <v>4289</v>
      </c>
      <c r="AV597" t="s">
        <v>4290</v>
      </c>
      <c r="AW597" t="s">
        <v>4291</v>
      </c>
      <c r="AX597" t="s">
        <v>4292</v>
      </c>
      <c r="AY597" t="s">
        <v>4293</v>
      </c>
      <c r="AZ597" t="s">
        <v>4294</v>
      </c>
      <c r="BA597" t="s">
        <v>4295</v>
      </c>
      <c r="BB597" t="s">
        <v>4296</v>
      </c>
      <c r="BC597" t="s">
        <v>4297</v>
      </c>
      <c r="BD597" t="s">
        <v>4298</v>
      </c>
      <c r="BE597" t="s">
        <v>4299</v>
      </c>
      <c r="BF597" t="s">
        <v>4300</v>
      </c>
      <c r="BG597" t="s">
        <v>4301</v>
      </c>
      <c r="BH597" t="s">
        <v>4302</v>
      </c>
      <c r="BI597" t="s">
        <v>4303</v>
      </c>
      <c r="BJ597" t="s">
        <v>4304</v>
      </c>
      <c r="BK597" t="s">
        <v>4305</v>
      </c>
      <c r="BL597" t="s">
        <v>4306</v>
      </c>
      <c r="BM597" t="s">
        <v>4307</v>
      </c>
      <c r="BN597" t="s">
        <v>4308</v>
      </c>
      <c r="BO597" t="s">
        <v>4309</v>
      </c>
      <c r="BP597" t="s">
        <v>4310</v>
      </c>
      <c r="BQ597" t="s">
        <v>4311</v>
      </c>
      <c r="BR597" t="s">
        <v>4312</v>
      </c>
      <c r="BS597" t="s">
        <v>4313</v>
      </c>
      <c r="BT597" t="s">
        <v>4314</v>
      </c>
      <c r="BU597" t="s">
        <v>4315</v>
      </c>
      <c r="BV597" t="s">
        <v>4316</v>
      </c>
      <c r="BW597" t="s">
        <v>4317</v>
      </c>
      <c r="BX597" t="s">
        <v>4318</v>
      </c>
      <c r="BY597" t="s">
        <v>4319</v>
      </c>
      <c r="BZ597" t="s">
        <v>4320</v>
      </c>
      <c r="CA597" t="s">
        <v>4321</v>
      </c>
      <c r="CB597" t="s">
        <v>4322</v>
      </c>
      <c r="CC597" t="s">
        <v>4323</v>
      </c>
      <c r="CD597" t="s">
        <v>4324</v>
      </c>
      <c r="CE597" t="s">
        <v>4325</v>
      </c>
      <c r="CF597" t="s">
        <v>4326</v>
      </c>
      <c r="CG597" t="s">
        <v>4327</v>
      </c>
      <c r="CH597" t="s">
        <v>4328</v>
      </c>
      <c r="CI597" t="s">
        <v>4329</v>
      </c>
      <c r="CJ597" t="s">
        <v>4330</v>
      </c>
      <c r="CK597" t="s">
        <v>4331</v>
      </c>
      <c r="CL597" t="s">
        <v>4332</v>
      </c>
      <c r="CM597" t="s">
        <v>4333</v>
      </c>
      <c r="CN597" t="s">
        <v>4334</v>
      </c>
      <c r="CO597" t="s">
        <v>4335</v>
      </c>
      <c r="CP597" t="s">
        <v>4336</v>
      </c>
      <c r="CQ597" t="s">
        <v>4337</v>
      </c>
      <c r="CR597" t="s">
        <v>4338</v>
      </c>
      <c r="CS597" t="s">
        <v>4339</v>
      </c>
      <c r="CT597" t="s">
        <v>4340</v>
      </c>
      <c r="CU597" t="s">
        <v>4341</v>
      </c>
      <c r="CV597" t="s">
        <v>4342</v>
      </c>
      <c r="CW597" t="s">
        <v>4343</v>
      </c>
      <c r="CX597" t="s">
        <v>4344</v>
      </c>
      <c r="CY597" t="s">
        <v>4345</v>
      </c>
      <c r="CZ597" t="s">
        <v>4346</v>
      </c>
      <c r="DA597" t="s">
        <v>4347</v>
      </c>
      <c r="DB597" t="s">
        <v>4348</v>
      </c>
      <c r="DC597" t="s">
        <v>4349</v>
      </c>
      <c r="DD597" t="s">
        <v>4350</v>
      </c>
      <c r="DE597" t="s">
        <v>4351</v>
      </c>
      <c r="DF597" t="s">
        <v>4352</v>
      </c>
      <c r="DG597" t="s">
        <v>4353</v>
      </c>
      <c r="DH597" t="s">
        <v>4354</v>
      </c>
      <c r="DI597" t="s">
        <v>4355</v>
      </c>
      <c r="DJ597" t="s">
        <v>4356</v>
      </c>
      <c r="DK597" t="s">
        <v>4357</v>
      </c>
      <c r="DL597" t="s">
        <v>4358</v>
      </c>
      <c r="DM597" t="s">
        <v>4359</v>
      </c>
      <c r="DN597" t="s">
        <v>4360</v>
      </c>
      <c r="DO597" t="s">
        <v>4361</v>
      </c>
      <c r="DP597" t="s">
        <v>4362</v>
      </c>
      <c r="DQ597" t="s">
        <v>4363</v>
      </c>
      <c r="DR597" t="s">
        <v>4364</v>
      </c>
      <c r="DS597" t="s">
        <v>4365</v>
      </c>
      <c r="DT597" t="s">
        <v>4366</v>
      </c>
      <c r="DU597" t="s">
        <v>4367</v>
      </c>
      <c r="DV597" t="s">
        <v>4368</v>
      </c>
      <c r="DW597" t="s">
        <v>4369</v>
      </c>
      <c r="DX597" t="s">
        <v>4370</v>
      </c>
      <c r="DY597" t="s">
        <v>4371</v>
      </c>
      <c r="DZ597" t="s">
        <v>4372</v>
      </c>
      <c r="EA597" t="s">
        <v>4373</v>
      </c>
      <c r="EB597" t="s">
        <v>4374</v>
      </c>
      <c r="EC597" t="s">
        <v>4375</v>
      </c>
      <c r="ED597" t="s">
        <v>4376</v>
      </c>
      <c r="EE597" t="s">
        <v>4022</v>
      </c>
      <c r="EF597" t="s">
        <v>3757</v>
      </c>
      <c r="EG597" t="s">
        <v>2827</v>
      </c>
      <c r="EH597" t="s">
        <v>4377</v>
      </c>
    </row>
    <row r="598" spans="1:149" ht="15" customHeight="1" x14ac:dyDescent="0.35">
      <c r="A598">
        <v>153</v>
      </c>
      <c r="B598" t="s">
        <v>4378</v>
      </c>
      <c r="C598">
        <v>3</v>
      </c>
      <c r="D598" t="str">
        <f>VLOOKUP(source[[#This Row],[Приоритет]],тПриоритеты[],2,0)</f>
        <v>Малозначительное</v>
      </c>
      <c r="E598" t="str">
        <f>IF(ISBLANK(source[[#This Row],[Проверенные]]),IF(ISBLANK(source[[#This Row],[Завершенные]]),source[[#This Row],[Приоритет_]],"Завершено"),"Проверено")</f>
        <v>Проверено</v>
      </c>
      <c r="F598" t="s">
        <v>3550</v>
      </c>
      <c r="G598" t="s">
        <v>3551</v>
      </c>
      <c r="H598" t="e">
        <f>VLOOKUP(source[[#This Row],[Отвественный]],тОтветственные[],2,0)</f>
        <v>#N/A</v>
      </c>
      <c r="I598" s="2">
        <v>43774</v>
      </c>
      <c r="J598" s="2">
        <v>43783</v>
      </c>
      <c r="S598" s="1">
        <v>43775.388159722221</v>
      </c>
      <c r="T598" s="1">
        <v>43791.700891203705</v>
      </c>
      <c r="U598" s="1">
        <v>43791.700891203705</v>
      </c>
      <c r="W598" s="1">
        <v>43791.700891203705</v>
      </c>
      <c r="X598" t="s">
        <v>4027</v>
      </c>
      <c r="AH598" t="s">
        <v>4059</v>
      </c>
      <c r="AI598" t="s">
        <v>4060</v>
      </c>
      <c r="AJ598" t="s">
        <v>4061</v>
      </c>
      <c r="AK598" t="s">
        <v>4062</v>
      </c>
      <c r="AL598" t="s">
        <v>4063</v>
      </c>
      <c r="AM598" t="s">
        <v>4064</v>
      </c>
      <c r="AN598" t="s">
        <v>4065</v>
      </c>
      <c r="AO598" t="s">
        <v>4066</v>
      </c>
      <c r="AP598" t="s">
        <v>4067</v>
      </c>
      <c r="AQ598" t="s">
        <v>4068</v>
      </c>
      <c r="AR598" t="s">
        <v>4069</v>
      </c>
      <c r="AS598" t="s">
        <v>4070</v>
      </c>
      <c r="AT598" t="s">
        <v>4071</v>
      </c>
      <c r="AU598" t="s">
        <v>4072</v>
      </c>
      <c r="AV598" t="s">
        <v>4073</v>
      </c>
      <c r="AW598" t="s">
        <v>4074</v>
      </c>
      <c r="AX598" t="s">
        <v>4075</v>
      </c>
      <c r="AY598" t="s">
        <v>4076</v>
      </c>
      <c r="AZ598" t="s">
        <v>4077</v>
      </c>
      <c r="BA598" t="s">
        <v>4078</v>
      </c>
      <c r="BB598" t="s">
        <v>4079</v>
      </c>
      <c r="BC598" t="s">
        <v>4080</v>
      </c>
      <c r="BD598" t="s">
        <v>4081</v>
      </c>
      <c r="BE598" t="s">
        <v>4082</v>
      </c>
      <c r="BF598" t="s">
        <v>4379</v>
      </c>
      <c r="BG598" t="s">
        <v>4084</v>
      </c>
      <c r="EC598" t="s">
        <v>3654</v>
      </c>
      <c r="ED598" t="s">
        <v>4086</v>
      </c>
      <c r="EE598" t="s">
        <v>4087</v>
      </c>
      <c r="EF598" t="s">
        <v>4380</v>
      </c>
      <c r="EG598" t="s">
        <v>4381</v>
      </c>
      <c r="EH598" t="s">
        <v>2827</v>
      </c>
    </row>
    <row r="599" spans="1:149" ht="15" customHeight="1" x14ac:dyDescent="0.35">
      <c r="A599">
        <v>332</v>
      </c>
      <c r="B599" t="s">
        <v>4382</v>
      </c>
      <c r="C599">
        <v>2</v>
      </c>
      <c r="D599" t="str">
        <f>VLOOKUP(source[[#This Row],[Приоритет]],тПриоритеты[],2,0)</f>
        <v>Значительное</v>
      </c>
      <c r="E599" t="str">
        <f>IF(ISBLANK(source[[#This Row],[Проверенные]]),IF(ISBLANK(source[[#This Row],[Завершенные]]),source[[#This Row],[Приоритет_]],"Завершено"),"Проверено")</f>
        <v>Проверено</v>
      </c>
      <c r="F599" t="s">
        <v>3550</v>
      </c>
      <c r="G599" t="s">
        <v>3551</v>
      </c>
      <c r="H599" t="e">
        <f>VLOOKUP(source[[#This Row],[Отвественный]],тОтветственные[],2,0)</f>
        <v>#N/A</v>
      </c>
      <c r="I599" s="2">
        <v>43787</v>
      </c>
      <c r="J599" s="2">
        <v>43791</v>
      </c>
      <c r="S599" s="1">
        <v>43787.730624999997</v>
      </c>
      <c r="T599" s="1">
        <v>43787.732083333336</v>
      </c>
      <c r="U599" s="1">
        <v>43791.695162037038</v>
      </c>
      <c r="W599" s="1">
        <v>43791.695173611108</v>
      </c>
      <c r="X599" t="s">
        <v>3760</v>
      </c>
      <c r="AH599" t="s">
        <v>4383</v>
      </c>
      <c r="AI599" t="s">
        <v>4384</v>
      </c>
      <c r="AJ599" t="s">
        <v>4385</v>
      </c>
      <c r="AK599" t="s">
        <v>4386</v>
      </c>
      <c r="AL599" t="s">
        <v>4387</v>
      </c>
      <c r="AM599" t="s">
        <v>4388</v>
      </c>
      <c r="AN599" t="s">
        <v>4389</v>
      </c>
      <c r="AO599" t="s">
        <v>4390</v>
      </c>
      <c r="AP599" t="s">
        <v>4391</v>
      </c>
      <c r="AQ599" t="s">
        <v>4392</v>
      </c>
      <c r="AR599" t="s">
        <v>4393</v>
      </c>
      <c r="AS599" t="s">
        <v>4394</v>
      </c>
      <c r="AT599" t="s">
        <v>4395</v>
      </c>
      <c r="AU599" t="s">
        <v>4396</v>
      </c>
      <c r="AV599" t="s">
        <v>4397</v>
      </c>
      <c r="AW599" t="s">
        <v>4398</v>
      </c>
      <c r="AX599" t="s">
        <v>4399</v>
      </c>
      <c r="AY599" t="s">
        <v>4400</v>
      </c>
      <c r="AZ599" t="s">
        <v>4401</v>
      </c>
      <c r="BA599" t="s">
        <v>4402</v>
      </c>
      <c r="BB599" t="s">
        <v>4403</v>
      </c>
      <c r="BC599" t="s">
        <v>4404</v>
      </c>
      <c r="BD599" t="s">
        <v>4405</v>
      </c>
      <c r="BE599" t="s">
        <v>4406</v>
      </c>
      <c r="BF599" t="s">
        <v>4407</v>
      </c>
      <c r="BG599" t="s">
        <v>4408</v>
      </c>
      <c r="BH599" t="s">
        <v>4409</v>
      </c>
      <c r="BI599" t="s">
        <v>4410</v>
      </c>
      <c r="BJ599" t="s">
        <v>4411</v>
      </c>
      <c r="BK599" t="s">
        <v>4412</v>
      </c>
      <c r="BL599" t="s">
        <v>4413</v>
      </c>
      <c r="BM599" t="s">
        <v>4414</v>
      </c>
      <c r="BN599" t="s">
        <v>4415</v>
      </c>
      <c r="BO599" t="s">
        <v>4416</v>
      </c>
      <c r="BP599" t="s">
        <v>4417</v>
      </c>
      <c r="BQ599" t="s">
        <v>4418</v>
      </c>
      <c r="BR599" t="s">
        <v>4419</v>
      </c>
      <c r="EC599" t="s">
        <v>4022</v>
      </c>
      <c r="ED599" t="s">
        <v>4420</v>
      </c>
      <c r="EE599" t="s">
        <v>4421</v>
      </c>
      <c r="EF599" t="s">
        <v>3756</v>
      </c>
      <c r="EG599" t="s">
        <v>2827</v>
      </c>
    </row>
    <row r="600" spans="1:149" ht="15" customHeight="1" x14ac:dyDescent="0.35">
      <c r="A600">
        <v>680</v>
      </c>
      <c r="B600" t="s">
        <v>4422</v>
      </c>
      <c r="C600">
        <v>2</v>
      </c>
      <c r="D600" t="str">
        <f>VLOOKUP(source[[#This Row],[Приоритет]],тПриоритеты[],2,0)</f>
        <v>Значительное</v>
      </c>
      <c r="E600" t="str">
        <f>IF(ISBLANK(source[[#This Row],[Проверенные]]),IF(ISBLANK(source[[#This Row],[Завершенные]]),source[[#This Row],[Приоритет_]],"Завершено"),"Проверено")</f>
        <v>Завершено</v>
      </c>
      <c r="F600" t="s">
        <v>4423</v>
      </c>
      <c r="G600" t="s">
        <v>2872</v>
      </c>
      <c r="H600" t="e">
        <f>VLOOKUP(source[[#This Row],[Отвественный]],тОтветственные[],2,0)</f>
        <v>#N/A</v>
      </c>
      <c r="I600" s="2">
        <v>43818</v>
      </c>
      <c r="J600" s="2">
        <v>43818</v>
      </c>
      <c r="S600" s="1">
        <v>43818.734027777777</v>
      </c>
      <c r="T600" s="1">
        <v>43818.747060185182</v>
      </c>
      <c r="W600" s="1">
        <v>43818.747071759259</v>
      </c>
      <c r="EC600" t="s">
        <v>2546</v>
      </c>
      <c r="ED600" t="s">
        <v>4424</v>
      </c>
      <c r="EE600" t="s">
        <v>4425</v>
      </c>
      <c r="EF600" s="3" t="s">
        <v>4426</v>
      </c>
      <c r="EG600" t="str">
        <f>HYPERLINK("https://d33htgqikc2pj4.cloudfront.net/cf4d82a693dad71b1366f91208533aab/11efc8a9c06fde4a8632befaab078413-file.jpeg", "Александр Лесюта: Ссылка на изображение")</f>
        <v>Александр Лесюта: Ссылка на изображение</v>
      </c>
      <c r="EH600" t="str">
        <f>HYPERLINK("https://d33htgqikc2pj4.cloudfront.net/26047657e94845368c321ce39c004041/957f1bd6c7f013b8c9fad4af7c8c63ae-file.jpeg", "Александр Лесюта: Ссылка на изображение")</f>
        <v>Александр Лесюта: Ссылка на изображение</v>
      </c>
      <c r="EI600" t="str">
        <f>HYPERLINK("https://d33htgqikc2pj4.cloudfront.net/9c73f5856dada55b3f2dd1c0af25eda7/d3c251e17b695eda30fd1ec3b7100c6d-file.jpeg", "Александр Лесюта: Ссылка на изображение")</f>
        <v>Александр Лесюта: Ссылка на изображение</v>
      </c>
      <c r="EJ600" t="str">
        <f>HYPERLINK("https://d33htgqikc2pj4.cloudfront.net/8733cfdce6a4dae7cc9183d5c76490c2/901da14b5e4bf81160b0a5661d84a247-file.jpeg", "Александр Лесюта: Ссылка на изображение")</f>
        <v>Александр Лесюта: Ссылка на изображение</v>
      </c>
      <c r="EK600" t="str">
        <f>HYPERLINK("https://d33htgqikc2pj4.cloudfront.net/4b9f81279018fd06a6fe37fa0714713b/f1955036b117dd1bdec05a8604afa3e9-file.jpeg", "Александр Лесюта: Ссылка на изображение")</f>
        <v>Александр Лесюта: Ссылка на изображение</v>
      </c>
      <c r="EL600" t="str">
        <f>HYPERLINK("https://d33htgqikc2pj4.cloudfront.net/a9558b5bdbcb5a21352c5555eac5769e/0a8eb4c18241952c79d577a34b006f80-file.jpeg", "Александр Лесюта: Ссылка на изображение")</f>
        <v>Александр Лесюта: Ссылка на изображение</v>
      </c>
      <c r="EM600" t="s">
        <v>1136</v>
      </c>
    </row>
    <row r="601" spans="1:149" ht="15" customHeight="1" x14ac:dyDescent="0.35">
      <c r="A601">
        <v>699</v>
      </c>
      <c r="B601" t="s">
        <v>4427</v>
      </c>
      <c r="C601">
        <v>2</v>
      </c>
      <c r="D601" t="str">
        <f>VLOOKUP(source[[#This Row],[Приоритет]],тПриоритеты[],2,0)</f>
        <v>Значительное</v>
      </c>
      <c r="E601" t="str">
        <f>IF(ISBLANK(source[[#This Row],[Проверенные]]),IF(ISBLANK(source[[#This Row],[Завершенные]]),source[[#This Row],[Приоритет_]],"Завершено"),"Проверено")</f>
        <v>Завершено</v>
      </c>
      <c r="F601" t="s">
        <v>4423</v>
      </c>
      <c r="G601" t="s">
        <v>2872</v>
      </c>
      <c r="H601" t="e">
        <f>VLOOKUP(source[[#This Row],[Отвественный]],тОтветственные[],2,0)</f>
        <v>#N/A</v>
      </c>
      <c r="S601" s="1">
        <v>43820.410613425927</v>
      </c>
      <c r="T601" s="1">
        <v>43820.42291666667</v>
      </c>
      <c r="W601" s="1">
        <v>43820.42291666667</v>
      </c>
      <c r="EC601" t="s">
        <v>2546</v>
      </c>
      <c r="ED601" t="s">
        <v>4428</v>
      </c>
      <c r="EE601" t="str">
        <f>HYPERLINK("https://d33htgqikc2pj4.cloudfront.net/d55500bf48c6f6c12645c8cf013609cd/d5345a96023f71fb1d0fbb34bd6dfa0c-file.jpeg", "Александр Лесюта: Ссылка на изображение")</f>
        <v>Александр Лесюта: Ссылка на изображение</v>
      </c>
      <c r="EF601" t="str">
        <f>HYPERLINK("https://d33htgqikc2pj4.cloudfront.net/223cddd0340d7504b2d349184194b703/2a2778d14870866ffb850a3a7de58693-file.jpeg", "Александр Лесюта: Ссылка на изображение")</f>
        <v>Александр Лесюта: Ссылка на изображение</v>
      </c>
      <c r="EG601" t="str">
        <f>HYPERLINK("https://d33htgqikc2pj4.cloudfront.net/3afb99e20f68a95771d12a4b3dc72660/209b499b5c08a06a562388e1fafb5727-file.jpeg", "Александр Лесюта: Ссылка на изображение")</f>
        <v>Александр Лесюта: Ссылка на изображение</v>
      </c>
      <c r="EH601" t="str">
        <f>HYPERLINK("https://d33htgqikc2pj4.cloudfront.net/1951bb0267bde298e80a7d3bf408c7cc/0ac297c26026647e04259c09fac2641d-file.jpeg", "Александр Лесюта: Ссылка на изображение")</f>
        <v>Александр Лесюта: Ссылка на изображение</v>
      </c>
      <c r="EI601" t="str">
        <f>HYPERLINK("https://d33htgqikc2pj4.cloudfront.net/bc7adeae17396ed1f77eea2168142ec2/91f050095d109cdd88fdea5a1d38a938-file.jpeg", "Александр Лесюта: Ссылка на изображение")</f>
        <v>Александр Лесюта: Ссылка на изображение</v>
      </c>
      <c r="EJ601" t="str">
        <f>HYPERLINK("https://d33htgqikc2pj4.cloudfront.net/35ba871fcf23b224346bede2788ce487/01c88b5a69f1bcbcb12daa0e461cd93a-file.jpeg", "Александр Лесюта: Ссылка на изображение")</f>
        <v>Александр Лесюта: Ссылка на изображение</v>
      </c>
      <c r="EK601" t="str">
        <f>HYPERLINK("https://d33htgqikc2pj4.cloudfront.net/4fe8588d5da3ef3e7431adc329026c6f/a87376bee268706c5048f90fcfe3f3d3-file.jpeg", "Александр Лесюта: Ссылка на изображение")</f>
        <v>Александр Лесюта: Ссылка на изображение</v>
      </c>
      <c r="EL601" t="str">
        <f>HYPERLINK("https://d33htgqikc2pj4.cloudfront.net/9bcb5c9514203d5a4fd5553ce71520fd/5319fb6cb7b48aea5cafdb9766d331ac-file.jpeg", "Александр Лесюта: Ссылка на изображение")</f>
        <v>Александр Лесюта: Ссылка на изображение</v>
      </c>
      <c r="EM601" t="str">
        <f>HYPERLINK("https://d33htgqikc2pj4.cloudfront.net/ef8930d3c9f6a273dac86d8ada77b1c6/564996942188303526f74b2228756b09-file.jpeg", "Александр Лесюта: Ссылка на изображение")</f>
        <v>Александр Лесюта: Ссылка на изображение</v>
      </c>
      <c r="EN601" t="str">
        <f>HYPERLINK("https://d33htgqikc2pj4.cloudfront.net/139311b0ceb11140204935a084b7ea8b/927ef112ecc3b829e829bdb25655b824-file.jpeg", "Александр Лесюта: Ссылка на изображение")</f>
        <v>Александр Лесюта: Ссылка на изображение</v>
      </c>
      <c r="EO601" t="str">
        <f>HYPERLINK("https://d33htgqikc2pj4.cloudfront.net/be5aa40b8c4548bf4ac5e62400e1907a/186679120af2803193b2802cf35527a8-file.jpeg", "Александр Лесюта: Ссылка на изображение")</f>
        <v>Александр Лесюта: Ссылка на изображение</v>
      </c>
      <c r="EP601" t="str">
        <f>HYPERLINK("https://d33htgqikc2pj4.cloudfront.net/92cdd9fc7272c7fd458375260c30d547/b9f55796991edc5d54c2262b57319bf0-file.jpeg", "Александр Лесюта: Ссылка на изображение")</f>
        <v>Александр Лесюта: Ссылка на изображение</v>
      </c>
      <c r="EQ601" t="s">
        <v>4429</v>
      </c>
      <c r="ER601" s="3" t="s">
        <v>4430</v>
      </c>
      <c r="ES601" t="s">
        <v>2422</v>
      </c>
    </row>
    <row r="602" spans="1:149" ht="15" customHeight="1" x14ac:dyDescent="0.35">
      <c r="A602">
        <v>184</v>
      </c>
      <c r="B602" t="s">
        <v>4431</v>
      </c>
      <c r="C602">
        <v>2</v>
      </c>
      <c r="D602" t="str">
        <f>VLOOKUP(source[[#This Row],[Приоритет]],тПриоритеты[],2,0)</f>
        <v>Значительное</v>
      </c>
      <c r="E602" t="str">
        <f>IF(ISBLANK(source[[#This Row],[Проверенные]]),IF(ISBLANK(source[[#This Row],[Завершенные]]),source[[#This Row],[Приоритет_]],"Завершено"),"Проверено")</f>
        <v>Проверено</v>
      </c>
      <c r="F602" t="s">
        <v>4423</v>
      </c>
      <c r="G602" t="s">
        <v>2872</v>
      </c>
      <c r="H602" t="e">
        <f>VLOOKUP(source[[#This Row],[Отвественный]],тОтветственные[],2,0)</f>
        <v>#N/A</v>
      </c>
      <c r="I602" s="2">
        <v>43776</v>
      </c>
      <c r="J602" s="2">
        <v>43776</v>
      </c>
      <c r="K602" t="s">
        <v>2415</v>
      </c>
      <c r="L602">
        <v>69.62</v>
      </c>
      <c r="M602">
        <v>52.27</v>
      </c>
      <c r="Q602" t="s">
        <v>2416</v>
      </c>
      <c r="R602" t="str">
        <f>HYPERLINK("https://d28ji4sm1vmprj.cloudfront.net/ab1caf70d69775019dfb21f8d4d686bd/2dccf5d4a9247f7cfd24b3a3f943521f.jpeg", "Ссылка на план")</f>
        <v>Ссылка на план</v>
      </c>
      <c r="S602" s="1">
        <v>43777.423773148148</v>
      </c>
      <c r="T602" s="1">
        <v>43777.439039351855</v>
      </c>
      <c r="U602" s="1">
        <v>43777.439097222225</v>
      </c>
      <c r="W602" s="1">
        <v>43777.439097222225</v>
      </c>
      <c r="EC602" t="s">
        <v>4432</v>
      </c>
      <c r="ED602" t="s">
        <v>4433</v>
      </c>
      <c r="EE602" t="s">
        <v>2873</v>
      </c>
      <c r="EF602" t="s">
        <v>2546</v>
      </c>
      <c r="EG602" t="s">
        <v>2422</v>
      </c>
      <c r="EH602" t="s">
        <v>2423</v>
      </c>
    </row>
    <row r="603" spans="1:149" ht="15" customHeight="1" x14ac:dyDescent="0.35">
      <c r="A603">
        <v>322</v>
      </c>
      <c r="B603" t="s">
        <v>4434</v>
      </c>
      <c r="C603">
        <v>2</v>
      </c>
      <c r="D603" t="str">
        <f>VLOOKUP(source[[#This Row],[Приоритет]],тПриоритеты[],2,0)</f>
        <v>Значительное</v>
      </c>
      <c r="E603" t="str">
        <f>IF(ISBLANK(source[[#This Row],[Проверенные]]),IF(ISBLANK(source[[#This Row],[Завершенные]]),source[[#This Row],[Приоритет_]],"Завершено"),"Проверено")</f>
        <v>Проверено</v>
      </c>
      <c r="F603" t="s">
        <v>4423</v>
      </c>
      <c r="G603" t="s">
        <v>2872</v>
      </c>
      <c r="H603" t="e">
        <f>VLOOKUP(source[[#This Row],[Отвественный]],тОтветственные[],2,0)</f>
        <v>#N/A</v>
      </c>
      <c r="I603" s="2">
        <v>43787</v>
      </c>
      <c r="J603" s="2">
        <v>43787</v>
      </c>
      <c r="K603" t="s">
        <v>4435</v>
      </c>
      <c r="L603">
        <v>60.3</v>
      </c>
      <c r="M603">
        <v>53.39</v>
      </c>
      <c r="Q603" t="s">
        <v>858</v>
      </c>
      <c r="R603" t="str">
        <f>HYPERLINK("https://d28ji4sm1vmprj.cloudfront.net/74ac45eb0f59d598ade3407b1cce0be2/f6688258518fce012d3bf131f57b00a3.jpeg", "Ссылка на план")</f>
        <v>Ссылка на план</v>
      </c>
      <c r="S603" s="1">
        <v>43787.614317129628</v>
      </c>
      <c r="T603" s="1">
        <v>43787.61550925926</v>
      </c>
      <c r="U603" s="1">
        <v>43812.624641203707</v>
      </c>
      <c r="W603" s="1">
        <v>43812.624664351853</v>
      </c>
      <c r="EC603" t="s">
        <v>2451</v>
      </c>
      <c r="ED603" t="s">
        <v>2546</v>
      </c>
      <c r="EE603" t="s">
        <v>4436</v>
      </c>
      <c r="EF603" t="s">
        <v>2422</v>
      </c>
      <c r="EG603" t="s">
        <v>836</v>
      </c>
    </row>
    <row r="604" spans="1:149" ht="15" customHeight="1" x14ac:dyDescent="0.35">
      <c r="A604">
        <v>854</v>
      </c>
      <c r="B604" t="s">
        <v>4437</v>
      </c>
      <c r="C604">
        <v>2</v>
      </c>
      <c r="D604" t="str">
        <f>VLOOKUP(source[[#This Row],[Приоритет]],тПриоритеты[],2,0)</f>
        <v>Значительное</v>
      </c>
      <c r="E604" t="str">
        <f>IF(ISBLANK(source[[#This Row],[Проверенные]]),IF(ISBLANK(source[[#This Row],[Завершенные]]),source[[#This Row],[Приоритет_]],"Завершено"),"Проверено")</f>
        <v>Проверено</v>
      </c>
      <c r="F604" t="s">
        <v>4423</v>
      </c>
      <c r="G604" t="s">
        <v>2872</v>
      </c>
      <c r="H604" t="e">
        <f>VLOOKUP(source[[#This Row],[Отвественный]],тОтветственные[],2,0)</f>
        <v>#N/A</v>
      </c>
      <c r="I604" s="2">
        <v>43836</v>
      </c>
      <c r="J604" s="2">
        <v>43836</v>
      </c>
      <c r="S604" s="1">
        <v>43836.615520833337</v>
      </c>
      <c r="T604" s="1">
        <v>43836.617291666669</v>
      </c>
      <c r="U604" s="1">
        <v>43837.432743055557</v>
      </c>
      <c r="W604" s="1">
        <v>43837.432754629626</v>
      </c>
      <c r="EC604" t="s">
        <v>4438</v>
      </c>
      <c r="ED604" t="s">
        <v>2422</v>
      </c>
      <c r="EE604" t="s">
        <v>2549</v>
      </c>
      <c r="EF604" t="s">
        <v>4439</v>
      </c>
      <c r="EG604" t="s">
        <v>794</v>
      </c>
    </row>
    <row r="605" spans="1:149" ht="15" customHeight="1" x14ac:dyDescent="0.35">
      <c r="A605">
        <v>413</v>
      </c>
      <c r="B605" t="s">
        <v>4440</v>
      </c>
      <c r="C605">
        <v>2</v>
      </c>
      <c r="D605" t="str">
        <f>VLOOKUP(source[[#This Row],[Приоритет]],тПриоритеты[],2,0)</f>
        <v>Значительное</v>
      </c>
      <c r="E605" t="str">
        <f>IF(ISBLANK(source[[#This Row],[Проверенные]]),IF(ISBLANK(source[[#This Row],[Завершенные]]),source[[#This Row],[Приоритет_]],"Завершено"),"Проверено")</f>
        <v>Проверено</v>
      </c>
      <c r="F605" t="s">
        <v>4423</v>
      </c>
      <c r="G605" t="s">
        <v>189</v>
      </c>
      <c r="H605" t="str">
        <f>VLOOKUP(source[[#This Row],[Отвественный]],тОтветственные[],2,0)</f>
        <v>Отв7</v>
      </c>
      <c r="I605" s="2">
        <v>43792</v>
      </c>
      <c r="J605" s="2">
        <v>43792</v>
      </c>
      <c r="S605" s="1">
        <v>43792.651284722226</v>
      </c>
      <c r="T605" s="1">
        <v>43792.65320601852</v>
      </c>
      <c r="U605" s="1">
        <v>43792.65320601852</v>
      </c>
      <c r="W605" s="1">
        <v>43792.656180555554</v>
      </c>
      <c r="X605" t="s">
        <v>191</v>
      </c>
      <c r="AH605" t="s">
        <v>4441</v>
      </c>
      <c r="AI605" t="s">
        <v>4442</v>
      </c>
      <c r="AJ605" t="s">
        <v>4443</v>
      </c>
      <c r="AK605" t="s">
        <v>4444</v>
      </c>
      <c r="AL605" t="s">
        <v>4445</v>
      </c>
      <c r="AM605" t="s">
        <v>4446</v>
      </c>
      <c r="AN605" t="s">
        <v>4447</v>
      </c>
      <c r="AO605" t="s">
        <v>4448</v>
      </c>
      <c r="AP605" t="s">
        <v>4449</v>
      </c>
      <c r="AQ605" t="s">
        <v>4450</v>
      </c>
      <c r="AR605" t="s">
        <v>4451</v>
      </c>
      <c r="AS605" t="s">
        <v>4452</v>
      </c>
      <c r="AT605" t="s">
        <v>4453</v>
      </c>
      <c r="AU605" t="s">
        <v>4454</v>
      </c>
      <c r="AV605" t="s">
        <v>4455</v>
      </c>
      <c r="AW605" t="s">
        <v>4456</v>
      </c>
      <c r="AX605" t="s">
        <v>4457</v>
      </c>
      <c r="AY605" t="s">
        <v>4458</v>
      </c>
      <c r="EC605" t="s">
        <v>212</v>
      </c>
      <c r="ED605" t="s">
        <v>4459</v>
      </c>
      <c r="EE605" t="s">
        <v>2206</v>
      </c>
      <c r="EF605" t="str">
        <f>HYPERLINK("https://www.filepicker.io/api/file/xJ21NHBTTCA2ZyZonMZ3", "Александр Олуферов: Ссылка на файл")</f>
        <v>Александр Олуферов: Ссылка на файл</v>
      </c>
    </row>
    <row r="606" spans="1:149" ht="15" customHeight="1" x14ac:dyDescent="0.35">
      <c r="A606">
        <v>421</v>
      </c>
      <c r="B606" t="s">
        <v>4460</v>
      </c>
      <c r="C606">
        <v>2</v>
      </c>
      <c r="D606" t="str">
        <f>VLOOKUP(source[[#This Row],[Приоритет]],тПриоритеты[],2,0)</f>
        <v>Значительное</v>
      </c>
      <c r="E606" t="str">
        <f>IF(ISBLANK(source[[#This Row],[Проверенные]]),IF(ISBLANK(source[[#This Row],[Завершенные]]),source[[#This Row],[Приоритет_]],"Завершено"),"Проверено")</f>
        <v>Проверено</v>
      </c>
      <c r="F606" t="s">
        <v>4423</v>
      </c>
      <c r="G606" t="s">
        <v>189</v>
      </c>
      <c r="H606" t="str">
        <f>VLOOKUP(source[[#This Row],[Отвественный]],тОтветственные[],2,0)</f>
        <v>Отв7</v>
      </c>
      <c r="I606" s="2">
        <v>43793</v>
      </c>
      <c r="J606" s="2">
        <v>43793</v>
      </c>
      <c r="S606" s="1">
        <v>43794.36582175926</v>
      </c>
      <c r="T606" s="1">
        <v>43794.370138888888</v>
      </c>
      <c r="U606" s="1">
        <v>43794.370138888888</v>
      </c>
      <c r="W606" s="1">
        <v>43794.370196759257</v>
      </c>
      <c r="X606" t="s">
        <v>191</v>
      </c>
      <c r="AH606" t="s">
        <v>4461</v>
      </c>
      <c r="AI606" t="s">
        <v>4462</v>
      </c>
      <c r="AJ606" t="s">
        <v>4463</v>
      </c>
      <c r="AK606" t="s">
        <v>4464</v>
      </c>
      <c r="AL606" t="s">
        <v>4465</v>
      </c>
      <c r="AM606" t="s">
        <v>4466</v>
      </c>
      <c r="AN606" t="s">
        <v>4467</v>
      </c>
      <c r="AO606" t="s">
        <v>4468</v>
      </c>
      <c r="AP606" t="s">
        <v>4469</v>
      </c>
      <c r="AQ606" t="s">
        <v>4470</v>
      </c>
      <c r="AR606" t="s">
        <v>4471</v>
      </c>
      <c r="AS606" t="s">
        <v>4472</v>
      </c>
      <c r="AT606" t="s">
        <v>4473</v>
      </c>
      <c r="AU606" t="s">
        <v>4474</v>
      </c>
      <c r="AV606" t="s">
        <v>4475</v>
      </c>
      <c r="AW606" t="s">
        <v>4476</v>
      </c>
      <c r="AX606" t="s">
        <v>4477</v>
      </c>
      <c r="AY606" t="s">
        <v>4478</v>
      </c>
      <c r="EC606" t="s">
        <v>4479</v>
      </c>
      <c r="ED606" t="s">
        <v>212</v>
      </c>
      <c r="EE606" t="s">
        <v>750</v>
      </c>
      <c r="EF606" t="str">
        <f>HYPERLINK("https://d33htgqikc2pj4.cloudfront.net/1a98b048ef3a26a473cb183cd2a77d8a/4f140d4597096fc7a395314cb21591ae-file.jpeg", "Александр Олуферов: Ссылка на изображение")</f>
        <v>Александр Олуферов: Ссылка на изображение</v>
      </c>
      <c r="EG606" t="str">
        <f>HYPERLINK("https://d33htgqikc2pj4.cloudfront.net/a0ec76eda3482d1655f8efa686c3d1dc/8f45474640dc12b92d66f7666ed0cd44-file.jpeg", "Александр Олуферов: Ссылка на изображение")</f>
        <v>Александр Олуферов: Ссылка на изображение</v>
      </c>
      <c r="EH606" t="str">
        <f>HYPERLINK("https://d33htgqikc2pj4.cloudfront.net/0ae3d1ae356df6323039ce094b18f19a/abfde4fd3d67c7a374e151d7ce27e9fa-file.jpeg", "Александр Олуферов: Ссылка на изображение")</f>
        <v>Александр Олуферов: Ссылка на изображение</v>
      </c>
    </row>
    <row r="607" spans="1:149" ht="15" customHeight="1" x14ac:dyDescent="0.35">
      <c r="A607">
        <v>700</v>
      </c>
      <c r="B607" t="s">
        <v>4480</v>
      </c>
      <c r="C607">
        <v>2</v>
      </c>
      <c r="D607" t="str">
        <f>VLOOKUP(source[[#This Row],[Приоритет]],тПриоритеты[],2,0)</f>
        <v>Значительное</v>
      </c>
      <c r="E607" t="str">
        <f>IF(ISBLANK(source[[#This Row],[Проверенные]]),IF(ISBLANK(source[[#This Row],[Завершенные]]),source[[#This Row],[Приоритет_]],"Завершено"),"Проверено")</f>
        <v>Проверено</v>
      </c>
      <c r="F607" t="s">
        <v>4423</v>
      </c>
      <c r="G607" t="s">
        <v>189</v>
      </c>
      <c r="H607" t="str">
        <f>VLOOKUP(source[[#This Row],[Отвественный]],тОтветственные[],2,0)</f>
        <v>Отв7</v>
      </c>
      <c r="I607" s="2">
        <v>43820</v>
      </c>
      <c r="J607" s="2">
        <v>43820</v>
      </c>
      <c r="S607" s="1">
        <v>43820.621689814812</v>
      </c>
      <c r="T607" s="1">
        <v>43820.62537037037</v>
      </c>
      <c r="U607" s="1">
        <v>43820.62537037037</v>
      </c>
      <c r="W607" s="1">
        <v>43820.626782407409</v>
      </c>
      <c r="X607" t="s">
        <v>191</v>
      </c>
      <c r="AH607" t="s">
        <v>4481</v>
      </c>
      <c r="AI607" t="s">
        <v>4482</v>
      </c>
      <c r="AJ607" t="s">
        <v>4483</v>
      </c>
      <c r="AK607" t="s">
        <v>4484</v>
      </c>
      <c r="AL607" t="s">
        <v>4485</v>
      </c>
      <c r="AM607" t="s">
        <v>4486</v>
      </c>
      <c r="AN607" t="s">
        <v>4487</v>
      </c>
      <c r="AO607" t="s">
        <v>4488</v>
      </c>
      <c r="AP607" t="s">
        <v>4489</v>
      </c>
      <c r="AQ607" t="s">
        <v>4490</v>
      </c>
      <c r="AR607" t="s">
        <v>4491</v>
      </c>
      <c r="AS607" t="s">
        <v>4492</v>
      </c>
      <c r="AT607" t="s">
        <v>4493</v>
      </c>
      <c r="AU607" t="s">
        <v>4494</v>
      </c>
      <c r="AV607" t="s">
        <v>4495</v>
      </c>
      <c r="AW607" t="s">
        <v>4496</v>
      </c>
      <c r="AX607" t="s">
        <v>4497</v>
      </c>
      <c r="AY607" t="s">
        <v>4498</v>
      </c>
      <c r="EC607" t="s">
        <v>4499</v>
      </c>
      <c r="ED607" t="s">
        <v>212</v>
      </c>
      <c r="EE607" t="s">
        <v>4500</v>
      </c>
      <c r="EF607" t="str">
        <f>HYPERLINK("https://d33htgqikc2pj4.cloudfront.net/e6db182484e0c99720864b6e489b2177/b321f5c99b62be10b692321de4c4b3b2-file.jpeg", "Александр Олуферов: Ссылка на изображение")</f>
        <v>Александр Олуферов: Ссылка на изображение</v>
      </c>
      <c r="EG607" t="str">
        <f>HYPERLINK("https://d33htgqikc2pj4.cloudfront.net/e25e101a3c27e00dc951e5970451079d/555210647f17b744df8d3c9461be37a7-file.jpeg", "Александр Олуферов: Ссылка на изображение")</f>
        <v>Александр Олуферов: Ссылка на изображение</v>
      </c>
      <c r="EH607" t="str">
        <f>HYPERLINK("https://d33htgqikc2pj4.cloudfront.net/12d847fcb40b8ba6bff2b38e834d5dbb/cfa257246783462cc6aef19c45558b80-file.jpeg", "Александр Олуферов: Ссылка на изображение")</f>
        <v>Александр Олуферов: Ссылка на изображение</v>
      </c>
      <c r="EI607" t="str">
        <f>HYPERLINK("https://d33htgqikc2pj4.cloudfront.net/f335b40ec2287b7e2929afc09915582f/e92b9bd3b09ad10da61320f9ca3bc5a4-file.jpeg", "Александр Олуферов: Ссылка на изображение")</f>
        <v>Александр Олуферов: Ссылка на изображение</v>
      </c>
      <c r="EJ607" t="str">
        <f>HYPERLINK("https://d33htgqikc2pj4.cloudfront.net/bc57e597b5c9779c985df18b0aa7021a/80ac5e8bb314f136c7ed7609505dff4b-file.jpeg", "Александр Олуферов: Ссылка на изображение")</f>
        <v>Александр Олуферов: Ссылка на изображение</v>
      </c>
      <c r="EK607" t="str">
        <f>HYPERLINK("https://d33htgqikc2pj4.cloudfront.net/e651e00cb053d39e6931289f9a8836ef/f9a240492ec2d51e7a795780743a151c-file.jpeg", "Александр Олуферов: Ссылка на изображение")</f>
        <v>Александр Олуферов: Ссылка на изображение</v>
      </c>
      <c r="EL607" t="str">
        <f>HYPERLINK("https://d33htgqikc2pj4.cloudfront.net/74c7c86954966ae8cc4260c93faea894/1ade4b163cc7d660079e149ed4a967c6-file.jpeg", "Александр Олуферов: Ссылка на изображение")</f>
        <v>Александр Олуферов: Ссылка на изображение</v>
      </c>
      <c r="EM607" t="str">
        <f>HYPERLINK("https://d33htgqikc2pj4.cloudfront.net/199cad0e7786c3e8a5b04926e5ad32e8/02e73f75e53f4f69862a14fc2f360231-file.jpeg", "Александр Олуферов: Ссылка на изображение")</f>
        <v>Александр Олуферов: Ссылка на изображение</v>
      </c>
      <c r="EN607" t="str">
        <f>HYPERLINK("https://d33htgqikc2pj4.cloudfront.net/ab349a716e3920d723cec0abff0742bc/11c73c69d20dec705313eb05433601a7-file.jpeg", "Александр Олуферов: Ссылка на изображение")</f>
        <v>Александр Олуферов: Ссылка на изображение</v>
      </c>
      <c r="EO607" t="str">
        <f>HYPERLINK("https://d33htgqikc2pj4.cloudfront.net/48ada754736707d0a0de931bff8e10a0/89e86f538e25e4e7ba5f74e6100a4ebe-file.jpeg", "Александр Олуферов: Ссылка на изображение")</f>
        <v>Александр Олуферов: Ссылка на изображение</v>
      </c>
      <c r="EP607" t="str">
        <f>HYPERLINK("https://d33htgqikc2pj4.cloudfront.net/b217b6c5cd2db5563827139171b6b50a/7be34c9f3f7fc9261adb5c9bb3b50a8b-file.jpeg", "Александр Олуферов: Ссылка на изображение")</f>
        <v>Александр Олуферов: Ссылка на изображение</v>
      </c>
      <c r="EQ607" t="str">
        <f>HYPERLINK("https://d33htgqikc2pj4.cloudfront.net/cea56ec56e811ee84c9318ee611f7771/47e8d25e2d67fc8eb07f6684a8114459-file.jpeg", "Александр Олуферов: Ссылка на изображение")</f>
        <v>Александр Олуферов: Ссылка на изображение</v>
      </c>
      <c r="ER607" t="str">
        <f>HYPERLINK("https://d33htgqikc2pj4.cloudfront.net/a2a919eb1562fe1c8d3207b62bc71737/2877540418a40b26e8058f628f35034b-file.jpeg", "Александр Олуферов: Ссылка на изображение")</f>
        <v>Александр Олуферов: Ссылка на изображение</v>
      </c>
    </row>
    <row r="608" spans="1:149" ht="15" customHeight="1" x14ac:dyDescent="0.35">
      <c r="A608">
        <v>701</v>
      </c>
      <c r="B608" t="s">
        <v>4501</v>
      </c>
      <c r="C608">
        <v>2</v>
      </c>
      <c r="D608" t="str">
        <f>VLOOKUP(source[[#This Row],[Приоритет]],тПриоритеты[],2,0)</f>
        <v>Значительное</v>
      </c>
      <c r="E608" t="str">
        <f>IF(ISBLANK(source[[#This Row],[Проверенные]]),IF(ISBLANK(source[[#This Row],[Завершенные]]),source[[#This Row],[Приоритет_]],"Завершено"),"Проверено")</f>
        <v>Проверено</v>
      </c>
      <c r="F608" t="s">
        <v>4423</v>
      </c>
      <c r="G608" t="s">
        <v>189</v>
      </c>
      <c r="H608" t="str">
        <f>VLOOKUP(source[[#This Row],[Отвественный]],тОтветственные[],2,0)</f>
        <v>Отв7</v>
      </c>
      <c r="I608" s="2">
        <v>43820</v>
      </c>
      <c r="J608" s="2">
        <v>43820</v>
      </c>
      <c r="S608" s="1">
        <v>43820.636724537035</v>
      </c>
      <c r="T608" s="1">
        <v>43820.641226851854</v>
      </c>
      <c r="U608" s="1">
        <v>43820.641226851854</v>
      </c>
      <c r="W608" s="1">
        <v>43820.641273148147</v>
      </c>
      <c r="X608" t="s">
        <v>191</v>
      </c>
      <c r="AH608" t="s">
        <v>4481</v>
      </c>
      <c r="AI608" t="s">
        <v>4482</v>
      </c>
      <c r="AJ608" t="s">
        <v>4483</v>
      </c>
      <c r="AK608" t="s">
        <v>4502</v>
      </c>
      <c r="AL608" t="s">
        <v>4503</v>
      </c>
      <c r="AM608" t="s">
        <v>4486</v>
      </c>
      <c r="AN608" t="s">
        <v>4504</v>
      </c>
      <c r="AO608" t="s">
        <v>4505</v>
      </c>
      <c r="AP608" t="s">
        <v>4506</v>
      </c>
      <c r="AQ608" t="s">
        <v>4507</v>
      </c>
      <c r="AR608" t="s">
        <v>4491</v>
      </c>
      <c r="AS608" t="s">
        <v>4508</v>
      </c>
      <c r="AT608" t="s">
        <v>4493</v>
      </c>
      <c r="AU608" t="s">
        <v>4509</v>
      </c>
      <c r="AV608" t="s">
        <v>4495</v>
      </c>
      <c r="AW608" t="s">
        <v>4496</v>
      </c>
      <c r="AX608" t="s">
        <v>4510</v>
      </c>
      <c r="AY608" t="s">
        <v>4498</v>
      </c>
      <c r="EC608" t="s">
        <v>4511</v>
      </c>
      <c r="ED608" t="s">
        <v>212</v>
      </c>
      <c r="EE608" t="s">
        <v>4500</v>
      </c>
      <c r="EF608" t="str">
        <f>HYPERLINK("https://d33htgqikc2pj4.cloudfront.net/1e5a6262ffd5ce371dc79d5b584b5aed/9849aaed943a21b3529d26b9dd94d744-file.jpeg", "Александр Олуферов: Ссылка на изображение")</f>
        <v>Александр Олуферов: Ссылка на изображение</v>
      </c>
    </row>
    <row r="609" spans="1:145" ht="15" customHeight="1" x14ac:dyDescent="0.35">
      <c r="A609">
        <v>494</v>
      </c>
      <c r="B609" t="s">
        <v>4512</v>
      </c>
      <c r="C609">
        <v>2</v>
      </c>
      <c r="D609" t="str">
        <f>VLOOKUP(source[[#This Row],[Приоритет]],тПриоритеты[],2,0)</f>
        <v>Значительное</v>
      </c>
      <c r="E609" t="str">
        <f>IF(ISBLANK(source[[#This Row],[Проверенные]]),IF(ISBLANK(source[[#This Row],[Завершенные]]),source[[#This Row],[Приоритет_]],"Завершено"),"Проверено")</f>
        <v>Проверено</v>
      </c>
      <c r="F609" t="s">
        <v>4423</v>
      </c>
      <c r="G609" t="s">
        <v>189</v>
      </c>
      <c r="H609" t="str">
        <f>VLOOKUP(source[[#This Row],[Отвественный]],тОтветственные[],2,0)</f>
        <v>Отв7</v>
      </c>
      <c r="I609" s="2">
        <v>43799</v>
      </c>
      <c r="J609" s="2">
        <v>43799</v>
      </c>
      <c r="S609" s="1">
        <v>43800.370196759257</v>
      </c>
      <c r="T609" s="1">
        <v>43800.37809027778</v>
      </c>
      <c r="U609" s="1">
        <v>43800.37809027778</v>
      </c>
      <c r="W609" s="1">
        <v>43800.378194444442</v>
      </c>
      <c r="X609" t="s">
        <v>191</v>
      </c>
      <c r="AH609" t="s">
        <v>4513</v>
      </c>
      <c r="AI609" t="s">
        <v>4514</v>
      </c>
      <c r="AJ609" t="s">
        <v>4515</v>
      </c>
      <c r="AK609" t="s">
        <v>4516</v>
      </c>
      <c r="AL609" t="s">
        <v>4517</v>
      </c>
      <c r="AM609" t="s">
        <v>4518</v>
      </c>
      <c r="AN609" t="s">
        <v>4519</v>
      </c>
      <c r="AO609" t="s">
        <v>4520</v>
      </c>
      <c r="AP609" t="s">
        <v>4521</v>
      </c>
      <c r="AQ609" t="s">
        <v>4522</v>
      </c>
      <c r="AR609" t="s">
        <v>4523</v>
      </c>
      <c r="AS609" t="s">
        <v>4524</v>
      </c>
      <c r="AT609" t="s">
        <v>4525</v>
      </c>
      <c r="AU609" t="s">
        <v>4526</v>
      </c>
      <c r="AV609" t="s">
        <v>4527</v>
      </c>
      <c r="AW609" t="s">
        <v>4528</v>
      </c>
      <c r="AX609" t="s">
        <v>4529</v>
      </c>
      <c r="AY609" t="s">
        <v>4530</v>
      </c>
      <c r="EC609" t="s">
        <v>4531</v>
      </c>
      <c r="ED609" t="s">
        <v>212</v>
      </c>
      <c r="EE609" t="s">
        <v>770</v>
      </c>
    </row>
    <row r="610" spans="1:145" ht="15" customHeight="1" x14ac:dyDescent="0.35">
      <c r="A610">
        <v>495</v>
      </c>
      <c r="B610" t="s">
        <v>4532</v>
      </c>
      <c r="C610">
        <v>2</v>
      </c>
      <c r="D610" t="str">
        <f>VLOOKUP(source[[#This Row],[Приоритет]],тПриоритеты[],2,0)</f>
        <v>Значительное</v>
      </c>
      <c r="E610" t="str">
        <f>IF(ISBLANK(source[[#This Row],[Проверенные]]),IF(ISBLANK(source[[#This Row],[Завершенные]]),source[[#This Row],[Приоритет_]],"Завершено"),"Проверено")</f>
        <v>Проверено</v>
      </c>
      <c r="F610" t="s">
        <v>4423</v>
      </c>
      <c r="G610" t="s">
        <v>189</v>
      </c>
      <c r="H610" t="str">
        <f>VLOOKUP(source[[#This Row],[Отвественный]],тОтветственные[],2,0)</f>
        <v>Отв7</v>
      </c>
      <c r="I610" s="2">
        <v>43799</v>
      </c>
      <c r="J610" s="2">
        <v>43799</v>
      </c>
      <c r="S610" s="1">
        <v>43800.378518518519</v>
      </c>
      <c r="T610" s="1">
        <v>43800.382789351854</v>
      </c>
      <c r="U610" s="1">
        <v>43800.382789351854</v>
      </c>
      <c r="W610" s="1">
        <v>43800.383032407408</v>
      </c>
      <c r="X610" t="s">
        <v>191</v>
      </c>
      <c r="AH610" t="s">
        <v>4513</v>
      </c>
      <c r="AI610" t="s">
        <v>4514</v>
      </c>
      <c r="AJ610" t="s">
        <v>4515</v>
      </c>
      <c r="AK610" t="s">
        <v>4516</v>
      </c>
      <c r="AL610" t="s">
        <v>4533</v>
      </c>
      <c r="AM610" t="s">
        <v>4534</v>
      </c>
      <c r="AN610" t="s">
        <v>4519</v>
      </c>
      <c r="AO610" t="s">
        <v>4520</v>
      </c>
      <c r="AP610" t="s">
        <v>4521</v>
      </c>
      <c r="AQ610" t="s">
        <v>4522</v>
      </c>
      <c r="AR610" t="s">
        <v>4523</v>
      </c>
      <c r="AS610" t="s">
        <v>4524</v>
      </c>
      <c r="AT610" t="s">
        <v>4535</v>
      </c>
      <c r="AU610" t="s">
        <v>4526</v>
      </c>
      <c r="AV610" t="s">
        <v>4527</v>
      </c>
      <c r="AW610" t="s">
        <v>4528</v>
      </c>
      <c r="AX610" t="s">
        <v>4529</v>
      </c>
      <c r="AY610" t="s">
        <v>4536</v>
      </c>
      <c r="EC610" t="s">
        <v>4537</v>
      </c>
      <c r="ED610" t="s">
        <v>212</v>
      </c>
      <c r="EE610" t="s">
        <v>4538</v>
      </c>
      <c r="EF610" t="s">
        <v>770</v>
      </c>
    </row>
    <row r="611" spans="1:145" ht="15" customHeight="1" x14ac:dyDescent="0.35">
      <c r="A611">
        <v>496</v>
      </c>
      <c r="B611" t="s">
        <v>4539</v>
      </c>
      <c r="C611">
        <v>2</v>
      </c>
      <c r="D611" t="str">
        <f>VLOOKUP(source[[#This Row],[Приоритет]],тПриоритеты[],2,0)</f>
        <v>Значительное</v>
      </c>
      <c r="E611" t="str">
        <f>IF(ISBLANK(source[[#This Row],[Проверенные]]),IF(ISBLANK(source[[#This Row],[Завершенные]]),source[[#This Row],[Приоритет_]],"Завершено"),"Проверено")</f>
        <v>Проверено</v>
      </c>
      <c r="F611" t="s">
        <v>4423</v>
      </c>
      <c r="G611" t="s">
        <v>189</v>
      </c>
      <c r="H611" t="str">
        <f>VLOOKUP(source[[#This Row],[Отвественный]],тОтветственные[],2,0)</f>
        <v>Отв7</v>
      </c>
      <c r="I611" s="2">
        <v>43799</v>
      </c>
      <c r="J611" s="2">
        <v>43799</v>
      </c>
      <c r="S611" s="1">
        <v>43800.458344907405</v>
      </c>
      <c r="T611" s="1">
        <v>43800.459826388891</v>
      </c>
      <c r="U611" s="1">
        <v>43800.459826388891</v>
      </c>
      <c r="W611" s="1">
        <v>43800.47824074074</v>
      </c>
      <c r="X611" t="s">
        <v>191</v>
      </c>
      <c r="AH611" t="s">
        <v>4513</v>
      </c>
      <c r="AI611" t="s">
        <v>4514</v>
      </c>
      <c r="AJ611" t="s">
        <v>4515</v>
      </c>
      <c r="AK611" t="s">
        <v>4516</v>
      </c>
      <c r="AL611" t="s">
        <v>4517</v>
      </c>
      <c r="AM611" t="s">
        <v>4518</v>
      </c>
      <c r="AN611" t="s">
        <v>4519</v>
      </c>
      <c r="AO611" t="s">
        <v>4520</v>
      </c>
      <c r="AP611" t="s">
        <v>4521</v>
      </c>
      <c r="AQ611" t="s">
        <v>4522</v>
      </c>
      <c r="AR611" t="s">
        <v>4523</v>
      </c>
      <c r="AS611" t="s">
        <v>4524</v>
      </c>
      <c r="AT611" t="s">
        <v>4525</v>
      </c>
      <c r="AU611" t="s">
        <v>4526</v>
      </c>
      <c r="AV611" t="s">
        <v>4527</v>
      </c>
      <c r="AW611" t="s">
        <v>4528</v>
      </c>
      <c r="AX611" t="s">
        <v>4529</v>
      </c>
      <c r="AY611" t="s">
        <v>4530</v>
      </c>
      <c r="EC611" t="s">
        <v>4540</v>
      </c>
      <c r="ED611" t="s">
        <v>212</v>
      </c>
      <c r="EE611" t="s">
        <v>4538</v>
      </c>
      <c r="EF611" t="s">
        <v>770</v>
      </c>
      <c r="EG611" t="s">
        <v>4541</v>
      </c>
    </row>
    <row r="612" spans="1:145" ht="15" customHeight="1" x14ac:dyDescent="0.35">
      <c r="A612">
        <v>955</v>
      </c>
      <c r="B612" t="s">
        <v>4542</v>
      </c>
      <c r="C612">
        <v>2</v>
      </c>
      <c r="D612" t="str">
        <f>VLOOKUP(source[[#This Row],[Приоритет]],тПриоритеты[],2,0)</f>
        <v>Значительное</v>
      </c>
      <c r="E612" t="str">
        <f>IF(ISBLANK(source[[#This Row],[Проверенные]]),IF(ISBLANK(source[[#This Row],[Завершенные]]),source[[#This Row],[Приоритет_]],"Завершено"),"Проверено")</f>
        <v>Проверено</v>
      </c>
      <c r="F612" t="s">
        <v>4423</v>
      </c>
      <c r="G612" t="s">
        <v>189</v>
      </c>
      <c r="H612" t="str">
        <f>VLOOKUP(source[[#This Row],[Отвественный]],тОтветственные[],2,0)</f>
        <v>Отв7</v>
      </c>
      <c r="I612" s="2">
        <v>43849</v>
      </c>
      <c r="J612" s="2">
        <v>43849</v>
      </c>
      <c r="S612" s="1">
        <v>43850.36613425926</v>
      </c>
      <c r="T612" s="1">
        <v>43850.369375000002</v>
      </c>
      <c r="U612" s="1">
        <v>43850.369375000002</v>
      </c>
      <c r="W612" s="1">
        <v>43850.382361111115</v>
      </c>
      <c r="X612" t="s">
        <v>191</v>
      </c>
      <c r="AH612" t="s">
        <v>4543</v>
      </c>
      <c r="AI612" t="s">
        <v>4544</v>
      </c>
      <c r="AJ612" t="s">
        <v>4545</v>
      </c>
      <c r="AK612" t="s">
        <v>4546</v>
      </c>
      <c r="AL612" t="s">
        <v>4547</v>
      </c>
      <c r="AM612" t="s">
        <v>4548</v>
      </c>
      <c r="AN612" t="s">
        <v>4549</v>
      </c>
      <c r="AO612" t="s">
        <v>4550</v>
      </c>
      <c r="AP612" t="s">
        <v>4551</v>
      </c>
      <c r="AQ612" t="s">
        <v>4552</v>
      </c>
      <c r="AR612" t="s">
        <v>4553</v>
      </c>
      <c r="AS612" t="s">
        <v>4554</v>
      </c>
      <c r="AT612" t="s">
        <v>4555</v>
      </c>
      <c r="AU612" t="s">
        <v>4556</v>
      </c>
      <c r="AV612" t="s">
        <v>4557</v>
      </c>
      <c r="AW612" t="s">
        <v>4558</v>
      </c>
      <c r="AX612" t="s">
        <v>4559</v>
      </c>
      <c r="AY612" t="s">
        <v>4560</v>
      </c>
      <c r="EC612" t="s">
        <v>4561</v>
      </c>
      <c r="ED612" t="s">
        <v>4562</v>
      </c>
      <c r="EE612" t="s">
        <v>212</v>
      </c>
      <c r="EF612" t="s">
        <v>2908</v>
      </c>
      <c r="EG612" t="s">
        <v>4563</v>
      </c>
      <c r="EH612" t="str">
        <f>HYPERLINK("https://d33htgqikc2pj4.cloudfront.net/71c2e72f29f435122cd93c294ec60a93/404b5841047c47422da4da806293ac03-file.jpeg", "Александр Олуферов: Ссылка на изображение")</f>
        <v>Александр Олуферов: Ссылка на изображение</v>
      </c>
      <c r="EI612" t="str">
        <f>HYPERLINK("https://d33htgqikc2pj4.cloudfront.net/70fef0c088fca80cfbdb5d3d1b0fb478/ddc9c2984df8b9cf9074bcaa6df24eae-file.jpeg", "Александр Олуферов: Ссылка на изображение")</f>
        <v>Александр Олуферов: Ссылка на изображение</v>
      </c>
      <c r="EJ612" t="str">
        <f>HYPERLINK("https://d33htgqikc2pj4.cloudfront.net/cf6f77ec57a69c6b62515336a2a27ab1/7893d2c4057a1a353c652879660f3a72-file.jpeg", "Александр Олуферов: Ссылка на изображение")</f>
        <v>Александр Олуферов: Ссылка на изображение</v>
      </c>
    </row>
    <row r="613" spans="1:145" ht="15" customHeight="1" x14ac:dyDescent="0.35">
      <c r="A613">
        <v>957</v>
      </c>
      <c r="B613" t="s">
        <v>4564</v>
      </c>
      <c r="C613">
        <v>2</v>
      </c>
      <c r="D613" t="str">
        <f>VLOOKUP(source[[#This Row],[Приоритет]],тПриоритеты[],2,0)</f>
        <v>Значительное</v>
      </c>
      <c r="E613" t="str">
        <f>IF(ISBLANK(source[[#This Row],[Проверенные]]),IF(ISBLANK(source[[#This Row],[Завершенные]]),source[[#This Row],[Приоритет_]],"Завершено"),"Проверено")</f>
        <v>Проверено</v>
      </c>
      <c r="F613" t="s">
        <v>4423</v>
      </c>
      <c r="G613" t="s">
        <v>189</v>
      </c>
      <c r="H613" t="str">
        <f>VLOOKUP(source[[#This Row],[Отвественный]],тОтветственные[],2,0)</f>
        <v>Отв7</v>
      </c>
      <c r="I613" s="2">
        <v>43849</v>
      </c>
      <c r="J613" s="2">
        <v>43849</v>
      </c>
      <c r="S613" s="1">
        <v>43850.382685185185</v>
      </c>
      <c r="T613" s="1">
        <v>43850.388391203705</v>
      </c>
      <c r="U613" s="1">
        <v>43850.388391203705</v>
      </c>
      <c r="W613" s="1">
        <v>43850.388692129629</v>
      </c>
      <c r="X613" t="s">
        <v>191</v>
      </c>
      <c r="AH613" t="s">
        <v>4543</v>
      </c>
      <c r="AI613" t="s">
        <v>4544</v>
      </c>
      <c r="AJ613" t="s">
        <v>4545</v>
      </c>
      <c r="AK613" t="s">
        <v>4546</v>
      </c>
      <c r="AL613" t="s">
        <v>4547</v>
      </c>
      <c r="AM613" t="s">
        <v>4548</v>
      </c>
      <c r="AN613" t="s">
        <v>4565</v>
      </c>
      <c r="AO613" t="s">
        <v>4566</v>
      </c>
      <c r="AP613" t="s">
        <v>4567</v>
      </c>
      <c r="AQ613" t="s">
        <v>4568</v>
      </c>
      <c r="AR613" t="s">
        <v>4569</v>
      </c>
      <c r="AS613" t="s">
        <v>4570</v>
      </c>
      <c r="AT613" t="s">
        <v>4555</v>
      </c>
      <c r="AU613" t="s">
        <v>4556</v>
      </c>
      <c r="AV613" t="s">
        <v>4571</v>
      </c>
      <c r="AW613" t="s">
        <v>4572</v>
      </c>
      <c r="AX613" t="s">
        <v>4573</v>
      </c>
      <c r="AY613" t="s">
        <v>4560</v>
      </c>
      <c r="EC613" t="s">
        <v>4574</v>
      </c>
      <c r="ED613" t="s">
        <v>4575</v>
      </c>
      <c r="EE613" t="s">
        <v>4576</v>
      </c>
      <c r="EF613" t="s">
        <v>212</v>
      </c>
      <c r="EG613" t="s">
        <v>2908</v>
      </c>
      <c r="EH613" t="str">
        <f>HYPERLINK("https://d33htgqikc2pj4.cloudfront.net/997d624712193c1fd169548497bb709c/8ce4c2679fd9db52168c5177f23198a1-file.jpeg", "Александр Олуферов: Ссылка на изображение")</f>
        <v>Александр Олуферов: Ссылка на изображение</v>
      </c>
      <c r="EI613" t="str">
        <f>HYPERLINK("https://d33htgqikc2pj4.cloudfront.net/f7b26d4d3dca0788f4a68246c00306fb/4ff81f6ddd0c92134760538ff0d4b026-file.jpeg", "Александр Олуферов: Ссылка на изображение")</f>
        <v>Александр Олуферов: Ссылка на изображение</v>
      </c>
    </row>
    <row r="614" spans="1:145" ht="15" customHeight="1" x14ac:dyDescent="0.35">
      <c r="A614">
        <v>849</v>
      </c>
      <c r="B614" t="s">
        <v>4577</v>
      </c>
      <c r="C614">
        <v>2</v>
      </c>
      <c r="D614" t="str">
        <f>VLOOKUP(source[[#This Row],[Приоритет]],тПриоритеты[],2,0)</f>
        <v>Значительное</v>
      </c>
      <c r="E614" t="str">
        <f>IF(ISBLANK(source[[#This Row],[Проверенные]]),IF(ISBLANK(source[[#This Row],[Завершенные]]),source[[#This Row],[Приоритет_]],"Завершено"),"Проверено")</f>
        <v>Проверено</v>
      </c>
      <c r="F614" t="s">
        <v>4423</v>
      </c>
      <c r="G614" t="s">
        <v>189</v>
      </c>
      <c r="H614" t="str">
        <f>VLOOKUP(source[[#This Row],[Отвественный]],тОтветственные[],2,0)</f>
        <v>Отв7</v>
      </c>
      <c r="I614" s="2">
        <v>43807</v>
      </c>
      <c r="J614" s="2">
        <v>43807</v>
      </c>
      <c r="S614" s="1">
        <v>43836.47016203704</v>
      </c>
      <c r="T614" s="1">
        <v>43836.480092592596</v>
      </c>
      <c r="U614" s="1">
        <v>43836.480092592596</v>
      </c>
      <c r="W614" s="1">
        <v>43836.484814814816</v>
      </c>
      <c r="X614" t="s">
        <v>4578</v>
      </c>
      <c r="AH614" t="s">
        <v>4579</v>
      </c>
      <c r="AI614" t="s">
        <v>4580</v>
      </c>
      <c r="AJ614" t="s">
        <v>4581</v>
      </c>
      <c r="AK614" t="s">
        <v>4582</v>
      </c>
      <c r="AL614" t="s">
        <v>4583</v>
      </c>
      <c r="AM614" t="s">
        <v>4584</v>
      </c>
      <c r="AN614" t="s">
        <v>4585</v>
      </c>
      <c r="EC614" t="s">
        <v>4586</v>
      </c>
      <c r="ED614" t="s">
        <v>4587</v>
      </c>
      <c r="EE614" t="s">
        <v>4588</v>
      </c>
      <c r="EF614" t="s">
        <v>4589</v>
      </c>
      <c r="EG614" t="s">
        <v>212</v>
      </c>
      <c r="EH614" t="s">
        <v>4590</v>
      </c>
      <c r="EI614" t="s">
        <v>4591</v>
      </c>
      <c r="EJ614" t="s">
        <v>4592</v>
      </c>
      <c r="EK614" t="str">
        <f>HYPERLINK("https://d33htgqikc2pj4.cloudfront.net/accb691ae6c22cb02f4289cc65e5f600/3bcaeca2049d6cf212b699444d3127be-file.jpeg", "Александр Олуферов: Ссылка на изображение")</f>
        <v>Александр Олуферов: Ссылка на изображение</v>
      </c>
      <c r="EL614" t="str">
        <f>HYPERLINK("https://d33htgqikc2pj4.cloudfront.net/c85af30e1de3ed89e425e501df98c34d/732e7ddf4e4904564b3bada44bcf1585-file.jpeg", "Александр Олуферов: Ссылка на изображение")</f>
        <v>Александр Олуферов: Ссылка на изображение</v>
      </c>
      <c r="EM614" t="s">
        <v>4593</v>
      </c>
      <c r="EN614" t="s">
        <v>2883</v>
      </c>
      <c r="EO614" t="s">
        <v>785</v>
      </c>
    </row>
    <row r="615" spans="1:145" ht="15" customHeight="1" x14ac:dyDescent="0.35">
      <c r="A615">
        <v>852</v>
      </c>
      <c r="B615" t="s">
        <v>4594</v>
      </c>
      <c r="C615">
        <v>2</v>
      </c>
      <c r="D615" t="str">
        <f>VLOOKUP(source[[#This Row],[Приоритет]],тПриоритеты[],2,0)</f>
        <v>Значительное</v>
      </c>
      <c r="E615" t="str">
        <f>IF(ISBLANK(source[[#This Row],[Проверенные]]),IF(ISBLANK(source[[#This Row],[Завершенные]]),source[[#This Row],[Приоритет_]],"Завершено"),"Проверено")</f>
        <v>Проверено</v>
      </c>
      <c r="F615" t="s">
        <v>4423</v>
      </c>
      <c r="G615" t="s">
        <v>189</v>
      </c>
      <c r="H615" t="str">
        <f>VLOOKUP(source[[#This Row],[Отвественный]],тОтветственные[],2,0)</f>
        <v>Отв7</v>
      </c>
      <c r="I615" s="2">
        <v>43821</v>
      </c>
      <c r="J615" s="2">
        <v>43821</v>
      </c>
      <c r="S615" s="1">
        <v>43836.490891203706</v>
      </c>
      <c r="T615" s="1">
        <v>43836.49722222222</v>
      </c>
      <c r="U615" s="1">
        <v>43836.49722222222</v>
      </c>
      <c r="W615" s="1">
        <v>43836.492997685185</v>
      </c>
      <c r="X615" t="s">
        <v>191</v>
      </c>
      <c r="AH615" t="s">
        <v>4595</v>
      </c>
      <c r="AI615" t="s">
        <v>4596</v>
      </c>
      <c r="AJ615" t="s">
        <v>4597</v>
      </c>
      <c r="AK615" t="s">
        <v>4598</v>
      </c>
      <c r="AL615" t="s">
        <v>4599</v>
      </c>
      <c r="AM615" t="s">
        <v>4600</v>
      </c>
      <c r="AN615" t="s">
        <v>4601</v>
      </c>
      <c r="AO615" t="s">
        <v>4602</v>
      </c>
      <c r="AP615" t="s">
        <v>4603</v>
      </c>
      <c r="AQ615" t="s">
        <v>4604</v>
      </c>
      <c r="AR615" t="s">
        <v>4605</v>
      </c>
      <c r="AS615" t="s">
        <v>4606</v>
      </c>
      <c r="AT615" t="s">
        <v>4607</v>
      </c>
      <c r="AU615" t="s">
        <v>4608</v>
      </c>
      <c r="AV615" t="s">
        <v>4609</v>
      </c>
      <c r="AW615" t="s">
        <v>4610</v>
      </c>
      <c r="AX615" t="s">
        <v>4611</v>
      </c>
      <c r="AY615" t="s">
        <v>4612</v>
      </c>
      <c r="EC615" t="s">
        <v>4613</v>
      </c>
      <c r="ED615" t="s">
        <v>4614</v>
      </c>
      <c r="EE615" t="s">
        <v>4615</v>
      </c>
      <c r="EF615" t="s">
        <v>4591</v>
      </c>
      <c r="EG615" t="s">
        <v>212</v>
      </c>
      <c r="EH615" t="str">
        <f>HYPERLINK("https://d33htgqikc2pj4.cloudfront.net/f491c32601b25ab3c0c62b2d54552b35/16867a29d47ca8506bcae4fd7bc2a666-file.jpeg", "Александр Олуферов: Ссылка на изображение")</f>
        <v>Александр Олуферов: Ссылка на изображение</v>
      </c>
      <c r="EI615" t="str">
        <f>HYPERLINK("https://d33htgqikc2pj4.cloudfront.net/cb30fd1fcc55361b0f1b15c5e7a67e94/1e18c32b90b2dc3b8bd43abba7cfaad6-file.jpeg", "Александр Олуферов: Ссылка на изображение")</f>
        <v>Александр Олуферов: Ссылка на изображение</v>
      </c>
      <c r="EJ615" t="str">
        <f>HYPERLINK("https://d33htgqikc2pj4.cloudfront.net/56e379da2e83d537fde888a368d04371/7ea04c724f02e01b4868f992b5eb95e6-file.jpeg", "Александр Олуферов: Ссылка на изображение")</f>
        <v>Александр Олуферов: Ссылка на изображение</v>
      </c>
    </row>
    <row r="616" spans="1:145" ht="15" customHeight="1" x14ac:dyDescent="0.35">
      <c r="A616">
        <v>850</v>
      </c>
      <c r="B616" t="s">
        <v>4616</v>
      </c>
      <c r="C616">
        <v>2</v>
      </c>
      <c r="D616" t="str">
        <f>VLOOKUP(source[[#This Row],[Приоритет]],тПриоритеты[],2,0)</f>
        <v>Значительное</v>
      </c>
      <c r="E616" t="str">
        <f>IF(ISBLANK(source[[#This Row],[Проверенные]]),IF(ISBLANK(source[[#This Row],[Завершенные]]),source[[#This Row],[Приоритет_]],"Завершено"),"Проверено")</f>
        <v>Проверено</v>
      </c>
      <c r="F616" t="s">
        <v>4423</v>
      </c>
      <c r="G616" t="s">
        <v>189</v>
      </c>
      <c r="H616" t="str">
        <f>VLOOKUP(source[[#This Row],[Отвественный]],тОтветственные[],2,0)</f>
        <v>Отв7</v>
      </c>
      <c r="I616" s="2">
        <v>43821</v>
      </c>
      <c r="J616" s="2">
        <v>43821</v>
      </c>
      <c r="S616" s="1">
        <v>43836.478541666664</v>
      </c>
      <c r="T616" s="1">
        <v>43836.486134259256</v>
      </c>
      <c r="U616" s="1">
        <v>43836.486134259256</v>
      </c>
      <c r="W616" s="1">
        <v>43836.481909722221</v>
      </c>
      <c r="X616" t="s">
        <v>3538</v>
      </c>
      <c r="AH616" t="s">
        <v>4617</v>
      </c>
      <c r="AI616" t="s">
        <v>4618</v>
      </c>
      <c r="AJ616" s="3" t="s">
        <v>4619</v>
      </c>
      <c r="AK616" s="3" t="s">
        <v>4620</v>
      </c>
      <c r="AL616" t="s">
        <v>4621</v>
      </c>
      <c r="AM616" s="3" t="s">
        <v>4622</v>
      </c>
      <c r="AN616" t="s">
        <v>4623</v>
      </c>
      <c r="AO616" t="s">
        <v>4624</v>
      </c>
      <c r="AP616" t="s">
        <v>4625</v>
      </c>
      <c r="EC616" t="s">
        <v>4626</v>
      </c>
      <c r="ED616" t="s">
        <v>4627</v>
      </c>
      <c r="EE616" t="s">
        <v>4591</v>
      </c>
      <c r="EF616" t="s">
        <v>212</v>
      </c>
      <c r="EG616" t="str">
        <f>HYPERLINK("https://d33htgqikc2pj4.cloudfront.net/8df06563d162160f8183038ca6e530c7/886915413620e50ed65c46e1ac88f2b7-file.jpeg", "Александр Олуферов: Ссылка на изображение")</f>
        <v>Александр Олуферов: Ссылка на изображение</v>
      </c>
      <c r="EH616" t="str">
        <f>HYPERLINK("https://d33htgqikc2pj4.cloudfront.net/3223c09a6a380b9dbc7c5738de4be3e0/932b84770c900571b962f47c46e47a3c-file.jpeg", "Александр Олуферов: Ссылка на изображение")</f>
        <v>Александр Олуферов: Ссылка на изображение</v>
      </c>
    </row>
    <row r="617" spans="1:145" ht="15" customHeight="1" x14ac:dyDescent="0.35">
      <c r="A617">
        <v>851</v>
      </c>
      <c r="B617" t="s">
        <v>4628</v>
      </c>
      <c r="C617">
        <v>2</v>
      </c>
      <c r="D617" t="str">
        <f>VLOOKUP(source[[#This Row],[Приоритет]],тПриоритеты[],2,0)</f>
        <v>Значительное</v>
      </c>
      <c r="E617" t="str">
        <f>IF(ISBLANK(source[[#This Row],[Проверенные]]),IF(ISBLANK(source[[#This Row],[Завершенные]]),source[[#This Row],[Приоритет_]],"Завершено"),"Проверено")</f>
        <v>Проверено</v>
      </c>
      <c r="F617" t="s">
        <v>4423</v>
      </c>
      <c r="G617" t="s">
        <v>189</v>
      </c>
      <c r="H617" t="str">
        <f>VLOOKUP(source[[#This Row],[Отвественный]],тОтветственные[],2,0)</f>
        <v>Отв7</v>
      </c>
      <c r="I617" s="2">
        <v>43821</v>
      </c>
      <c r="J617" s="2">
        <v>43821</v>
      </c>
      <c r="S617" s="1">
        <v>43836.485254629632</v>
      </c>
      <c r="T617" s="1">
        <v>43836.493194444447</v>
      </c>
      <c r="U617" s="1">
        <v>43836.493194444447</v>
      </c>
      <c r="W617" s="1">
        <v>43836.488969907405</v>
      </c>
      <c r="X617" t="s">
        <v>191</v>
      </c>
      <c r="AH617" t="s">
        <v>4595</v>
      </c>
      <c r="AI617" t="s">
        <v>4596</v>
      </c>
      <c r="AJ617" t="s">
        <v>4597</v>
      </c>
      <c r="AK617" t="s">
        <v>4598</v>
      </c>
      <c r="AL617" t="s">
        <v>4599</v>
      </c>
      <c r="AM617" t="s">
        <v>4600</v>
      </c>
      <c r="AN617" t="s">
        <v>4601</v>
      </c>
      <c r="AO617" t="s">
        <v>4602</v>
      </c>
      <c r="AP617" t="s">
        <v>4603</v>
      </c>
      <c r="AQ617" t="s">
        <v>4604</v>
      </c>
      <c r="AR617" t="s">
        <v>4605</v>
      </c>
      <c r="AS617" t="s">
        <v>4606</v>
      </c>
      <c r="AT617" t="s">
        <v>4629</v>
      </c>
      <c r="AU617" t="s">
        <v>4630</v>
      </c>
      <c r="AV617" t="s">
        <v>4609</v>
      </c>
      <c r="AW617" t="s">
        <v>4610</v>
      </c>
      <c r="AX617" t="s">
        <v>4611</v>
      </c>
      <c r="AY617" t="s">
        <v>4612</v>
      </c>
      <c r="EC617" t="s">
        <v>4631</v>
      </c>
      <c r="ED617" t="s">
        <v>4632</v>
      </c>
      <c r="EE617" t="s">
        <v>4591</v>
      </c>
      <c r="EF617" t="s">
        <v>212</v>
      </c>
      <c r="EG617" t="str">
        <f>HYPERLINK("https://d33htgqikc2pj4.cloudfront.net/5793cb3b47822081f26ee5b267db4740/f266fede0b61c62c8d14b79c6cead5ca-file.jpeg", "Александр Олуферов: Ссылка на изображение")</f>
        <v>Александр Олуферов: Ссылка на изображение</v>
      </c>
      <c r="EH617" t="str">
        <f>HYPERLINK("https://d33htgqikc2pj4.cloudfront.net/87d86fab12e46228ab10257b212e7241/e8430dad812423e0318f73bd971edf55-file.jpeg", "Александр Олуферов: Ссылка на изображение")</f>
        <v>Александр Олуферов: Ссылка на изображение</v>
      </c>
      <c r="EI617" t="str">
        <f>HYPERLINK("https://d33htgqikc2pj4.cloudfront.net/cbfda4bb3aea7005a3b7c8582c5313cb/1ffb87c0c0dfb31730bf5613883f3155-file.jpeg", "Александр Олуферов: Ссылка на изображение")</f>
        <v>Александр Олуферов: Ссылка на изображение</v>
      </c>
    </row>
    <row r="618" spans="1:145" ht="15" customHeight="1" x14ac:dyDescent="0.35">
      <c r="A618">
        <v>338</v>
      </c>
      <c r="B618" t="s">
        <v>4633</v>
      </c>
      <c r="C618">
        <v>2</v>
      </c>
      <c r="D618" t="str">
        <f>VLOOKUP(source[[#This Row],[Приоритет]],тПриоритеты[],2,0)</f>
        <v>Значительное</v>
      </c>
      <c r="E618" t="str">
        <f>IF(ISBLANK(source[[#This Row],[Проверенные]]),IF(ISBLANK(source[[#This Row],[Завершенные]]),source[[#This Row],[Приоритет_]],"Завершено"),"Проверено")</f>
        <v>Проверено</v>
      </c>
      <c r="F618" t="s">
        <v>4423</v>
      </c>
      <c r="G618" t="s">
        <v>189</v>
      </c>
      <c r="H618" t="str">
        <f>VLOOKUP(source[[#This Row],[Отвественный]],тОтветственные[],2,0)</f>
        <v>Отв7</v>
      </c>
      <c r="I618" s="2">
        <v>43786</v>
      </c>
      <c r="J618" s="2">
        <v>43786</v>
      </c>
      <c r="K618" t="s">
        <v>4634</v>
      </c>
      <c r="L618">
        <v>0</v>
      </c>
      <c r="M618">
        <v>0</v>
      </c>
      <c r="N618" t="s">
        <v>2816</v>
      </c>
      <c r="Q618" t="s">
        <v>4635</v>
      </c>
      <c r="R618" t="str">
        <f>HYPERLINK("https://d28ji4sm1vmprj.cloudfront.net/f8b75dec246d810c2448d45e413415b2/8dff12abaa71e5e3e1dc4abc8d584ddf.jpeg", "Ссылка на план")</f>
        <v>Ссылка на план</v>
      </c>
      <c r="S618" s="1">
        <v>43788.373217592591</v>
      </c>
      <c r="T618" s="1">
        <v>43788.390509259261</v>
      </c>
      <c r="U618" s="1">
        <v>43788.390509259261</v>
      </c>
      <c r="W618" s="1">
        <v>43788.406759259262</v>
      </c>
      <c r="X618" t="s">
        <v>191</v>
      </c>
      <c r="AH618" t="s">
        <v>4636</v>
      </c>
      <c r="AI618" t="s">
        <v>4637</v>
      </c>
      <c r="AJ618" t="s">
        <v>4638</v>
      </c>
      <c r="AK618" t="s">
        <v>4639</v>
      </c>
      <c r="AL618" t="s">
        <v>4640</v>
      </c>
      <c r="AM618" t="s">
        <v>4641</v>
      </c>
      <c r="AN618" t="s">
        <v>4642</v>
      </c>
      <c r="AO618" t="s">
        <v>4643</v>
      </c>
      <c r="AP618" t="s">
        <v>4644</v>
      </c>
      <c r="AQ618" t="s">
        <v>4645</v>
      </c>
      <c r="AR618" t="s">
        <v>4646</v>
      </c>
      <c r="AS618" t="s">
        <v>4647</v>
      </c>
      <c r="AT618" t="s">
        <v>4648</v>
      </c>
      <c r="AU618" t="s">
        <v>4649</v>
      </c>
      <c r="AV618" t="s">
        <v>4650</v>
      </c>
      <c r="AW618" t="s">
        <v>4651</v>
      </c>
      <c r="AX618" t="s">
        <v>4652</v>
      </c>
      <c r="AY618" t="s">
        <v>4653</v>
      </c>
      <c r="EC618" t="s">
        <v>212</v>
      </c>
      <c r="ED618" t="s">
        <v>4654</v>
      </c>
      <c r="EE618" t="s">
        <v>4655</v>
      </c>
      <c r="EF618" t="s">
        <v>4656</v>
      </c>
      <c r="EG618" t="s">
        <v>4657</v>
      </c>
      <c r="EH618" t="s">
        <v>4658</v>
      </c>
      <c r="EI618" t="str">
        <f>HYPERLINK("https://www.filepicker.io/api/file/0q2zslOXSJGZwb6HFieW", "Александр Олуферов: Ссылка на файл")</f>
        <v>Александр Олуферов: Ссылка на файл</v>
      </c>
    </row>
    <row r="619" spans="1:145" ht="15" customHeight="1" x14ac:dyDescent="0.35">
      <c r="A619">
        <v>340</v>
      </c>
      <c r="B619" t="s">
        <v>4659</v>
      </c>
      <c r="C619">
        <v>2</v>
      </c>
      <c r="D619" t="str">
        <f>VLOOKUP(source[[#This Row],[Приоритет]],тПриоритеты[],2,0)</f>
        <v>Значительное</v>
      </c>
      <c r="E619" t="str">
        <f>IF(ISBLANK(source[[#This Row],[Проверенные]]),IF(ISBLANK(source[[#This Row],[Завершенные]]),source[[#This Row],[Приоритет_]],"Завершено"),"Проверено")</f>
        <v>Проверено</v>
      </c>
      <c r="F619" t="s">
        <v>4423</v>
      </c>
      <c r="G619" t="s">
        <v>189</v>
      </c>
      <c r="H619" t="str">
        <f>VLOOKUP(source[[#This Row],[Отвественный]],тОтветственные[],2,0)</f>
        <v>Отв7</v>
      </c>
      <c r="I619" s="2">
        <v>43786</v>
      </c>
      <c r="J619" s="2">
        <v>43786</v>
      </c>
      <c r="K619" t="s">
        <v>4634</v>
      </c>
      <c r="L619">
        <v>0</v>
      </c>
      <c r="M619">
        <v>0</v>
      </c>
      <c r="N619" t="s">
        <v>2816</v>
      </c>
      <c r="Q619" t="s">
        <v>4635</v>
      </c>
      <c r="R619" t="str">
        <f>HYPERLINK("https://d28ji4sm1vmprj.cloudfront.net/f8b75dec246d810c2448d45e413415b2/8dff12abaa71e5e3e1dc4abc8d584ddf.jpeg", "Ссылка на план")</f>
        <v>Ссылка на план</v>
      </c>
      <c r="S619" s="1">
        <v>43788.409699074073</v>
      </c>
      <c r="T619" s="1">
        <v>43788.415127314816</v>
      </c>
      <c r="U619" s="1">
        <v>43788.415127314816</v>
      </c>
      <c r="W619" s="1">
        <v>43788.415127314816</v>
      </c>
      <c r="X619" t="s">
        <v>191</v>
      </c>
      <c r="AH619" t="s">
        <v>4636</v>
      </c>
      <c r="AI619" t="s">
        <v>4637</v>
      </c>
      <c r="AJ619" t="s">
        <v>4638</v>
      </c>
      <c r="AK619" t="s">
        <v>4639</v>
      </c>
      <c r="AL619" t="s">
        <v>4640</v>
      </c>
      <c r="AM619" t="s">
        <v>4641</v>
      </c>
      <c r="AN619" t="s">
        <v>4642</v>
      </c>
      <c r="AO619" t="s">
        <v>4643</v>
      </c>
      <c r="AP619" t="s">
        <v>4644</v>
      </c>
      <c r="AQ619" t="s">
        <v>4645</v>
      </c>
      <c r="AR619" t="s">
        <v>4646</v>
      </c>
      <c r="AS619" t="s">
        <v>4647</v>
      </c>
      <c r="AT619" t="s">
        <v>4648</v>
      </c>
      <c r="AU619" t="s">
        <v>4649</v>
      </c>
      <c r="AV619" t="s">
        <v>4650</v>
      </c>
      <c r="AW619" t="s">
        <v>4651</v>
      </c>
      <c r="AX619" t="s">
        <v>4652</v>
      </c>
      <c r="AY619" t="s">
        <v>4653</v>
      </c>
      <c r="EC619" t="s">
        <v>4660</v>
      </c>
      <c r="ED619" t="s">
        <v>4656</v>
      </c>
      <c r="EE619" t="s">
        <v>4656</v>
      </c>
      <c r="EF619" t="s">
        <v>4658</v>
      </c>
      <c r="EG619" t="s">
        <v>4655</v>
      </c>
      <c r="EH619" t="s">
        <v>212</v>
      </c>
      <c r="EI619" t="str">
        <f>HYPERLINK("https://www.filepicker.io/api/file/cWCYW91QJyk07Znc03dA", "Александр Олуферов: Ссылка на файл")</f>
        <v>Александр Олуферов: Ссылка на файл</v>
      </c>
    </row>
    <row r="620" spans="1:145" ht="15" customHeight="1" x14ac:dyDescent="0.35">
      <c r="A620">
        <v>342</v>
      </c>
      <c r="B620" t="s">
        <v>4661</v>
      </c>
      <c r="C620">
        <v>2</v>
      </c>
      <c r="D620" t="str">
        <f>VLOOKUP(source[[#This Row],[Приоритет]],тПриоритеты[],2,0)</f>
        <v>Значительное</v>
      </c>
      <c r="E620" t="str">
        <f>IF(ISBLANK(source[[#This Row],[Проверенные]]),IF(ISBLANK(source[[#This Row],[Завершенные]]),source[[#This Row],[Приоритет_]],"Завершено"),"Проверено")</f>
        <v>Проверено</v>
      </c>
      <c r="F620" t="s">
        <v>4423</v>
      </c>
      <c r="G620" t="s">
        <v>189</v>
      </c>
      <c r="H620" t="str">
        <f>VLOOKUP(source[[#This Row],[Отвественный]],тОтветственные[],2,0)</f>
        <v>Отв7</v>
      </c>
      <c r="I620" s="2">
        <v>43786</v>
      </c>
      <c r="J620" s="2">
        <v>43786</v>
      </c>
      <c r="K620" t="s">
        <v>4634</v>
      </c>
      <c r="L620">
        <v>21.79</v>
      </c>
      <c r="M620">
        <v>79.03</v>
      </c>
      <c r="N620" t="s">
        <v>2816</v>
      </c>
      <c r="Q620" t="s">
        <v>4635</v>
      </c>
      <c r="R620" t="str">
        <f>HYPERLINK("https://d28ji4sm1vmprj.cloudfront.net/f8b75dec246d810c2448d45e413415b2/8dff12abaa71e5e3e1dc4abc8d584ddf.jpeg", "Ссылка на план")</f>
        <v>Ссылка на план</v>
      </c>
      <c r="S620" s="1">
        <v>43788.42324074074</v>
      </c>
      <c r="T620" s="1">
        <v>43788.426365740743</v>
      </c>
      <c r="U620" s="1">
        <v>43788.426365740743</v>
      </c>
      <c r="W620" s="1">
        <v>43788.427442129629</v>
      </c>
      <c r="X620" t="s">
        <v>2889</v>
      </c>
      <c r="AH620" t="s">
        <v>4662</v>
      </c>
      <c r="AI620" t="s">
        <v>4663</v>
      </c>
      <c r="AJ620" t="s">
        <v>4664</v>
      </c>
      <c r="AK620" t="s">
        <v>4665</v>
      </c>
      <c r="AL620" t="s">
        <v>4666</v>
      </c>
      <c r="AM620" t="s">
        <v>4667</v>
      </c>
      <c r="AN620" t="s">
        <v>4668</v>
      </c>
      <c r="AO620" t="s">
        <v>4669</v>
      </c>
      <c r="AP620" t="s">
        <v>4670</v>
      </c>
      <c r="AQ620" t="s">
        <v>4671</v>
      </c>
      <c r="AR620" t="s">
        <v>4672</v>
      </c>
      <c r="AS620" t="s">
        <v>4673</v>
      </c>
      <c r="AT620" t="s">
        <v>4674</v>
      </c>
      <c r="AU620" t="s">
        <v>4675</v>
      </c>
      <c r="AV620" t="s">
        <v>4676</v>
      </c>
      <c r="AW620" t="s">
        <v>4677</v>
      </c>
      <c r="EC620" t="s">
        <v>4658</v>
      </c>
      <c r="ED620" t="s">
        <v>4655</v>
      </c>
      <c r="EE620" t="s">
        <v>212</v>
      </c>
      <c r="EF620" t="s">
        <v>4678</v>
      </c>
      <c r="EG620" t="str">
        <f>HYPERLINK("https://www.filepicker.io/api/file/rKwhKJcdTfmFrLfDvUEQ", "Александр Олуферов: Ссылка на файл")</f>
        <v>Александр Олуферов: Ссылка на файл</v>
      </c>
    </row>
    <row r="621" spans="1:145" ht="15" customHeight="1" x14ac:dyDescent="0.35">
      <c r="A621">
        <v>345</v>
      </c>
      <c r="B621" t="s">
        <v>4679</v>
      </c>
      <c r="C621">
        <v>2</v>
      </c>
      <c r="D621" t="str">
        <f>VLOOKUP(source[[#This Row],[Приоритет]],тПриоритеты[],2,0)</f>
        <v>Значительное</v>
      </c>
      <c r="E621" t="str">
        <f>IF(ISBLANK(source[[#This Row],[Проверенные]]),IF(ISBLANK(source[[#This Row],[Завершенные]]),source[[#This Row],[Приоритет_]],"Завершено"),"Проверено")</f>
        <v>Проверено</v>
      </c>
      <c r="F621" t="s">
        <v>4423</v>
      </c>
      <c r="G621" t="s">
        <v>189</v>
      </c>
      <c r="H621" t="str">
        <f>VLOOKUP(source[[#This Row],[Отвественный]],тОтветственные[],2,0)</f>
        <v>Отв7</v>
      </c>
      <c r="I621" s="2">
        <v>43779</v>
      </c>
      <c r="J621" s="2">
        <v>43779</v>
      </c>
      <c r="N621" t="s">
        <v>2004</v>
      </c>
      <c r="S621" s="1">
        <v>43788.433252314811</v>
      </c>
      <c r="T621" s="1">
        <v>43788.43509259259</v>
      </c>
      <c r="U621" s="1">
        <v>43788.43509259259</v>
      </c>
      <c r="W621" s="1">
        <v>43788.436828703707</v>
      </c>
      <c r="X621" t="s">
        <v>191</v>
      </c>
      <c r="AH621" t="s">
        <v>4636</v>
      </c>
      <c r="AI621" t="s">
        <v>4637</v>
      </c>
      <c r="AJ621" t="s">
        <v>4638</v>
      </c>
      <c r="AK621" t="s">
        <v>4639</v>
      </c>
      <c r="AL621" t="s">
        <v>4640</v>
      </c>
      <c r="AM621" t="s">
        <v>4641</v>
      </c>
      <c r="AN621" t="s">
        <v>4642</v>
      </c>
      <c r="AO621" t="s">
        <v>4643</v>
      </c>
      <c r="AP621" t="s">
        <v>4644</v>
      </c>
      <c r="AQ621" t="s">
        <v>4645</v>
      </c>
      <c r="AR621" t="s">
        <v>4646</v>
      </c>
      <c r="AS621" t="s">
        <v>4647</v>
      </c>
      <c r="AT621" t="s">
        <v>4648</v>
      </c>
      <c r="AU621" t="s">
        <v>4649</v>
      </c>
      <c r="AV621" t="s">
        <v>4650</v>
      </c>
      <c r="AW621" t="s">
        <v>4651</v>
      </c>
      <c r="AX621" t="s">
        <v>4652</v>
      </c>
      <c r="AY621" t="s">
        <v>4653</v>
      </c>
      <c r="EC621" t="s">
        <v>212</v>
      </c>
      <c r="ED621" t="s">
        <v>4680</v>
      </c>
      <c r="EE621" t="s">
        <v>4681</v>
      </c>
      <c r="EF621" t="s">
        <v>4682</v>
      </c>
      <c r="EG621" t="str">
        <f>HYPERLINK("https://www.filepicker.io/api/file/SzgWcy7fT3GlDWe2GG12", "Александр Олуферов: Ссылка на файл")</f>
        <v>Александр Олуферов: Ссылка на файл</v>
      </c>
    </row>
    <row r="622" spans="1:145" ht="15" customHeight="1" x14ac:dyDescent="0.35">
      <c r="A622">
        <v>347</v>
      </c>
      <c r="B622" t="s">
        <v>4683</v>
      </c>
      <c r="C622">
        <v>2</v>
      </c>
      <c r="D622" t="str">
        <f>VLOOKUP(source[[#This Row],[Приоритет]],тПриоритеты[],2,0)</f>
        <v>Значительное</v>
      </c>
      <c r="E622" t="str">
        <f>IF(ISBLANK(source[[#This Row],[Проверенные]]),IF(ISBLANK(source[[#This Row],[Завершенные]]),source[[#This Row],[Приоритет_]],"Завершено"),"Проверено")</f>
        <v>Проверено</v>
      </c>
      <c r="F622" t="s">
        <v>4423</v>
      </c>
      <c r="G622" t="s">
        <v>189</v>
      </c>
      <c r="H622" t="str">
        <f>VLOOKUP(source[[#This Row],[Отвественный]],тОтветственные[],2,0)</f>
        <v>Отв7</v>
      </c>
      <c r="I622" s="2">
        <v>43786</v>
      </c>
      <c r="J622" s="2">
        <v>43786</v>
      </c>
      <c r="N622" t="s">
        <v>2027</v>
      </c>
      <c r="S622" s="1">
        <v>43788.447696759256</v>
      </c>
      <c r="T622" s="1">
        <v>43788.454386574071</v>
      </c>
      <c r="U622" s="1">
        <v>43788.454386574071</v>
      </c>
      <c r="W622" s="1">
        <v>43788.454976851855</v>
      </c>
      <c r="X622" t="s">
        <v>191</v>
      </c>
      <c r="AH622" t="s">
        <v>4636</v>
      </c>
      <c r="AI622" t="s">
        <v>4637</v>
      </c>
      <c r="AJ622" t="s">
        <v>4638</v>
      </c>
      <c r="AK622" t="s">
        <v>4639</v>
      </c>
      <c r="AL622" t="s">
        <v>4640</v>
      </c>
      <c r="AM622" t="s">
        <v>4641</v>
      </c>
      <c r="AN622" t="s">
        <v>4642</v>
      </c>
      <c r="AO622" t="s">
        <v>4684</v>
      </c>
      <c r="AP622" t="s">
        <v>4685</v>
      </c>
      <c r="AQ622" t="s">
        <v>4645</v>
      </c>
      <c r="AR622" t="s">
        <v>4646</v>
      </c>
      <c r="AS622" t="s">
        <v>4686</v>
      </c>
      <c r="AT622" t="s">
        <v>4648</v>
      </c>
      <c r="AU622" t="s">
        <v>4687</v>
      </c>
      <c r="AV622" t="s">
        <v>4688</v>
      </c>
      <c r="AW622" t="s">
        <v>4689</v>
      </c>
      <c r="AX622" t="s">
        <v>4690</v>
      </c>
      <c r="AY622" t="s">
        <v>4653</v>
      </c>
      <c r="EC622" t="s">
        <v>4691</v>
      </c>
      <c r="ED622" t="s">
        <v>212</v>
      </c>
      <c r="EE622" t="s">
        <v>4692</v>
      </c>
      <c r="EF622" t="s">
        <v>4655</v>
      </c>
    </row>
    <row r="623" spans="1:145" ht="15" customHeight="1" x14ac:dyDescent="0.35">
      <c r="A623">
        <v>900</v>
      </c>
      <c r="B623" t="s">
        <v>4693</v>
      </c>
      <c r="C623">
        <v>2</v>
      </c>
      <c r="D623" t="str">
        <f>VLOOKUP(source[[#This Row],[Приоритет]],тПриоритеты[],2,0)</f>
        <v>Значительное</v>
      </c>
      <c r="E623" t="str">
        <f>IF(ISBLANK(source[[#This Row],[Проверенные]]),IF(ISBLANK(source[[#This Row],[Завершенные]]),source[[#This Row],[Приоритет_]],"Завершено"),"Проверено")</f>
        <v>Проверено</v>
      </c>
      <c r="F623" t="s">
        <v>4423</v>
      </c>
      <c r="G623" t="s">
        <v>189</v>
      </c>
      <c r="H623" t="str">
        <f>VLOOKUP(source[[#This Row],[Отвественный]],тОтветственные[],2,0)</f>
        <v>Отв7</v>
      </c>
      <c r="I623" s="2">
        <v>43842</v>
      </c>
      <c r="J623" s="2">
        <v>43842</v>
      </c>
      <c r="S623" s="1">
        <v>43842.738692129627</v>
      </c>
      <c r="T623" s="1">
        <v>43842.742511574077</v>
      </c>
      <c r="U623" s="1">
        <v>43842.742511574077</v>
      </c>
      <c r="W623" s="1">
        <v>43842.743611111109</v>
      </c>
      <c r="X623" t="s">
        <v>2967</v>
      </c>
      <c r="AH623" t="s">
        <v>4694</v>
      </c>
      <c r="AI623" t="s">
        <v>4695</v>
      </c>
      <c r="AJ623" t="s">
        <v>4696</v>
      </c>
      <c r="AK623" t="s">
        <v>4697</v>
      </c>
      <c r="AL623" t="s">
        <v>4698</v>
      </c>
      <c r="AM623" t="s">
        <v>4699</v>
      </c>
      <c r="AN623" t="s">
        <v>4700</v>
      </c>
      <c r="AO623" t="s">
        <v>4701</v>
      </c>
      <c r="EC623" t="s">
        <v>4702</v>
      </c>
      <c r="ED623" t="s">
        <v>4703</v>
      </c>
      <c r="EE623" t="s">
        <v>212</v>
      </c>
      <c r="EF623" t="s">
        <v>4704</v>
      </c>
      <c r="EG623" t="s">
        <v>4705</v>
      </c>
      <c r="EH623" t="str">
        <f>HYPERLINK("https://d33htgqikc2pj4.cloudfront.net/ca518789291c3015a2d54b076edbcc2b/c5abfafa30814130fe1a33e1daa746f3-file.jpeg", "Александр Олуферов: Ссылка на изображение")</f>
        <v>Александр Олуферов: Ссылка на изображение</v>
      </c>
    </row>
    <row r="624" spans="1:145" ht="15" customHeight="1" x14ac:dyDescent="0.35">
      <c r="A624">
        <v>1257</v>
      </c>
      <c r="B624" t="s">
        <v>4706</v>
      </c>
      <c r="C624">
        <v>2</v>
      </c>
      <c r="D624" t="str">
        <f>VLOOKUP(source[[#This Row],[Приоритет]],тПриоритеты[],2,0)</f>
        <v>Значительное</v>
      </c>
      <c r="E624" t="str">
        <f>IF(ISBLANK(source[[#This Row],[Проверенные]]),IF(ISBLANK(source[[#This Row],[Завершенные]]),source[[#This Row],[Приоритет_]],"Завершено"),"Проверено")</f>
        <v>Проверено</v>
      </c>
      <c r="F624" t="s">
        <v>4423</v>
      </c>
      <c r="G624" t="s">
        <v>189</v>
      </c>
      <c r="H624" t="str">
        <f>VLOOKUP(source[[#This Row],[Отвественный]],тОтветственные[],2,0)</f>
        <v>Отв7</v>
      </c>
      <c r="I624" s="2">
        <v>43863</v>
      </c>
      <c r="J624" s="2">
        <v>43863</v>
      </c>
      <c r="N624" t="s">
        <v>190</v>
      </c>
      <c r="S624" s="1">
        <v>43870.421493055554</v>
      </c>
      <c r="T624" s="1">
        <v>43870.423078703701</v>
      </c>
      <c r="U624" s="1">
        <v>43870.423078703701</v>
      </c>
      <c r="W624" s="1">
        <v>43870.59847222222</v>
      </c>
      <c r="X624" t="s">
        <v>191</v>
      </c>
      <c r="AH624" t="s">
        <v>192</v>
      </c>
      <c r="AI624" t="s">
        <v>193</v>
      </c>
      <c r="AJ624" t="s">
        <v>194</v>
      </c>
      <c r="AK624" t="s">
        <v>195</v>
      </c>
      <c r="AL624" t="s">
        <v>196</v>
      </c>
      <c r="AM624" t="s">
        <v>197</v>
      </c>
      <c r="AN624" t="s">
        <v>198</v>
      </c>
      <c r="AO624" t="s">
        <v>199</v>
      </c>
      <c r="AP624" t="s">
        <v>200</v>
      </c>
      <c r="AQ624" t="s">
        <v>201</v>
      </c>
      <c r="AR624" t="s">
        <v>202</v>
      </c>
      <c r="AS624" t="s">
        <v>203</v>
      </c>
      <c r="AT624" t="s">
        <v>204</v>
      </c>
      <c r="AU624" t="s">
        <v>205</v>
      </c>
      <c r="AV624" t="s">
        <v>206</v>
      </c>
      <c r="AW624" t="s">
        <v>207</v>
      </c>
      <c r="AX624" t="s">
        <v>208</v>
      </c>
      <c r="AY624" t="s">
        <v>209</v>
      </c>
      <c r="EC624" t="s">
        <v>4707</v>
      </c>
      <c r="ED624" t="s">
        <v>212</v>
      </c>
      <c r="EE624" t="s">
        <v>215</v>
      </c>
      <c r="EF624" t="s">
        <v>213</v>
      </c>
      <c r="EG624" t="str">
        <f>HYPERLINK("https://d33htgqikc2pj4.cloudfront.net/13d4b5374f729704ffafa01b90e43930/b58ff4f94ef6d1d4bf15dace0e16942d-file.jpeg", "Александр Олуферов: Ссылка на изображение")</f>
        <v>Александр Олуферов: Ссылка на изображение</v>
      </c>
      <c r="EH624" t="str">
        <f>HYPERLINK("https://d33htgqikc2pj4.cloudfront.net/41f5a063da3444cd2e786120be50f392/d04a123b8e8c6d13cc69d86d7f84b8b8-file.jpeg", "Александр Олуферов: Ссылка на изображение")</f>
        <v>Александр Олуферов: Ссылка на изображение</v>
      </c>
      <c r="EI624" t="str">
        <f>HYPERLINK("https://d33htgqikc2pj4.cloudfront.net/00d7c8e5a31e1eb35a4f66fc87bfec74/4ad5b9376ea6231852d9d5ef5ffc928d-file.jpeg", "Александр Олуферов: Ссылка на изображение")</f>
        <v>Александр Олуферов: Ссылка на изображение</v>
      </c>
      <c r="EJ624" t="str">
        <f>HYPERLINK("https://d33htgqikc2pj4.cloudfront.net/6710d6c80b409c5e5fbb35c60faf1860/2972734b57b2ca7ac6ac88fe095d744e-file.jpeg", "Александр Олуферов: Ссылка на изображение")</f>
        <v>Александр Олуферов: Ссылка на изображение</v>
      </c>
      <c r="EK624" t="s">
        <v>4708</v>
      </c>
      <c r="EL624" t="s">
        <v>4538</v>
      </c>
    </row>
    <row r="625" spans="1:148" ht="15" customHeight="1" x14ac:dyDescent="0.35">
      <c r="A625">
        <v>1258</v>
      </c>
      <c r="B625" t="s">
        <v>4709</v>
      </c>
      <c r="C625">
        <v>2</v>
      </c>
      <c r="D625" t="str">
        <f>VLOOKUP(source[[#This Row],[Приоритет]],тПриоритеты[],2,0)</f>
        <v>Значительное</v>
      </c>
      <c r="E625" t="str">
        <f>IF(ISBLANK(source[[#This Row],[Проверенные]]),IF(ISBLANK(source[[#This Row],[Завершенные]]),source[[#This Row],[Приоритет_]],"Завершено"),"Проверено")</f>
        <v>Проверено</v>
      </c>
      <c r="F625" t="s">
        <v>4423</v>
      </c>
      <c r="G625" t="s">
        <v>189</v>
      </c>
      <c r="H625" t="str">
        <f>VLOOKUP(source[[#This Row],[Отвественный]],тОтветственные[],2,0)</f>
        <v>Отв7</v>
      </c>
      <c r="I625" s="2">
        <v>43870</v>
      </c>
      <c r="J625" s="2">
        <v>43870</v>
      </c>
      <c r="S625" s="1">
        <v>43870.595185185186</v>
      </c>
      <c r="T625" s="1">
        <v>43870.597094907411</v>
      </c>
      <c r="U625" s="1">
        <v>43870.597094907411</v>
      </c>
      <c r="W625" s="1">
        <v>43870.597442129627</v>
      </c>
      <c r="X625" t="s">
        <v>2967</v>
      </c>
      <c r="AH625" t="s">
        <v>4710</v>
      </c>
      <c r="AI625" t="s">
        <v>4711</v>
      </c>
      <c r="AJ625" t="s">
        <v>4712</v>
      </c>
      <c r="AK625" t="s">
        <v>4713</v>
      </c>
      <c r="AL625" t="s">
        <v>4714</v>
      </c>
      <c r="AM625" t="s">
        <v>4715</v>
      </c>
      <c r="AN625" t="s">
        <v>4716</v>
      </c>
      <c r="AO625" t="s">
        <v>4717</v>
      </c>
      <c r="EC625" t="s">
        <v>4718</v>
      </c>
      <c r="ED625" t="s">
        <v>212</v>
      </c>
      <c r="EE625" t="s">
        <v>4538</v>
      </c>
      <c r="EF625" t="s">
        <v>4719</v>
      </c>
    </row>
    <row r="626" spans="1:148" ht="15" customHeight="1" x14ac:dyDescent="0.35">
      <c r="A626">
        <v>1256</v>
      </c>
      <c r="B626" t="s">
        <v>4720</v>
      </c>
      <c r="C626">
        <v>2</v>
      </c>
      <c r="D626" t="str">
        <f>VLOOKUP(source[[#This Row],[Приоритет]],тПриоритеты[],2,0)</f>
        <v>Значительное</v>
      </c>
      <c r="E626" t="str">
        <f>IF(ISBLANK(source[[#This Row],[Проверенные]]),IF(ISBLANK(source[[#This Row],[Завершенные]]),source[[#This Row],[Приоритет_]],"Завершено"),"Проверено")</f>
        <v>Проверено</v>
      </c>
      <c r="F626" t="s">
        <v>4423</v>
      </c>
      <c r="G626" t="s">
        <v>189</v>
      </c>
      <c r="H626" t="str">
        <f>VLOOKUP(source[[#This Row],[Отвественный]],тОтветственные[],2,0)</f>
        <v>Отв7</v>
      </c>
      <c r="I626" s="2">
        <v>43863</v>
      </c>
      <c r="J626" s="2">
        <v>43863</v>
      </c>
      <c r="N626" t="s">
        <v>190</v>
      </c>
      <c r="S626" s="1">
        <v>43870.413773148146</v>
      </c>
      <c r="T626" s="1">
        <v>43870.418020833335</v>
      </c>
      <c r="U626" s="1">
        <v>43870.418020833335</v>
      </c>
      <c r="W626" s="1">
        <v>43870.598333333335</v>
      </c>
      <c r="X626" t="s">
        <v>4578</v>
      </c>
      <c r="AH626" t="s">
        <v>4721</v>
      </c>
      <c r="AI626" t="s">
        <v>4722</v>
      </c>
      <c r="AJ626" t="s">
        <v>4723</v>
      </c>
      <c r="AK626" t="s">
        <v>4724</v>
      </c>
      <c r="AL626" t="s">
        <v>4725</v>
      </c>
      <c r="AM626" t="s">
        <v>4726</v>
      </c>
      <c r="AN626" t="s">
        <v>4727</v>
      </c>
      <c r="EC626" t="s">
        <v>4728</v>
      </c>
      <c r="ED626" t="s">
        <v>4729</v>
      </c>
      <c r="EE626" t="s">
        <v>212</v>
      </c>
      <c r="EF626" t="s">
        <v>215</v>
      </c>
      <c r="EG626" t="s">
        <v>213</v>
      </c>
      <c r="EH626" t="str">
        <f>HYPERLINK("https://d33htgqikc2pj4.cloudfront.net/3e7374a14248120c1d5b9cc9aa98217f/2434a96bbc0216e26bf3cce8dc9a7239-file.jpeg", "Александр Олуферов: Ссылка на изображение")</f>
        <v>Александр Олуферов: Ссылка на изображение</v>
      </c>
      <c r="EI626" t="s">
        <v>4730</v>
      </c>
      <c r="EJ626" t="s">
        <v>4731</v>
      </c>
      <c r="EK626" t="str">
        <f>HYPERLINK("https://d33htgqikc2pj4.cloudfront.net/20c2778cd94b8fca365b92e909058131/e02a6356e8e2f71c5776e24727e13cac-file.jpeg", "Александр Олуферов: Ссылка на изображение")</f>
        <v>Александр Олуферов: Ссылка на изображение</v>
      </c>
      <c r="EL626" t="s">
        <v>4732</v>
      </c>
      <c r="EM626" t="s">
        <v>4733</v>
      </c>
      <c r="EN626" t="s">
        <v>4734</v>
      </c>
      <c r="EO626" t="s">
        <v>4538</v>
      </c>
    </row>
    <row r="627" spans="1:148" ht="15" customHeight="1" x14ac:dyDescent="0.35">
      <c r="A627">
        <v>1259</v>
      </c>
      <c r="B627" t="s">
        <v>4735</v>
      </c>
      <c r="C627">
        <v>2</v>
      </c>
      <c r="D627" t="str">
        <f>VLOOKUP(source[[#This Row],[Приоритет]],тПриоритеты[],2,0)</f>
        <v>Значительное</v>
      </c>
      <c r="E627" t="str">
        <f>IF(ISBLANK(source[[#This Row],[Проверенные]]),IF(ISBLANK(source[[#This Row],[Завершенные]]),source[[#This Row],[Приоритет_]],"Завершено"),"Проверено")</f>
        <v>Проверено</v>
      </c>
      <c r="F627" t="s">
        <v>4423</v>
      </c>
      <c r="G627" t="s">
        <v>189</v>
      </c>
      <c r="H627" t="str">
        <f>VLOOKUP(source[[#This Row],[Отвественный]],тОтветственные[],2,0)</f>
        <v>Отв7</v>
      </c>
      <c r="I627" s="2">
        <v>43870</v>
      </c>
      <c r="J627" s="2">
        <v>43870</v>
      </c>
      <c r="S627" s="1">
        <v>43870.599918981483</v>
      </c>
      <c r="T627" s="1">
        <v>43870.601134259261</v>
      </c>
      <c r="U627" s="1">
        <v>43870.601134259261</v>
      </c>
      <c r="W627" s="1">
        <v>43870.601400462961</v>
      </c>
      <c r="X627" t="s">
        <v>2967</v>
      </c>
      <c r="AH627" t="s">
        <v>4710</v>
      </c>
      <c r="AI627" t="s">
        <v>4711</v>
      </c>
      <c r="AJ627" t="s">
        <v>4712</v>
      </c>
      <c r="AK627" t="s">
        <v>4713</v>
      </c>
      <c r="AL627" t="s">
        <v>4714</v>
      </c>
      <c r="AM627" t="s">
        <v>4715</v>
      </c>
      <c r="AN627" t="s">
        <v>4716</v>
      </c>
      <c r="AO627" t="s">
        <v>4717</v>
      </c>
      <c r="EC627" t="s">
        <v>4736</v>
      </c>
      <c r="ED627" t="s">
        <v>212</v>
      </c>
      <c r="EE627" t="s">
        <v>4538</v>
      </c>
      <c r="EF627" t="s">
        <v>4719</v>
      </c>
    </row>
    <row r="628" spans="1:148" ht="15" customHeight="1" x14ac:dyDescent="0.35">
      <c r="A628">
        <v>956</v>
      </c>
      <c r="B628" t="s">
        <v>4737</v>
      </c>
      <c r="C628">
        <v>2</v>
      </c>
      <c r="D628" t="str">
        <f>VLOOKUP(source[[#This Row],[Приоритет]],тПриоритеты[],2,0)</f>
        <v>Значительное</v>
      </c>
      <c r="E628" t="str">
        <f>IF(ISBLANK(source[[#This Row],[Проверенные]]),IF(ISBLANK(source[[#This Row],[Завершенные]]),source[[#This Row],[Приоритет_]],"Завершено"),"Проверено")</f>
        <v>Проверено</v>
      </c>
      <c r="F628" t="s">
        <v>4423</v>
      </c>
      <c r="G628" t="s">
        <v>189</v>
      </c>
      <c r="H628" t="str">
        <f>VLOOKUP(source[[#This Row],[Отвественный]],тОтветственные[],2,0)</f>
        <v>Отв7</v>
      </c>
      <c r="I628" s="2">
        <v>43849</v>
      </c>
      <c r="J628" s="2">
        <v>43849</v>
      </c>
      <c r="S628" s="1">
        <v>43850.366979166669</v>
      </c>
      <c r="T628" s="1">
        <v>43850.381689814814</v>
      </c>
      <c r="U628" s="1">
        <v>43850.381689814814</v>
      </c>
      <c r="W628" s="1">
        <v>43850.381782407407</v>
      </c>
      <c r="X628" t="s">
        <v>4578</v>
      </c>
      <c r="AH628" t="s">
        <v>4738</v>
      </c>
      <c r="AI628" t="s">
        <v>4739</v>
      </c>
      <c r="AJ628" t="s">
        <v>4740</v>
      </c>
      <c r="AK628" t="s">
        <v>4741</v>
      </c>
      <c r="AL628" t="s">
        <v>4742</v>
      </c>
      <c r="AM628" t="s">
        <v>4743</v>
      </c>
      <c r="AN628" t="s">
        <v>4744</v>
      </c>
      <c r="EC628" t="s">
        <v>4745</v>
      </c>
      <c r="ED628" t="s">
        <v>212</v>
      </c>
      <c r="EE628" t="s">
        <v>2908</v>
      </c>
      <c r="EF628" t="str">
        <f>HYPERLINK("https://d33htgqikc2pj4.cloudfront.net/9e194914a686d89796c84f111c202343/7e7863996dd745327c1f328384a9f220-file.jpeg", "Александр Олуферов: Ссылка на изображение")</f>
        <v>Александр Олуферов: Ссылка на изображение</v>
      </c>
    </row>
    <row r="629" spans="1:148" ht="15" customHeight="1" x14ac:dyDescent="0.35">
      <c r="A629">
        <v>394</v>
      </c>
      <c r="B629" t="s">
        <v>4746</v>
      </c>
      <c r="C629">
        <v>2</v>
      </c>
      <c r="D629" t="str">
        <f>VLOOKUP(source[[#This Row],[Приоритет]],тПриоритеты[],2,0)</f>
        <v>Значительное</v>
      </c>
      <c r="E629" t="str">
        <f>IF(ISBLANK(source[[#This Row],[Проверенные]]),IF(ISBLANK(source[[#This Row],[Завершенные]]),source[[#This Row],[Приоритет_]],"Завершено"),"Проверено")</f>
        <v>Проверено</v>
      </c>
      <c r="F629" t="s">
        <v>4423</v>
      </c>
      <c r="G629" t="s">
        <v>787</v>
      </c>
      <c r="H629" t="e">
        <f>VLOOKUP(source[[#This Row],[Отвественный]],тОтветственные[],2,0)</f>
        <v>#N/A</v>
      </c>
      <c r="S629" s="1">
        <v>43791.40556712963</v>
      </c>
      <c r="T629" s="1">
        <v>43792.289629629631</v>
      </c>
      <c r="U629" s="1">
        <v>43797.478842592594</v>
      </c>
      <c r="W629" s="1">
        <v>43797.478842592594</v>
      </c>
      <c r="AA629" t="s">
        <v>4747</v>
      </c>
      <c r="EC629" t="s">
        <v>4748</v>
      </c>
      <c r="ED629" t="s">
        <v>1902</v>
      </c>
      <c r="EE629" t="s">
        <v>794</v>
      </c>
    </row>
    <row r="630" spans="1:148" ht="15" customHeight="1" x14ac:dyDescent="0.35">
      <c r="A630">
        <v>576</v>
      </c>
      <c r="B630" t="s">
        <v>4749</v>
      </c>
      <c r="C630">
        <v>2</v>
      </c>
      <c r="D630" t="str">
        <f>VLOOKUP(source[[#This Row],[Приоритет]],тПриоритеты[],2,0)</f>
        <v>Значительное</v>
      </c>
      <c r="E630" t="str">
        <f>IF(ISBLANK(source[[#This Row],[Проверенные]]),IF(ISBLANK(source[[#This Row],[Завершенные]]),source[[#This Row],[Приоритет_]],"Завершено"),"Проверено")</f>
        <v>Проверено</v>
      </c>
      <c r="F630" t="s">
        <v>4423</v>
      </c>
      <c r="G630" t="s">
        <v>787</v>
      </c>
      <c r="H630" t="e">
        <f>VLOOKUP(source[[#This Row],[Отвественный]],тОтветственные[],2,0)</f>
        <v>#N/A</v>
      </c>
      <c r="I630" s="2">
        <v>43809</v>
      </c>
      <c r="J630" s="2">
        <v>43809</v>
      </c>
      <c r="K630" t="s">
        <v>1670</v>
      </c>
      <c r="L630">
        <v>41.43</v>
      </c>
      <c r="M630">
        <v>33.6</v>
      </c>
      <c r="Q630" t="s">
        <v>789</v>
      </c>
      <c r="R630" t="str">
        <f>HYPERLINK("https://d28ji4sm1vmprj.cloudfront.net/ad15462a64f9a2745b54f51ce9154d41/1ae5aabc4102d9651fda668fc59d327e.jpeg", "Ссылка на план")</f>
        <v>Ссылка на план</v>
      </c>
      <c r="S630" s="1">
        <v>43809.438668981478</v>
      </c>
      <c r="T630" s="1">
        <v>43809.49728009259</v>
      </c>
      <c r="U630" s="1">
        <v>43809.49728009259</v>
      </c>
      <c r="W630" s="1">
        <v>43809.49728009259</v>
      </c>
      <c r="AH630" t="s">
        <v>4750</v>
      </c>
      <c r="EC630" t="s">
        <v>4751</v>
      </c>
      <c r="ED630" t="str">
        <f>HYPERLINK("https://d33htgqikc2pj4.cloudfront.net/d2c5e8b9-7621-4048-91ea-77024ecebd20.jpeg", "Александр Светашов: Ссылка на изображение")</f>
        <v>Александр Светашов: Ссылка на изображение</v>
      </c>
      <c r="EE630" t="str">
        <f>HYPERLINK("https://d33htgqikc2pj4.cloudfront.net/04eef517-2983-4ff6-bd8b-117e808e6e7a.jpeg", "Александр Светашов: Ссылка на изображение")</f>
        <v>Александр Светашов: Ссылка на изображение</v>
      </c>
      <c r="EF630" t="str">
        <f>HYPERLINK("https://d33htgqikc2pj4.cloudfront.net/acff1e43-6148-4135-9a91-d8df36239ca1.jpeg", "Александр Светашов: Ссылка на изображение")</f>
        <v>Александр Светашов: Ссылка на изображение</v>
      </c>
      <c r="EG630" t="s">
        <v>3434</v>
      </c>
      <c r="EH630" t="s">
        <v>2309</v>
      </c>
      <c r="EI630" t="s">
        <v>794</v>
      </c>
    </row>
    <row r="631" spans="1:148" ht="15" customHeight="1" x14ac:dyDescent="0.35">
      <c r="A631">
        <v>349</v>
      </c>
      <c r="B631" t="s">
        <v>4752</v>
      </c>
      <c r="C631">
        <v>2</v>
      </c>
      <c r="D631" t="str">
        <f>VLOOKUP(source[[#This Row],[Приоритет]],тПриоритеты[],2,0)</f>
        <v>Значительное</v>
      </c>
      <c r="E631" t="str">
        <f>IF(ISBLANK(source[[#This Row],[Проверенные]]),IF(ISBLANK(source[[#This Row],[Завершенные]]),source[[#This Row],[Приоритет_]],"Завершено"),"Проверено")</f>
        <v>Проверено</v>
      </c>
      <c r="F631" t="s">
        <v>4423</v>
      </c>
      <c r="G631" t="s">
        <v>787</v>
      </c>
      <c r="H631" t="e">
        <f>VLOOKUP(source[[#This Row],[Отвественный]],тОтветственные[],2,0)</f>
        <v>#N/A</v>
      </c>
      <c r="I631" s="2">
        <v>43788</v>
      </c>
      <c r="J631" s="2">
        <v>43788</v>
      </c>
      <c r="K631" t="s">
        <v>1913</v>
      </c>
      <c r="L631">
        <v>21.06</v>
      </c>
      <c r="M631">
        <v>26.75</v>
      </c>
      <c r="Q631" t="s">
        <v>789</v>
      </c>
      <c r="R631" t="str">
        <f>HYPERLINK("https://d28ji4sm1vmprj.cloudfront.net/66b42f802263492bba17f2ae7b1443c7/e21aa70d5981168508628998e6a067af.jpeg", "Ссылка на план")</f>
        <v>Ссылка на план</v>
      </c>
      <c r="S631" s="1">
        <v>43788.455254629633</v>
      </c>
      <c r="T631" s="1">
        <v>43788.715486111112</v>
      </c>
      <c r="U631" s="1">
        <v>43797.478819444441</v>
      </c>
      <c r="W631" s="1">
        <v>43797.478819444441</v>
      </c>
      <c r="X631" t="s">
        <v>2919</v>
      </c>
      <c r="AH631" t="s">
        <v>4753</v>
      </c>
      <c r="EC631" t="s">
        <v>2921</v>
      </c>
      <c r="ED631" t="str">
        <f>HYPERLINK("https://d33htgqikc2pj4.cloudfront.net/d1581302-c13c-45eb-830c-02b1aae97458.jpeg", "Александр Светашов: Ссылка на изображение")</f>
        <v>Александр Светашов: Ссылка на изображение</v>
      </c>
      <c r="EE631" t="str">
        <f>HYPERLINK("https://d33htgqikc2pj4.cloudfront.net/f63412cf-6bc9-42e1-b561-fc187281376c.jpeg", "Александр Светашов: Ссылка на изображение")</f>
        <v>Александр Светашов: Ссылка на изображение</v>
      </c>
      <c r="EF631" t="str">
        <f>HYPERLINK("https://d33htgqikc2pj4.cloudfront.net/8f9939f8-b855-4480-9532-894d752bb1af.jpeg", "Александр Светашов: Ссылка на изображение")</f>
        <v>Александр Светашов: Ссылка на изображение</v>
      </c>
      <c r="EG631" t="s">
        <v>3434</v>
      </c>
      <c r="EH631" t="s">
        <v>2923</v>
      </c>
      <c r="EI631" t="s">
        <v>1703</v>
      </c>
      <c r="EJ631" t="s">
        <v>4754</v>
      </c>
      <c r="EK631" t="s">
        <v>794</v>
      </c>
    </row>
    <row r="632" spans="1:148" ht="15" customHeight="1" x14ac:dyDescent="0.35">
      <c r="A632">
        <v>346</v>
      </c>
      <c r="B632" t="s">
        <v>4755</v>
      </c>
      <c r="C632">
        <v>2</v>
      </c>
      <c r="D632" t="str">
        <f>VLOOKUP(source[[#This Row],[Приоритет]],тПриоритеты[],2,0)</f>
        <v>Значительное</v>
      </c>
      <c r="E632" t="str">
        <f>IF(ISBLANK(source[[#This Row],[Проверенные]]),IF(ISBLANK(source[[#This Row],[Завершенные]]),source[[#This Row],[Приоритет_]],"Завершено"),"Проверено")</f>
        <v>Проверено</v>
      </c>
      <c r="F632" t="s">
        <v>4423</v>
      </c>
      <c r="G632" t="s">
        <v>787</v>
      </c>
      <c r="H632" t="e">
        <f>VLOOKUP(source[[#This Row],[Отвественный]],тОтветственные[],2,0)</f>
        <v>#N/A</v>
      </c>
      <c r="I632" s="2">
        <v>43788</v>
      </c>
      <c r="J632" s="2">
        <v>43788</v>
      </c>
      <c r="K632" t="s">
        <v>2113</v>
      </c>
      <c r="L632">
        <v>33.770000000000003</v>
      </c>
      <c r="M632">
        <v>47.16</v>
      </c>
      <c r="Q632" t="s">
        <v>2114</v>
      </c>
      <c r="R632" t="str">
        <f>HYPERLINK("https://d28ji4sm1vmprj.cloudfront.net/3021cb41417a6407c6d00c02f6a24f54/260a2324e0f0083a3c1fc6e8517e8511.jpeg", "Ссылка на план")</f>
        <v>Ссылка на план</v>
      </c>
      <c r="S632" s="1">
        <v>43788.441284722219</v>
      </c>
      <c r="T632" s="1">
        <v>43788.715451388889</v>
      </c>
      <c r="U632" s="1">
        <v>43797.478865740741</v>
      </c>
      <c r="W632" s="1">
        <v>43797.478865740741</v>
      </c>
      <c r="X632" t="s">
        <v>432</v>
      </c>
      <c r="AH632" t="s">
        <v>4756</v>
      </c>
      <c r="EC632" t="s">
        <v>4757</v>
      </c>
      <c r="ED632" t="str">
        <f>HYPERLINK("https://d33htgqikc2pj4.cloudfront.net/5f330742-da15-4c7b-bf91-17aa35ae89aa.jpeg", "Александр Светашов: Ссылка на изображение")</f>
        <v>Александр Светашов: Ссылка на изображение</v>
      </c>
      <c r="EE632" t="str">
        <f>HYPERLINK("https://d33htgqikc2pj4.cloudfront.net/6dc2b5db-6f37-41de-afac-c2cce92bea9f.jpeg", "Александр Светашов: Ссылка на изображение")</f>
        <v>Александр Светашов: Ссылка на изображение</v>
      </c>
      <c r="EF632" t="str">
        <f>HYPERLINK("https://d33htgqikc2pj4.cloudfront.net/6a542920-28db-4a88-bb40-c8cf1ff5ec2d.jpeg", "Александр Светашов: Ссылка на изображение")</f>
        <v>Александр Светашов: Ссылка на изображение</v>
      </c>
      <c r="EG632" t="str">
        <f>HYPERLINK("https://d33htgqikc2pj4.cloudfront.net/bb12a4b5-d6a3-44b0-a031-55580dcc1066.jpeg", "Александр Светашов: Ссылка на изображение")</f>
        <v>Александр Светашов: Ссылка на изображение</v>
      </c>
      <c r="EH632" t="str">
        <f>HYPERLINK("https://d33htgqikc2pj4.cloudfront.net/50291229-76cc-4c49-ad36-00d8369e2ab6.jpeg", "Александр Светашов: Ссылка на изображение")</f>
        <v>Александр Светашов: Ссылка на изображение</v>
      </c>
      <c r="EI632" t="s">
        <v>3434</v>
      </c>
      <c r="EJ632" t="s">
        <v>2923</v>
      </c>
      <c r="EK632" t="s">
        <v>1703</v>
      </c>
      <c r="EL632" t="s">
        <v>4758</v>
      </c>
      <c r="EM632" t="s">
        <v>794</v>
      </c>
    </row>
    <row r="633" spans="1:148" ht="15" customHeight="1" x14ac:dyDescent="0.35">
      <c r="A633">
        <v>638</v>
      </c>
      <c r="B633" t="s">
        <v>4759</v>
      </c>
      <c r="C633">
        <v>2</v>
      </c>
      <c r="D633" t="str">
        <f>VLOOKUP(source[[#This Row],[Приоритет]],тПриоритеты[],2,0)</f>
        <v>Значительное</v>
      </c>
      <c r="E633" t="str">
        <f>IF(ISBLANK(source[[#This Row],[Проверенные]]),IF(ISBLANK(source[[#This Row],[Завершенные]]),source[[#This Row],[Приоритет_]],"Завершено"),"Проверено")</f>
        <v>Проверено</v>
      </c>
      <c r="F633" t="s">
        <v>4423</v>
      </c>
      <c r="G633" t="s">
        <v>2926</v>
      </c>
      <c r="H633" t="e">
        <f>VLOOKUP(source[[#This Row],[Отвественный]],тОтветственные[],2,0)</f>
        <v>#N/A</v>
      </c>
      <c r="I633" s="2">
        <v>43816</v>
      </c>
      <c r="J633" s="2">
        <v>43816</v>
      </c>
      <c r="S633" s="1">
        <v>43816.286261574074</v>
      </c>
      <c r="T633" s="1">
        <v>43816.117534722223</v>
      </c>
      <c r="U633" s="1">
        <v>43816.117534722223</v>
      </c>
      <c r="W633" s="1">
        <v>43816.286261574074</v>
      </c>
      <c r="X633" t="s">
        <v>4760</v>
      </c>
      <c r="AH633" t="s">
        <v>4761</v>
      </c>
      <c r="AI633" t="s">
        <v>4762</v>
      </c>
      <c r="AJ633" t="s">
        <v>4763</v>
      </c>
      <c r="AK633" t="s">
        <v>4764</v>
      </c>
      <c r="AL633" t="s">
        <v>4765</v>
      </c>
      <c r="AM633" t="s">
        <v>4766</v>
      </c>
      <c r="AN633" t="s">
        <v>4767</v>
      </c>
      <c r="AO633" t="s">
        <v>4768</v>
      </c>
      <c r="AP633" t="s">
        <v>4769</v>
      </c>
      <c r="AQ633" t="s">
        <v>4770</v>
      </c>
      <c r="AR633" t="s">
        <v>4771</v>
      </c>
      <c r="AS633" t="s">
        <v>4772</v>
      </c>
      <c r="AT633" t="s">
        <v>4773</v>
      </c>
      <c r="AU633" t="s">
        <v>4774</v>
      </c>
      <c r="AV633" t="s">
        <v>4775</v>
      </c>
      <c r="AW633" t="s">
        <v>4776</v>
      </c>
      <c r="AX633" t="s">
        <v>4777</v>
      </c>
      <c r="AY633" t="s">
        <v>4778</v>
      </c>
      <c r="EC633" t="s">
        <v>4779</v>
      </c>
      <c r="ED633" t="s">
        <v>4780</v>
      </c>
      <c r="EE633" t="s">
        <v>2617</v>
      </c>
      <c r="EF633" t="s">
        <v>4781</v>
      </c>
      <c r="EG633" t="s">
        <v>4782</v>
      </c>
      <c r="EH633" t="str">
        <f>HYPERLINK("https://d33htgqikc2pj4.cloudfront.net/qvHDimMUqxZcQnsj/f62bb6f5-2c4d-4e06-8a7d-5ae8da65aeac.jpeg", "Алексей Бирюков: Ссылка на изображение")</f>
        <v>Алексей Бирюков: Ссылка на изображение</v>
      </c>
      <c r="EI633" t="str">
        <f>HYPERLINK("https://d33htgqikc2pj4.cloudfront.net/qvHDimMUqxZcQnsj/019270fd-1b4b-4398-a678-14c7061caeb3.jpeg", "Алексей Бирюков: Ссылка на изображение")</f>
        <v>Алексей Бирюков: Ссылка на изображение</v>
      </c>
      <c r="EJ633" t="str">
        <f>HYPERLINK("https://d33htgqikc2pj4.cloudfront.net/qvHDimMUqxZcQnsj/df52c055-6e9a-4667-866d-b5e396558ff2.jpeg", "Алексей Бирюков: Ссылка на изображение")</f>
        <v>Алексей Бирюков: Ссылка на изображение</v>
      </c>
      <c r="EK633" t="str">
        <f>HYPERLINK("https://d33htgqikc2pj4.cloudfront.net/qvHDimMUqxZcQnsj/8be0f9e4-6053-42c6-98d0-15db21e58553.jpeg", "Алексей Бирюков: Ссылка на изображение")</f>
        <v>Алексей Бирюков: Ссылка на изображение</v>
      </c>
      <c r="EL633" t="s">
        <v>1902</v>
      </c>
      <c r="EM633" t="s">
        <v>1899</v>
      </c>
    </row>
    <row r="634" spans="1:148" ht="15" customHeight="1" x14ac:dyDescent="0.35">
      <c r="A634">
        <v>637</v>
      </c>
      <c r="B634" t="s">
        <v>4783</v>
      </c>
      <c r="C634">
        <v>2</v>
      </c>
      <c r="D634" t="str">
        <f>VLOOKUP(source[[#This Row],[Приоритет]],тПриоритеты[],2,0)</f>
        <v>Значительное</v>
      </c>
      <c r="E634" t="str">
        <f>IF(ISBLANK(source[[#This Row],[Проверенные]]),IF(ISBLANK(source[[#This Row],[Завершенные]]),source[[#This Row],[Приоритет_]],"Завершено"),"Проверено")</f>
        <v>Проверено</v>
      </c>
      <c r="F634" t="s">
        <v>4423</v>
      </c>
      <c r="G634" t="s">
        <v>2926</v>
      </c>
      <c r="H634" t="e">
        <f>VLOOKUP(source[[#This Row],[Отвественный]],тОтветственные[],2,0)</f>
        <v>#N/A</v>
      </c>
      <c r="I634" s="2">
        <v>43816</v>
      </c>
      <c r="J634" s="2">
        <v>43816</v>
      </c>
      <c r="S634" s="1">
        <v>43816.286249999997</v>
      </c>
      <c r="T634" s="1">
        <v>43816.289155092592</v>
      </c>
      <c r="U634" s="1">
        <v>43816.289155092592</v>
      </c>
      <c r="W634" s="1">
        <v>43816.289178240739</v>
      </c>
      <c r="X634" t="s">
        <v>461</v>
      </c>
      <c r="Y634" t="s">
        <v>432</v>
      </c>
      <c r="AH634" t="s">
        <v>4784</v>
      </c>
      <c r="AI634" t="s">
        <v>4785</v>
      </c>
      <c r="AJ634" s="3" t="s">
        <v>4786</v>
      </c>
      <c r="AK634" s="3" t="s">
        <v>4787</v>
      </c>
      <c r="AL634" t="s">
        <v>4788</v>
      </c>
      <c r="AM634" s="3" t="s">
        <v>4789</v>
      </c>
      <c r="AN634" t="s">
        <v>4790</v>
      </c>
      <c r="AO634" t="s">
        <v>4791</v>
      </c>
      <c r="AP634" t="s">
        <v>4792</v>
      </c>
      <c r="AQ634" t="s">
        <v>4793</v>
      </c>
      <c r="AR634" s="3" t="s">
        <v>4794</v>
      </c>
      <c r="AS634" s="3" t="s">
        <v>4795</v>
      </c>
      <c r="AT634" t="s">
        <v>4796</v>
      </c>
      <c r="AU634" t="s">
        <v>4797</v>
      </c>
      <c r="AV634" t="s">
        <v>4798</v>
      </c>
      <c r="AW634" t="s">
        <v>4799</v>
      </c>
      <c r="AX634" t="s">
        <v>4800</v>
      </c>
      <c r="AY634" t="s">
        <v>4801</v>
      </c>
      <c r="AZ634" t="s">
        <v>4802</v>
      </c>
      <c r="BA634" t="s">
        <v>4792</v>
      </c>
      <c r="EC634" t="s">
        <v>4803</v>
      </c>
      <c r="ED634" t="s">
        <v>4781</v>
      </c>
      <c r="EE634" t="s">
        <v>2617</v>
      </c>
      <c r="EF634" t="s">
        <v>4804</v>
      </c>
      <c r="EG634" t="str">
        <f>HYPERLINK("https://d33htgqikc2pj4.cloudfront.net/qvHDimMUqxZcQnsj/1b261ab4-1831-410b-a78d-0ab7b687e5c2.jpeg", "Алексей Бирюков: Ссылка на изображение")</f>
        <v>Алексей Бирюков: Ссылка на изображение</v>
      </c>
      <c r="EH634" t="str">
        <f>HYPERLINK("https://d33htgqikc2pj4.cloudfront.net/qvHDimMUqxZcQnsj/55a6ed66-6706-4ee0-84c2-12e170bc52c8.jpeg", "Алексей Бирюков: Ссылка на изображение")</f>
        <v>Алексей Бирюков: Ссылка на изображение</v>
      </c>
      <c r="EI634" t="str">
        <f>HYPERLINK("https://d33htgqikc2pj4.cloudfront.net/qvHDimMUqxZcQnsj/80b3eef1-ce43-473a-9948-9f7d65d8ec6d.jpeg", "Алексей Бирюков: Ссылка на изображение")</f>
        <v>Алексей Бирюков: Ссылка на изображение</v>
      </c>
      <c r="EJ634" t="str">
        <f>HYPERLINK("https://d33htgqikc2pj4.cloudfront.net/qvHDimMUqxZcQnsj/07a329ac-6962-45f7-97e4-c2183c27d866.jpeg", "Алексей Бирюков: Ссылка на изображение")</f>
        <v>Алексей Бирюков: Ссылка на изображение</v>
      </c>
      <c r="EK634" t="str">
        <f>HYPERLINK("https://d33htgqikc2pj4.cloudfront.net/qvHDimMUqxZcQnsj/fbf65c66-97f1-44ca-9aff-47301ebce7f2.jpeg", "Алексей Бирюков: Ссылка на изображение")</f>
        <v>Алексей Бирюков: Ссылка на изображение</v>
      </c>
      <c r="EL634" t="str">
        <f>HYPERLINK("https://d33htgqikc2pj4.cloudfront.net/qvHDimMUqxZcQnsj/52296d84-8097-43d3-88fa-c74f0bb9e091.jpeg", "Алексей Бирюков: Ссылка на изображение")</f>
        <v>Алексей Бирюков: Ссылка на изображение</v>
      </c>
      <c r="EM634" t="str">
        <f>HYPERLINK("https://d33htgqikc2pj4.cloudfront.net/qvHDimMUqxZcQnsj/fe2bc3a7-df2a-421d-ba91-d30405c048ba.jpeg", "Алексей Бирюков: Ссылка на изображение")</f>
        <v>Алексей Бирюков: Ссылка на изображение</v>
      </c>
      <c r="EN634" t="str">
        <f>HYPERLINK("https://d33htgqikc2pj4.cloudfront.net/qvHDimMUqxZcQnsj/a362a1f8-c436-4505-b9dc-2ab998a0e4e2.jpeg", "Алексей Бирюков: Ссылка на изображение")</f>
        <v>Алексей Бирюков: Ссылка на изображение</v>
      </c>
      <c r="EO634" t="str">
        <f>HYPERLINK("https://d33htgqikc2pj4.cloudfront.net/qvHDimMUqxZcQnsj/5d9b3910-0d39-4118-ac31-693c72eef1e6.jpeg", "Алексей Бирюков: Ссылка на изображение")</f>
        <v>Алексей Бирюков: Ссылка на изображение</v>
      </c>
      <c r="EP634" t="s">
        <v>1902</v>
      </c>
      <c r="EQ634" t="s">
        <v>4805</v>
      </c>
      <c r="ER634" t="s">
        <v>1899</v>
      </c>
    </row>
    <row r="635" spans="1:148" ht="15" customHeight="1" x14ac:dyDescent="0.35">
      <c r="A635">
        <v>639</v>
      </c>
      <c r="B635" t="s">
        <v>4806</v>
      </c>
      <c r="C635">
        <v>2</v>
      </c>
      <c r="D635" t="str">
        <f>VLOOKUP(source[[#This Row],[Приоритет]],тПриоритеты[],2,0)</f>
        <v>Значительное</v>
      </c>
      <c r="E635" t="str">
        <f>IF(ISBLANK(source[[#This Row],[Проверенные]]),IF(ISBLANK(source[[#This Row],[Завершенные]]),source[[#This Row],[Приоритет_]],"Завершено"),"Проверено")</f>
        <v>Проверено</v>
      </c>
      <c r="F635" t="s">
        <v>4423</v>
      </c>
      <c r="G635" t="s">
        <v>2926</v>
      </c>
      <c r="H635" t="e">
        <f>VLOOKUP(source[[#This Row],[Отвественный]],тОтветственные[],2,0)</f>
        <v>#N/A</v>
      </c>
      <c r="I635" s="2">
        <v>43816</v>
      </c>
      <c r="J635" s="2">
        <v>43816</v>
      </c>
      <c r="S635" s="1">
        <v>43816.286261574074</v>
      </c>
      <c r="T635" s="1">
        <v>43816.289421296293</v>
      </c>
      <c r="U635" s="1">
        <v>43816.289421296293</v>
      </c>
      <c r="W635" s="1">
        <v>43816.289502314816</v>
      </c>
      <c r="X635" t="s">
        <v>444</v>
      </c>
      <c r="AH635" t="s">
        <v>4807</v>
      </c>
      <c r="AI635" t="s">
        <v>4808</v>
      </c>
      <c r="AJ635" t="s">
        <v>4809</v>
      </c>
      <c r="AK635" t="s">
        <v>4810</v>
      </c>
      <c r="AL635" t="s">
        <v>4811</v>
      </c>
      <c r="AM635" t="s">
        <v>4812</v>
      </c>
      <c r="AN635" t="s">
        <v>4813</v>
      </c>
      <c r="EC635" t="s">
        <v>4814</v>
      </c>
      <c r="ED635" t="s">
        <v>2617</v>
      </c>
      <c r="EE635" t="s">
        <v>4781</v>
      </c>
      <c r="EF635" t="str">
        <f>HYPERLINK("https://d33htgqikc2pj4.cloudfront.net/qvHDimMUqxZcQnsj/cc6a2d58-d1c8-4f1b-927c-49f99a946755.jpeg", "Алексей Бирюков: Ссылка на изображение")</f>
        <v>Алексей Бирюков: Ссылка на изображение</v>
      </c>
      <c r="EG635" t="str">
        <f>HYPERLINK("https://d33htgqikc2pj4.cloudfront.net/qvHDimMUqxZcQnsj/8ab197da-335b-45f6-a79c-abd76161675c.jpeg", "Алексей Бирюков: Ссылка на изображение")</f>
        <v>Алексей Бирюков: Ссылка на изображение</v>
      </c>
      <c r="EH635" t="str">
        <f>HYPERLINK("https://d33htgqikc2pj4.cloudfront.net/qvHDimMUqxZcQnsj/0e69cd36-3477-43a7-89f6-34ec1cacc5d8.jpeg", "Алексей Бирюков: Ссылка на изображение")</f>
        <v>Алексей Бирюков: Ссылка на изображение</v>
      </c>
      <c r="EI635" t="str">
        <f>HYPERLINK("https://d33htgqikc2pj4.cloudfront.net/qvHDimMUqxZcQnsj/bc01ebe9-4d67-4c85-8649-ebfb12741e6d.jpeg", "Алексей Бирюков: Ссылка на изображение")</f>
        <v>Алексей Бирюков: Ссылка на изображение</v>
      </c>
      <c r="EJ635" t="str">
        <f>HYPERLINK("https://d33htgqikc2pj4.cloudfront.net/qvHDimMUqxZcQnsj/68c7a6f4-6a3f-4777-91e2-dda707ad96ec.jpeg", "Алексей Бирюков: Ссылка на изображение")</f>
        <v>Алексей Бирюков: Ссылка на изображение</v>
      </c>
      <c r="EK635" t="s">
        <v>1902</v>
      </c>
      <c r="EL635" t="s">
        <v>1899</v>
      </c>
      <c r="EM635" t="s">
        <v>4815</v>
      </c>
    </row>
    <row r="636" spans="1:148" ht="15" customHeight="1" x14ac:dyDescent="0.35">
      <c r="A636">
        <v>388</v>
      </c>
      <c r="B636" t="s">
        <v>4816</v>
      </c>
      <c r="C636">
        <v>2</v>
      </c>
      <c r="D636" t="str">
        <f>VLOOKUP(source[[#This Row],[Приоритет]],тПриоритеты[],2,0)</f>
        <v>Значительное</v>
      </c>
      <c r="E636" t="str">
        <f>IF(ISBLANK(source[[#This Row],[Проверенные]]),IF(ISBLANK(source[[#This Row],[Завершенные]]),source[[#This Row],[Приоритет_]],"Завершено"),"Проверено")</f>
        <v>Проверено</v>
      </c>
      <c r="F636" t="s">
        <v>4423</v>
      </c>
      <c r="G636" t="s">
        <v>2926</v>
      </c>
      <c r="H636" t="e">
        <f>VLOOKUP(source[[#This Row],[Отвественный]],тОтветственные[],2,0)</f>
        <v>#N/A</v>
      </c>
      <c r="I636" s="2">
        <v>43790</v>
      </c>
      <c r="J636" s="2">
        <v>43790</v>
      </c>
      <c r="S636" s="1">
        <v>43790.892835648148</v>
      </c>
      <c r="T636" s="1">
        <v>43811.680034722223</v>
      </c>
      <c r="U636" s="1">
        <v>43811.680034722223</v>
      </c>
      <c r="W636" s="1">
        <v>43811.75675925926</v>
      </c>
      <c r="X636" t="s">
        <v>2967</v>
      </c>
      <c r="AH636" t="s">
        <v>4817</v>
      </c>
      <c r="AI636" t="s">
        <v>4818</v>
      </c>
      <c r="AJ636" t="s">
        <v>4819</v>
      </c>
      <c r="AK636" t="s">
        <v>4820</v>
      </c>
      <c r="AL636" t="s">
        <v>4821</v>
      </c>
      <c r="AM636" t="s">
        <v>4822</v>
      </c>
      <c r="AN636" t="s">
        <v>4823</v>
      </c>
      <c r="AO636" t="s">
        <v>4824</v>
      </c>
      <c r="EC636" t="s">
        <v>4825</v>
      </c>
      <c r="ED636" t="s">
        <v>2617</v>
      </c>
      <c r="EE636" t="s">
        <v>4826</v>
      </c>
      <c r="EF636" t="str">
        <f>HYPERLINK("https://d33htgqikc2pj4.cloudfront.net/9188bc48-9435-4c9c-9ca6-8c7f1c97981e.jpeg", "Алексей Бирюков: Ссылка на изображение")</f>
        <v>Алексей Бирюков: Ссылка на изображение</v>
      </c>
      <c r="EG636" t="str">
        <f>HYPERLINK("https://d33htgqikc2pj4.cloudfront.net/6b40b4ec-8149-47d9-83fb-9c3387574de2.jpeg", "Алексей Бирюков: Ссылка на изображение")</f>
        <v>Алексей Бирюков: Ссылка на изображение</v>
      </c>
      <c r="EH636" t="str">
        <f>HYPERLINK("https://d33htgqikc2pj4.cloudfront.net/747d4f2e-1031-4e8c-8a05-e29189113415.jpeg", "Алексей Бирюков: Ссылка на изображение")</f>
        <v>Алексей Бирюков: Ссылка на изображение</v>
      </c>
      <c r="EI636" t="str">
        <f>HYPERLINK("https://d33htgqikc2pj4.cloudfront.net/bc15f639-9302-4db7-9a33-f8724a23e5ee.jpeg", "Алексей Бирюков: Ссылка на изображение")</f>
        <v>Алексей Бирюков: Ссылка на изображение</v>
      </c>
      <c r="EJ636" t="str">
        <f>HYPERLINK("https://d33htgqikc2pj4.cloudfront.net/03416faa-c0b5-4c33-a58b-3c7da311f401.jpeg", "Алексей Бирюков: Ссылка на изображение")</f>
        <v>Алексей Бирюков: Ссылка на изображение</v>
      </c>
      <c r="EK636" t="str">
        <f>HYPERLINK("https://d33htgqikc2pj4.cloudfront.net/58a0fd94-ac55-4b35-9817-d80496ab9832.jpeg", "Алексей Бирюков: Ссылка на изображение")</f>
        <v>Алексей Бирюков: Ссылка на изображение</v>
      </c>
      <c r="EL636" t="str">
        <f>HYPERLINK("https://d33htgqikc2pj4.cloudfront.net/7a608b89-b084-4e67-b21c-cedf42341b80.jpeg", "Алексей Бирюков: Ссылка на изображение")</f>
        <v>Алексей Бирюков: Ссылка на изображение</v>
      </c>
      <c r="EM636" t="s">
        <v>4827</v>
      </c>
      <c r="EN636" t="s">
        <v>4828</v>
      </c>
      <c r="EO636" t="s">
        <v>1902</v>
      </c>
      <c r="EP636" t="s">
        <v>1899</v>
      </c>
    </row>
    <row r="637" spans="1:148" ht="15" customHeight="1" x14ac:dyDescent="0.35">
      <c r="A637">
        <v>392</v>
      </c>
      <c r="B637" t="s">
        <v>4829</v>
      </c>
      <c r="C637">
        <v>2</v>
      </c>
      <c r="D637" t="str">
        <f>VLOOKUP(source[[#This Row],[Приоритет]],тПриоритеты[],2,0)</f>
        <v>Значительное</v>
      </c>
      <c r="E637" t="str">
        <f>IF(ISBLANK(source[[#This Row],[Проверенные]]),IF(ISBLANK(source[[#This Row],[Завершенные]]),source[[#This Row],[Приоритет_]],"Завершено"),"Проверено")</f>
        <v>Проверено</v>
      </c>
      <c r="F637" t="s">
        <v>4423</v>
      </c>
      <c r="G637" t="s">
        <v>2926</v>
      </c>
      <c r="H637" t="e">
        <f>VLOOKUP(source[[#This Row],[Отвественный]],тОтветственные[],2,0)</f>
        <v>#N/A</v>
      </c>
      <c r="I637" s="2">
        <v>43791</v>
      </c>
      <c r="J637" s="2">
        <v>43791</v>
      </c>
      <c r="S637" s="1">
        <v>43791.077708333331</v>
      </c>
      <c r="T637" s="1">
        <v>43811.680231481485</v>
      </c>
      <c r="U637" s="1">
        <v>43811.680231481485</v>
      </c>
      <c r="W637" s="1">
        <v>43811.75677083333</v>
      </c>
      <c r="X637" t="s">
        <v>4830</v>
      </c>
      <c r="AH637" s="3" t="s">
        <v>4831</v>
      </c>
      <c r="AI637" t="s">
        <v>4832</v>
      </c>
      <c r="AJ637" t="s">
        <v>4833</v>
      </c>
      <c r="AK637" t="s">
        <v>4834</v>
      </c>
      <c r="AL637" t="s">
        <v>4835</v>
      </c>
      <c r="EC637" t="s">
        <v>4836</v>
      </c>
      <c r="ED637" t="s">
        <v>2617</v>
      </c>
      <c r="EE637" t="s">
        <v>4837</v>
      </c>
      <c r="EF637" t="str">
        <f>HYPERLINK("https://d33htgqikc2pj4.cloudfront.net/dc7835f1-a635-4190-a8fc-e76ee6ea3dea.jpeg", "Алексей Бирюков: Ссылка на изображение")</f>
        <v>Алексей Бирюков: Ссылка на изображение</v>
      </c>
      <c r="EG637" t="str">
        <f>HYPERLINK("https://d33htgqikc2pj4.cloudfront.net/b4d699be-3d35-4e00-88a3-47273560fa3d.jpeg", "Алексей Бирюков: Ссылка на изображение")</f>
        <v>Алексей Бирюков: Ссылка на изображение</v>
      </c>
      <c r="EH637" t="str">
        <f>HYPERLINK("https://d33htgqikc2pj4.cloudfront.net/ce3c2d36-df79-4c25-8942-89deab6e7bc7.jpeg", "Алексей Бирюков: Ссылка на изображение")</f>
        <v>Алексей Бирюков: Ссылка на изображение</v>
      </c>
      <c r="EI637" t="str">
        <f>HYPERLINK("https://d33htgqikc2pj4.cloudfront.net/ceee12ef-a67e-4a69-9cd7-9b4eb4c5811e.jpeg", "Алексей Бирюков: Ссылка на изображение")</f>
        <v>Алексей Бирюков: Ссылка на изображение</v>
      </c>
      <c r="EJ637" t="s">
        <v>4838</v>
      </c>
      <c r="EK637" t="s">
        <v>4839</v>
      </c>
      <c r="EL637" t="s">
        <v>1902</v>
      </c>
      <c r="EM637" t="s">
        <v>1899</v>
      </c>
    </row>
    <row r="638" spans="1:148" ht="15" customHeight="1" x14ac:dyDescent="0.35">
      <c r="A638">
        <v>391</v>
      </c>
      <c r="B638" t="s">
        <v>4840</v>
      </c>
      <c r="C638">
        <v>2</v>
      </c>
      <c r="D638" t="str">
        <f>VLOOKUP(source[[#This Row],[Приоритет]],тПриоритеты[],2,0)</f>
        <v>Значительное</v>
      </c>
      <c r="E638" t="str">
        <f>IF(ISBLANK(source[[#This Row],[Проверенные]]),IF(ISBLANK(source[[#This Row],[Завершенные]]),source[[#This Row],[Приоритет_]],"Завершено"),"Проверено")</f>
        <v>Проверено</v>
      </c>
      <c r="F638" t="s">
        <v>4423</v>
      </c>
      <c r="G638" t="s">
        <v>2926</v>
      </c>
      <c r="H638" t="e">
        <f>VLOOKUP(source[[#This Row],[Отвественный]],тОтветственные[],2,0)</f>
        <v>#N/A</v>
      </c>
      <c r="I638" s="2">
        <v>43791</v>
      </c>
      <c r="J638" s="2">
        <v>43791</v>
      </c>
      <c r="S638" s="1">
        <v>43791.066493055558</v>
      </c>
      <c r="T638" s="1">
        <v>43811.680173611108</v>
      </c>
      <c r="U638" s="1">
        <v>43811.680173611108</v>
      </c>
      <c r="W638" s="1">
        <v>43811.75677083333</v>
      </c>
      <c r="X638" t="s">
        <v>461</v>
      </c>
      <c r="AH638" t="s">
        <v>4841</v>
      </c>
      <c r="AI638" s="3" t="s">
        <v>4842</v>
      </c>
      <c r="AJ638" s="3" t="s">
        <v>4843</v>
      </c>
      <c r="AK638" t="s">
        <v>4844</v>
      </c>
      <c r="AL638" t="s">
        <v>4845</v>
      </c>
      <c r="AM638" t="s">
        <v>4846</v>
      </c>
      <c r="AN638" t="s">
        <v>4847</v>
      </c>
      <c r="AO638" t="s">
        <v>4848</v>
      </c>
      <c r="AP638" t="s">
        <v>4849</v>
      </c>
      <c r="AQ638" t="s">
        <v>4850</v>
      </c>
      <c r="AR638" t="s">
        <v>4851</v>
      </c>
      <c r="EC638" t="s">
        <v>4852</v>
      </c>
      <c r="ED638" t="s">
        <v>4837</v>
      </c>
      <c r="EE638" t="str">
        <f>HYPERLINK("https://d33htgqikc2pj4.cloudfront.net/b416d96e-88f2-4d13-a051-01fd3f01c491.jpeg", "Алексей Бирюков: Ссылка на изображение")</f>
        <v>Алексей Бирюков: Ссылка на изображение</v>
      </c>
      <c r="EF638" t="str">
        <f>HYPERLINK("https://d33htgqikc2pj4.cloudfront.net/bc8e80ea-f1f0-4faa-9047-bff8d65d5a19.jpeg", "Алексей Бирюков: Ссылка на изображение")</f>
        <v>Алексей Бирюков: Ссылка на изображение</v>
      </c>
      <c r="EG638" t="str">
        <f>HYPERLINK("https://d33htgqikc2pj4.cloudfront.net/460fb31f-8523-4543-8b0b-dee3a3b07181.jpeg", "Алексей Бирюков: Ссылка на изображение")</f>
        <v>Алексей Бирюков: Ссылка на изображение</v>
      </c>
      <c r="EH638" t="str">
        <f>HYPERLINK("https://d33htgqikc2pj4.cloudfront.net/645115d5-ca12-4cf4-9825-66e77f5cfe7f.jpeg", "Алексей Бирюков: Ссылка на изображение")</f>
        <v>Алексей Бирюков: Ссылка на изображение</v>
      </c>
      <c r="EI638" t="s">
        <v>2617</v>
      </c>
      <c r="EJ638" t="s">
        <v>4853</v>
      </c>
      <c r="EK638" t="s">
        <v>4854</v>
      </c>
      <c r="EL638" t="str">
        <f>HYPERLINK("https://d33htgqikc2pj4.cloudfront.net/e2ffa61d-6347-470d-b296-0fd555b4a170.jpeg", "Алексей Бирюков: Ссылка на изображение")</f>
        <v>Алексей Бирюков: Ссылка на изображение</v>
      </c>
      <c r="EM638" t="s">
        <v>1902</v>
      </c>
      <c r="EN638" t="s">
        <v>1899</v>
      </c>
    </row>
    <row r="639" spans="1:148" ht="15" customHeight="1" x14ac:dyDescent="0.35">
      <c r="A639">
        <v>407</v>
      </c>
      <c r="B639" t="s">
        <v>4855</v>
      </c>
      <c r="C639">
        <v>2</v>
      </c>
      <c r="D639" t="str">
        <f>VLOOKUP(source[[#This Row],[Приоритет]],тПриоритеты[],2,0)</f>
        <v>Значительное</v>
      </c>
      <c r="E639" t="str">
        <f>IF(ISBLANK(source[[#This Row],[Проверенные]]),IF(ISBLANK(source[[#This Row],[Завершенные]]),source[[#This Row],[Приоритет_]],"Завершено"),"Проверено")</f>
        <v>Проверено</v>
      </c>
      <c r="F639" t="s">
        <v>4423</v>
      </c>
      <c r="G639" t="s">
        <v>2926</v>
      </c>
      <c r="H639" t="e">
        <f>VLOOKUP(source[[#This Row],[Отвественный]],тОтветственные[],2,0)</f>
        <v>#N/A</v>
      </c>
      <c r="I639" s="2">
        <v>43791</v>
      </c>
      <c r="J639" s="2">
        <v>43791</v>
      </c>
      <c r="S639" s="1">
        <v>43791.979664351849</v>
      </c>
      <c r="T639" s="1">
        <v>43811.680381944447</v>
      </c>
      <c r="U639" s="1">
        <v>43811.680381944447</v>
      </c>
      <c r="W639" s="1">
        <v>43811.756782407407</v>
      </c>
      <c r="X639" t="s">
        <v>4856</v>
      </c>
      <c r="AH639" t="s">
        <v>4857</v>
      </c>
      <c r="AI639" t="s">
        <v>4858</v>
      </c>
      <c r="AJ639" t="s">
        <v>4859</v>
      </c>
      <c r="AK639" t="s">
        <v>4860</v>
      </c>
      <c r="AL639" t="s">
        <v>4861</v>
      </c>
      <c r="AM639" t="s">
        <v>4862</v>
      </c>
      <c r="AN639" t="s">
        <v>4863</v>
      </c>
      <c r="AO639" t="s">
        <v>4864</v>
      </c>
      <c r="AP639" t="s">
        <v>4865</v>
      </c>
      <c r="AQ639" t="s">
        <v>4866</v>
      </c>
      <c r="AR639" t="s">
        <v>4867</v>
      </c>
      <c r="AS639" t="s">
        <v>4868</v>
      </c>
      <c r="AT639" t="s">
        <v>4869</v>
      </c>
      <c r="AU639" t="s">
        <v>4870</v>
      </c>
      <c r="AV639" t="s">
        <v>4871</v>
      </c>
      <c r="AW639" t="s">
        <v>4872</v>
      </c>
      <c r="EC639" t="s">
        <v>4873</v>
      </c>
      <c r="ED639" t="s">
        <v>4837</v>
      </c>
      <c r="EE639" t="s">
        <v>2617</v>
      </c>
      <c r="EF639" t="str">
        <f>HYPERLINK("https://d33htgqikc2pj4.cloudfront.net/bc646ace-08ff-4546-8a36-d56d6f989f6a.jpeg", "Алексей Бирюков: Ссылка на изображение")</f>
        <v>Алексей Бирюков: Ссылка на изображение</v>
      </c>
      <c r="EG639" t="str">
        <f>HYPERLINK("https://d33htgqikc2pj4.cloudfront.net/24826447-4930-4abf-9dae-2daceca5f232.jpeg", "Алексей Бирюков: Ссылка на изображение")</f>
        <v>Алексей Бирюков: Ссылка на изображение</v>
      </c>
      <c r="EH639" t="s">
        <v>1902</v>
      </c>
      <c r="EI639" t="s">
        <v>4874</v>
      </c>
      <c r="EJ639" t="s">
        <v>1899</v>
      </c>
    </row>
    <row r="640" spans="1:148" ht="15" customHeight="1" x14ac:dyDescent="0.35">
      <c r="A640">
        <v>405</v>
      </c>
      <c r="B640" t="s">
        <v>4875</v>
      </c>
      <c r="C640">
        <v>2</v>
      </c>
      <c r="D640" t="str">
        <f>VLOOKUP(source[[#This Row],[Приоритет]],тПриоритеты[],2,0)</f>
        <v>Значительное</v>
      </c>
      <c r="E640" t="str">
        <f>IF(ISBLANK(source[[#This Row],[Проверенные]]),IF(ISBLANK(source[[#This Row],[Завершенные]]),source[[#This Row],[Приоритет_]],"Завершено"),"Проверено")</f>
        <v>Проверено</v>
      </c>
      <c r="F640" t="s">
        <v>4423</v>
      </c>
      <c r="G640" t="s">
        <v>2926</v>
      </c>
      <c r="H640" t="e">
        <f>VLOOKUP(source[[#This Row],[Отвественный]],тОтветственные[],2,0)</f>
        <v>#N/A</v>
      </c>
      <c r="I640" s="2">
        <v>43791</v>
      </c>
      <c r="J640" s="2">
        <v>43791</v>
      </c>
      <c r="S640" s="1">
        <v>43791.97960648148</v>
      </c>
      <c r="T640" s="1">
        <v>43811.680289351854</v>
      </c>
      <c r="U640" s="1">
        <v>43811.680289351854</v>
      </c>
      <c r="W640" s="1">
        <v>43811.75677083333</v>
      </c>
      <c r="X640" t="s">
        <v>4830</v>
      </c>
      <c r="AH640" s="3" t="s">
        <v>4831</v>
      </c>
      <c r="AI640" t="s">
        <v>4832</v>
      </c>
      <c r="AJ640" t="s">
        <v>4833</v>
      </c>
      <c r="AK640" t="s">
        <v>4834</v>
      </c>
      <c r="AL640" t="s">
        <v>4876</v>
      </c>
      <c r="EC640" t="s">
        <v>2617</v>
      </c>
      <c r="ED640" t="s">
        <v>4837</v>
      </c>
      <c r="EE640" t="s">
        <v>4877</v>
      </c>
      <c r="EF640" t="str">
        <f>HYPERLINK("https://d33htgqikc2pj4.cloudfront.net/375eaf5e-0b4c-4413-bc44-7bd21e0fb2fc.jpeg", "Алексей Бирюков: Ссылка на изображение")</f>
        <v>Алексей Бирюков: Ссылка на изображение</v>
      </c>
      <c r="EG640" t="str">
        <f>HYPERLINK("https://d33htgqikc2pj4.cloudfront.net/ccde3335-ec12-4568-9716-f1e5f6d6ae36.jpeg", "Алексей Бирюков: Ссылка на изображение")</f>
        <v>Алексей Бирюков: Ссылка на изображение</v>
      </c>
      <c r="EH640" t="s">
        <v>1902</v>
      </c>
      <c r="EI640" t="s">
        <v>1899</v>
      </c>
    </row>
    <row r="641" spans="1:146" ht="15" customHeight="1" x14ac:dyDescent="0.35">
      <c r="A641">
        <v>408</v>
      </c>
      <c r="B641" t="s">
        <v>4878</v>
      </c>
      <c r="C641">
        <v>2</v>
      </c>
      <c r="D641" t="str">
        <f>VLOOKUP(source[[#This Row],[Приоритет]],тПриоритеты[],2,0)</f>
        <v>Значительное</v>
      </c>
      <c r="E641" t="str">
        <f>IF(ISBLANK(source[[#This Row],[Проверенные]]),IF(ISBLANK(source[[#This Row],[Завершенные]]),source[[#This Row],[Приоритет_]],"Завершено"),"Проверено")</f>
        <v>Проверено</v>
      </c>
      <c r="F641" t="s">
        <v>4423</v>
      </c>
      <c r="G641" t="s">
        <v>2926</v>
      </c>
      <c r="H641" t="e">
        <f>VLOOKUP(source[[#This Row],[Отвественный]],тОтветственные[],2,0)</f>
        <v>#N/A</v>
      </c>
      <c r="I641" s="2">
        <v>43792</v>
      </c>
      <c r="J641" s="2">
        <v>43792</v>
      </c>
      <c r="S641" s="1">
        <v>43791.979699074072</v>
      </c>
      <c r="T641" s="1">
        <v>43811.68041666667</v>
      </c>
      <c r="U641" s="1">
        <v>43811.68041666667</v>
      </c>
      <c r="W641" s="1">
        <v>43811.756782407407</v>
      </c>
      <c r="X641" t="s">
        <v>4879</v>
      </c>
      <c r="AH641" t="s">
        <v>4880</v>
      </c>
      <c r="AI641" t="s">
        <v>4881</v>
      </c>
      <c r="AJ641" t="s">
        <v>4882</v>
      </c>
      <c r="AK641" t="s">
        <v>4883</v>
      </c>
      <c r="AL641" t="s">
        <v>4884</v>
      </c>
      <c r="EC641" t="s">
        <v>4885</v>
      </c>
      <c r="ED641" t="str">
        <f>HYPERLINK("https://d33htgqikc2pj4.cloudfront.net/74e298dd-a80e-49b7-9f0e-48125c93888f.jpeg", "Алексей Бирюков: Ссылка на изображение")</f>
        <v>Алексей Бирюков: Ссылка на изображение</v>
      </c>
      <c r="EE641" t="str">
        <f>HYPERLINK("https://d33htgqikc2pj4.cloudfront.net/b55f6d04-3649-457c-9e8e-7e391e2e24ad.jpeg", "Алексей Бирюков: Ссылка на изображение")</f>
        <v>Алексей Бирюков: Ссылка на изображение</v>
      </c>
      <c r="EF641" t="str">
        <f>HYPERLINK("https://d33htgqikc2pj4.cloudfront.net/c01e0d89-42c9-4346-86f3-20342b045310.jpeg", "Алексей Бирюков: Ссылка на изображение")</f>
        <v>Алексей Бирюков: Ссылка на изображение</v>
      </c>
      <c r="EG641" t="str">
        <f>HYPERLINK("https://d33htgqikc2pj4.cloudfront.net/45310228-18ae-4148-b736-aae669f5a624.jpeg", "Алексей Бирюков: Ссылка на изображение")</f>
        <v>Алексей Бирюков: Ссылка на изображение</v>
      </c>
      <c r="EH641" t="str">
        <f>HYPERLINK("https://d33htgqikc2pj4.cloudfront.net/bb810765-0157-4561-ad81-45954aedf894.jpeg", "Алексей Бирюков: Ссылка на изображение")</f>
        <v>Алексей Бирюков: Ссылка на изображение</v>
      </c>
      <c r="EI641" t="s">
        <v>2617</v>
      </c>
      <c r="EJ641" t="s">
        <v>1902</v>
      </c>
      <c r="EK641" t="s">
        <v>3005</v>
      </c>
      <c r="EL641" t="s">
        <v>4886</v>
      </c>
      <c r="EM641" t="s">
        <v>1899</v>
      </c>
    </row>
    <row r="642" spans="1:146" ht="15" customHeight="1" x14ac:dyDescent="0.35">
      <c r="A642">
        <v>406</v>
      </c>
      <c r="B642" t="s">
        <v>4887</v>
      </c>
      <c r="C642">
        <v>2</v>
      </c>
      <c r="D642" t="str">
        <f>VLOOKUP(source[[#This Row],[Приоритет]],тПриоритеты[],2,0)</f>
        <v>Значительное</v>
      </c>
      <c r="E642" t="str">
        <f>IF(ISBLANK(source[[#This Row],[Проверенные]]),IF(ISBLANK(source[[#This Row],[Завершенные]]),source[[#This Row],[Приоритет_]],"Завершено"),"Проверено")</f>
        <v>Проверено</v>
      </c>
      <c r="F642" t="s">
        <v>4423</v>
      </c>
      <c r="G642" t="s">
        <v>2926</v>
      </c>
      <c r="H642" t="e">
        <f>VLOOKUP(source[[#This Row],[Отвественный]],тОтветственные[],2,0)</f>
        <v>#N/A</v>
      </c>
      <c r="I642" s="2">
        <v>43792</v>
      </c>
      <c r="J642" s="2">
        <v>43792</v>
      </c>
      <c r="S642" s="1">
        <v>43791.979629629626</v>
      </c>
      <c r="T642" s="1">
        <v>43811.680347222224</v>
      </c>
      <c r="U642" s="1">
        <v>43811.680347222224</v>
      </c>
      <c r="W642" s="1">
        <v>43811.75677083333</v>
      </c>
      <c r="X642" t="s">
        <v>444</v>
      </c>
      <c r="AH642" t="s">
        <v>4888</v>
      </c>
      <c r="AI642" t="s">
        <v>4889</v>
      </c>
      <c r="AJ642" t="s">
        <v>4890</v>
      </c>
      <c r="AK642" t="s">
        <v>4891</v>
      </c>
      <c r="AL642" t="s">
        <v>4892</v>
      </c>
      <c r="AM642" t="s">
        <v>4893</v>
      </c>
      <c r="AN642" t="s">
        <v>4894</v>
      </c>
      <c r="EC642" t="s">
        <v>4895</v>
      </c>
      <c r="ED642" t="str">
        <f>HYPERLINK("https://d33htgqikc2pj4.cloudfront.net/1c5e0fd8-6b1e-45a0-8637-c5858abe16e0.jpeg", "Алексей Бирюков: Ссылка на изображение")</f>
        <v>Алексей Бирюков: Ссылка на изображение</v>
      </c>
      <c r="EE642" t="str">
        <f>HYPERLINK("https://d33htgqikc2pj4.cloudfront.net/5cea9492-34aa-4509-bc75-50c4cc7853e8.jpeg", "Алексей Бирюков: Ссылка на изображение")</f>
        <v>Алексей Бирюков: Ссылка на изображение</v>
      </c>
      <c r="EF642" t="str">
        <f>HYPERLINK("https://d33htgqikc2pj4.cloudfront.net/fdf34c8c-14b8-4490-9226-b08f6c57c4ee.jpeg", "Алексей Бирюков: Ссылка на изображение")</f>
        <v>Алексей Бирюков: Ссылка на изображение</v>
      </c>
      <c r="EG642" t="str">
        <f>HYPERLINK("https://d33htgqikc2pj4.cloudfront.net/22e37797-44c0-44c8-ac7d-8deb541099a9.jpeg", "Алексей Бирюков: Ссылка на изображение")</f>
        <v>Алексей Бирюков: Ссылка на изображение</v>
      </c>
      <c r="EH642" t="s">
        <v>2617</v>
      </c>
      <c r="EI642" t="s">
        <v>3005</v>
      </c>
      <c r="EJ642" t="s">
        <v>1902</v>
      </c>
      <c r="EK642" t="s">
        <v>1899</v>
      </c>
    </row>
    <row r="643" spans="1:146" ht="15" customHeight="1" x14ac:dyDescent="0.35">
      <c r="A643">
        <v>1066</v>
      </c>
      <c r="B643" t="s">
        <v>4896</v>
      </c>
      <c r="C643">
        <v>2</v>
      </c>
      <c r="D643" t="str">
        <f>VLOOKUP(source[[#This Row],[Приоритет]],тПриоритеты[],2,0)</f>
        <v>Значительное</v>
      </c>
      <c r="E643" t="str">
        <f>IF(ISBLANK(source[[#This Row],[Проверенные]]),IF(ISBLANK(source[[#This Row],[Завершенные]]),source[[#This Row],[Приоритет_]],"Завершено"),"Проверено")</f>
        <v>Проверено</v>
      </c>
      <c r="F643" t="s">
        <v>4423</v>
      </c>
      <c r="G643" t="s">
        <v>2926</v>
      </c>
      <c r="H643" t="e">
        <f>VLOOKUP(source[[#This Row],[Отвественный]],тОтветственные[],2,0)</f>
        <v>#N/A</v>
      </c>
      <c r="I643" s="2">
        <v>43856</v>
      </c>
      <c r="J643" s="2">
        <v>43856</v>
      </c>
      <c r="S643" s="1">
        <v>43856.780324074076</v>
      </c>
      <c r="T643" s="1">
        <v>43856.652048611111</v>
      </c>
      <c r="U643" s="1">
        <v>43856.652048611111</v>
      </c>
      <c r="W643" s="1">
        <v>43856.780324074076</v>
      </c>
      <c r="X643" t="s">
        <v>2606</v>
      </c>
      <c r="AH643" t="s">
        <v>4897</v>
      </c>
      <c r="AI643" t="s">
        <v>4898</v>
      </c>
      <c r="AJ643" t="s">
        <v>4899</v>
      </c>
      <c r="AK643" t="s">
        <v>4900</v>
      </c>
      <c r="AL643" t="s">
        <v>4901</v>
      </c>
      <c r="AM643" t="s">
        <v>4902</v>
      </c>
      <c r="AN643" t="s">
        <v>4903</v>
      </c>
      <c r="AO643" t="s">
        <v>4904</v>
      </c>
      <c r="EC643" t="s">
        <v>4905</v>
      </c>
      <c r="ED643" t="s">
        <v>2617</v>
      </c>
      <c r="EE643" t="s">
        <v>2947</v>
      </c>
      <c r="EF643" t="str">
        <f>HYPERLINK("https://d33htgqikc2pj4.cloudfront.net/qvHDimMUqxZcQnsj/99d68135-1a5a-45cd-b145-ae940fd3d3cc.jpeg", "Алексей Бирюков: Ссылка на изображение")</f>
        <v>Алексей Бирюков: Ссылка на изображение</v>
      </c>
      <c r="EG643" t="str">
        <f>HYPERLINK("https://d33htgqikc2pj4.cloudfront.net/qvHDimMUqxZcQnsj/be6b3f35-37db-48b3-a312-679eeb76eae4.jpeg", "Алексей Бирюков: Ссылка на изображение")</f>
        <v>Алексей Бирюков: Ссылка на изображение</v>
      </c>
      <c r="EH643" t="str">
        <f>HYPERLINK("https://d33htgqikc2pj4.cloudfront.net/qvHDimMUqxZcQnsj/ec41ad60-c517-4907-a9df-28c1d18a80fd.jpeg", "Алексей Бирюков: Ссылка на изображение")</f>
        <v>Алексей Бирюков: Ссылка на изображение</v>
      </c>
      <c r="EI643" t="str">
        <f>HYPERLINK("https://d33htgqikc2pj4.cloudfront.net/qvHDimMUqxZcQnsj/60fe4744-01b6-48a8-88f9-4e407c9d5b19.jpeg", "Алексей Бирюков: Ссылка на изображение")</f>
        <v>Алексей Бирюков: Ссылка на изображение</v>
      </c>
      <c r="EJ643" t="str">
        <f>HYPERLINK("https://d33htgqikc2pj4.cloudfront.net/qvHDimMUqxZcQnsj/b71a1a8f-a40b-4ad6-888e-55607c71008b.jpeg", "Алексей Бирюков: Ссылка на изображение")</f>
        <v>Алексей Бирюков: Ссылка на изображение</v>
      </c>
      <c r="EK643" t="str">
        <f>HYPERLINK("https://d33htgqikc2pj4.cloudfront.net/qvHDimMUqxZcQnsj/c9520cce-b62b-42b6-9640-53b0e7d8b1f4.jpeg", "Алексей Бирюков: Ссылка на изображение")</f>
        <v>Алексей Бирюков: Ссылка на изображение</v>
      </c>
      <c r="EL643" t="str">
        <f>HYPERLINK("https://d33htgqikc2pj4.cloudfront.net/qvHDimMUqxZcQnsj/58b419ef-a34c-4460-91ae-82dca11dc199.jpeg", "Алексей Бирюков: Ссылка на изображение")</f>
        <v>Алексей Бирюков: Ссылка на изображение</v>
      </c>
      <c r="EM643" t="s">
        <v>4906</v>
      </c>
      <c r="EN643" t="s">
        <v>1899</v>
      </c>
    </row>
    <row r="644" spans="1:146" ht="15" customHeight="1" x14ac:dyDescent="0.35">
      <c r="A644">
        <v>1063</v>
      </c>
      <c r="B644" t="s">
        <v>4907</v>
      </c>
      <c r="C644">
        <v>2</v>
      </c>
      <c r="D644" t="str">
        <f>VLOOKUP(source[[#This Row],[Приоритет]],тПриоритеты[],2,0)</f>
        <v>Значительное</v>
      </c>
      <c r="E644" t="str">
        <f>IF(ISBLANK(source[[#This Row],[Проверенные]]),IF(ISBLANK(source[[#This Row],[Завершенные]]),source[[#This Row],[Приоритет_]],"Завершено"),"Проверено")</f>
        <v>Проверено</v>
      </c>
      <c r="F644" t="s">
        <v>4423</v>
      </c>
      <c r="G644" t="s">
        <v>2926</v>
      </c>
      <c r="H644" t="e">
        <f>VLOOKUP(source[[#This Row],[Отвественный]],тОтветственные[],2,0)</f>
        <v>#N/A</v>
      </c>
      <c r="I644" s="2">
        <v>43856</v>
      </c>
      <c r="J644" s="2">
        <v>43856</v>
      </c>
      <c r="S644" s="1">
        <v>43856.780312499999</v>
      </c>
      <c r="T644" s="1">
        <v>43856.780763888892</v>
      </c>
      <c r="U644" s="1">
        <v>43856.780763888892</v>
      </c>
      <c r="W644" s="1">
        <v>43856.780775462961</v>
      </c>
      <c r="X644" t="s">
        <v>2606</v>
      </c>
      <c r="AH644" t="s">
        <v>4897</v>
      </c>
      <c r="AI644" t="s">
        <v>4898</v>
      </c>
      <c r="AJ644" t="s">
        <v>4899</v>
      </c>
      <c r="AK644" t="s">
        <v>4900</v>
      </c>
      <c r="AL644" t="s">
        <v>4901</v>
      </c>
      <c r="AM644" t="s">
        <v>4908</v>
      </c>
      <c r="AN644" t="s">
        <v>4903</v>
      </c>
      <c r="AO644" t="s">
        <v>4904</v>
      </c>
      <c r="EC644" t="s">
        <v>4909</v>
      </c>
      <c r="ED644" t="s">
        <v>2617</v>
      </c>
      <c r="EE644" t="s">
        <v>2947</v>
      </c>
      <c r="EF644" t="str">
        <f>HYPERLINK("https://d33htgqikc2pj4.cloudfront.net/qvHDimMUqxZcQnsj/0c09a95b-9c09-41ec-8b96-3ff90a560492.jpeg", "Алексей Бирюков: Ссылка на изображение")</f>
        <v>Алексей Бирюков: Ссылка на изображение</v>
      </c>
      <c r="EG644" t="str">
        <f>HYPERLINK("https://d33htgqikc2pj4.cloudfront.net/qvHDimMUqxZcQnsj/aad874f6-151d-420e-bc07-42b763d50f0a.jpeg", "Алексей Бирюков: Ссылка на изображение")</f>
        <v>Алексей Бирюков: Ссылка на изображение</v>
      </c>
      <c r="EH644" t="str">
        <f>HYPERLINK("https://d33htgqikc2pj4.cloudfront.net/qvHDimMUqxZcQnsj/211d5f98-f5fb-4537-93bf-86a63da560c6.jpeg", "Алексей Бирюков: Ссылка на изображение")</f>
        <v>Алексей Бирюков: Ссылка на изображение</v>
      </c>
      <c r="EI644" t="str">
        <f>HYPERLINK("https://d33htgqikc2pj4.cloudfront.net/qvHDimMUqxZcQnsj/e2cb4679-c789-4ef6-8d67-1571e17a9424.jpeg", "Алексей Бирюков: Ссылка на изображение")</f>
        <v>Алексей Бирюков: Ссылка на изображение</v>
      </c>
      <c r="EJ644" t="str">
        <f>HYPERLINK("https://d33htgqikc2pj4.cloudfront.net/qvHDimMUqxZcQnsj/561fff2f-5bd9-406f-af4b-3fc56cc61e32.jpeg", "Алексей Бирюков: Ссылка на изображение")</f>
        <v>Алексей Бирюков: Ссылка на изображение</v>
      </c>
      <c r="EK644" t="str">
        <f>HYPERLINK("https://d33htgqikc2pj4.cloudfront.net/qvHDimMUqxZcQnsj/4f3921eb-7c8e-4916-8674-d09f2d4882db.jpeg", "Алексей Бирюков: Ссылка на изображение")</f>
        <v>Алексей Бирюков: Ссылка на изображение</v>
      </c>
      <c r="EL644" t="str">
        <f>HYPERLINK("https://d33htgqikc2pj4.cloudfront.net/qvHDimMUqxZcQnsj/04097ef7-a93a-4b2f-b119-fb7be94c2251.jpeg", "Алексей Бирюков: Ссылка на изображение")</f>
        <v>Алексей Бирюков: Ссылка на изображение</v>
      </c>
      <c r="EM644" t="str">
        <f>HYPERLINK("https://d33htgqikc2pj4.cloudfront.net/qvHDimMUqxZcQnsj/d05bdc5c-5f85-4218-baf0-2ad0708c81d1.jpeg", "Алексей Бирюков: Ссылка на изображение")</f>
        <v>Алексей Бирюков: Ссылка на изображение</v>
      </c>
      <c r="EN644" t="s">
        <v>1899</v>
      </c>
    </row>
    <row r="645" spans="1:146" ht="15" customHeight="1" x14ac:dyDescent="0.35">
      <c r="A645">
        <v>684</v>
      </c>
      <c r="B645" t="s">
        <v>4910</v>
      </c>
      <c r="C645">
        <v>3</v>
      </c>
      <c r="D645" t="str">
        <f>VLOOKUP(source[[#This Row],[Приоритет]],тПриоритеты[],2,0)</f>
        <v>Малозначительное</v>
      </c>
      <c r="E645" t="str">
        <f>IF(ISBLANK(source[[#This Row],[Проверенные]]),IF(ISBLANK(source[[#This Row],[Завершенные]]),source[[#This Row],[Приоритет_]],"Завершено"),"Проверено")</f>
        <v>Проверено</v>
      </c>
      <c r="F645" t="s">
        <v>4423</v>
      </c>
      <c r="G645" t="s">
        <v>2926</v>
      </c>
      <c r="H645" t="e">
        <f>VLOOKUP(source[[#This Row],[Отвественный]],тОтветственные[],2,0)</f>
        <v>#N/A</v>
      </c>
      <c r="I645" s="2">
        <v>43818</v>
      </c>
      <c r="J645" s="2">
        <v>43818</v>
      </c>
      <c r="S645" s="1">
        <v>43819.007962962962</v>
      </c>
      <c r="T645" s="1">
        <v>43819.271817129629</v>
      </c>
      <c r="U645" s="1">
        <v>43819.271817129629</v>
      </c>
      <c r="W645" s="1">
        <v>43819.294050925928</v>
      </c>
      <c r="X645" t="s">
        <v>4760</v>
      </c>
      <c r="AH645" t="s">
        <v>4911</v>
      </c>
      <c r="AI645" t="s">
        <v>4912</v>
      </c>
      <c r="AJ645" t="s">
        <v>4913</v>
      </c>
      <c r="AK645" t="s">
        <v>4914</v>
      </c>
      <c r="AL645" t="s">
        <v>4915</v>
      </c>
      <c r="AM645" t="s">
        <v>4916</v>
      </c>
      <c r="AN645" t="s">
        <v>4917</v>
      </c>
      <c r="AO645" t="s">
        <v>4918</v>
      </c>
      <c r="AP645" t="s">
        <v>4919</v>
      </c>
      <c r="AQ645" t="s">
        <v>4920</v>
      </c>
      <c r="AR645" t="s">
        <v>4921</v>
      </c>
      <c r="AS645" t="s">
        <v>4922</v>
      </c>
      <c r="AT645" t="s">
        <v>4923</v>
      </c>
      <c r="AU645" t="s">
        <v>4924</v>
      </c>
      <c r="AV645" t="s">
        <v>4925</v>
      </c>
      <c r="AW645" t="s">
        <v>4926</v>
      </c>
      <c r="AX645" t="s">
        <v>4927</v>
      </c>
      <c r="AY645" t="s">
        <v>4928</v>
      </c>
      <c r="EC645" t="s">
        <v>2977</v>
      </c>
      <c r="ED645" t="s">
        <v>4929</v>
      </c>
      <c r="EE645" t="s">
        <v>2617</v>
      </c>
      <c r="EF645" t="s">
        <v>4930</v>
      </c>
      <c r="EG645" t="str">
        <f>HYPERLINK("https://d33htgqikc2pj4.cloudfront.net/qvHDimMUqxZcQnsj/c647f196-652c-48ba-902e-6e05317b0e35.jpeg", "Алексей Бирюков: Ссылка на изображение")</f>
        <v>Алексей Бирюков: Ссылка на изображение</v>
      </c>
      <c r="EH645" t="str">
        <f>HYPERLINK("https://d33htgqikc2pj4.cloudfront.net/qvHDimMUqxZcQnsj/5f7b1f18-8e9d-41b3-8f4d-26da43547280.jpeg", "Алексей Бирюков: Ссылка на изображение")</f>
        <v>Алексей Бирюков: Ссылка на изображение</v>
      </c>
      <c r="EI645" t="str">
        <f>HYPERLINK("https://d33htgqikc2pj4.cloudfront.net/qvHDimMUqxZcQnsj/3f6f682a-e279-4bfd-8119-2747ce468e85.jpeg", "Алексей Бирюков: Ссылка на изображение")</f>
        <v>Алексей Бирюков: Ссылка на изображение</v>
      </c>
      <c r="EJ645" t="str">
        <f>HYPERLINK("https://d33htgqikc2pj4.cloudfront.net/qvHDimMUqxZcQnsj/92c1f320-c44a-4b11-8e98-a8a56ef75da4.jpeg", "Алексей Бирюков: Ссылка на изображение")</f>
        <v>Алексей Бирюков: Ссылка на изображение</v>
      </c>
      <c r="EK645" t="str">
        <f>HYPERLINK("https://d33htgqikc2pj4.cloudfront.net/qvHDimMUqxZcQnsj/ec2367cf-f053-4ae9-9989-2170026dff57.jpeg", "Алексей Бирюков: Ссылка на изображение")</f>
        <v>Алексей Бирюков: Ссылка на изображение</v>
      </c>
      <c r="EL645" t="str">
        <f>HYPERLINK("https://d33htgqikc2pj4.cloudfront.net/qvHDimMUqxZcQnsj/eadeb8a6-85e9-4975-81a9-cf8b7ba5bb21.jpeg", "Алексей Бирюков: Ссылка на изображение")</f>
        <v>Алексей Бирюков: Ссылка на изображение</v>
      </c>
      <c r="EM645" t="str">
        <f>HYPERLINK("https://d33htgqikc2pj4.cloudfront.net/qvHDimMUqxZcQnsj/c00d2979-e9a1-4f97-ba55-451290c84c85.jpeg", "Алексей Бирюков: Ссылка на изображение")</f>
        <v>Алексей Бирюков: Ссылка на изображение</v>
      </c>
      <c r="EN645" t="s">
        <v>1902</v>
      </c>
      <c r="EO645" t="s">
        <v>1899</v>
      </c>
    </row>
    <row r="646" spans="1:146" ht="15" customHeight="1" x14ac:dyDescent="0.35">
      <c r="A646">
        <v>688</v>
      </c>
      <c r="B646" t="s">
        <v>4931</v>
      </c>
      <c r="C646">
        <v>3</v>
      </c>
      <c r="D646" t="str">
        <f>VLOOKUP(source[[#This Row],[Приоритет]],тПриоритеты[],2,0)</f>
        <v>Малозначительное</v>
      </c>
      <c r="E646" t="str">
        <f>IF(ISBLANK(source[[#This Row],[Проверенные]]),IF(ISBLANK(source[[#This Row],[Завершенные]]),source[[#This Row],[Приоритет_]],"Завершено"),"Проверено")</f>
        <v>Проверено</v>
      </c>
      <c r="F646" t="s">
        <v>4423</v>
      </c>
      <c r="G646" t="s">
        <v>2926</v>
      </c>
      <c r="H646" t="e">
        <f>VLOOKUP(source[[#This Row],[Отвественный]],тОтветственные[],2,0)</f>
        <v>#N/A</v>
      </c>
      <c r="I646" s="2">
        <v>43819</v>
      </c>
      <c r="J646" s="2">
        <v>43819</v>
      </c>
      <c r="S646" s="1">
        <v>43819.294050925928</v>
      </c>
      <c r="T646" s="1">
        <v>43819.293564814812</v>
      </c>
      <c r="U646" s="1">
        <v>43819.293564814812</v>
      </c>
      <c r="W646" s="1">
        <v>43819.2965625</v>
      </c>
      <c r="X646" t="s">
        <v>2606</v>
      </c>
      <c r="AH646" t="s">
        <v>4932</v>
      </c>
      <c r="AI646" t="s">
        <v>4933</v>
      </c>
      <c r="AJ646" t="s">
        <v>4934</v>
      </c>
      <c r="AK646" t="s">
        <v>4935</v>
      </c>
      <c r="AL646" t="s">
        <v>4936</v>
      </c>
      <c r="AM646" t="s">
        <v>4937</v>
      </c>
      <c r="AN646" t="s">
        <v>4938</v>
      </c>
      <c r="AO646" t="s">
        <v>4939</v>
      </c>
      <c r="EC646" t="s">
        <v>4940</v>
      </c>
      <c r="ED646" t="s">
        <v>2964</v>
      </c>
      <c r="EE646" t="s">
        <v>2617</v>
      </c>
      <c r="EF646" t="s">
        <v>2977</v>
      </c>
      <c r="EG646" t="str">
        <f>HYPERLINK("https://d33htgqikc2pj4.cloudfront.net/qvHDimMUqxZcQnsj/b2311fb9-1320-4499-94ee-b0cfaa7baf7d.jpeg", "Алексей Бирюков: Ссылка на изображение")</f>
        <v>Алексей Бирюков: Ссылка на изображение</v>
      </c>
      <c r="EH646" t="str">
        <f>HYPERLINK("https://d33htgqikc2pj4.cloudfront.net/qvHDimMUqxZcQnsj/9ff200ca-8ac6-4a52-96fe-76e06d44d7ee.jpeg", "Алексей Бирюков: Ссылка на изображение")</f>
        <v>Алексей Бирюков: Ссылка на изображение</v>
      </c>
      <c r="EI646" t="str">
        <f>HYPERLINK("https://d33htgqikc2pj4.cloudfront.net/qvHDimMUqxZcQnsj/df4b190a-704e-4fec-8181-70eadbed2898.jpeg", "Алексей Бирюков: Ссылка на изображение")</f>
        <v>Алексей Бирюков: Ссылка на изображение</v>
      </c>
      <c r="EJ646" t="str">
        <f>HYPERLINK("https://d33htgqikc2pj4.cloudfront.net/qvHDimMUqxZcQnsj/73150475-548d-4fde-94fc-2bf7c77e9be3.jpeg", "Алексей Бирюков: Ссылка на изображение")</f>
        <v>Алексей Бирюков: Ссылка на изображение</v>
      </c>
      <c r="EK646" t="str">
        <f>HYPERLINK("https://d33htgqikc2pj4.cloudfront.net/qvHDimMUqxZcQnsj/af08927d-6a4c-4f54-a2e1-fa398cb670f1.jpeg", "Алексей Бирюков: Ссылка на изображение")</f>
        <v>Алексей Бирюков: Ссылка на изображение</v>
      </c>
      <c r="EL646" t="s">
        <v>1902</v>
      </c>
      <c r="EM646" t="s">
        <v>1899</v>
      </c>
    </row>
    <row r="647" spans="1:146" ht="15" customHeight="1" x14ac:dyDescent="0.35">
      <c r="A647">
        <v>686</v>
      </c>
      <c r="B647" t="s">
        <v>4941</v>
      </c>
      <c r="C647">
        <v>3</v>
      </c>
      <c r="D647" t="str">
        <f>VLOOKUP(source[[#This Row],[Приоритет]],тПриоритеты[],2,0)</f>
        <v>Малозначительное</v>
      </c>
      <c r="E647" t="str">
        <f>IF(ISBLANK(source[[#This Row],[Проверенные]]),IF(ISBLANK(source[[#This Row],[Завершенные]]),source[[#This Row],[Приоритет_]],"Завершено"),"Проверено")</f>
        <v>Проверено</v>
      </c>
      <c r="F647" t="s">
        <v>4423</v>
      </c>
      <c r="G647" t="s">
        <v>2926</v>
      </c>
      <c r="H647" t="e">
        <f>VLOOKUP(source[[#This Row],[Отвественный]],тОтветственные[],2,0)</f>
        <v>#N/A</v>
      </c>
      <c r="I647" s="2">
        <v>43819</v>
      </c>
      <c r="J647" s="2">
        <v>43819</v>
      </c>
      <c r="S647" s="1">
        <v>43819.008032407408</v>
      </c>
      <c r="T647" s="1">
        <v>43819.272847222222</v>
      </c>
      <c r="U647" s="1">
        <v>43819.272847222222</v>
      </c>
      <c r="W647" s="1">
        <v>43819.294050925928</v>
      </c>
      <c r="X647" t="s">
        <v>4942</v>
      </c>
      <c r="Y647" t="s">
        <v>2606</v>
      </c>
      <c r="AH647" t="s">
        <v>4943</v>
      </c>
      <c r="AI647" t="s">
        <v>4944</v>
      </c>
      <c r="AJ647" t="s">
        <v>4945</v>
      </c>
      <c r="AK647" t="s">
        <v>4946</v>
      </c>
      <c r="AL647" t="s">
        <v>4947</v>
      </c>
      <c r="AM647" t="s">
        <v>4948</v>
      </c>
      <c r="AN647" t="s">
        <v>4949</v>
      </c>
      <c r="AO647" t="s">
        <v>4950</v>
      </c>
      <c r="AP647" t="s">
        <v>4951</v>
      </c>
      <c r="AQ647" t="s">
        <v>4952</v>
      </c>
      <c r="AR647" t="s">
        <v>4953</v>
      </c>
      <c r="AS647" t="s">
        <v>4954</v>
      </c>
      <c r="AT647" t="s">
        <v>4955</v>
      </c>
      <c r="AU647" t="s">
        <v>4956</v>
      </c>
      <c r="AV647" t="s">
        <v>4957</v>
      </c>
      <c r="AW647" t="s">
        <v>4958</v>
      </c>
      <c r="AX647" t="s">
        <v>4959</v>
      </c>
      <c r="AY647" t="s">
        <v>4960</v>
      </c>
      <c r="AZ647" t="s">
        <v>4961</v>
      </c>
      <c r="BA647" t="s">
        <v>4962</v>
      </c>
      <c r="BB647" t="s">
        <v>4963</v>
      </c>
      <c r="BC647" t="s">
        <v>4964</v>
      </c>
      <c r="BD647" t="s">
        <v>4965</v>
      </c>
      <c r="BE647" t="s">
        <v>4966</v>
      </c>
      <c r="BF647" t="s">
        <v>4967</v>
      </c>
      <c r="BG647" t="s">
        <v>4968</v>
      </c>
      <c r="BH647" t="s">
        <v>4969</v>
      </c>
      <c r="BI647" t="s">
        <v>4970</v>
      </c>
      <c r="BJ647" t="s">
        <v>4971</v>
      </c>
      <c r="BK647" t="s">
        <v>4972</v>
      </c>
      <c r="BL647" t="s">
        <v>4973</v>
      </c>
      <c r="BM647" t="s">
        <v>4974</v>
      </c>
      <c r="BN647" t="s">
        <v>4975</v>
      </c>
      <c r="BO647" t="s">
        <v>4976</v>
      </c>
      <c r="BP647" t="s">
        <v>4932</v>
      </c>
      <c r="BQ647" t="s">
        <v>4933</v>
      </c>
      <c r="BR647" t="s">
        <v>4934</v>
      </c>
      <c r="BS647" t="s">
        <v>4935</v>
      </c>
      <c r="BT647" t="s">
        <v>4977</v>
      </c>
      <c r="BU647" t="s">
        <v>4937</v>
      </c>
      <c r="BV647" t="s">
        <v>4938</v>
      </c>
      <c r="BW647" t="s">
        <v>4939</v>
      </c>
      <c r="EC647" t="s">
        <v>4978</v>
      </c>
      <c r="ED647" t="s">
        <v>2964</v>
      </c>
      <c r="EE647" t="s">
        <v>4979</v>
      </c>
      <c r="EF647" t="s">
        <v>2617</v>
      </c>
      <c r="EG647" t="s">
        <v>2977</v>
      </c>
      <c r="EH647" t="str">
        <f>HYPERLINK("https://d33htgqikc2pj4.cloudfront.net/qvHDimMUqxZcQnsj/23b0bb9e-3633-4ec7-8d8e-51a934753ba2.jpeg", "Алексей Бирюков: Ссылка на изображение")</f>
        <v>Алексей Бирюков: Ссылка на изображение</v>
      </c>
      <c r="EI647" t="str">
        <f>HYPERLINK("https://d33htgqikc2pj4.cloudfront.net/qvHDimMUqxZcQnsj/68628048-144a-412e-84d7-de25fa506683.jpeg", "Алексей Бирюков: Ссылка на изображение")</f>
        <v>Алексей Бирюков: Ссылка на изображение</v>
      </c>
      <c r="EJ647" t="str">
        <f>HYPERLINK("https://d33htgqikc2pj4.cloudfront.net/qvHDimMUqxZcQnsj/e89e33b8-c8e0-4884-a100-eb2ce5999503.jpeg", "Алексей Бирюков: Ссылка на изображение")</f>
        <v>Алексей Бирюков: Ссылка на изображение</v>
      </c>
      <c r="EK647" t="str">
        <f>HYPERLINK("https://d33htgqikc2pj4.cloudfront.net/qvHDimMUqxZcQnsj/41ea7b65-a02e-4d58-a013-5307490ebf52.jpeg", "Алексей Бирюков: Ссылка на изображение")</f>
        <v>Алексей Бирюков: Ссылка на изображение</v>
      </c>
      <c r="EL647" t="str">
        <f>HYPERLINK("https://d33htgqikc2pj4.cloudfront.net/qvHDimMUqxZcQnsj/95142969-5467-49e8-bcd1-2cb0987fea12.jpeg", "Алексей Бирюков: Ссылка на изображение")</f>
        <v>Алексей Бирюков: Ссылка на изображение</v>
      </c>
      <c r="EM647" t="str">
        <f>HYPERLINK("https://d33htgqikc2pj4.cloudfront.net/qvHDimMUqxZcQnsj/16915c9f-03b1-4870-87c8-e911dd9ecda3.jpeg", "Алексей Бирюков: Ссылка на изображение")</f>
        <v>Алексей Бирюков: Ссылка на изображение</v>
      </c>
      <c r="EN647" t="str">
        <f>HYPERLINK("https://d33htgqikc2pj4.cloudfront.net/qvHDimMUqxZcQnsj/07e38370-4dfe-46a5-b40b-3cc6a58d31fc.jpeg", "Алексей Бирюков: Ссылка на изображение")</f>
        <v>Алексей Бирюков: Ссылка на изображение</v>
      </c>
      <c r="EO647" t="s">
        <v>1902</v>
      </c>
      <c r="EP647" t="s">
        <v>1899</v>
      </c>
    </row>
    <row r="648" spans="1:146" ht="15" customHeight="1" x14ac:dyDescent="0.35">
      <c r="A648">
        <v>431</v>
      </c>
      <c r="B648" t="s">
        <v>4980</v>
      </c>
      <c r="C648">
        <v>2</v>
      </c>
      <c r="D648" t="str">
        <f>VLOOKUP(source[[#This Row],[Приоритет]],тПриоритеты[],2,0)</f>
        <v>Значительное</v>
      </c>
      <c r="E648" t="str">
        <f>IF(ISBLANK(source[[#This Row],[Проверенные]]),IF(ISBLANK(source[[#This Row],[Завершенные]]),source[[#This Row],[Приоритет_]],"Завершено"),"Проверено")</f>
        <v>Проверено</v>
      </c>
      <c r="F648" t="s">
        <v>4423</v>
      </c>
      <c r="G648" t="s">
        <v>2926</v>
      </c>
      <c r="H648" t="e">
        <f>VLOOKUP(source[[#This Row],[Отвественный]],тОтветственные[],2,0)</f>
        <v>#N/A</v>
      </c>
      <c r="I648" s="2">
        <v>43794</v>
      </c>
      <c r="J648" s="2">
        <v>43794</v>
      </c>
      <c r="S648" s="1">
        <v>43794.755995370368</v>
      </c>
      <c r="T648" s="1">
        <v>43811.680486111109</v>
      </c>
      <c r="U648" s="1">
        <v>43811.680486111109</v>
      </c>
      <c r="W648" s="1">
        <v>43811.756793981483</v>
      </c>
      <c r="X648" t="s">
        <v>3339</v>
      </c>
      <c r="AH648" t="s">
        <v>4981</v>
      </c>
      <c r="AI648" t="s">
        <v>4982</v>
      </c>
      <c r="AJ648" t="s">
        <v>4983</v>
      </c>
      <c r="AK648" t="s">
        <v>4984</v>
      </c>
      <c r="AL648" t="s">
        <v>4985</v>
      </c>
      <c r="AM648" t="s">
        <v>4986</v>
      </c>
      <c r="AN648" t="s">
        <v>4987</v>
      </c>
      <c r="EC648" t="s">
        <v>1902</v>
      </c>
      <c r="ED648" t="s">
        <v>4988</v>
      </c>
      <c r="EE648" t="s">
        <v>2617</v>
      </c>
      <c r="EF648" t="s">
        <v>4989</v>
      </c>
      <c r="EG648" t="s">
        <v>1899</v>
      </c>
    </row>
    <row r="649" spans="1:146" ht="15" customHeight="1" x14ac:dyDescent="0.35">
      <c r="A649">
        <v>432</v>
      </c>
      <c r="B649" t="s">
        <v>4990</v>
      </c>
      <c r="C649">
        <v>2</v>
      </c>
      <c r="D649" t="str">
        <f>VLOOKUP(source[[#This Row],[Приоритет]],тПриоритеты[],2,0)</f>
        <v>Значительное</v>
      </c>
      <c r="E649" t="str">
        <f>IF(ISBLANK(source[[#This Row],[Проверенные]]),IF(ISBLANK(source[[#This Row],[Завершенные]]),source[[#This Row],[Приоритет_]],"Завершено"),"Проверено")</f>
        <v>Проверено</v>
      </c>
      <c r="F649" t="s">
        <v>4423</v>
      </c>
      <c r="G649" t="s">
        <v>2926</v>
      </c>
      <c r="H649" t="e">
        <f>VLOOKUP(source[[#This Row],[Отвественный]],тОтветственные[],2,0)</f>
        <v>#N/A</v>
      </c>
      <c r="I649" s="2">
        <v>43794</v>
      </c>
      <c r="J649" s="2">
        <v>43794</v>
      </c>
      <c r="S649" s="1">
        <v>43794.757905092592</v>
      </c>
      <c r="T649" s="1">
        <v>43811.680532407408</v>
      </c>
      <c r="U649" s="1">
        <v>43811.680532407408</v>
      </c>
      <c r="W649" s="1">
        <v>43811.756793981483</v>
      </c>
      <c r="X649" t="s">
        <v>191</v>
      </c>
      <c r="AH649" t="s">
        <v>4991</v>
      </c>
      <c r="AI649" t="s">
        <v>4992</v>
      </c>
      <c r="AJ649" t="s">
        <v>4993</v>
      </c>
      <c r="AK649" t="s">
        <v>4994</v>
      </c>
      <c r="AL649" t="s">
        <v>4995</v>
      </c>
      <c r="AM649" t="s">
        <v>4996</v>
      </c>
      <c r="AN649" t="s">
        <v>4997</v>
      </c>
      <c r="AO649" t="s">
        <v>4998</v>
      </c>
      <c r="AP649" t="s">
        <v>4999</v>
      </c>
      <c r="AQ649" t="s">
        <v>5000</v>
      </c>
      <c r="AR649" t="s">
        <v>5001</v>
      </c>
      <c r="AS649" t="s">
        <v>5002</v>
      </c>
      <c r="AT649" t="s">
        <v>5003</v>
      </c>
      <c r="AU649" t="s">
        <v>5004</v>
      </c>
      <c r="AV649" t="s">
        <v>5005</v>
      </c>
      <c r="AW649" t="s">
        <v>5006</v>
      </c>
      <c r="AX649" t="s">
        <v>5007</v>
      </c>
      <c r="AY649" t="s">
        <v>5008</v>
      </c>
      <c r="EC649" t="s">
        <v>5009</v>
      </c>
      <c r="ED649" t="s">
        <v>2617</v>
      </c>
      <c r="EE649" t="s">
        <v>1902</v>
      </c>
      <c r="EF649" t="s">
        <v>4989</v>
      </c>
      <c r="EG649" t="s">
        <v>1899</v>
      </c>
    </row>
    <row r="650" spans="1:146" ht="15" customHeight="1" x14ac:dyDescent="0.35">
      <c r="A650">
        <v>426</v>
      </c>
      <c r="B650" t="s">
        <v>5010</v>
      </c>
      <c r="C650">
        <v>2</v>
      </c>
      <c r="D650" t="str">
        <f>VLOOKUP(source[[#This Row],[Приоритет]],тПриоритеты[],2,0)</f>
        <v>Значительное</v>
      </c>
      <c r="E650" t="str">
        <f>IF(ISBLANK(source[[#This Row],[Проверенные]]),IF(ISBLANK(source[[#This Row],[Завершенные]]),source[[#This Row],[Приоритет_]],"Завершено"),"Проверено")</f>
        <v>Проверено</v>
      </c>
      <c r="F650" t="s">
        <v>4423</v>
      </c>
      <c r="G650" t="s">
        <v>2926</v>
      </c>
      <c r="H650" t="e">
        <f>VLOOKUP(source[[#This Row],[Отвественный]],тОтветственные[],2,0)</f>
        <v>#N/A</v>
      </c>
      <c r="I650" s="2">
        <v>43794</v>
      </c>
      <c r="J650" s="2">
        <v>43794</v>
      </c>
      <c r="S650" s="1">
        <v>43794.433171296296</v>
      </c>
      <c r="T650" s="1">
        <v>43811.680451388886</v>
      </c>
      <c r="U650" s="1">
        <v>43811.680451388886</v>
      </c>
      <c r="W650" s="1">
        <v>43811.756805555553</v>
      </c>
      <c r="X650" t="s">
        <v>5011</v>
      </c>
      <c r="AH650" t="s">
        <v>5012</v>
      </c>
      <c r="AI650" t="s">
        <v>5013</v>
      </c>
      <c r="AJ650" t="s">
        <v>5014</v>
      </c>
      <c r="AK650" t="s">
        <v>5015</v>
      </c>
      <c r="AL650" t="s">
        <v>5016</v>
      </c>
      <c r="EC650" t="s">
        <v>5017</v>
      </c>
      <c r="ED650" t="s">
        <v>5018</v>
      </c>
      <c r="EE650" t="str">
        <f>HYPERLINK("https://d33htgqikc2pj4.cloudfront.net/b48507e3-cf35-480f-ad22-ac6bea72a310.jpeg", "Алексей Бирюков: Ссылка на изображение")</f>
        <v>Алексей Бирюков: Ссылка на изображение</v>
      </c>
      <c r="EF650" t="str">
        <f>HYPERLINK("https://d33htgqikc2pj4.cloudfront.net/96b8b11d-6d1a-4b48-9b3e-0a609d1db113.jpeg", "Алексей Бирюков: Ссылка на изображение")</f>
        <v>Алексей Бирюков: Ссылка на изображение</v>
      </c>
      <c r="EG650" t="str">
        <f>HYPERLINK("https://d33htgqikc2pj4.cloudfront.net/412a7406-897a-4af6-91a5-a8b3bdf28c35.jpeg", "Алексей Бирюков: Ссылка на изображение")</f>
        <v>Алексей Бирюков: Ссылка на изображение</v>
      </c>
      <c r="EH650" t="str">
        <f>HYPERLINK("https://d33htgqikc2pj4.cloudfront.net/532f6d3a-5c91-43aa-be75-4db4dfcf65bf.jpeg", "Алексей Бирюков: Ссылка на изображение")</f>
        <v>Алексей Бирюков: Ссылка на изображение</v>
      </c>
      <c r="EI650" t="str">
        <f>HYPERLINK("https://d33htgqikc2pj4.cloudfront.net/e3e12451-fbf5-47cc-841f-56bb2d1224ff.jpeg", "Алексей Бирюков: Ссылка на изображение")</f>
        <v>Алексей Бирюков: Ссылка на изображение</v>
      </c>
      <c r="EJ650" t="str">
        <f>HYPERLINK("https://d33htgqikc2pj4.cloudfront.net/a458b3fa-2bbb-4cd0-a864-cbfd5817d8a4.jpeg", "Алексей Бирюков: Ссылка на изображение")</f>
        <v>Алексей Бирюков: Ссылка на изображение</v>
      </c>
      <c r="EK650" t="str">
        <f>HYPERLINK("https://d33htgqikc2pj4.cloudfront.net/45fb4c8e-24b8-47a4-90b4-ff6e5d82f125.jpeg", "Алексей Бирюков: Ссылка на изображение")</f>
        <v>Алексей Бирюков: Ссылка на изображение</v>
      </c>
      <c r="EL650" t="s">
        <v>5019</v>
      </c>
      <c r="EM650" t="s">
        <v>2617</v>
      </c>
      <c r="EN650" t="s">
        <v>4989</v>
      </c>
      <c r="EO650" t="s">
        <v>1902</v>
      </c>
      <c r="EP650" t="s">
        <v>1899</v>
      </c>
    </row>
    <row r="651" spans="1:146" ht="15" customHeight="1" x14ac:dyDescent="0.35">
      <c r="A651">
        <v>698</v>
      </c>
      <c r="B651" t="s">
        <v>5020</v>
      </c>
      <c r="C651">
        <v>2</v>
      </c>
      <c r="D651" t="str">
        <f>VLOOKUP(source[[#This Row],[Приоритет]],тПриоритеты[],2,0)</f>
        <v>Значительное</v>
      </c>
      <c r="E651" t="str">
        <f>IF(ISBLANK(source[[#This Row],[Проверенные]]),IF(ISBLANK(source[[#This Row],[Завершенные]]),source[[#This Row],[Приоритет_]],"Завершено"),"Проверено")</f>
        <v>Проверено</v>
      </c>
      <c r="F651" t="s">
        <v>4423</v>
      </c>
      <c r="G651" t="s">
        <v>2926</v>
      </c>
      <c r="H651" t="e">
        <f>VLOOKUP(source[[#This Row],[Отвественный]],тОтветственные[],2,0)</f>
        <v>#N/A</v>
      </c>
      <c r="I651" s="2">
        <v>43819</v>
      </c>
      <c r="J651" s="2">
        <v>43819</v>
      </c>
      <c r="S651" s="1">
        <v>43820.230810185189</v>
      </c>
      <c r="T651" s="1">
        <v>43820.233715277776</v>
      </c>
      <c r="U651" s="1">
        <v>43820.233715277776</v>
      </c>
      <c r="W651" s="1">
        <v>43820.235138888886</v>
      </c>
      <c r="X651" t="s">
        <v>4760</v>
      </c>
      <c r="AH651" t="s">
        <v>5021</v>
      </c>
      <c r="AI651" t="s">
        <v>5022</v>
      </c>
      <c r="AJ651" t="s">
        <v>5023</v>
      </c>
      <c r="AK651" t="s">
        <v>5024</v>
      </c>
      <c r="AL651" t="s">
        <v>5025</v>
      </c>
      <c r="AM651" t="s">
        <v>5026</v>
      </c>
      <c r="AN651" t="s">
        <v>5027</v>
      </c>
      <c r="AO651" t="s">
        <v>5028</v>
      </c>
      <c r="AP651" t="s">
        <v>5029</v>
      </c>
      <c r="AQ651" t="s">
        <v>5030</v>
      </c>
      <c r="AR651" t="s">
        <v>5031</v>
      </c>
      <c r="AS651" t="s">
        <v>5032</v>
      </c>
      <c r="AT651" t="s">
        <v>5033</v>
      </c>
      <c r="AU651" t="s">
        <v>5034</v>
      </c>
      <c r="AV651" t="s">
        <v>5035</v>
      </c>
      <c r="AW651" t="s">
        <v>5036</v>
      </c>
      <c r="AX651" t="s">
        <v>5037</v>
      </c>
      <c r="AY651" t="s">
        <v>5038</v>
      </c>
      <c r="EC651" t="s">
        <v>5039</v>
      </c>
      <c r="ED651" t="s">
        <v>2617</v>
      </c>
      <c r="EE651" t="s">
        <v>2964</v>
      </c>
      <c r="EF651" t="str">
        <f>HYPERLINK("https://d33htgqikc2pj4.cloudfront.net/qvHDimMUqxZcQnsj/58a8a243-c525-44dc-871b-aafd140af1ca.jpeg", "Алексей Бирюков: Ссылка на изображение")</f>
        <v>Алексей Бирюков: Ссылка на изображение</v>
      </c>
      <c r="EG651" t="str">
        <f>HYPERLINK("https://d33htgqikc2pj4.cloudfront.net/qvHDimMUqxZcQnsj/709e22d5-4712-44f9-b78c-f7ba154a16e2.jpeg", "Алексей Бирюков: Ссылка на изображение")</f>
        <v>Алексей Бирюков: Ссылка на изображение</v>
      </c>
      <c r="EH651" t="str">
        <f>HYPERLINK("https://d33htgqikc2pj4.cloudfront.net/qvHDimMUqxZcQnsj/8a7e6ce5-69e0-475c-8dca-6d4f369cf0f5.jpeg", "Алексей Бирюков: Ссылка на изображение")</f>
        <v>Алексей Бирюков: Ссылка на изображение</v>
      </c>
      <c r="EI651" t="str">
        <f>HYPERLINK("https://d33htgqikc2pj4.cloudfront.net/qvHDimMUqxZcQnsj/356984b9-4631-4e8c-9c85-4a54d95d3dc1.jpeg", "Алексей Бирюков: Ссылка на изображение")</f>
        <v>Алексей Бирюков: Ссылка на изображение</v>
      </c>
      <c r="EJ651" t="str">
        <f>HYPERLINK("https://d33htgqikc2pj4.cloudfront.net/qvHDimMUqxZcQnsj/b1352979-9bb3-45d4-a99d-c63bb3bdb0b5.jpeg", "Алексей Бирюков: Ссылка на изображение")</f>
        <v>Алексей Бирюков: Ссылка на изображение</v>
      </c>
      <c r="EK651" t="str">
        <f>HYPERLINK("https://d33htgqikc2pj4.cloudfront.net/qvHDimMUqxZcQnsj/31c74436-bfa9-43a4-b42e-38a39c4b897a.jpeg", "Алексей Бирюков: Ссылка на изображение")</f>
        <v>Алексей Бирюков: Ссылка на изображение</v>
      </c>
      <c r="EL651" t="str">
        <f>HYPERLINK("https://d33htgqikc2pj4.cloudfront.net/qvHDimMUqxZcQnsj/44e509ed-9ed5-49c0-8f8b-5b99e20ba386.jpeg", "Алексей Бирюков: Ссылка на изображение")</f>
        <v>Алексей Бирюков: Ссылка на изображение</v>
      </c>
      <c r="EM651" t="str">
        <f>HYPERLINK("https://d33htgqikc2pj4.cloudfront.net/qvHDimMUqxZcQnsj/5c802183-e10f-4ebb-81fc-dde134427d3a.jpeg", "Алексей Бирюков: Ссылка на изображение")</f>
        <v>Алексей Бирюков: Ссылка на изображение</v>
      </c>
      <c r="EN651" t="s">
        <v>1899</v>
      </c>
      <c r="EO651" t="s">
        <v>5040</v>
      </c>
    </row>
    <row r="652" spans="1:146" ht="15" customHeight="1" x14ac:dyDescent="0.35">
      <c r="A652">
        <v>449</v>
      </c>
      <c r="B652" t="s">
        <v>5041</v>
      </c>
      <c r="C652">
        <v>2</v>
      </c>
      <c r="D652" t="str">
        <f>VLOOKUP(source[[#This Row],[Приоритет]],тПриоритеты[],2,0)</f>
        <v>Значительное</v>
      </c>
      <c r="E652" t="str">
        <f>IF(ISBLANK(source[[#This Row],[Проверенные]]),IF(ISBLANK(source[[#This Row],[Завершенные]]),source[[#This Row],[Приоритет_]],"Завершено"),"Проверено")</f>
        <v>Проверено</v>
      </c>
      <c r="F652" t="s">
        <v>4423</v>
      </c>
      <c r="G652" t="s">
        <v>2926</v>
      </c>
      <c r="H652" t="e">
        <f>VLOOKUP(source[[#This Row],[Отвественный]],тОтветственные[],2,0)</f>
        <v>#N/A</v>
      </c>
      <c r="I652" s="2">
        <v>43795</v>
      </c>
      <c r="J652" s="2">
        <v>43795</v>
      </c>
      <c r="S652" s="1">
        <v>43795.768252314818</v>
      </c>
      <c r="T652" s="1">
        <v>43811.680659722224</v>
      </c>
      <c r="U652" s="1">
        <v>43811.680659722224</v>
      </c>
      <c r="W652" s="1">
        <v>43811.756793981483</v>
      </c>
      <c r="EC652" t="s">
        <v>5042</v>
      </c>
      <c r="ED652" t="s">
        <v>1902</v>
      </c>
      <c r="EE652" t="s">
        <v>2617</v>
      </c>
      <c r="EF652" t="s">
        <v>5043</v>
      </c>
      <c r="EG652" t="s">
        <v>1899</v>
      </c>
    </row>
    <row r="653" spans="1:146" ht="15" customHeight="1" x14ac:dyDescent="0.35">
      <c r="A653">
        <v>448</v>
      </c>
      <c r="B653" t="s">
        <v>5044</v>
      </c>
      <c r="C653">
        <v>2</v>
      </c>
      <c r="D653" t="str">
        <f>VLOOKUP(source[[#This Row],[Приоритет]],тПриоритеты[],2,0)</f>
        <v>Значительное</v>
      </c>
      <c r="E653" t="str">
        <f>IF(ISBLANK(source[[#This Row],[Проверенные]]),IF(ISBLANK(source[[#This Row],[Завершенные]]),source[[#This Row],[Приоритет_]],"Завершено"),"Проверено")</f>
        <v>Проверено</v>
      </c>
      <c r="F653" t="s">
        <v>4423</v>
      </c>
      <c r="G653" t="s">
        <v>2926</v>
      </c>
      <c r="H653" t="e">
        <f>VLOOKUP(source[[#This Row],[Отвественный]],тОтветственные[],2,0)</f>
        <v>#N/A</v>
      </c>
      <c r="I653" s="2">
        <v>43795</v>
      </c>
      <c r="J653" s="2">
        <v>43795</v>
      </c>
      <c r="S653" s="1">
        <v>43795.759687500002</v>
      </c>
      <c r="T653" s="1">
        <v>43811.680613425924</v>
      </c>
      <c r="U653" s="1">
        <v>43811.680613425924</v>
      </c>
      <c r="W653" s="1">
        <v>43811.756793981483</v>
      </c>
      <c r="X653" t="s">
        <v>191</v>
      </c>
      <c r="AH653" t="s">
        <v>5045</v>
      </c>
      <c r="AI653" t="s">
        <v>5046</v>
      </c>
      <c r="AJ653" t="s">
        <v>5047</v>
      </c>
      <c r="AK653" t="s">
        <v>5048</v>
      </c>
      <c r="AL653" t="s">
        <v>5049</v>
      </c>
      <c r="AM653" t="s">
        <v>5050</v>
      </c>
      <c r="AN653" t="s">
        <v>5051</v>
      </c>
      <c r="AO653" t="s">
        <v>5052</v>
      </c>
      <c r="AP653" t="s">
        <v>5053</v>
      </c>
      <c r="AQ653" t="s">
        <v>5054</v>
      </c>
      <c r="AR653" t="s">
        <v>5055</v>
      </c>
      <c r="AS653" t="s">
        <v>5056</v>
      </c>
      <c r="AT653" t="s">
        <v>5057</v>
      </c>
      <c r="AU653" t="s">
        <v>5058</v>
      </c>
      <c r="AV653" t="s">
        <v>5059</v>
      </c>
      <c r="AW653" t="s">
        <v>5060</v>
      </c>
      <c r="AX653" t="s">
        <v>5061</v>
      </c>
      <c r="AY653" t="s">
        <v>5062</v>
      </c>
      <c r="EC653" t="s">
        <v>1902</v>
      </c>
      <c r="ED653" t="s">
        <v>2617</v>
      </c>
      <c r="EE653" t="s">
        <v>5043</v>
      </c>
      <c r="EF653" t="s">
        <v>5063</v>
      </c>
      <c r="EG653" t="s">
        <v>1899</v>
      </c>
    </row>
    <row r="654" spans="1:146" ht="15" customHeight="1" x14ac:dyDescent="0.35">
      <c r="A654">
        <v>486</v>
      </c>
      <c r="B654" t="s">
        <v>5064</v>
      </c>
      <c r="C654">
        <v>1</v>
      </c>
      <c r="D654" t="str">
        <f>VLOOKUP(source[[#This Row],[Приоритет]],тПриоритеты[],2,0)</f>
        <v>КРИТИЧЕСКОЕ</v>
      </c>
      <c r="E654" t="str">
        <f>IF(ISBLANK(source[[#This Row],[Проверенные]]),IF(ISBLANK(source[[#This Row],[Завершенные]]),source[[#This Row],[Приоритет_]],"Завершено"),"Проверено")</f>
        <v>Проверено</v>
      </c>
      <c r="F654" t="s">
        <v>4423</v>
      </c>
      <c r="G654" t="s">
        <v>2926</v>
      </c>
      <c r="H654" t="e">
        <f>VLOOKUP(source[[#This Row],[Отвественный]],тОтветственные[],2,0)</f>
        <v>#N/A</v>
      </c>
      <c r="I654" s="2">
        <v>43798</v>
      </c>
      <c r="J654" s="2">
        <v>43798</v>
      </c>
      <c r="S654" s="1">
        <v>43798.897534722222</v>
      </c>
      <c r="T654" s="1">
        <v>43811.68068287037</v>
      </c>
      <c r="U654" s="1">
        <v>43811.68068287037</v>
      </c>
      <c r="W654" s="1">
        <v>43811.75681712963</v>
      </c>
      <c r="X654" t="s">
        <v>2967</v>
      </c>
      <c r="AH654" t="s">
        <v>5065</v>
      </c>
      <c r="AI654" t="s">
        <v>5066</v>
      </c>
      <c r="AJ654" t="s">
        <v>5067</v>
      </c>
      <c r="AK654" t="s">
        <v>5068</v>
      </c>
      <c r="AL654" t="s">
        <v>5069</v>
      </c>
      <c r="AM654" t="s">
        <v>5070</v>
      </c>
      <c r="AN654" t="s">
        <v>5071</v>
      </c>
      <c r="AO654" t="s">
        <v>5072</v>
      </c>
      <c r="EC654" t="s">
        <v>1900</v>
      </c>
      <c r="ED654" t="s">
        <v>2617</v>
      </c>
      <c r="EE654" t="s">
        <v>5073</v>
      </c>
      <c r="EF654" t="s">
        <v>5074</v>
      </c>
      <c r="EG654" t="s">
        <v>1902</v>
      </c>
      <c r="EH654" t="s">
        <v>1899</v>
      </c>
    </row>
    <row r="655" spans="1:146" ht="15" customHeight="1" x14ac:dyDescent="0.35">
      <c r="A655">
        <v>755</v>
      </c>
      <c r="B655" t="s">
        <v>5075</v>
      </c>
      <c r="C655">
        <v>2</v>
      </c>
      <c r="D655" t="str">
        <f>VLOOKUP(source[[#This Row],[Приоритет]],тПриоритеты[],2,0)</f>
        <v>Значительное</v>
      </c>
      <c r="E655" t="str">
        <f>IF(ISBLANK(source[[#This Row],[Проверенные]]),IF(ISBLANK(source[[#This Row],[Завершенные]]),source[[#This Row],[Приоритет_]],"Завершено"),"Проверено")</f>
        <v>Проверено</v>
      </c>
      <c r="F655" t="s">
        <v>4423</v>
      </c>
      <c r="G655" t="s">
        <v>2926</v>
      </c>
      <c r="H655" t="e">
        <f>VLOOKUP(source[[#This Row],[Отвественный]],тОтветственные[],2,0)</f>
        <v>#N/A</v>
      </c>
      <c r="I655" s="2">
        <v>43823</v>
      </c>
      <c r="J655" s="2">
        <v>43823</v>
      </c>
      <c r="S655" s="1">
        <v>43823.080196759256</v>
      </c>
      <c r="T655" s="1">
        <v>43823.121539351851</v>
      </c>
      <c r="U655" s="1">
        <v>43823.121539351851</v>
      </c>
      <c r="W655" s="1">
        <v>43823.121574074074</v>
      </c>
      <c r="X655" t="s">
        <v>4760</v>
      </c>
      <c r="AH655" t="s">
        <v>5076</v>
      </c>
      <c r="AI655" t="s">
        <v>5077</v>
      </c>
      <c r="AJ655" t="s">
        <v>5078</v>
      </c>
      <c r="AK655" t="s">
        <v>5079</v>
      </c>
      <c r="AL655" t="s">
        <v>5080</v>
      </c>
      <c r="AM655" t="s">
        <v>5081</v>
      </c>
      <c r="AN655" t="s">
        <v>5082</v>
      </c>
      <c r="AO655" t="s">
        <v>5083</v>
      </c>
      <c r="AP655" t="s">
        <v>5084</v>
      </c>
      <c r="AQ655" t="s">
        <v>5085</v>
      </c>
      <c r="AR655" t="s">
        <v>5086</v>
      </c>
      <c r="AS655" t="s">
        <v>5087</v>
      </c>
      <c r="AT655" t="s">
        <v>5088</v>
      </c>
      <c r="AU655" t="s">
        <v>5089</v>
      </c>
      <c r="AV655" t="s">
        <v>5090</v>
      </c>
      <c r="AW655" t="s">
        <v>5091</v>
      </c>
      <c r="AX655" t="s">
        <v>5092</v>
      </c>
      <c r="AY655" t="s">
        <v>5093</v>
      </c>
      <c r="EC655" t="s">
        <v>5094</v>
      </c>
      <c r="ED655" t="s">
        <v>2617</v>
      </c>
      <c r="EE655" t="s">
        <v>5095</v>
      </c>
      <c r="EF655" t="s">
        <v>1902</v>
      </c>
      <c r="EG655" t="s">
        <v>1899</v>
      </c>
      <c r="EH655" t="s">
        <v>5096</v>
      </c>
    </row>
    <row r="656" spans="1:146" ht="15" customHeight="1" x14ac:dyDescent="0.35">
      <c r="A656">
        <v>754</v>
      </c>
      <c r="B656" t="s">
        <v>5097</v>
      </c>
      <c r="C656">
        <v>2</v>
      </c>
      <c r="D656" t="str">
        <f>VLOOKUP(source[[#This Row],[Приоритет]],тПриоритеты[],2,0)</f>
        <v>Значительное</v>
      </c>
      <c r="E656" t="str">
        <f>IF(ISBLANK(source[[#This Row],[Проверенные]]),IF(ISBLANK(source[[#This Row],[Завершенные]]),source[[#This Row],[Приоритет_]],"Завершено"),"Проверено")</f>
        <v>Проверено</v>
      </c>
      <c r="F656" t="s">
        <v>4423</v>
      </c>
      <c r="G656" t="s">
        <v>2926</v>
      </c>
      <c r="H656" t="e">
        <f>VLOOKUP(source[[#This Row],[Отвественный]],тОтветственные[],2,0)</f>
        <v>#N/A</v>
      </c>
      <c r="I656" s="2">
        <v>43822</v>
      </c>
      <c r="J656" s="2">
        <v>43822</v>
      </c>
      <c r="S656" s="1">
        <v>43822.996990740743</v>
      </c>
      <c r="T656" s="1">
        <v>43823.01059027778</v>
      </c>
      <c r="U656" s="1">
        <v>43823.01059027778</v>
      </c>
      <c r="W656" s="1">
        <v>43823.01059027778</v>
      </c>
      <c r="X656" t="s">
        <v>2919</v>
      </c>
      <c r="Y656" t="s">
        <v>2606</v>
      </c>
      <c r="AH656" t="s">
        <v>5098</v>
      </c>
      <c r="AI656" t="s">
        <v>5099</v>
      </c>
      <c r="AJ656" t="s">
        <v>5100</v>
      </c>
      <c r="AK656" t="s">
        <v>5101</v>
      </c>
      <c r="AL656" t="s">
        <v>5102</v>
      </c>
      <c r="AM656" t="s">
        <v>5103</v>
      </c>
      <c r="AN656" t="s">
        <v>5104</v>
      </c>
      <c r="AO656" t="s">
        <v>5105</v>
      </c>
      <c r="EC656" t="s">
        <v>5106</v>
      </c>
      <c r="ED656" t="s">
        <v>5107</v>
      </c>
      <c r="EE656" t="s">
        <v>2617</v>
      </c>
      <c r="EF656" t="s">
        <v>5108</v>
      </c>
      <c r="EG656" t="str">
        <f>HYPERLINK("https://d33htgqikc2pj4.cloudfront.net/qvHDimMUqxZcQnsj/32660ffa-168a-44fd-a7ef-071db372aba9.jpeg", "Алексей Бирюков: Ссылка на изображение")</f>
        <v>Алексей Бирюков: Ссылка на изображение</v>
      </c>
      <c r="EH656" t="str">
        <f>HYPERLINK("https://d33htgqikc2pj4.cloudfront.net/qvHDimMUqxZcQnsj/4823334d-5b9a-4985-a796-044bfef579b5.jpeg", "Алексей Бирюков: Ссылка на изображение")</f>
        <v>Алексей Бирюков: Ссылка на изображение</v>
      </c>
      <c r="EI656" t="str">
        <f>HYPERLINK("https://d33htgqikc2pj4.cloudfront.net/qvHDimMUqxZcQnsj/0af7fa16-3659-461e-a3e3-34ceda0afc06.jpeg", "Алексей Бирюков: Ссылка на изображение")</f>
        <v>Алексей Бирюков: Ссылка на изображение</v>
      </c>
      <c r="EJ656" t="str">
        <f>HYPERLINK("https://d33htgqikc2pj4.cloudfront.net/qvHDimMUqxZcQnsj/2cc3926a-acd6-4db6-98cc-db6aaef70ba2.jpeg", "Алексей Бирюков: Ссылка на изображение")</f>
        <v>Алексей Бирюков: Ссылка на изображение</v>
      </c>
      <c r="EK656" t="str">
        <f>HYPERLINK("https://d33htgqikc2pj4.cloudfront.net/qvHDimMUqxZcQnsj/01f97b80-eef3-4a11-98db-d7a758454d62.jpeg", "Алексей Бирюков: Ссылка на изображение")</f>
        <v>Алексей Бирюков: Ссылка на изображение</v>
      </c>
      <c r="EL656" t="str">
        <f>HYPERLINK("https://d33htgqikc2pj4.cloudfront.net/qvHDimMUqxZcQnsj/33e3dbc9-5efa-420e-aa45-fdce2aa31caf.jpeg", "Алексей Бирюков: Ссылка на изображение")</f>
        <v>Алексей Бирюков: Ссылка на изображение</v>
      </c>
      <c r="EM656" t="s">
        <v>5109</v>
      </c>
      <c r="EN656" t="s">
        <v>1902</v>
      </c>
      <c r="EO656" t="s">
        <v>1899</v>
      </c>
    </row>
    <row r="657" spans="1:153" ht="15" customHeight="1" x14ac:dyDescent="0.35">
      <c r="A657">
        <v>487</v>
      </c>
      <c r="B657" t="s">
        <v>5110</v>
      </c>
      <c r="C657">
        <v>2</v>
      </c>
      <c r="D657" t="str">
        <f>VLOOKUP(source[[#This Row],[Приоритет]],тПриоритеты[],2,0)</f>
        <v>Значительное</v>
      </c>
      <c r="E657" t="str">
        <f>IF(ISBLANK(source[[#This Row],[Проверенные]]),IF(ISBLANK(source[[#This Row],[Завершенные]]),source[[#This Row],[Приоритет_]],"Завершено"),"Проверено")</f>
        <v>Проверено</v>
      </c>
      <c r="F657" t="s">
        <v>4423</v>
      </c>
      <c r="G657" t="s">
        <v>2926</v>
      </c>
      <c r="H657" t="e">
        <f>VLOOKUP(source[[#This Row],[Отвественный]],тОтветственные[],2,0)</f>
        <v>#N/A</v>
      </c>
      <c r="I657" s="2">
        <v>43799</v>
      </c>
      <c r="J657" s="2">
        <v>43799</v>
      </c>
      <c r="S657" s="1">
        <v>43799.297847222224</v>
      </c>
      <c r="T657" s="1">
        <v>43811.68072916667</v>
      </c>
      <c r="U657" s="1">
        <v>43811.68072916667</v>
      </c>
      <c r="W657" s="1">
        <v>43811.75681712963</v>
      </c>
      <c r="X657" t="s">
        <v>2967</v>
      </c>
      <c r="AH657" t="s">
        <v>5111</v>
      </c>
      <c r="AI657" t="s">
        <v>5112</v>
      </c>
      <c r="AJ657" t="s">
        <v>5113</v>
      </c>
      <c r="AK657" t="s">
        <v>5114</v>
      </c>
      <c r="AL657" t="s">
        <v>5115</v>
      </c>
      <c r="AM657" t="s">
        <v>5116</v>
      </c>
      <c r="AN657" t="s">
        <v>5117</v>
      </c>
      <c r="AO657" t="s">
        <v>5118</v>
      </c>
      <c r="EC657" t="s">
        <v>5119</v>
      </c>
      <c r="ED657" t="s">
        <v>5120</v>
      </c>
      <c r="EE657" t="s">
        <v>2617</v>
      </c>
      <c r="EF657" t="s">
        <v>1902</v>
      </c>
      <c r="EG657" t="s">
        <v>1899</v>
      </c>
    </row>
    <row r="658" spans="1:153" ht="15" customHeight="1" x14ac:dyDescent="0.35">
      <c r="A658">
        <v>488</v>
      </c>
      <c r="B658" t="s">
        <v>5121</v>
      </c>
      <c r="C658">
        <v>2</v>
      </c>
      <c r="D658" t="str">
        <f>VLOOKUP(source[[#This Row],[Приоритет]],тПриоритеты[],2,0)</f>
        <v>Значительное</v>
      </c>
      <c r="E658" t="str">
        <f>IF(ISBLANK(source[[#This Row],[Проверенные]]),IF(ISBLANK(source[[#This Row],[Завершенные]]),source[[#This Row],[Приоритет_]],"Завершено"),"Проверено")</f>
        <v>Проверено</v>
      </c>
      <c r="F658" t="s">
        <v>4423</v>
      </c>
      <c r="G658" t="s">
        <v>2926</v>
      </c>
      <c r="H658" t="e">
        <f>VLOOKUP(source[[#This Row],[Отвественный]],тОтветственные[],2,0)</f>
        <v>#N/A</v>
      </c>
      <c r="I658" s="2">
        <v>43799</v>
      </c>
      <c r="J658" s="2">
        <v>43799</v>
      </c>
      <c r="S658" s="1">
        <v>43799.301134259258</v>
      </c>
      <c r="T658" s="1">
        <v>43811.680752314816</v>
      </c>
      <c r="U658" s="1">
        <v>43811.680752314816</v>
      </c>
      <c r="W658" s="1">
        <v>43811.75681712963</v>
      </c>
      <c r="X658" t="s">
        <v>2967</v>
      </c>
      <c r="AH658" t="s">
        <v>5111</v>
      </c>
      <c r="AI658" t="s">
        <v>5112</v>
      </c>
      <c r="AJ658" t="s">
        <v>5113</v>
      </c>
      <c r="AK658" t="s">
        <v>5114</v>
      </c>
      <c r="AL658" t="s">
        <v>5115</v>
      </c>
      <c r="AM658" t="s">
        <v>5116</v>
      </c>
      <c r="AN658" t="s">
        <v>5117</v>
      </c>
      <c r="AO658" t="s">
        <v>5118</v>
      </c>
      <c r="EC658" t="s">
        <v>5122</v>
      </c>
      <c r="ED658" t="s">
        <v>2617</v>
      </c>
      <c r="EE658" t="s">
        <v>5120</v>
      </c>
      <c r="EF658" t="s">
        <v>1902</v>
      </c>
      <c r="EG658" t="s">
        <v>1899</v>
      </c>
    </row>
    <row r="659" spans="1:153" ht="15" customHeight="1" x14ac:dyDescent="0.35">
      <c r="A659">
        <v>493</v>
      </c>
      <c r="B659" t="s">
        <v>5123</v>
      </c>
      <c r="C659">
        <v>2</v>
      </c>
      <c r="D659" t="str">
        <f>VLOOKUP(source[[#This Row],[Приоритет]],тПриоритеты[],2,0)</f>
        <v>Значительное</v>
      </c>
      <c r="E659" t="str">
        <f>IF(ISBLANK(source[[#This Row],[Проверенные]]),IF(ISBLANK(source[[#This Row],[Завершенные]]),source[[#This Row],[Приоритет_]],"Завершено"),"Проверено")</f>
        <v>Проверено</v>
      </c>
      <c r="F659" t="s">
        <v>4423</v>
      </c>
      <c r="G659" t="s">
        <v>2926</v>
      </c>
      <c r="H659" t="e">
        <f>VLOOKUP(source[[#This Row],[Отвественный]],тОтветственные[],2,0)</f>
        <v>#N/A</v>
      </c>
      <c r="I659" s="2">
        <v>43800</v>
      </c>
      <c r="J659" s="2">
        <v>43800</v>
      </c>
      <c r="S659" s="1">
        <v>43800.305162037039</v>
      </c>
      <c r="T659" s="1">
        <v>43811.680787037039</v>
      </c>
      <c r="U659" s="1">
        <v>43811.680787037039</v>
      </c>
      <c r="W659" s="1">
        <v>43811.756828703707</v>
      </c>
      <c r="X659" t="s">
        <v>2889</v>
      </c>
      <c r="AH659" t="s">
        <v>5124</v>
      </c>
      <c r="AI659" t="s">
        <v>5125</v>
      </c>
      <c r="AJ659" t="s">
        <v>5126</v>
      </c>
      <c r="AK659" t="s">
        <v>5127</v>
      </c>
      <c r="AL659" t="s">
        <v>5128</v>
      </c>
      <c r="AM659" t="s">
        <v>5129</v>
      </c>
      <c r="AN659" t="s">
        <v>5130</v>
      </c>
      <c r="AO659" t="s">
        <v>5131</v>
      </c>
      <c r="AP659" t="s">
        <v>5132</v>
      </c>
      <c r="AQ659" t="s">
        <v>5133</v>
      </c>
      <c r="AR659" t="s">
        <v>5134</v>
      </c>
      <c r="AS659" t="s">
        <v>5135</v>
      </c>
      <c r="AT659" t="s">
        <v>5136</v>
      </c>
      <c r="AU659" t="s">
        <v>5137</v>
      </c>
      <c r="AV659" t="s">
        <v>5138</v>
      </c>
      <c r="AW659" t="s">
        <v>5139</v>
      </c>
      <c r="EC659" t="s">
        <v>5140</v>
      </c>
      <c r="ED659" t="s">
        <v>1902</v>
      </c>
      <c r="EE659" t="s">
        <v>2617</v>
      </c>
      <c r="EF659" t="s">
        <v>5141</v>
      </c>
      <c r="EG659" t="s">
        <v>1899</v>
      </c>
    </row>
    <row r="660" spans="1:153" ht="15" customHeight="1" x14ac:dyDescent="0.35">
      <c r="A660">
        <v>771</v>
      </c>
      <c r="B660" t="s">
        <v>5142</v>
      </c>
      <c r="C660">
        <v>3</v>
      </c>
      <c r="D660" t="str">
        <f>VLOOKUP(source[[#This Row],[Приоритет]],тПриоритеты[],2,0)</f>
        <v>Малозначительное</v>
      </c>
      <c r="E660" t="str">
        <f>IF(ISBLANK(source[[#This Row],[Проверенные]]),IF(ISBLANK(source[[#This Row],[Завершенные]]),source[[#This Row],[Приоритет_]],"Завершено"),"Проверено")</f>
        <v>Проверено</v>
      </c>
      <c r="F660" t="s">
        <v>4423</v>
      </c>
      <c r="G660" t="s">
        <v>2926</v>
      </c>
      <c r="H660" t="e">
        <f>VLOOKUP(source[[#This Row],[Отвественный]],тОтветственные[],2,0)</f>
        <v>#N/A</v>
      </c>
      <c r="I660" s="2">
        <v>43823</v>
      </c>
      <c r="J660" s="2">
        <v>43823</v>
      </c>
      <c r="S660" s="1">
        <v>43824.277569444443</v>
      </c>
      <c r="T660" s="1">
        <v>43824.278622685182</v>
      </c>
      <c r="U660" s="1">
        <v>43824.278622685182</v>
      </c>
      <c r="W660" s="1">
        <v>43824.278634259259</v>
      </c>
      <c r="X660" t="s">
        <v>2941</v>
      </c>
      <c r="AH660" t="s">
        <v>5143</v>
      </c>
      <c r="AI660" t="s">
        <v>5144</v>
      </c>
      <c r="AJ660" t="s">
        <v>5145</v>
      </c>
      <c r="AK660" t="s">
        <v>5146</v>
      </c>
      <c r="AL660" t="s">
        <v>5143</v>
      </c>
      <c r="AM660" t="s">
        <v>5144</v>
      </c>
      <c r="AN660" t="s">
        <v>5145</v>
      </c>
      <c r="AO660" t="s">
        <v>5146</v>
      </c>
      <c r="EC660" t="s">
        <v>5147</v>
      </c>
      <c r="ED660" t="s">
        <v>5095</v>
      </c>
      <c r="EE660" t="str">
        <f>HYPERLINK("https://d33htgqikc2pj4.cloudfront.net/qvHDimMUqxZcQnsj/dd20c722-94b3-48f6-9489-1a53de21d3fa.jpeg", "Алексей Бирюков: Ссылка на изображение")</f>
        <v>Алексей Бирюков: Ссылка на изображение</v>
      </c>
      <c r="EF660" t="str">
        <f>HYPERLINK("https://d33htgqikc2pj4.cloudfront.net/qvHDimMUqxZcQnsj/ceb977cf-9e95-4535-b321-ce2253e2201b.jpeg", "Алексей Бирюков: Ссылка на изображение")</f>
        <v>Алексей Бирюков: Ссылка на изображение</v>
      </c>
      <c r="EG660" t="str">
        <f>HYPERLINK("https://d33htgqikc2pj4.cloudfront.net/qvHDimMUqxZcQnsj/73591c16-c8ed-4db1-92b0-3712a9a51d28.jpeg", "Алексей Бирюков: Ссылка на изображение")</f>
        <v>Алексей Бирюков: Ссылка на изображение</v>
      </c>
      <c r="EH660" t="str">
        <f>HYPERLINK("https://d33htgqikc2pj4.cloudfront.net/qvHDimMUqxZcQnsj/93d15ca0-3f2f-43c1-8782-bcdc07924bf7.jpeg", "Алексей Бирюков: Ссылка на изображение")</f>
        <v>Алексей Бирюков: Ссылка на изображение</v>
      </c>
      <c r="EI660" t="str">
        <f>HYPERLINK("https://d33htgqikc2pj4.cloudfront.net/qvHDimMUqxZcQnsj/f1c976bb-b931-411a-a7df-ed2239b37852.jpeg", "Алексей Бирюков: Ссылка на изображение")</f>
        <v>Алексей Бирюков: Ссылка на изображение</v>
      </c>
      <c r="EJ660" t="str">
        <f>HYPERLINK("https://d33htgqikc2pj4.cloudfront.net/qvHDimMUqxZcQnsj/ceabf822-8925-48fd-9779-ed610dac3243.jpeg", "Алексей Бирюков: Ссылка на изображение")</f>
        <v>Алексей Бирюков: Ссылка на изображение</v>
      </c>
      <c r="EK660" t="str">
        <f>HYPERLINK("https://d33htgqikc2pj4.cloudfront.net/qvHDimMUqxZcQnsj/46001319-b70f-4409-b13d-2e964d82eb68.jpeg", "Алексей Бирюков: Ссылка на изображение")</f>
        <v>Алексей Бирюков: Ссылка на изображение</v>
      </c>
      <c r="EL660" t="str">
        <f>HYPERLINK("https://d33htgqikc2pj4.cloudfront.net/qvHDimMUqxZcQnsj/1a3138df-8fda-476b-a606-44ee2bd263c5.jpeg", "Алексей Бирюков: Ссылка на изображение")</f>
        <v>Алексей Бирюков: Ссылка на изображение</v>
      </c>
      <c r="EM660" t="str">
        <f>HYPERLINK("https://d33htgqikc2pj4.cloudfront.net/qvHDimMUqxZcQnsj/7672ad1e-83f7-4f8c-ac4b-d8fb73a6c728.jpeg", "Алексей Бирюков: Ссылка на изображение")</f>
        <v>Алексей Бирюков: Ссылка на изображение</v>
      </c>
      <c r="EN660" t="s">
        <v>2939</v>
      </c>
      <c r="EO660" t="s">
        <v>2977</v>
      </c>
      <c r="EP660" t="s">
        <v>2617</v>
      </c>
      <c r="EQ660" t="s">
        <v>1902</v>
      </c>
      <c r="ER660" t="s">
        <v>1899</v>
      </c>
    </row>
    <row r="661" spans="1:153" ht="15" customHeight="1" x14ac:dyDescent="0.35">
      <c r="A661">
        <v>772</v>
      </c>
      <c r="B661" t="s">
        <v>4910</v>
      </c>
      <c r="C661">
        <v>2</v>
      </c>
      <c r="D661" t="str">
        <f>VLOOKUP(source[[#This Row],[Приоритет]],тПриоритеты[],2,0)</f>
        <v>Значительное</v>
      </c>
      <c r="E661" t="str">
        <f>IF(ISBLANK(source[[#This Row],[Проверенные]]),IF(ISBLANK(source[[#This Row],[Завершенные]]),source[[#This Row],[Приоритет_]],"Завершено"),"Проверено")</f>
        <v>Проверено</v>
      </c>
      <c r="F661" t="s">
        <v>4423</v>
      </c>
      <c r="G661" t="s">
        <v>2926</v>
      </c>
      <c r="H661" t="e">
        <f>VLOOKUP(source[[#This Row],[Отвественный]],тОтветственные[],2,0)</f>
        <v>#N/A</v>
      </c>
      <c r="I661" s="2">
        <v>43824</v>
      </c>
      <c r="J661" s="2">
        <v>43824</v>
      </c>
      <c r="S661" s="1">
        <v>43824.277569444443</v>
      </c>
      <c r="T661" s="1">
        <v>43824.278449074074</v>
      </c>
      <c r="U661" s="1">
        <v>43824.278449074074</v>
      </c>
      <c r="W661" s="1">
        <v>43824.278460648151</v>
      </c>
      <c r="X661" t="s">
        <v>4760</v>
      </c>
      <c r="AH661" t="s">
        <v>5148</v>
      </c>
      <c r="AI661" t="s">
        <v>5149</v>
      </c>
      <c r="AJ661" t="s">
        <v>5150</v>
      </c>
      <c r="AK661" t="s">
        <v>5151</v>
      </c>
      <c r="AL661" t="s">
        <v>5152</v>
      </c>
      <c r="AM661" t="s">
        <v>5153</v>
      </c>
      <c r="AN661" t="s">
        <v>5154</v>
      </c>
      <c r="AO661" t="s">
        <v>5155</v>
      </c>
      <c r="AP661" t="s">
        <v>5156</v>
      </c>
      <c r="AQ661" t="s">
        <v>5157</v>
      </c>
      <c r="AR661" t="s">
        <v>5158</v>
      </c>
      <c r="AS661" t="s">
        <v>5159</v>
      </c>
      <c r="AT661" t="s">
        <v>5160</v>
      </c>
      <c r="AU661" t="s">
        <v>5161</v>
      </c>
      <c r="AV661" t="s">
        <v>5162</v>
      </c>
      <c r="AW661" t="s">
        <v>5163</v>
      </c>
      <c r="AX661" t="s">
        <v>5164</v>
      </c>
      <c r="AY661" t="s">
        <v>5165</v>
      </c>
      <c r="EC661" t="s">
        <v>4929</v>
      </c>
      <c r="ED661" t="s">
        <v>3026</v>
      </c>
      <c r="EE661" t="s">
        <v>2617</v>
      </c>
      <c r="EF661" t="str">
        <f>HYPERLINK("https://d33htgqikc2pj4.cloudfront.net/qvHDimMUqxZcQnsj/76d446f3-4379-497d-8950-649d2a570bd5.jpeg", "Алексей Бирюков: Ссылка на изображение")</f>
        <v>Алексей Бирюков: Ссылка на изображение</v>
      </c>
      <c r="EG661" t="str">
        <f>HYPERLINK("https://d33htgqikc2pj4.cloudfront.net/qvHDimMUqxZcQnsj/0be5b53f-08f8-40a4-ae80-7933b0332258.jpeg", "Алексей Бирюков: Ссылка на изображение")</f>
        <v>Алексей Бирюков: Ссылка на изображение</v>
      </c>
      <c r="EH661" t="str">
        <f>HYPERLINK("https://d33htgqikc2pj4.cloudfront.net/qvHDimMUqxZcQnsj/f1913131-45aa-4ccf-baad-1915b476bd14.jpeg", "Алексей Бирюков: Ссылка на изображение")</f>
        <v>Алексей Бирюков: Ссылка на изображение</v>
      </c>
      <c r="EI661" t="str">
        <f>HYPERLINK("https://d33htgqikc2pj4.cloudfront.net/qvHDimMUqxZcQnsj/db2754ed-669e-4de8-ad10-2a5380433175.jpeg", "Алексей Бирюков: Ссылка на изображение")</f>
        <v>Алексей Бирюков: Ссылка на изображение</v>
      </c>
      <c r="EJ661" t="s">
        <v>1902</v>
      </c>
      <c r="EK661" t="s">
        <v>1899</v>
      </c>
    </row>
    <row r="662" spans="1:153" ht="15" customHeight="1" x14ac:dyDescent="0.35">
      <c r="A662">
        <v>810</v>
      </c>
      <c r="B662" t="s">
        <v>5166</v>
      </c>
      <c r="C662">
        <v>2</v>
      </c>
      <c r="D662" t="str">
        <f>VLOOKUP(source[[#This Row],[Приоритет]],тПриоритеты[],2,0)</f>
        <v>Значительное</v>
      </c>
      <c r="E662" t="str">
        <f>IF(ISBLANK(source[[#This Row],[Проверенные]]),IF(ISBLANK(source[[#This Row],[Завершенные]]),source[[#This Row],[Приоритет_]],"Завершено"),"Проверено")</f>
        <v>Проверено</v>
      </c>
      <c r="F662" t="s">
        <v>4423</v>
      </c>
      <c r="G662" t="s">
        <v>2926</v>
      </c>
      <c r="H662" t="e">
        <f>VLOOKUP(source[[#This Row],[Отвественный]],тОтветственные[],2,0)</f>
        <v>#N/A</v>
      </c>
      <c r="I662" s="2">
        <v>43826</v>
      </c>
      <c r="J662" s="2">
        <v>43826</v>
      </c>
      <c r="S662" s="1">
        <v>43826.672777777778</v>
      </c>
      <c r="T662" s="1">
        <v>43826.74894675926</v>
      </c>
      <c r="U662" s="1">
        <v>43826.74894675926</v>
      </c>
      <c r="W662" s="1">
        <v>43826.74894675926</v>
      </c>
      <c r="EC662" t="s">
        <v>5167</v>
      </c>
      <c r="ED662" t="s">
        <v>3033</v>
      </c>
      <c r="EE662" t="s">
        <v>2617</v>
      </c>
      <c r="EF662" t="s">
        <v>5168</v>
      </c>
      <c r="EG662" t="str">
        <f>HYPERLINK("https://d33htgqikc2pj4.cloudfront.net/qvHDimMUqxZcQnsj/7c455768-f050-41c7-ac0a-9607541ea567.jpeg", "Алексей Бирюков: Ссылка на изображение")</f>
        <v>Алексей Бирюков: Ссылка на изображение</v>
      </c>
      <c r="EH662" t="str">
        <f>HYPERLINK("https://d33htgqikc2pj4.cloudfront.net/qvHDimMUqxZcQnsj/36ff38cc-94e2-4e30-a5ab-1874962e9452.jpeg", "Алексей Бирюков: Ссылка на изображение")</f>
        <v>Алексей Бирюков: Ссылка на изображение</v>
      </c>
      <c r="EI662" t="str">
        <f>HYPERLINK("https://d33htgqikc2pj4.cloudfront.net/qvHDimMUqxZcQnsj/16bfd36d-7656-4069-b217-69c7958f1c4c.jpeg", "Алексей Бирюков: Ссылка на изображение")</f>
        <v>Алексей Бирюков: Ссылка на изображение</v>
      </c>
      <c r="EJ662" t="str">
        <f>HYPERLINK("https://d33htgqikc2pj4.cloudfront.net/qvHDimMUqxZcQnsj/72df5024-5883-4e96-b3d3-b6238f48b9b0.jpeg", "Алексей Бирюков: Ссылка на изображение")</f>
        <v>Алексей Бирюков: Ссылка на изображение</v>
      </c>
      <c r="EK662" t="str">
        <f>HYPERLINK("https://d33htgqikc2pj4.cloudfront.net/qvHDimMUqxZcQnsj/23a7ee62-1668-4ceb-875a-3db1c824bc47.jpeg", "Алексей Бирюков: Ссылка на изображение")</f>
        <v>Алексей Бирюков: Ссылка на изображение</v>
      </c>
      <c r="EL662" t="str">
        <f>HYPERLINK("https://d33htgqikc2pj4.cloudfront.net/qvHDimMUqxZcQnsj/101b9510-af67-45ea-b189-0029098da580.jpeg", "Алексей Бирюков: Ссылка на изображение")</f>
        <v>Алексей Бирюков: Ссылка на изображение</v>
      </c>
      <c r="EM662" t="str">
        <f>HYPERLINK("https://d33htgqikc2pj4.cloudfront.net/qvHDimMUqxZcQnsj/686ce149-6675-480b-946b-cfd55faba8e7.jpeg", "Алексей Бирюков: Ссылка на изображение")</f>
        <v>Алексей Бирюков: Ссылка на изображение</v>
      </c>
      <c r="EN662" t="str">
        <f>HYPERLINK("https://d33htgqikc2pj4.cloudfront.net/qvHDimMUqxZcQnsj/c6da8126-7078-481d-952f-855d88b8877d.jpeg", "Алексей Бирюков: Ссылка на изображение")</f>
        <v>Алексей Бирюков: Ссылка на изображение</v>
      </c>
      <c r="EO662" t="str">
        <f>HYPERLINK("https://d33htgqikc2pj4.cloudfront.net/qvHDimMUqxZcQnsj/df5ff10e-a380-4a0e-a38d-20bf58c59d76.jpeg", "Алексей Бирюков: Ссылка на изображение")</f>
        <v>Алексей Бирюков: Ссылка на изображение</v>
      </c>
      <c r="EP662" t="s">
        <v>1902</v>
      </c>
      <c r="EQ662" t="s">
        <v>1899</v>
      </c>
    </row>
    <row r="663" spans="1:153" ht="15" customHeight="1" x14ac:dyDescent="0.35">
      <c r="A663">
        <v>812</v>
      </c>
      <c r="B663" t="s">
        <v>5169</v>
      </c>
      <c r="C663">
        <v>2</v>
      </c>
      <c r="D663" t="str">
        <f>VLOOKUP(source[[#This Row],[Приоритет]],тПриоритеты[],2,0)</f>
        <v>Значительное</v>
      </c>
      <c r="E663" t="str">
        <f>IF(ISBLANK(source[[#This Row],[Проверенные]]),IF(ISBLANK(source[[#This Row],[Завершенные]]),source[[#This Row],[Приоритет_]],"Завершено"),"Проверено")</f>
        <v>Проверено</v>
      </c>
      <c r="F663" t="s">
        <v>4423</v>
      </c>
      <c r="G663" t="s">
        <v>2926</v>
      </c>
      <c r="H663" t="e">
        <f>VLOOKUP(source[[#This Row],[Отвественный]],тОтветственные[],2,0)</f>
        <v>#N/A</v>
      </c>
      <c r="I663" s="2">
        <v>43826</v>
      </c>
      <c r="J663" s="2">
        <v>43826</v>
      </c>
      <c r="S663" s="1">
        <v>43826.672777777778</v>
      </c>
      <c r="T663" s="1">
        <v>43826.748761574076</v>
      </c>
      <c r="U663" s="1">
        <v>43826.748761574076</v>
      </c>
      <c r="W663" s="1">
        <v>43826.748773148145</v>
      </c>
      <c r="EC663" t="s">
        <v>4780</v>
      </c>
      <c r="ED663" t="s">
        <v>3033</v>
      </c>
      <c r="EE663" t="s">
        <v>2617</v>
      </c>
      <c r="EF663" t="str">
        <f>HYPERLINK("https://d33htgqikc2pj4.cloudfront.net/qvHDimMUqxZcQnsj/c38b06bb-c6f5-4998-ac80-ddc12d1ca4bc.jpeg", "Алексей Бирюков: Ссылка на изображение")</f>
        <v>Алексей Бирюков: Ссылка на изображение</v>
      </c>
      <c r="EG663" t="str">
        <f>HYPERLINK("https://d33htgqikc2pj4.cloudfront.net/qvHDimMUqxZcQnsj/c7ed2ad6-775c-4a2c-84c4-6493b9a361f6.jpeg", "Алексей Бирюков: Ссылка на изображение")</f>
        <v>Алексей Бирюков: Ссылка на изображение</v>
      </c>
      <c r="EH663" t="str">
        <f>HYPERLINK("https://d33htgqikc2pj4.cloudfront.net/qvHDimMUqxZcQnsj/443249cc-8186-443b-a668-4952a145fd73.jpeg", "Алексей Бирюков: Ссылка на изображение")</f>
        <v>Алексей Бирюков: Ссылка на изображение</v>
      </c>
      <c r="EI663" t="str">
        <f>HYPERLINK("https://d33htgqikc2pj4.cloudfront.net/qvHDimMUqxZcQnsj/1dba5735-1a61-4f57-9c6c-3837cc53bfda.jpeg", "Алексей Бирюков: Ссылка на изображение")</f>
        <v>Алексей Бирюков: Ссылка на изображение</v>
      </c>
      <c r="EJ663" t="str">
        <f>HYPERLINK("https://d33htgqikc2pj4.cloudfront.net/qvHDimMUqxZcQnsj/f470447c-4dda-4198-b8e7-3b870bb7e0b6.jpeg", "Алексей Бирюков: Ссылка на изображение")</f>
        <v>Алексей Бирюков: Ссылка на изображение</v>
      </c>
      <c r="EK663" t="str">
        <f>HYPERLINK("https://d33htgqikc2pj4.cloudfront.net/qvHDimMUqxZcQnsj/512a49ed-56cf-4a0c-80f8-80a56a4d47c7.jpeg", "Алексей Бирюков: Ссылка на изображение")</f>
        <v>Алексей Бирюков: Ссылка на изображение</v>
      </c>
      <c r="EL663" t="str">
        <f>HYPERLINK("https://d33htgqikc2pj4.cloudfront.net/qvHDimMUqxZcQnsj/eedd928c-251d-43c2-aa29-ebeb4c9b1a6c.jpeg", "Алексей Бирюков: Ссылка на изображение")</f>
        <v>Алексей Бирюков: Ссылка на изображение</v>
      </c>
      <c r="EM663" t="str">
        <f>HYPERLINK("https://d33htgqikc2pj4.cloudfront.net/qvHDimMUqxZcQnsj/4ba6d8cb-3c5c-4459-bc4c-e1163a782f5d.jpeg", "Алексей Бирюков: Ссылка на изображение")</f>
        <v>Алексей Бирюков: Ссылка на изображение</v>
      </c>
      <c r="EN663" t="str">
        <f>HYPERLINK("https://d33htgqikc2pj4.cloudfront.net/qvHDimMUqxZcQnsj/cd5ed553-904a-4116-afe5-49694ff6ec82.jpeg", "Алексей Бирюков: Ссылка на изображение")</f>
        <v>Алексей Бирюков: Ссылка на изображение</v>
      </c>
      <c r="EO663" t="str">
        <f>HYPERLINK("https://d33htgqikc2pj4.cloudfront.net/qvHDimMUqxZcQnsj/8d7c59e5-3626-4896-a1e0-7e08c2a3194e.jpeg", "Алексей Бирюков: Ссылка на изображение")</f>
        <v>Алексей Бирюков: Ссылка на изображение</v>
      </c>
      <c r="EP663" t="s">
        <v>1899</v>
      </c>
    </row>
    <row r="664" spans="1:153" ht="15" customHeight="1" x14ac:dyDescent="0.35">
      <c r="A664">
        <v>809</v>
      </c>
      <c r="B664" t="s">
        <v>5170</v>
      </c>
      <c r="C664">
        <v>2</v>
      </c>
      <c r="D664" t="str">
        <f>VLOOKUP(source[[#This Row],[Приоритет]],тПриоритеты[],2,0)</f>
        <v>Значительное</v>
      </c>
      <c r="E664" t="str">
        <f>IF(ISBLANK(source[[#This Row],[Проверенные]]),IF(ISBLANK(source[[#This Row],[Завершенные]]),source[[#This Row],[Приоритет_]],"Завершено"),"Проверено")</f>
        <v>Проверено</v>
      </c>
      <c r="F664" t="s">
        <v>4423</v>
      </c>
      <c r="G664" t="s">
        <v>2926</v>
      </c>
      <c r="H664" t="e">
        <f>VLOOKUP(source[[#This Row],[Отвественный]],тОтветственные[],2,0)</f>
        <v>#N/A</v>
      </c>
      <c r="I664" s="2">
        <v>43826</v>
      </c>
      <c r="J664" s="2">
        <v>43826</v>
      </c>
      <c r="S664" s="1">
        <v>43826.672777777778</v>
      </c>
      <c r="T664" s="1">
        <v>43826.753657407404</v>
      </c>
      <c r="U664" s="1">
        <v>43826.753657407404</v>
      </c>
      <c r="W664" s="1">
        <v>43826.753657407404</v>
      </c>
      <c r="X664" t="s">
        <v>4879</v>
      </c>
      <c r="AH664" t="s">
        <v>5171</v>
      </c>
      <c r="AI664" t="s">
        <v>5172</v>
      </c>
      <c r="AJ664" t="s">
        <v>5173</v>
      </c>
      <c r="AK664" t="s">
        <v>5174</v>
      </c>
      <c r="AL664" t="s">
        <v>5175</v>
      </c>
      <c r="EC664" t="s">
        <v>5176</v>
      </c>
      <c r="ED664" t="s">
        <v>2617</v>
      </c>
      <c r="EE664" t="s">
        <v>3033</v>
      </c>
      <c r="EF664" t="str">
        <f>HYPERLINK("https://d33htgqikc2pj4.cloudfront.net/qvHDimMUqxZcQnsj/db106faa-3364-4a02-b63b-5427dd1e6b24.jpeg", "Алексей Бирюков: Ссылка на изображение")</f>
        <v>Алексей Бирюков: Ссылка на изображение</v>
      </c>
      <c r="EG664" t="str">
        <f>HYPERLINK("https://d33htgqikc2pj4.cloudfront.net/qvHDimMUqxZcQnsj/c3648662-80dd-47a4-ac2f-9021652fe17c.jpeg", "Алексей Бирюков: Ссылка на изображение")</f>
        <v>Алексей Бирюков: Ссылка на изображение</v>
      </c>
      <c r="EH664" t="str">
        <f>HYPERLINK("https://d33htgqikc2pj4.cloudfront.net/qvHDimMUqxZcQnsj/9f4d2132-8569-4e28-8d18-f0c9b25fac8d.jpeg", "Алексей Бирюков: Ссылка на изображение")</f>
        <v>Алексей Бирюков: Ссылка на изображение</v>
      </c>
      <c r="EI664" t="str">
        <f>HYPERLINK("https://d33htgqikc2pj4.cloudfront.net/qvHDimMUqxZcQnsj/8c6d6f9e-3c82-4fb1-9229-702721a2eb5f.jpeg", "Алексей Бирюков: Ссылка на изображение")</f>
        <v>Алексей Бирюков: Ссылка на изображение</v>
      </c>
      <c r="EJ664" t="str">
        <f>HYPERLINK("https://d33htgqikc2pj4.cloudfront.net/qvHDimMUqxZcQnsj/3f6c1e27-eb72-4f37-9ef4-d4285134a6f8.jpeg", "Алексей Бирюков: Ссылка на изображение")</f>
        <v>Алексей Бирюков: Ссылка на изображение</v>
      </c>
      <c r="EK664" t="str">
        <f>HYPERLINK("https://d33htgqikc2pj4.cloudfront.net/qvHDimMUqxZcQnsj/2c077ccc-1f47-4dab-8239-a88c3712f394.jpeg", "Алексей Бирюков: Ссылка на изображение")</f>
        <v>Алексей Бирюков: Ссылка на изображение</v>
      </c>
      <c r="EL664" t="str">
        <f>HYPERLINK("https://d33htgqikc2pj4.cloudfront.net/qvHDimMUqxZcQnsj/b9812ad9-1553-4624-a358-31255588c4d7.jpeg", "Алексей Бирюков: Ссылка на изображение")</f>
        <v>Алексей Бирюков: Ссылка на изображение</v>
      </c>
      <c r="EM664" t="str">
        <f>HYPERLINK("https://d33htgqikc2pj4.cloudfront.net/qvHDimMUqxZcQnsj/635fe58e-d926-43e2-b485-fdf137a9e16b.jpeg", "Алексей Бирюков: Ссылка на изображение")</f>
        <v>Алексей Бирюков: Ссылка на изображение</v>
      </c>
      <c r="EN664" t="s">
        <v>1902</v>
      </c>
      <c r="EO664" t="s">
        <v>5177</v>
      </c>
      <c r="EP664" t="s">
        <v>1899</v>
      </c>
    </row>
    <row r="665" spans="1:153" ht="15" customHeight="1" x14ac:dyDescent="0.35">
      <c r="A665">
        <v>523</v>
      </c>
      <c r="B665" t="s">
        <v>5178</v>
      </c>
      <c r="C665">
        <v>2</v>
      </c>
      <c r="D665" t="str">
        <f>VLOOKUP(source[[#This Row],[Приоритет]],тПриоритеты[],2,0)</f>
        <v>Значительное</v>
      </c>
      <c r="E665" t="str">
        <f>IF(ISBLANK(source[[#This Row],[Проверенные]]),IF(ISBLANK(source[[#This Row],[Завершенные]]),source[[#This Row],[Приоритет_]],"Завершено"),"Проверено")</f>
        <v>Проверено</v>
      </c>
      <c r="F665" t="s">
        <v>4423</v>
      </c>
      <c r="G665" t="s">
        <v>2926</v>
      </c>
      <c r="H665" t="e">
        <f>VLOOKUP(source[[#This Row],[Отвественный]],тОтветственные[],2,0)</f>
        <v>#N/A</v>
      </c>
      <c r="I665" s="2">
        <v>43802</v>
      </c>
      <c r="J665" s="2">
        <v>43802</v>
      </c>
      <c r="S665" s="1">
        <v>43802.76903935185</v>
      </c>
      <c r="T665" s="1">
        <v>43811.680902777778</v>
      </c>
      <c r="U665" s="1">
        <v>43811.680902777778</v>
      </c>
      <c r="W665" s="1">
        <v>43811.756828703707</v>
      </c>
      <c r="X665" t="s">
        <v>2967</v>
      </c>
      <c r="AH665" t="s">
        <v>5179</v>
      </c>
      <c r="AI665" t="s">
        <v>2969</v>
      </c>
      <c r="AJ665" t="s">
        <v>2970</v>
      </c>
      <c r="AK665" t="s">
        <v>5180</v>
      </c>
      <c r="AL665" t="s">
        <v>2972</v>
      </c>
      <c r="AM665" t="s">
        <v>5181</v>
      </c>
      <c r="AN665" t="s">
        <v>2974</v>
      </c>
      <c r="AO665" t="s">
        <v>2975</v>
      </c>
      <c r="EC665" t="s">
        <v>5182</v>
      </c>
      <c r="ED665" t="s">
        <v>1902</v>
      </c>
      <c r="EE665" t="s">
        <v>2617</v>
      </c>
      <c r="EF665" t="s">
        <v>1999</v>
      </c>
      <c r="EG665" t="s">
        <v>1899</v>
      </c>
    </row>
    <row r="666" spans="1:153" ht="15" customHeight="1" x14ac:dyDescent="0.35">
      <c r="A666">
        <v>521</v>
      </c>
      <c r="B666" t="s">
        <v>5183</v>
      </c>
      <c r="C666">
        <v>2</v>
      </c>
      <c r="D666" t="str">
        <f>VLOOKUP(source[[#This Row],[Приоритет]],тПриоритеты[],2,0)</f>
        <v>Значительное</v>
      </c>
      <c r="E666" t="str">
        <f>IF(ISBLANK(source[[#This Row],[Проверенные]]),IF(ISBLANK(source[[#This Row],[Завершенные]]),source[[#This Row],[Приоритет_]],"Завершено"),"Проверено")</f>
        <v>Проверено</v>
      </c>
      <c r="F666" t="s">
        <v>4423</v>
      </c>
      <c r="G666" t="s">
        <v>2926</v>
      </c>
      <c r="H666" t="e">
        <f>VLOOKUP(source[[#This Row],[Отвественный]],тОтветственные[],2,0)</f>
        <v>#N/A</v>
      </c>
      <c r="I666" s="2">
        <v>43802</v>
      </c>
      <c r="J666" s="2">
        <v>43802</v>
      </c>
      <c r="K666" t="s">
        <v>5184</v>
      </c>
      <c r="L666">
        <v>0</v>
      </c>
      <c r="M666">
        <v>0</v>
      </c>
      <c r="Q666" t="s">
        <v>789</v>
      </c>
      <c r="R666" t="str">
        <f>HYPERLINK("https://d28ji4sm1vmprj.cloudfront.net/b1b88afe055d0c2c9f732718f0392b61/eecfa6bda5dfa7a88f745fed137cad02.jpeg", "Ссылка на план")</f>
        <v>Ссылка на план</v>
      </c>
      <c r="S666" s="1">
        <v>43802.763425925928</v>
      </c>
      <c r="T666" s="1">
        <v>43811.680833333332</v>
      </c>
      <c r="U666" s="1">
        <v>43811.680833333332</v>
      </c>
      <c r="W666" s="1">
        <v>43811.756828703707</v>
      </c>
      <c r="X666" t="s">
        <v>2967</v>
      </c>
      <c r="AH666" t="s">
        <v>5179</v>
      </c>
      <c r="AI666" t="s">
        <v>2969</v>
      </c>
      <c r="AJ666" t="s">
        <v>2970</v>
      </c>
      <c r="AK666" t="s">
        <v>5180</v>
      </c>
      <c r="AL666" t="s">
        <v>2972</v>
      </c>
      <c r="AM666" t="s">
        <v>2973</v>
      </c>
      <c r="AN666" t="s">
        <v>2974</v>
      </c>
      <c r="AO666" t="s">
        <v>2975</v>
      </c>
      <c r="EC666" t="s">
        <v>5185</v>
      </c>
      <c r="ED666" t="s">
        <v>1902</v>
      </c>
      <c r="EE666" t="s">
        <v>2617</v>
      </c>
      <c r="EF666" t="s">
        <v>1999</v>
      </c>
      <c r="EG666" t="s">
        <v>1899</v>
      </c>
    </row>
    <row r="667" spans="1:153" ht="15" customHeight="1" x14ac:dyDescent="0.35">
      <c r="A667">
        <v>815</v>
      </c>
      <c r="B667" t="s">
        <v>5186</v>
      </c>
      <c r="C667">
        <v>2</v>
      </c>
      <c r="D667" t="str">
        <f>VLOOKUP(source[[#This Row],[Приоритет]],тПриоритеты[],2,0)</f>
        <v>Значительное</v>
      </c>
      <c r="E667" t="str">
        <f>IF(ISBLANK(source[[#This Row],[Проверенные]]),IF(ISBLANK(source[[#This Row],[Завершенные]]),source[[#This Row],[Приоритет_]],"Завершено"),"Проверено")</f>
        <v>Проверено</v>
      </c>
      <c r="F667" t="s">
        <v>4423</v>
      </c>
      <c r="G667" t="s">
        <v>2926</v>
      </c>
      <c r="H667" t="e">
        <f>VLOOKUP(source[[#This Row],[Отвественный]],тОтветственные[],2,0)</f>
        <v>#N/A</v>
      </c>
      <c r="I667" s="2">
        <v>43827</v>
      </c>
      <c r="J667" s="2">
        <v>43827</v>
      </c>
      <c r="S667" s="1">
        <v>43827.684004629627</v>
      </c>
      <c r="T667" s="1">
        <v>43827.686030092591</v>
      </c>
      <c r="U667" s="1">
        <v>43827.686030092591</v>
      </c>
      <c r="W667" s="1">
        <v>43827.686030092591</v>
      </c>
      <c r="X667" t="s">
        <v>432</v>
      </c>
      <c r="AH667" t="s">
        <v>5187</v>
      </c>
      <c r="AI667" t="s">
        <v>5188</v>
      </c>
      <c r="AJ667" s="3" t="s">
        <v>5189</v>
      </c>
      <c r="AK667" s="3" t="s">
        <v>5190</v>
      </c>
      <c r="AL667" t="s">
        <v>5191</v>
      </c>
      <c r="AM667" s="3" t="s">
        <v>5192</v>
      </c>
      <c r="AN667" t="s">
        <v>5193</v>
      </c>
      <c r="AO667" t="s">
        <v>5194</v>
      </c>
      <c r="AP667" t="s">
        <v>5195</v>
      </c>
      <c r="EC667" t="s">
        <v>5196</v>
      </c>
      <c r="ED667" t="str">
        <f>HYPERLINK("https://d33htgqikc2pj4.cloudfront.net/qvHDimMUqxZcQnsj/8a7efb9f-2229-41b7-a37e-9b95ff9959e7.jpeg", "Алексей Бирюков: Ссылка на изображение")</f>
        <v>Алексей Бирюков: Ссылка на изображение</v>
      </c>
      <c r="EE667" t="str">
        <f>HYPERLINK("https://d33htgqikc2pj4.cloudfront.net/qvHDimMUqxZcQnsj/d6751a1f-e1cb-4d88-bc5d-287dde4c40b4.jpeg", "Алексей Бирюков: Ссылка на изображение")</f>
        <v>Алексей Бирюков: Ссылка на изображение</v>
      </c>
      <c r="EF667" t="str">
        <f>HYPERLINK("https://d33htgqikc2pj4.cloudfront.net/qvHDimMUqxZcQnsj/2d80be1f-a353-455b-85ea-88a90bdc6578.jpeg", "Алексей Бирюков: Ссылка на изображение")</f>
        <v>Алексей Бирюков: Ссылка на изображение</v>
      </c>
      <c r="EG667" t="str">
        <f>HYPERLINK("https://d33htgqikc2pj4.cloudfront.net/qvHDimMUqxZcQnsj/f7469f24-7e79-4096-9f9e-cde80fc95bb1.jpeg", "Алексей Бирюков: Ссылка на изображение")</f>
        <v>Алексей Бирюков: Ссылка на изображение</v>
      </c>
      <c r="EH667" t="str">
        <f>HYPERLINK("https://d33htgqikc2pj4.cloudfront.net/qvHDimMUqxZcQnsj/d54415da-d29e-4e07-979a-ff4619574587.jpeg", "Алексей Бирюков: Ссылка на изображение")</f>
        <v>Алексей Бирюков: Ссылка на изображение</v>
      </c>
      <c r="EI667" t="str">
        <f>HYPERLINK("https://d33htgqikc2pj4.cloudfront.net/qvHDimMUqxZcQnsj/3edcc5eb-5805-47d6-aef4-08ffa7208abc.jpeg", "Алексей Бирюков: Ссылка на изображение")</f>
        <v>Алексей Бирюков: Ссылка на изображение</v>
      </c>
      <c r="EJ667" t="s">
        <v>3047</v>
      </c>
      <c r="EK667" t="s">
        <v>2617</v>
      </c>
      <c r="EL667" t="s">
        <v>1899</v>
      </c>
    </row>
    <row r="668" spans="1:153" ht="15" customHeight="1" x14ac:dyDescent="0.35">
      <c r="A668">
        <v>816</v>
      </c>
      <c r="B668" t="s">
        <v>5197</v>
      </c>
      <c r="C668">
        <v>2</v>
      </c>
      <c r="D668" t="str">
        <f>VLOOKUP(source[[#This Row],[Приоритет]],тПриоритеты[],2,0)</f>
        <v>Значительное</v>
      </c>
      <c r="E668" t="str">
        <f>IF(ISBLANK(source[[#This Row],[Проверенные]]),IF(ISBLANK(source[[#This Row],[Завершенные]]),source[[#This Row],[Приоритет_]],"Завершено"),"Проверено")</f>
        <v>Проверено</v>
      </c>
      <c r="F668" t="s">
        <v>4423</v>
      </c>
      <c r="G668" t="s">
        <v>2926</v>
      </c>
      <c r="H668" t="e">
        <f>VLOOKUP(source[[#This Row],[Отвественный]],тОтветственные[],2,0)</f>
        <v>#N/A</v>
      </c>
      <c r="I668" s="2">
        <v>43827</v>
      </c>
      <c r="J668" s="2">
        <v>43827</v>
      </c>
      <c r="S668" s="1">
        <v>43827.684004629627</v>
      </c>
      <c r="T668" s="1">
        <v>43827.687222222223</v>
      </c>
      <c r="U668" s="1">
        <v>43827.687222222223</v>
      </c>
      <c r="W668" s="1">
        <v>43827.687407407408</v>
      </c>
      <c r="EC668" t="s">
        <v>5198</v>
      </c>
      <c r="ED668" t="str">
        <f>HYPERLINK("https://d33htgqikc2pj4.cloudfront.net/qvHDimMUqxZcQnsj/6b3927b3-bb21-4684-9121-ec86247f82c9.jpeg", "Алексей Бирюков: Ссылка на изображение")</f>
        <v>Алексей Бирюков: Ссылка на изображение</v>
      </c>
      <c r="EE668" t="str">
        <f>HYPERLINK("https://d33htgqikc2pj4.cloudfront.net/qvHDimMUqxZcQnsj/ee001e29-e620-4cf2-942c-584b3463165e.jpeg", "Алексей Бирюков: Ссылка на изображение")</f>
        <v>Алексей Бирюков: Ссылка на изображение</v>
      </c>
      <c r="EF668" t="str">
        <f>HYPERLINK("https://d33htgqikc2pj4.cloudfront.net/qvHDimMUqxZcQnsj/2517a622-9bfc-454a-86a6-b29688f6b800.jpeg", "Алексей Бирюков: Ссылка на изображение")</f>
        <v>Алексей Бирюков: Ссылка на изображение</v>
      </c>
      <c r="EG668" t="str">
        <f>HYPERLINK("https://d33htgqikc2pj4.cloudfront.net/qvHDimMUqxZcQnsj/51aac83b-2e5c-42ea-8271-106350915f5e.jpeg", "Алексей Бирюков: Ссылка на изображение")</f>
        <v>Алексей Бирюков: Ссылка на изображение</v>
      </c>
      <c r="EH668" t="s">
        <v>1899</v>
      </c>
      <c r="EI668" t="s">
        <v>2617</v>
      </c>
      <c r="EJ668" t="s">
        <v>3047</v>
      </c>
    </row>
    <row r="669" spans="1:153" ht="15" customHeight="1" x14ac:dyDescent="0.35">
      <c r="A669">
        <v>820</v>
      </c>
      <c r="B669" t="s">
        <v>5199</v>
      </c>
      <c r="C669">
        <v>2</v>
      </c>
      <c r="D669" t="str">
        <f>VLOOKUP(source[[#This Row],[Приоритет]],тПриоритеты[],2,0)</f>
        <v>Значительное</v>
      </c>
      <c r="E669" t="str">
        <f>IF(ISBLANK(source[[#This Row],[Проверенные]]),IF(ISBLANK(source[[#This Row],[Завершенные]]),source[[#This Row],[Приоритет_]],"Завершено"),"Проверено")</f>
        <v>Проверено</v>
      </c>
      <c r="F669" t="s">
        <v>4423</v>
      </c>
      <c r="G669" t="s">
        <v>2926</v>
      </c>
      <c r="H669" t="e">
        <f>VLOOKUP(source[[#This Row],[Отвественный]],тОтветственные[],2,0)</f>
        <v>#N/A</v>
      </c>
      <c r="I669" s="2">
        <v>43827</v>
      </c>
      <c r="J669" s="2">
        <v>43827</v>
      </c>
      <c r="S669" s="1">
        <v>43827.684004629627</v>
      </c>
      <c r="T669" s="1">
        <v>43827.685185185182</v>
      </c>
      <c r="U669" s="1">
        <v>43827.685185185182</v>
      </c>
      <c r="W669" s="1">
        <v>43827.685196759259</v>
      </c>
      <c r="X669" t="s">
        <v>2606</v>
      </c>
      <c r="AH669" t="s">
        <v>5200</v>
      </c>
      <c r="AI669" t="s">
        <v>5201</v>
      </c>
      <c r="AJ669" t="s">
        <v>5202</v>
      </c>
      <c r="AK669" t="s">
        <v>5203</v>
      </c>
      <c r="AL669" t="s">
        <v>5204</v>
      </c>
      <c r="AM669" t="s">
        <v>5205</v>
      </c>
      <c r="AN669" t="s">
        <v>5206</v>
      </c>
      <c r="AO669" t="s">
        <v>5207</v>
      </c>
      <c r="EC669" t="s">
        <v>5208</v>
      </c>
      <c r="ED669" t="str">
        <f>HYPERLINK("https://d33htgqikc2pj4.cloudfront.net/qvHDimMUqxZcQnsj/83b4073e-488e-4ba1-8fda-1d72366bc4c4.jpeg", "Алексей Бирюков: Ссылка на изображение")</f>
        <v>Алексей Бирюков: Ссылка на изображение</v>
      </c>
      <c r="EE669" t="str">
        <f>HYPERLINK("https://d33htgqikc2pj4.cloudfront.net/qvHDimMUqxZcQnsj/b809a182-bb6c-4e72-96c2-701dba34e564.jpeg", "Алексей Бирюков: Ссылка на изображение")</f>
        <v>Алексей Бирюков: Ссылка на изображение</v>
      </c>
      <c r="EF669" t="str">
        <f>HYPERLINK("https://d33htgqikc2pj4.cloudfront.net/qvHDimMUqxZcQnsj/8bb3b348-7508-45ce-8047-3890e21d458a.jpeg", "Алексей Бирюков: Ссылка на изображение")</f>
        <v>Алексей Бирюков: Ссылка на изображение</v>
      </c>
      <c r="EG669" t="str">
        <f>HYPERLINK("https://d33htgqikc2pj4.cloudfront.net/qvHDimMUqxZcQnsj/81b17831-939c-4ac8-a009-399439f872f8.jpeg", "Алексей Бирюков: Ссылка на изображение")</f>
        <v>Алексей Бирюков: Ссылка на изображение</v>
      </c>
      <c r="EH669" t="str">
        <f>HYPERLINK("https://d33htgqikc2pj4.cloudfront.net/qvHDimMUqxZcQnsj/6441b2c1-8052-4979-a30a-9399bdda0f9e.jpeg", "Алексей Бирюков: Ссылка на изображение")</f>
        <v>Алексей Бирюков: Ссылка на изображение</v>
      </c>
      <c r="EI669" t="str">
        <f>HYPERLINK("https://d33htgqikc2pj4.cloudfront.net/qvHDimMUqxZcQnsj/cca0437e-7921-4dca-99a0-361d59a4cb10.jpeg", "Алексей Бирюков: Ссылка на изображение")</f>
        <v>Алексей Бирюков: Ссылка на изображение</v>
      </c>
      <c r="EJ669" t="str">
        <f>HYPERLINK("https://d33htgqikc2pj4.cloudfront.net/qvHDimMUqxZcQnsj/9ae6dc37-bfd9-44d5-845b-a3c9135c4afb.jpeg", "Алексей Бирюков: Ссылка на изображение")</f>
        <v>Алексей Бирюков: Ссылка на изображение</v>
      </c>
      <c r="EK669" t="s">
        <v>5209</v>
      </c>
      <c r="EL669" t="s">
        <v>3047</v>
      </c>
      <c r="EM669" t="s">
        <v>2939</v>
      </c>
      <c r="EN669" t="s">
        <v>2617</v>
      </c>
      <c r="EO669" t="s">
        <v>1899</v>
      </c>
    </row>
    <row r="670" spans="1:153" ht="15" customHeight="1" x14ac:dyDescent="0.35">
      <c r="A670">
        <v>529</v>
      </c>
      <c r="B670" t="s">
        <v>5210</v>
      </c>
      <c r="C670">
        <v>2</v>
      </c>
      <c r="D670" t="str">
        <f>VLOOKUP(source[[#This Row],[Приоритет]],тПриоритеты[],2,0)</f>
        <v>Значительное</v>
      </c>
      <c r="E670" t="str">
        <f>IF(ISBLANK(source[[#This Row],[Проверенные]]),IF(ISBLANK(source[[#This Row],[Завершенные]]),source[[#This Row],[Приоритет_]],"Завершено"),"Проверено")</f>
        <v>Проверено</v>
      </c>
      <c r="F670" t="s">
        <v>4423</v>
      </c>
      <c r="G670" t="s">
        <v>2926</v>
      </c>
      <c r="H670" t="e">
        <f>VLOOKUP(source[[#This Row],[Отвественный]],тОтветственные[],2,0)</f>
        <v>#N/A</v>
      </c>
      <c r="I670" s="2">
        <v>43803</v>
      </c>
      <c r="J670" s="2">
        <v>43803</v>
      </c>
      <c r="S670" s="1">
        <v>43803.478032407409</v>
      </c>
      <c r="T670" s="1">
        <v>43811.680960648147</v>
      </c>
      <c r="U670" s="1">
        <v>43811.680960648147</v>
      </c>
      <c r="W670" s="1">
        <v>43811.756851851853</v>
      </c>
      <c r="X670" t="s">
        <v>4879</v>
      </c>
      <c r="AH670" t="s">
        <v>5211</v>
      </c>
      <c r="AI670" t="s">
        <v>5212</v>
      </c>
      <c r="AJ670" t="s">
        <v>5213</v>
      </c>
      <c r="AK670" t="s">
        <v>5214</v>
      </c>
      <c r="AL670" t="s">
        <v>5215</v>
      </c>
      <c r="EC670" t="s">
        <v>5216</v>
      </c>
      <c r="ED670" t="s">
        <v>2617</v>
      </c>
      <c r="EE670" t="s">
        <v>3058</v>
      </c>
      <c r="EF670" t="str">
        <f>HYPERLINK("https://d33htgqikc2pj4.cloudfront.net/qvHDimMUqxZcQnsj/29c6b980-368e-4b4c-98c3-e930390dffd8.jpeg", "Алексей Бирюков: Ссылка на изображение")</f>
        <v>Алексей Бирюков: Ссылка на изображение</v>
      </c>
      <c r="EG670" t="str">
        <f>HYPERLINK("https://d33htgqikc2pj4.cloudfront.net/qvHDimMUqxZcQnsj/68b87c82-6ff9-40e5-a1c3-a55b681fdb1c.jpeg", "Алексей Бирюков: Ссылка на изображение")</f>
        <v>Алексей Бирюков: Ссылка на изображение</v>
      </c>
      <c r="EH670" t="str">
        <f>HYPERLINK("https://d33htgqikc2pj4.cloudfront.net/qvHDimMUqxZcQnsj/cabaf657-c041-4c43-bfe6-9c52b5727734.jpeg", "Алексей Бирюков: Ссылка на изображение")</f>
        <v>Алексей Бирюков: Ссылка на изображение</v>
      </c>
      <c r="EI670" t="str">
        <f>HYPERLINK("https://d33htgqikc2pj4.cloudfront.net/qvHDimMUqxZcQnsj/d0f673f9-7633-472a-8463-6b9104b804bb.jpeg", "Алексей Бирюков: Ссылка на изображение")</f>
        <v>Алексей Бирюков: Ссылка на изображение</v>
      </c>
      <c r="EJ670" t="str">
        <f>HYPERLINK("https://d33htgqikc2pj4.cloudfront.net/qvHDimMUqxZcQnsj/1ebce41d-eba1-4656-b57d-4af7edb00022.jpeg", "Алексей Бирюков: Ссылка на изображение")</f>
        <v>Алексей Бирюков: Ссылка на изображение</v>
      </c>
      <c r="EK670" t="str">
        <f>HYPERLINK("https://d33htgqikc2pj4.cloudfront.net/qvHDimMUqxZcQnsj/ca2f7f08-1369-4f8d-a08f-a2fd7f38ce4c.jpeg", "Алексей Бирюков: Ссылка на изображение")</f>
        <v>Алексей Бирюков: Ссылка на изображение</v>
      </c>
      <c r="EL670" t="s">
        <v>5217</v>
      </c>
      <c r="EM670" t="s">
        <v>1902</v>
      </c>
      <c r="EN670" t="s">
        <v>1899</v>
      </c>
    </row>
    <row r="671" spans="1:153" ht="15" customHeight="1" x14ac:dyDescent="0.35">
      <c r="A671">
        <v>536</v>
      </c>
      <c r="B671" t="s">
        <v>5218</v>
      </c>
      <c r="C671">
        <v>2</v>
      </c>
      <c r="D671" t="str">
        <f>VLOOKUP(source[[#This Row],[Приоритет]],тПриоритеты[],2,0)</f>
        <v>Значительное</v>
      </c>
      <c r="E671" t="str">
        <f>IF(ISBLANK(source[[#This Row],[Проверенные]]),IF(ISBLANK(source[[#This Row],[Завершенные]]),source[[#This Row],[Приоритет_]],"Завершено"),"Проверено")</f>
        <v>Проверено</v>
      </c>
      <c r="F671" t="s">
        <v>4423</v>
      </c>
      <c r="G671" t="s">
        <v>2926</v>
      </c>
      <c r="H671" t="e">
        <f>VLOOKUP(source[[#This Row],[Отвественный]],тОтветственные[],2,0)</f>
        <v>#N/A</v>
      </c>
      <c r="I671" s="2">
        <v>43803</v>
      </c>
      <c r="J671" s="2">
        <v>43803</v>
      </c>
      <c r="S671" s="1">
        <v>43803.710150462961</v>
      </c>
      <c r="T671" s="1">
        <v>43811.68109953704</v>
      </c>
      <c r="U671" s="1">
        <v>43811.68109953704</v>
      </c>
      <c r="W671" s="1">
        <v>43811.756851851853</v>
      </c>
      <c r="X671" t="s">
        <v>4760</v>
      </c>
      <c r="AH671" t="s">
        <v>5219</v>
      </c>
      <c r="AI671" t="s">
        <v>5220</v>
      </c>
      <c r="AJ671" t="s">
        <v>5221</v>
      </c>
      <c r="AK671" t="s">
        <v>5222</v>
      </c>
      <c r="AL671" t="s">
        <v>5223</v>
      </c>
      <c r="AM671" t="s">
        <v>5224</v>
      </c>
      <c r="AN671" t="s">
        <v>5225</v>
      </c>
      <c r="AO671" t="s">
        <v>5226</v>
      </c>
      <c r="AP671" t="s">
        <v>5227</v>
      </c>
      <c r="AQ671" t="s">
        <v>5228</v>
      </c>
      <c r="AR671" t="s">
        <v>5229</v>
      </c>
      <c r="AS671" t="s">
        <v>5230</v>
      </c>
      <c r="AT671" t="s">
        <v>5231</v>
      </c>
      <c r="AU671" t="s">
        <v>5232</v>
      </c>
      <c r="AV671" t="s">
        <v>5233</v>
      </c>
      <c r="AW671" t="s">
        <v>5234</v>
      </c>
      <c r="AX671" t="s">
        <v>5235</v>
      </c>
      <c r="AY671" t="s">
        <v>5236</v>
      </c>
      <c r="EC671" t="s">
        <v>5237</v>
      </c>
      <c r="ED671" t="s">
        <v>2617</v>
      </c>
      <c r="EE671" t="s">
        <v>3058</v>
      </c>
      <c r="EF671" t="str">
        <f>HYPERLINK("https://d33htgqikc2pj4.cloudfront.net/qvHDimMUqxZcQnsj/570805ce-8ce0-4f91-881a-cbaaf88af5a7.jpeg", "Алексей Бирюков: Ссылка на изображение")</f>
        <v>Алексей Бирюков: Ссылка на изображение</v>
      </c>
      <c r="EG671" t="str">
        <f>HYPERLINK("https://d33htgqikc2pj4.cloudfront.net/qvHDimMUqxZcQnsj/0eec7451-0a15-47b6-a6ef-285ac30ee6e6.jpeg", "Алексей Бирюков: Ссылка на изображение")</f>
        <v>Алексей Бирюков: Ссылка на изображение</v>
      </c>
      <c r="EH671" t="str">
        <f>HYPERLINK("https://d33htgqikc2pj4.cloudfront.net/qvHDimMUqxZcQnsj/ff829e12-4175-4bdb-8286-b0cb5496b4aa.jpeg", "Алексей Бирюков: Ссылка на изображение")</f>
        <v>Алексей Бирюков: Ссылка на изображение</v>
      </c>
      <c r="EI671" t="str">
        <f>HYPERLINK("https://d33htgqikc2pj4.cloudfront.net/qvHDimMUqxZcQnsj/9fc43de4-3fd2-4c56-870a-a1ac1bbf18c7.jpeg", "Алексей Бирюков: Ссылка на изображение")</f>
        <v>Алексей Бирюков: Ссылка на изображение</v>
      </c>
      <c r="EJ671" t="str">
        <f>HYPERLINK("https://d33htgqikc2pj4.cloudfront.net/qvHDimMUqxZcQnsj/2ef38fd5-828a-4619-b42b-23bfc415b731.jpeg", "Алексей Бирюков: Ссылка на изображение")</f>
        <v>Алексей Бирюков: Ссылка на изображение</v>
      </c>
      <c r="EK671" t="s">
        <v>5238</v>
      </c>
      <c r="EL671" t="s">
        <v>1902</v>
      </c>
      <c r="EM671" t="s">
        <v>1899</v>
      </c>
    </row>
    <row r="672" spans="1:153" ht="15" customHeight="1" x14ac:dyDescent="0.35">
      <c r="A672">
        <v>535</v>
      </c>
      <c r="B672" t="s">
        <v>5239</v>
      </c>
      <c r="C672">
        <v>2</v>
      </c>
      <c r="D672" t="str">
        <f>VLOOKUP(source[[#This Row],[Приоритет]],тПриоритеты[],2,0)</f>
        <v>Значительное</v>
      </c>
      <c r="E672" t="str">
        <f>IF(ISBLANK(source[[#This Row],[Проверенные]]),IF(ISBLANK(source[[#This Row],[Завершенные]]),source[[#This Row],[Приоритет_]],"Завершено"),"Проверено")</f>
        <v>Проверено</v>
      </c>
      <c r="F672" t="s">
        <v>4423</v>
      </c>
      <c r="G672" t="s">
        <v>2926</v>
      </c>
      <c r="H672" t="e">
        <f>VLOOKUP(source[[#This Row],[Отвественный]],тОтветственные[],2,0)</f>
        <v>#N/A</v>
      </c>
      <c r="I672" s="2">
        <v>43803</v>
      </c>
      <c r="J672" s="2">
        <v>43803</v>
      </c>
      <c r="S672" s="1">
        <v>43803.710150462961</v>
      </c>
      <c r="T672" s="1">
        <v>43811.681203703702</v>
      </c>
      <c r="U672" s="1">
        <v>43811.681203703702</v>
      </c>
      <c r="W672" s="1">
        <v>43811.756840277776</v>
      </c>
      <c r="X672" t="s">
        <v>4856</v>
      </c>
      <c r="AH672" t="s">
        <v>5240</v>
      </c>
      <c r="AI672" t="s">
        <v>5241</v>
      </c>
      <c r="AJ672" t="s">
        <v>5242</v>
      </c>
      <c r="AK672" t="s">
        <v>5243</v>
      </c>
      <c r="AL672" t="s">
        <v>5244</v>
      </c>
      <c r="AM672" t="s">
        <v>5245</v>
      </c>
      <c r="AN672" t="s">
        <v>5246</v>
      </c>
      <c r="AO672" t="s">
        <v>5247</v>
      </c>
      <c r="AP672" t="s">
        <v>5248</v>
      </c>
      <c r="AQ672" t="s">
        <v>5249</v>
      </c>
      <c r="AR672" t="s">
        <v>5250</v>
      </c>
      <c r="AS672" t="s">
        <v>5251</v>
      </c>
      <c r="AT672" t="s">
        <v>5252</v>
      </c>
      <c r="AU672" t="s">
        <v>5253</v>
      </c>
      <c r="AV672" t="s">
        <v>5254</v>
      </c>
      <c r="AW672" t="s">
        <v>5255</v>
      </c>
      <c r="EC672" t="s">
        <v>2617</v>
      </c>
      <c r="ED672" t="s">
        <v>3058</v>
      </c>
      <c r="EE672" t="s">
        <v>5256</v>
      </c>
      <c r="EF672" t="str">
        <f>HYPERLINK("https://d33htgqikc2pj4.cloudfront.net/qvHDimMUqxZcQnsj/0f5efa3a-ed55-4233-81df-b054e94af03b.jpeg", "Алексей Бирюков: Ссылка на изображение")</f>
        <v>Алексей Бирюков: Ссылка на изображение</v>
      </c>
      <c r="EG672" t="str">
        <f>HYPERLINK("https://d33htgqikc2pj4.cloudfront.net/qvHDimMUqxZcQnsj/ba168ec8-b28e-4cdb-88a3-4d0fb7aa1bbf.jpeg", "Алексей Бирюков: Ссылка на изображение")</f>
        <v>Алексей Бирюков: Ссылка на изображение</v>
      </c>
      <c r="EH672" t="str">
        <f>HYPERLINK("https://d33htgqikc2pj4.cloudfront.net/qvHDimMUqxZcQnsj/f84c4bfe-a2f4-42de-97df-c7f201886d47.jpeg", "Алексей Бирюков: Ссылка на изображение")</f>
        <v>Алексей Бирюков: Ссылка на изображение</v>
      </c>
      <c r="EI672" t="str">
        <f>HYPERLINK("https://d33htgqikc2pj4.cloudfront.net/qvHDimMUqxZcQnsj/eff4ac52-2436-492e-ab40-ef138b77530b.jpeg", "Алексей Бирюков: Ссылка на изображение")</f>
        <v>Алексей Бирюков: Ссылка на изображение</v>
      </c>
      <c r="EJ672" t="str">
        <f>HYPERLINK("https://d33htgqikc2pj4.cloudfront.net/qvHDimMUqxZcQnsj/4560c569-e6fd-4b31-a5ca-0cfbc14aa888.jpeg", "Алексей Бирюков: Ссылка на изображение")</f>
        <v>Алексей Бирюков: Ссылка на изображение</v>
      </c>
      <c r="EK672" t="str">
        <f>HYPERLINK("https://d33htgqikc2pj4.cloudfront.net/qvHDimMUqxZcQnsj/6c16289b-f9fe-41d5-b0f3-488770f1c032.jpeg", "Алексей Бирюков: Ссылка на изображение")</f>
        <v>Алексей Бирюков: Ссылка на изображение</v>
      </c>
      <c r="EL672" t="str">
        <f>HYPERLINK("https://d33htgqikc2pj4.cloudfront.net/qvHDimMUqxZcQnsj/41285cd8-7319-43fe-8db8-5d69c6b67f47.jpeg", "Алексей Бирюков: Ссылка на изображение")</f>
        <v>Алексей Бирюков: Ссылка на изображение</v>
      </c>
      <c r="EM672" t="str">
        <f>HYPERLINK("https://d33htgqikc2pj4.cloudfront.net/qvHDimMUqxZcQnsj/6129acca-8b13-4578-b03e-490a4d634225.jpeg", "Алексей Бирюков: Ссылка на изображение")</f>
        <v>Алексей Бирюков: Ссылка на изображение</v>
      </c>
      <c r="EN672" t="str">
        <f>HYPERLINK("https://d33htgqikc2pj4.cloudfront.net/qvHDimMUqxZcQnsj/fb49c8a9-c4bf-4095-8877-de2275ad0b4f.jpeg", "Алексей Бирюков: Ссылка на изображение")</f>
        <v>Алексей Бирюков: Ссылка на изображение</v>
      </c>
      <c r="EO672" t="str">
        <f>HYPERLINK("https://d33htgqikc2pj4.cloudfront.net/qvHDimMUqxZcQnsj/179f5e00-afe5-4ca2-9509-7c74c751f067.jpeg", "Алексей Бирюков: Ссылка на изображение")</f>
        <v>Алексей Бирюков: Ссылка на изображение</v>
      </c>
      <c r="EP672" t="str">
        <f>HYPERLINK("https://d33htgqikc2pj4.cloudfront.net/qvHDimMUqxZcQnsj/1642bbb8-e2c7-4060-aade-1ac0a2fcbae7.jpeg", "Алексей Бирюков: Ссылка на изображение")</f>
        <v>Алексей Бирюков: Ссылка на изображение</v>
      </c>
      <c r="EQ672" t="str">
        <f>HYPERLINK("https://d33htgqikc2pj4.cloudfront.net/qvHDimMUqxZcQnsj/8d9f9146-f513-4075-996c-b19bdffc327d.jpeg", "Алексей Бирюков: Ссылка на изображение")</f>
        <v>Алексей Бирюков: Ссылка на изображение</v>
      </c>
      <c r="ER672" t="str">
        <f>HYPERLINK("https://d33htgqikc2pj4.cloudfront.net/qvHDimMUqxZcQnsj/c6dda2ff-1b0e-4d35-afd9-626a6cfe4055.jpeg", "Алексей Бирюков: Ссылка на изображение")</f>
        <v>Алексей Бирюков: Ссылка на изображение</v>
      </c>
      <c r="ES672" t="str">
        <f>HYPERLINK("https://d33htgqikc2pj4.cloudfront.net/qvHDimMUqxZcQnsj/46de7a9b-a2eb-4c6f-9e4f-21cad3d6ac16.jpeg", "Алексей Бирюков: Ссылка на изображение")</f>
        <v>Алексей Бирюков: Ссылка на изображение</v>
      </c>
      <c r="ET672" t="s">
        <v>5257</v>
      </c>
      <c r="EU672" t="s">
        <v>5258</v>
      </c>
      <c r="EV672" t="s">
        <v>1902</v>
      </c>
      <c r="EW672" t="s">
        <v>1899</v>
      </c>
    </row>
    <row r="673" spans="1:160" ht="15" customHeight="1" x14ac:dyDescent="0.35">
      <c r="A673">
        <v>817</v>
      </c>
      <c r="B673" t="s">
        <v>5259</v>
      </c>
      <c r="C673">
        <v>2</v>
      </c>
      <c r="D673" t="str">
        <f>VLOOKUP(source[[#This Row],[Приоритет]],тПриоритеты[],2,0)</f>
        <v>Значительное</v>
      </c>
      <c r="E673" t="str">
        <f>IF(ISBLANK(source[[#This Row],[Проверенные]]),IF(ISBLANK(source[[#This Row],[Завершенные]]),source[[#This Row],[Приоритет_]],"Завершено"),"Проверено")</f>
        <v>Проверено</v>
      </c>
      <c r="F673" t="s">
        <v>4423</v>
      </c>
      <c r="G673" t="s">
        <v>2926</v>
      </c>
      <c r="H673" t="e">
        <f>VLOOKUP(source[[#This Row],[Отвественный]],тОтветственные[],2,0)</f>
        <v>#N/A</v>
      </c>
      <c r="I673" s="2">
        <v>43827</v>
      </c>
      <c r="J673" s="2">
        <v>43827</v>
      </c>
      <c r="S673" s="1">
        <v>43827.684004629627</v>
      </c>
      <c r="T673" s="1">
        <v>43827.686990740738</v>
      </c>
      <c r="U673" s="1">
        <v>43827.686990740738</v>
      </c>
      <c r="W673" s="1">
        <v>43827.686990740738</v>
      </c>
      <c r="EC673" t="s">
        <v>5260</v>
      </c>
      <c r="ED673" t="str">
        <f>HYPERLINK("https://d33htgqikc2pj4.cloudfront.net/qvHDimMUqxZcQnsj/67bdc7b6-a838-41a6-9d59-d9828114733a.jpeg", "Алексей Бирюков: Ссылка на изображение")</f>
        <v>Алексей Бирюков: Ссылка на изображение</v>
      </c>
      <c r="EE673" t="str">
        <f>HYPERLINK("https://d33htgqikc2pj4.cloudfront.net/qvHDimMUqxZcQnsj/82be76c6-456e-4399-8a3c-ae1a993c17f2.jpeg", "Алексей Бирюков: Ссылка на изображение")</f>
        <v>Алексей Бирюков: Ссылка на изображение</v>
      </c>
      <c r="EF673" t="str">
        <f>HYPERLINK("https://d33htgqikc2pj4.cloudfront.net/qvHDimMUqxZcQnsj/1d34e3a7-a33f-406c-8f9c-6e6955899f2d.jpeg", "Алексей Бирюков: Ссылка на изображение")</f>
        <v>Алексей Бирюков: Ссылка на изображение</v>
      </c>
      <c r="EG673" t="str">
        <f>HYPERLINK("https://d33htgqikc2pj4.cloudfront.net/qvHDimMUqxZcQnsj/0df676af-c3c6-4191-ad30-5b849a39b09b.jpeg", "Алексей Бирюков: Ссылка на изображение")</f>
        <v>Алексей Бирюков: Ссылка на изображение</v>
      </c>
      <c r="EH673" t="s">
        <v>5261</v>
      </c>
      <c r="EI673" t="s">
        <v>2617</v>
      </c>
      <c r="EJ673" t="s">
        <v>3047</v>
      </c>
      <c r="EK673" t="s">
        <v>1899</v>
      </c>
    </row>
    <row r="674" spans="1:160" ht="15" customHeight="1" x14ac:dyDescent="0.35">
      <c r="A674">
        <v>821</v>
      </c>
      <c r="B674" t="s">
        <v>5262</v>
      </c>
      <c r="C674">
        <v>2</v>
      </c>
      <c r="D674" t="str">
        <f>VLOOKUP(source[[#This Row],[Приоритет]],тПриоритеты[],2,0)</f>
        <v>Значительное</v>
      </c>
      <c r="E674" t="str">
        <f>IF(ISBLANK(source[[#This Row],[Проверенные]]),IF(ISBLANK(source[[#This Row],[Завершенные]]),source[[#This Row],[Приоритет_]],"Завершено"),"Проверено")</f>
        <v>Проверено</v>
      </c>
      <c r="F674" t="s">
        <v>4423</v>
      </c>
      <c r="G674" t="s">
        <v>2926</v>
      </c>
      <c r="H674" t="e">
        <f>VLOOKUP(source[[#This Row],[Отвественный]],тОтветственные[],2,0)</f>
        <v>#N/A</v>
      </c>
      <c r="I674" s="2">
        <v>43827</v>
      </c>
      <c r="J674" s="2">
        <v>43827</v>
      </c>
      <c r="S674" s="1">
        <v>43827.684004629627</v>
      </c>
      <c r="T674" s="1">
        <v>43827.688287037039</v>
      </c>
      <c r="U674" s="1">
        <v>43827.688287037039</v>
      </c>
      <c r="W674" s="1">
        <v>43827.688298611109</v>
      </c>
      <c r="EC674" t="s">
        <v>5263</v>
      </c>
      <c r="ED674" t="str">
        <f>HYPERLINK("https://d33htgqikc2pj4.cloudfront.net/qvHDimMUqxZcQnsj/1f4673c0-0617-48f7-938a-668292a9d807.jpeg", "Алексей Бирюков: Ссылка на изображение")</f>
        <v>Алексей Бирюков: Ссылка на изображение</v>
      </c>
      <c r="EE674" t="str">
        <f>HYPERLINK("https://d33htgqikc2pj4.cloudfront.net/qvHDimMUqxZcQnsj/9a9b5a10-159a-468c-83fa-afe864d21eb1.jpeg", "Алексей Бирюков: Ссылка на изображение")</f>
        <v>Алексей Бирюков: Ссылка на изображение</v>
      </c>
      <c r="EF674" t="str">
        <f>HYPERLINK("https://d33htgqikc2pj4.cloudfront.net/qvHDimMUqxZcQnsj/b5058f35-8855-43ee-9030-3bdbec0d06a1.jpeg", "Алексей Бирюков: Ссылка на изображение")</f>
        <v>Алексей Бирюков: Ссылка на изображение</v>
      </c>
      <c r="EG674" t="str">
        <f>HYPERLINK("https://d33htgqikc2pj4.cloudfront.net/qvHDimMUqxZcQnsj/c7ec0bc8-594f-46b6-8b4e-9470b5840416.jpeg", "Алексей Бирюков: Ссылка на изображение")</f>
        <v>Алексей Бирюков: Ссылка на изображение</v>
      </c>
      <c r="EH674" t="str">
        <f>HYPERLINK("https://d33htgqikc2pj4.cloudfront.net/qvHDimMUqxZcQnsj/096f74ac-d15a-4bd4-823c-ce3816f30fd6.jpeg", "Алексей Бирюков: Ссылка на изображение")</f>
        <v>Алексей Бирюков: Ссылка на изображение</v>
      </c>
      <c r="EI674" t="s">
        <v>5264</v>
      </c>
      <c r="EJ674" t="str">
        <f>HYPERLINK("https://d33htgqikc2pj4.cloudfront.net/qvHDimMUqxZcQnsj/90bcc758-925a-409f-84e9-4c242debb274.jpeg", "Алексей Бирюков: Ссылка на изображение")</f>
        <v>Алексей Бирюков: Ссылка на изображение</v>
      </c>
      <c r="EK674" t="str">
        <f>HYPERLINK("https://d33htgqikc2pj4.cloudfront.net/qvHDimMUqxZcQnsj/e7acb029-b55a-4899-a7ce-7ff3fcee683a.jpeg", "Алексей Бирюков: Ссылка на изображение")</f>
        <v>Алексей Бирюков: Ссылка на изображение</v>
      </c>
      <c r="EL674" t="str">
        <f>HYPERLINK("https://d33htgqikc2pj4.cloudfront.net/qvHDimMUqxZcQnsj/23123f5e-d49e-41b0-a675-4a80739d8478.jpeg", "Алексей Бирюков: Ссылка на изображение")</f>
        <v>Алексей Бирюков: Ссылка на изображение</v>
      </c>
      <c r="EM674" t="str">
        <f>HYPERLINK("https://d33htgqikc2pj4.cloudfront.net/qvHDimMUqxZcQnsj/d76e0775-6105-4e0a-b059-dee76f8af940.jpeg", "Алексей Бирюков: Ссылка на изображение")</f>
        <v>Алексей Бирюков: Ссылка на изображение</v>
      </c>
      <c r="EN674" t="str">
        <f>HYPERLINK("https://d33htgqikc2pj4.cloudfront.net/qvHDimMUqxZcQnsj/4f6308ad-2355-4097-b613-364bc47ae39a.jpeg", "Алексей Бирюков: Ссылка на изображение")</f>
        <v>Алексей Бирюков: Ссылка на изображение</v>
      </c>
      <c r="EO674" t="s">
        <v>2617</v>
      </c>
      <c r="EP674" t="s">
        <v>3047</v>
      </c>
      <c r="EQ674" t="s">
        <v>1899</v>
      </c>
      <c r="ER674" t="str">
        <f>HYPERLINK("https://d33htgqikc2pj4.cloudfront.net/qvHDimMUqxZcQnsj/07ee7b22-01c5-47c1-9b87-5f3e89e67183.jpeg", "Алексей Бирюков: Ссылка на изображение")</f>
        <v>Алексей Бирюков: Ссылка на изображение</v>
      </c>
      <c r="ES674" t="str">
        <f>HYPERLINK("https://d33htgqikc2pj4.cloudfront.net/qvHDimMUqxZcQnsj/9ced2b0b-98c8-4b07-932f-c0451ba408ef.jpeg", "Алексей Бирюков: Ссылка на изображение")</f>
        <v>Алексей Бирюков: Ссылка на изображение</v>
      </c>
    </row>
    <row r="675" spans="1:160" ht="15" customHeight="1" x14ac:dyDescent="0.35">
      <c r="A675">
        <v>125</v>
      </c>
      <c r="B675" t="s">
        <v>5265</v>
      </c>
      <c r="C675">
        <v>3</v>
      </c>
      <c r="D675" t="str">
        <f>VLOOKUP(source[[#This Row],[Приоритет]],тПриоритеты[],2,0)</f>
        <v>Малозначительное</v>
      </c>
      <c r="E675" t="str">
        <f>IF(ISBLANK(source[[#This Row],[Проверенные]]),IF(ISBLANK(source[[#This Row],[Завершенные]]),source[[#This Row],[Приоритет_]],"Завершено"),"Проверено")</f>
        <v>Проверено</v>
      </c>
      <c r="F675" t="s">
        <v>4423</v>
      </c>
      <c r="G675" t="s">
        <v>2926</v>
      </c>
      <c r="H675" t="e">
        <f>VLOOKUP(source[[#This Row],[Отвественный]],тОтветственные[],2,0)</f>
        <v>#N/A</v>
      </c>
      <c r="I675" s="2">
        <v>43774</v>
      </c>
      <c r="J675" s="2">
        <v>43774</v>
      </c>
      <c r="K675" t="s">
        <v>5266</v>
      </c>
      <c r="L675">
        <v>0</v>
      </c>
      <c r="M675">
        <v>0</v>
      </c>
      <c r="N675" t="s">
        <v>2740</v>
      </c>
      <c r="O675">
        <v>6</v>
      </c>
      <c r="P675">
        <v>0</v>
      </c>
      <c r="Q675" t="s">
        <v>1139</v>
      </c>
      <c r="R675" t="str">
        <f>HYPERLINK("https://d28ji4sm1vmprj.cloudfront.net/fe64023838505c315cb4ba17861412b5/99b3b0e98924d3fe8c0bd87be40b3819.jpeg", "Ссылка на план")</f>
        <v>Ссылка на план</v>
      </c>
      <c r="S675" s="1">
        <v>43774.435069444444</v>
      </c>
      <c r="T675" s="1">
        <v>43811.679594907408</v>
      </c>
      <c r="U675" s="1">
        <v>43811.679594907408</v>
      </c>
      <c r="W675" s="1">
        <v>43811.756747685184</v>
      </c>
      <c r="X675" t="s">
        <v>191</v>
      </c>
      <c r="AH675" t="s">
        <v>5267</v>
      </c>
      <c r="AI675" t="s">
        <v>5268</v>
      </c>
      <c r="AJ675" t="s">
        <v>5269</v>
      </c>
      <c r="AK675" t="s">
        <v>5270</v>
      </c>
      <c r="AL675" t="s">
        <v>5271</v>
      </c>
      <c r="AM675" t="s">
        <v>5272</v>
      </c>
      <c r="AN675" t="s">
        <v>5273</v>
      </c>
      <c r="AO675" t="s">
        <v>5274</v>
      </c>
      <c r="AP675" t="s">
        <v>5275</v>
      </c>
      <c r="AQ675" t="s">
        <v>5276</v>
      </c>
      <c r="AR675" t="s">
        <v>5277</v>
      </c>
      <c r="AS675" t="s">
        <v>5278</v>
      </c>
      <c r="AT675" t="s">
        <v>5279</v>
      </c>
      <c r="AU675" t="s">
        <v>5280</v>
      </c>
      <c r="AV675" t="s">
        <v>5281</v>
      </c>
      <c r="AW675" t="s">
        <v>5282</v>
      </c>
      <c r="AX675" t="s">
        <v>5283</v>
      </c>
      <c r="AY675" t="s">
        <v>5284</v>
      </c>
      <c r="AZ675" t="s">
        <v>5285</v>
      </c>
      <c r="EC675" t="s">
        <v>5286</v>
      </c>
      <c r="ED675" t="s">
        <v>5287</v>
      </c>
      <c r="EE675" t="s">
        <v>5286</v>
      </c>
      <c r="EF675" t="s">
        <v>5286</v>
      </c>
      <c r="EG675" t="s">
        <v>3063</v>
      </c>
      <c r="EH675" t="s">
        <v>5288</v>
      </c>
      <c r="EI675" t="s">
        <v>1902</v>
      </c>
      <c r="EJ675" t="s">
        <v>2617</v>
      </c>
      <c r="EK675" t="s">
        <v>5289</v>
      </c>
      <c r="EL675" t="s">
        <v>5290</v>
      </c>
      <c r="EM675" t="str">
        <f>HYPERLINK("https://d33htgqikc2pj4.cloudfront.net/57e81792-7c2c-42ed-971d-4c2502d80c9e.jpeg", "Алексей Бирюков: Ссылка на изображение")</f>
        <v>Алексей Бирюков: Ссылка на изображение</v>
      </c>
      <c r="EN675" t="str">
        <f>HYPERLINK("https://d33htgqikc2pj4.cloudfront.net/39dd92d4-ff3a-4376-983c-8930596a239b.jpeg", "Алексей Бирюков: Ссылка на изображение")</f>
        <v>Алексей Бирюков: Ссылка на изображение</v>
      </c>
      <c r="EO675" t="str">
        <f>HYPERLINK("https://d33htgqikc2pj4.cloudfront.net/2df4a7d7-b6ae-40fe-b9ac-a108c11e73f5.jpeg", "Алексей Бирюков: Ссылка на изображение")</f>
        <v>Алексей Бирюков: Ссылка на изображение</v>
      </c>
      <c r="EP675" t="str">
        <f>HYPERLINK("https://d33htgqikc2pj4.cloudfront.net/cd1d1e19-5e1c-4701-8e76-ca657f1dac0d.jpeg", "Алексей Бирюков: Ссылка на изображение")</f>
        <v>Алексей Бирюков: Ссылка на изображение</v>
      </c>
      <c r="EQ675" t="s">
        <v>5291</v>
      </c>
      <c r="ER675" t="str">
        <f>HYPERLINK("https://d33htgqikc2pj4.cloudfront.net/8af09a98-a068-44ce-8965-b0fc22b6638b.jpeg", "Алексей Бирюков: Ссылка на изображение")</f>
        <v>Алексей Бирюков: Ссылка на изображение</v>
      </c>
      <c r="ES675" t="str">
        <f>HYPERLINK("https://d33htgqikc2pj4.cloudfront.net/33c59a28-c822-46e0-bcfa-bc9c84dd9c64.jpeg", "Алексей Бирюков: Ссылка на изображение")</f>
        <v>Алексей Бирюков: Ссылка на изображение</v>
      </c>
      <c r="ET675" t="str">
        <f>HYPERLINK("https://d33htgqikc2pj4.cloudfront.net/ad7b0b5a-aa63-4820-8c71-562db1720d2e.mp4", "Алексей Бирюков: Ссылка на видео")</f>
        <v>Алексей Бирюков: Ссылка на видео</v>
      </c>
      <c r="EU675" t="s">
        <v>5292</v>
      </c>
      <c r="EV675" t="s">
        <v>5293</v>
      </c>
      <c r="EW675" t="s">
        <v>5294</v>
      </c>
      <c r="EX675" t="s">
        <v>5295</v>
      </c>
      <c r="EY675" t="s">
        <v>5296</v>
      </c>
      <c r="EZ675" t="s">
        <v>5297</v>
      </c>
      <c r="FA675" t="s">
        <v>1902</v>
      </c>
      <c r="FB675" t="s">
        <v>1899</v>
      </c>
      <c r="FC675" t="s">
        <v>1902</v>
      </c>
      <c r="FD675" t="s">
        <v>1899</v>
      </c>
    </row>
    <row r="676" spans="1:160" ht="15" customHeight="1" x14ac:dyDescent="0.35">
      <c r="A676">
        <v>559</v>
      </c>
      <c r="B676" t="s">
        <v>5298</v>
      </c>
      <c r="C676">
        <v>3</v>
      </c>
      <c r="D676" t="str">
        <f>VLOOKUP(source[[#This Row],[Приоритет]],тПриоритеты[],2,0)</f>
        <v>Малозначительное</v>
      </c>
      <c r="E676" t="str">
        <f>IF(ISBLANK(source[[#This Row],[Проверенные]]),IF(ISBLANK(source[[#This Row],[Завершенные]]),source[[#This Row],[Приоритет_]],"Завершено"),"Проверено")</f>
        <v>Проверено</v>
      </c>
      <c r="F676" t="s">
        <v>4423</v>
      </c>
      <c r="G676" t="s">
        <v>2926</v>
      </c>
      <c r="H676" t="e">
        <f>VLOOKUP(source[[#This Row],[Отвественный]],тОтветственные[],2,0)</f>
        <v>#N/A</v>
      </c>
      <c r="I676" s="2">
        <v>43806</v>
      </c>
      <c r="J676" s="2">
        <v>43806</v>
      </c>
      <c r="S676" s="1">
        <v>43806.675162037034</v>
      </c>
      <c r="T676" s="1">
        <v>43819.956354166665</v>
      </c>
      <c r="U676" s="1">
        <v>43819.956354166665</v>
      </c>
      <c r="W676" s="1">
        <v>43819.956354166665</v>
      </c>
      <c r="EC676" t="s">
        <v>5299</v>
      </c>
      <c r="ED676" t="s">
        <v>3069</v>
      </c>
      <c r="EE676" t="s">
        <v>2617</v>
      </c>
      <c r="EF676" t="str">
        <f>HYPERLINK("https://d33htgqikc2pj4.cloudfront.net/qvHDimMUqxZcQnsj/a1be6337-32a2-4f27-9aa0-f0304c2337e2.jpeg", "Алексей Бирюков: Ссылка на изображение")</f>
        <v>Алексей Бирюков: Ссылка на изображение</v>
      </c>
      <c r="EG676" t="str">
        <f>HYPERLINK("https://d33htgqikc2pj4.cloudfront.net/qvHDimMUqxZcQnsj/f6ebca49-834f-4d84-a1d3-4f96a1aa69f4.jpeg", "Алексей Бирюков: Ссылка на изображение")</f>
        <v>Алексей Бирюков: Ссылка на изображение</v>
      </c>
      <c r="EH676" t="str">
        <f>HYPERLINK("https://d33htgqikc2pj4.cloudfront.net/qvHDimMUqxZcQnsj/e580474c-901d-4483-a525-29b01b60db9e.jpeg", "Алексей Бирюков: Ссылка на изображение")</f>
        <v>Алексей Бирюков: Ссылка на изображение</v>
      </c>
      <c r="EI676" t="str">
        <f>HYPERLINK("https://d33htgqikc2pj4.cloudfront.net/qvHDimMUqxZcQnsj/eb224e6d-2d96-48b8-a82f-843ce1fd0982.jpeg", "Алексей Бирюков: Ссылка на изображение")</f>
        <v>Алексей Бирюков: Ссылка на изображение</v>
      </c>
      <c r="EJ676" t="str">
        <f>HYPERLINK("https://d33htgqikc2pj4.cloudfront.net/qvHDimMUqxZcQnsj/ed471570-3a2d-40dc-8828-5c97d2bb64b0.jpeg", "Алексей Бирюков: Ссылка на изображение")</f>
        <v>Алексей Бирюков: Ссылка на изображение</v>
      </c>
      <c r="EK676" t="str">
        <f>HYPERLINK("https://d33htgqikc2pj4.cloudfront.net/qvHDimMUqxZcQnsj/d0a29d90-b2cc-4de2-9034-2e7bfa6b39b5.jpeg", "Алексей Бирюков: Ссылка на изображение")</f>
        <v>Алексей Бирюков: Ссылка на изображение</v>
      </c>
      <c r="EL676" t="s">
        <v>1902</v>
      </c>
      <c r="EM676" t="s">
        <v>1899</v>
      </c>
      <c r="EN676" t="s">
        <v>2977</v>
      </c>
      <c r="EO676" t="s">
        <v>1899</v>
      </c>
    </row>
    <row r="677" spans="1:160" ht="15" customHeight="1" x14ac:dyDescent="0.35">
      <c r="A677">
        <v>557</v>
      </c>
      <c r="B677" t="s">
        <v>5300</v>
      </c>
      <c r="C677">
        <v>3</v>
      </c>
      <c r="D677" t="str">
        <f>VLOOKUP(source[[#This Row],[Приоритет]],тПриоритеты[],2,0)</f>
        <v>Малозначительное</v>
      </c>
      <c r="E677" t="str">
        <f>IF(ISBLANK(source[[#This Row],[Проверенные]]),IF(ISBLANK(source[[#This Row],[Завершенные]]),source[[#This Row],[Приоритет_]],"Завершено"),"Проверено")</f>
        <v>Проверено</v>
      </c>
      <c r="F677" t="s">
        <v>4423</v>
      </c>
      <c r="G677" t="s">
        <v>2926</v>
      </c>
      <c r="H677" t="e">
        <f>VLOOKUP(source[[#This Row],[Отвественный]],тОтветственные[],2,0)</f>
        <v>#N/A</v>
      </c>
      <c r="I677" s="2">
        <v>43806</v>
      </c>
      <c r="J677" s="2">
        <v>43806</v>
      </c>
      <c r="S677" s="1">
        <v>43806.675162037034</v>
      </c>
      <c r="T677" s="1">
        <v>43819.956678240742</v>
      </c>
      <c r="U677" s="1">
        <v>43819.956678240742</v>
      </c>
      <c r="W677" s="1">
        <v>43819.956678240742</v>
      </c>
      <c r="EC677" t="s">
        <v>5301</v>
      </c>
      <c r="ED677" t="s">
        <v>2617</v>
      </c>
      <c r="EE677" t="s">
        <v>3069</v>
      </c>
      <c r="EF677" t="str">
        <f>HYPERLINK("https://d33htgqikc2pj4.cloudfront.net/qvHDimMUqxZcQnsj/969f7da0-1d81-4fec-8d1a-cfba1ff51f51.jpeg", "Алексей Бирюков: Ссылка на изображение")</f>
        <v>Алексей Бирюков: Ссылка на изображение</v>
      </c>
      <c r="EG677" t="str">
        <f>HYPERLINK("https://d33htgqikc2pj4.cloudfront.net/qvHDimMUqxZcQnsj/2e5ae462-e735-4996-aeb5-8e22caecbb7a.jpeg", "Алексей Бирюков: Ссылка на изображение")</f>
        <v>Алексей Бирюков: Ссылка на изображение</v>
      </c>
      <c r="EH677" t="str">
        <f>HYPERLINK("https://d33htgqikc2pj4.cloudfront.net/qvHDimMUqxZcQnsj/5f777b6a-69d4-4b0e-a0de-1fad9bfebb03.jpeg", "Алексей Бирюков: Ссылка на изображение")</f>
        <v>Алексей Бирюков: Ссылка на изображение</v>
      </c>
      <c r="EI677" t="str">
        <f>HYPERLINK("https://d33htgqikc2pj4.cloudfront.net/qvHDimMUqxZcQnsj/b6046b71-ad73-41ef-a609-8341a1d1e478.jpeg", "Алексей Бирюков: Ссылка на изображение")</f>
        <v>Алексей Бирюков: Ссылка на изображение</v>
      </c>
      <c r="EJ677" t="str">
        <f>HYPERLINK("https://d33htgqikc2pj4.cloudfront.net/qvHDimMUqxZcQnsj/d5c8bd94-ec49-49d0-bed1-74cb41f6e815.jpeg", "Алексей Бирюков: Ссылка на изображение")</f>
        <v>Алексей Бирюков: Ссылка на изображение</v>
      </c>
      <c r="EK677" t="str">
        <f>HYPERLINK("https://d33htgqikc2pj4.cloudfront.net/qvHDimMUqxZcQnsj/c259b30a-d959-418a-8d0c-4f1225b388b8.jpeg", "Алексей Бирюков: Ссылка на изображение")</f>
        <v>Алексей Бирюков: Ссылка на изображение</v>
      </c>
      <c r="EL677" t="s">
        <v>1902</v>
      </c>
      <c r="EM677" t="s">
        <v>1899</v>
      </c>
      <c r="EN677" t="s">
        <v>2977</v>
      </c>
      <c r="EO677" t="s">
        <v>1899</v>
      </c>
    </row>
    <row r="678" spans="1:160" ht="15" customHeight="1" x14ac:dyDescent="0.35">
      <c r="A678">
        <v>152</v>
      </c>
      <c r="B678" t="s">
        <v>5302</v>
      </c>
      <c r="C678">
        <v>2</v>
      </c>
      <c r="D678" t="str">
        <f>VLOOKUP(source[[#This Row],[Приоритет]],тПриоритеты[],2,0)</f>
        <v>Значительное</v>
      </c>
      <c r="E678" t="str">
        <f>IF(ISBLANK(source[[#This Row],[Проверенные]]),IF(ISBLANK(source[[#This Row],[Завершенные]]),source[[#This Row],[Приоритет_]],"Завершено"),"Проверено")</f>
        <v>Проверено</v>
      </c>
      <c r="F678" t="s">
        <v>4423</v>
      </c>
      <c r="G678" t="s">
        <v>2926</v>
      </c>
      <c r="H678" t="e">
        <f>VLOOKUP(source[[#This Row],[Отвественный]],тОтветственные[],2,0)</f>
        <v>#N/A</v>
      </c>
      <c r="S678" s="1">
        <v>43775.385069444441</v>
      </c>
      <c r="T678" s="1">
        <v>43811.679652777777</v>
      </c>
      <c r="U678" s="1">
        <v>43811.679652777777</v>
      </c>
      <c r="W678" s="1">
        <v>43811.756747685184</v>
      </c>
      <c r="X678" t="s">
        <v>3538</v>
      </c>
      <c r="AH678" t="s">
        <v>5303</v>
      </c>
      <c r="AI678" t="s">
        <v>5304</v>
      </c>
      <c r="AJ678" s="3" t="s">
        <v>5305</v>
      </c>
      <c r="AK678" s="3" t="s">
        <v>5306</v>
      </c>
      <c r="AL678" t="s">
        <v>5307</v>
      </c>
      <c r="AM678" s="3" t="s">
        <v>5308</v>
      </c>
      <c r="AN678" t="s">
        <v>5309</v>
      </c>
      <c r="AO678" t="s">
        <v>5310</v>
      </c>
      <c r="AP678" t="s">
        <v>5311</v>
      </c>
      <c r="EC678" t="s">
        <v>5312</v>
      </c>
      <c r="ED678" t="s">
        <v>2617</v>
      </c>
      <c r="EE678" t="s">
        <v>1896</v>
      </c>
      <c r="EF678" t="str">
        <f>HYPERLINK("https://d33htgqikc2pj4.cloudfront.net/011e0874-b416-4138-a03c-eed3de5efec5.jpeg", "Алексей Бирюков: Ссылка на изображение")</f>
        <v>Алексей Бирюков: Ссылка на изображение</v>
      </c>
      <c r="EG678" t="str">
        <f>HYPERLINK("https://d33htgqikc2pj4.cloudfront.net/76df6eea-1bd4-4e49-b513-b09341308c93.jpeg", "Алексей Бирюков: Ссылка на изображение")</f>
        <v>Алексей Бирюков: Ссылка на изображение</v>
      </c>
      <c r="EH678" t="str">
        <f>HYPERLINK("https://d33htgqikc2pj4.cloudfront.net/ad0a5e4c-db28-4806-918a-dc7d31720397.jpeg", "Алексей Бирюков: Ссылка на изображение")</f>
        <v>Алексей Бирюков: Ссылка на изображение</v>
      </c>
      <c r="EI678" t="str">
        <f>HYPERLINK("https://d33htgqikc2pj4.cloudfront.net/87d7f3c5-60df-443c-a975-2b0d37b5700e.jpeg", "Алексей Бирюков: Ссылка на изображение")</f>
        <v>Алексей Бирюков: Ссылка на изображение</v>
      </c>
      <c r="EJ678" t="str">
        <f>HYPERLINK("https://d33htgqikc2pj4.cloudfront.net/b3c88c17-9aac-4db9-a8c2-73ab30e92c8f.jpeg", "Алексей Бирюков: Ссылка на изображение")</f>
        <v>Алексей Бирюков: Ссылка на изображение</v>
      </c>
      <c r="EK678" t="str">
        <f>HYPERLINK("https://d33htgqikc2pj4.cloudfront.net/33de5f3e-e346-40ed-a8c1-26a73761e0d5.jpeg", "Алексей Бирюков: Ссылка на изображение")</f>
        <v>Алексей Бирюков: Ссылка на изображение</v>
      </c>
      <c r="EL678" t="s">
        <v>5313</v>
      </c>
      <c r="EM678" t="s">
        <v>1902</v>
      </c>
      <c r="EN678" t="s">
        <v>977</v>
      </c>
      <c r="EO678" t="s">
        <v>1902</v>
      </c>
      <c r="EP678" t="s">
        <v>1899</v>
      </c>
      <c r="EQ678" t="s">
        <v>1902</v>
      </c>
      <c r="ER678" t="s">
        <v>1899</v>
      </c>
    </row>
    <row r="679" spans="1:160" ht="15" customHeight="1" x14ac:dyDescent="0.35">
      <c r="A679">
        <v>156</v>
      </c>
      <c r="B679" t="s">
        <v>5314</v>
      </c>
      <c r="C679">
        <v>3</v>
      </c>
      <c r="D679" t="str">
        <f>VLOOKUP(source[[#This Row],[Приоритет]],тПриоритеты[],2,0)</f>
        <v>Малозначительное</v>
      </c>
      <c r="E679" t="str">
        <f>IF(ISBLANK(source[[#This Row],[Проверенные]]),IF(ISBLANK(source[[#This Row],[Завершенные]]),source[[#This Row],[Приоритет_]],"Завершено"),"Проверено")</f>
        <v>Проверено</v>
      </c>
      <c r="F679" t="s">
        <v>4423</v>
      </c>
      <c r="G679" t="s">
        <v>2926</v>
      </c>
      <c r="H679" t="e">
        <f>VLOOKUP(source[[#This Row],[Отвественный]],тОтветственные[],2,0)</f>
        <v>#N/A</v>
      </c>
      <c r="I679" s="2">
        <v>43775</v>
      </c>
      <c r="J679" s="2">
        <v>43775</v>
      </c>
      <c r="S679" s="1">
        <v>43775.490578703706</v>
      </c>
      <c r="T679" s="1">
        <v>43811.6796875</v>
      </c>
      <c r="U679" s="1">
        <v>43811.6796875</v>
      </c>
      <c r="W679" s="1">
        <v>43811.756747685184</v>
      </c>
      <c r="X679" t="s">
        <v>4760</v>
      </c>
      <c r="AH679" t="s">
        <v>5315</v>
      </c>
      <c r="AI679" t="s">
        <v>5316</v>
      </c>
      <c r="AJ679" t="s">
        <v>5317</v>
      </c>
      <c r="AK679" t="s">
        <v>5318</v>
      </c>
      <c r="AL679" t="s">
        <v>5319</v>
      </c>
      <c r="AM679" t="s">
        <v>5320</v>
      </c>
      <c r="AN679" t="s">
        <v>5321</v>
      </c>
      <c r="AO679" t="s">
        <v>5322</v>
      </c>
      <c r="AP679" t="s">
        <v>5323</v>
      </c>
      <c r="AQ679" t="s">
        <v>5324</v>
      </c>
      <c r="AR679" t="s">
        <v>5325</v>
      </c>
      <c r="AS679" t="s">
        <v>5326</v>
      </c>
      <c r="AT679" t="s">
        <v>5327</v>
      </c>
      <c r="AU679" t="s">
        <v>5328</v>
      </c>
      <c r="AV679" t="s">
        <v>5329</v>
      </c>
      <c r="AW679" t="s">
        <v>5330</v>
      </c>
      <c r="AX679" t="s">
        <v>5331</v>
      </c>
      <c r="AY679" t="s">
        <v>5332</v>
      </c>
      <c r="EC679" t="s">
        <v>5333</v>
      </c>
      <c r="ED679" t="s">
        <v>976</v>
      </c>
      <c r="EE679" t="s">
        <v>977</v>
      </c>
      <c r="EF679" t="s">
        <v>976</v>
      </c>
      <c r="EG679" t="str">
        <f>HYPERLINK("https://d33htgqikc2pj4.cloudfront.net/32db703d-0f25-4872-8a7d-ca714852e499.jpeg", "Алексей Бирюков: Ссылка на изображение")</f>
        <v>Алексей Бирюков: Ссылка на изображение</v>
      </c>
      <c r="EH679" t="str">
        <f>HYPERLINK("https://d33htgqikc2pj4.cloudfront.net/75ef67bb-38b0-4135-982f-08dcf3fe9c17.jpeg", "Алексей Бирюков: Ссылка на изображение")</f>
        <v>Алексей Бирюков: Ссылка на изображение</v>
      </c>
      <c r="EI679" t="str">
        <f>HYPERLINK("https://d33htgqikc2pj4.cloudfront.net/6d0c8790-2d7e-414d-be1b-153d16349373.jpeg", "Алексей Бирюков: Ссылка на изображение")</f>
        <v>Алексей Бирюков: Ссылка на изображение</v>
      </c>
      <c r="EJ679" t="str">
        <f>HYPERLINK("https://d33htgqikc2pj4.cloudfront.net/52c58e2c-2b91-400f-8e7a-5cea09e14f69.jpeg", "Алексей Бирюков: Ссылка на изображение")</f>
        <v>Алексей Бирюков: Ссылка на изображение</v>
      </c>
      <c r="EK679" t="str">
        <f>HYPERLINK("https://d33htgqikc2pj4.cloudfront.net/2fb865a0-0ad7-4175-9ebf-8366af7ee405.jpeg", "Алексей Бирюков: Ссылка на изображение")</f>
        <v>Алексей Бирюков: Ссылка на изображение</v>
      </c>
      <c r="EL679" t="s">
        <v>1896</v>
      </c>
      <c r="EM679" t="s">
        <v>2617</v>
      </c>
      <c r="EN679" t="s">
        <v>1902</v>
      </c>
      <c r="EO679" t="s">
        <v>1899</v>
      </c>
      <c r="EP679" t="str">
        <f>HYPERLINK("https://d33htgqikc2pj4.cloudfront.net/ba01f491-2a1a-4250-adf7-8e9e0a00cf5e.jpeg", "Алексей Бирюков: Ссылка на изображение")</f>
        <v>Алексей Бирюков: Ссылка на изображение</v>
      </c>
      <c r="EQ679" t="str">
        <f>HYPERLINK("https://d33htgqikc2pj4.cloudfront.net/54566e2d-6ce5-41d7-adda-5bdcff07940b.jpeg", "Алексей Бирюков: Ссылка на изображение")</f>
        <v>Алексей Бирюков: Ссылка на изображение</v>
      </c>
      <c r="ER679" t="str">
        <f>HYPERLINK("https://d33htgqikc2pj4.cloudfront.net/dbc1cb3f-4194-45e6-b004-163cceba0faa.jpeg", "Алексей Бирюков: Ссылка на изображение")</f>
        <v>Алексей Бирюков: Ссылка на изображение</v>
      </c>
      <c r="ES679" t="s">
        <v>5334</v>
      </c>
      <c r="ET679" t="s">
        <v>1902</v>
      </c>
      <c r="EU679" t="s">
        <v>5335</v>
      </c>
      <c r="EV679" t="s">
        <v>1899</v>
      </c>
    </row>
    <row r="680" spans="1:160" ht="15" customHeight="1" x14ac:dyDescent="0.35">
      <c r="A680">
        <v>161</v>
      </c>
      <c r="B680" t="s">
        <v>5336</v>
      </c>
      <c r="C680">
        <v>2</v>
      </c>
      <c r="D680" t="str">
        <f>VLOOKUP(source[[#This Row],[Приоритет]],тПриоритеты[],2,0)</f>
        <v>Значительное</v>
      </c>
      <c r="E680" t="str">
        <f>IF(ISBLANK(source[[#This Row],[Проверенные]]),IF(ISBLANK(source[[#This Row],[Завершенные]]),source[[#This Row],[Приоритет_]],"Завершено"),"Проверено")</f>
        <v>Проверено</v>
      </c>
      <c r="F680" t="s">
        <v>4423</v>
      </c>
      <c r="G680" t="s">
        <v>2926</v>
      </c>
      <c r="H680" t="e">
        <f>VLOOKUP(source[[#This Row],[Отвественный]],тОтветственные[],2,0)</f>
        <v>#N/A</v>
      </c>
      <c r="I680" s="2">
        <v>43775</v>
      </c>
      <c r="J680" s="2">
        <v>43775</v>
      </c>
      <c r="S680" s="1">
        <v>43775.573229166665</v>
      </c>
      <c r="T680" s="1">
        <v>43775.739664351851</v>
      </c>
      <c r="U680" s="1">
        <v>43811.577222222222</v>
      </c>
      <c r="W680" s="1">
        <v>43811.577222222222</v>
      </c>
      <c r="AH680" t="s">
        <v>5337</v>
      </c>
      <c r="EC680" t="s">
        <v>5338</v>
      </c>
      <c r="ED680" t="s">
        <v>1896</v>
      </c>
      <c r="EE680" t="str">
        <f>HYPERLINK("https://d33htgqikc2pj4.cloudfront.net/ad3aa6d6-94dd-45cb-821a-07b66b0e8403.jpeg", "Алексей Бирюков: Ссылка на изображение")</f>
        <v>Алексей Бирюков: Ссылка на изображение</v>
      </c>
      <c r="EF680" t="str">
        <f>HYPERLINK("https://d33htgqikc2pj4.cloudfront.net/f0efb42b-eb53-4fa2-bf00-47777e68d4a2.jpeg", "Алексей Бирюков: Ссылка на изображение")</f>
        <v>Алексей Бирюков: Ссылка на изображение</v>
      </c>
      <c r="EG680" t="str">
        <f>HYPERLINK("https://d33htgqikc2pj4.cloudfront.net/b353c7f3-968f-450d-957c-4c378a275b03.jpeg", "Алексей Бирюков: Ссылка на изображение")</f>
        <v>Алексей Бирюков: Ссылка на изображение</v>
      </c>
      <c r="EH680" t="str">
        <f>HYPERLINK("https://d33htgqikc2pj4.cloudfront.net/cf809759-1572-40bb-9ff9-7a90196bbc3b.jpeg", "Алексей Бирюков: Ссылка на изображение")</f>
        <v>Алексей Бирюков: Ссылка на изображение</v>
      </c>
      <c r="EI680" t="str">
        <f>HYPERLINK("https://d33htgqikc2pj4.cloudfront.net/e0d3cc56-b51d-4be2-b476-d8b1b066bae3.jpeg", "Алексей Бирюков: Ссылка на изображение")</f>
        <v>Алексей Бирюков: Ссылка на изображение</v>
      </c>
      <c r="EJ680" t="str">
        <f>HYPERLINK("https://d33htgqikc2pj4.cloudfront.net/5d04e1aa-d87d-49b9-a71c-91fbd409240f.jpeg", "Алексей Бирюков: Ссылка на изображение")</f>
        <v>Алексей Бирюков: Ссылка на изображение</v>
      </c>
      <c r="EK680" t="str">
        <f>HYPERLINK("https://d33htgqikc2pj4.cloudfront.net/898e91c4-fc9b-4ffd-be07-aa2bd499fc41.jpeg", "Алексей Бирюков: Ссылка на изображение")</f>
        <v>Алексей Бирюков: Ссылка на изображение</v>
      </c>
      <c r="EL680" t="str">
        <f>HYPERLINK("https://d33htgqikc2pj4.cloudfront.net/8b05559f-252b-4e79-9cff-cdb069e061b6.jpeg", "Алексей Бирюков: Ссылка на изображение")</f>
        <v>Алексей Бирюков: Ссылка на изображение</v>
      </c>
      <c r="EM680" t="s">
        <v>1899</v>
      </c>
      <c r="EN680" t="s">
        <v>1902</v>
      </c>
      <c r="EO680" t="s">
        <v>5339</v>
      </c>
      <c r="EP680" t="s">
        <v>836</v>
      </c>
    </row>
    <row r="681" spans="1:160" ht="15" customHeight="1" x14ac:dyDescent="0.35">
      <c r="A681">
        <v>558</v>
      </c>
      <c r="B681" t="s">
        <v>5340</v>
      </c>
      <c r="C681">
        <v>2</v>
      </c>
      <c r="D681" t="str">
        <f>VLOOKUP(source[[#This Row],[Приоритет]],тПриоритеты[],2,0)</f>
        <v>Значительное</v>
      </c>
      <c r="E681" t="str">
        <f>IF(ISBLANK(source[[#This Row],[Проверенные]]),IF(ISBLANK(source[[#This Row],[Завершенные]]),source[[#This Row],[Приоритет_]],"Завершено"),"Проверено")</f>
        <v>Проверено</v>
      </c>
      <c r="F681" t="s">
        <v>4423</v>
      </c>
      <c r="G681" t="s">
        <v>2926</v>
      </c>
      <c r="H681" t="e">
        <f>VLOOKUP(source[[#This Row],[Отвественный]],тОтветственные[],2,0)</f>
        <v>#N/A</v>
      </c>
      <c r="I681" s="2">
        <v>43806</v>
      </c>
      <c r="J681" s="2">
        <v>43806</v>
      </c>
      <c r="S681" s="1">
        <v>43806.675162037034</v>
      </c>
      <c r="T681" s="1">
        <v>43811.681562500002</v>
      </c>
      <c r="U681" s="1">
        <v>43811.681562500002</v>
      </c>
      <c r="W681" s="1">
        <v>43811.756863425922</v>
      </c>
      <c r="X681" t="s">
        <v>4760</v>
      </c>
      <c r="AH681" t="s">
        <v>5341</v>
      </c>
      <c r="AI681" t="s">
        <v>5342</v>
      </c>
      <c r="AJ681" t="s">
        <v>5343</v>
      </c>
      <c r="AK681" t="s">
        <v>5344</v>
      </c>
      <c r="AL681" t="s">
        <v>5345</v>
      </c>
      <c r="AM681" t="s">
        <v>5346</v>
      </c>
      <c r="AN681" t="s">
        <v>5347</v>
      </c>
      <c r="AO681" t="s">
        <v>5348</v>
      </c>
      <c r="AP681" t="s">
        <v>5349</v>
      </c>
      <c r="AQ681" t="s">
        <v>5350</v>
      </c>
      <c r="AR681" t="s">
        <v>5351</v>
      </c>
      <c r="AS681" t="s">
        <v>5352</v>
      </c>
      <c r="AT681" t="s">
        <v>5353</v>
      </c>
      <c r="AU681" t="s">
        <v>5354</v>
      </c>
      <c r="AV681" t="s">
        <v>5355</v>
      </c>
      <c r="AW681" t="s">
        <v>5356</v>
      </c>
      <c r="AX681" t="s">
        <v>5357</v>
      </c>
      <c r="AY681" t="s">
        <v>5358</v>
      </c>
      <c r="EC681" t="s">
        <v>5359</v>
      </c>
      <c r="ED681" t="s">
        <v>2617</v>
      </c>
      <c r="EE681" t="s">
        <v>3069</v>
      </c>
      <c r="EF681" t="str">
        <f>HYPERLINK("https://d33htgqikc2pj4.cloudfront.net/qvHDimMUqxZcQnsj/66945b59-034f-4bf0-8eb2-c1d498049291.jpeg", "Алексей Бирюков: Ссылка на изображение")</f>
        <v>Алексей Бирюков: Ссылка на изображение</v>
      </c>
      <c r="EG681" t="str">
        <f>HYPERLINK("https://d33htgqikc2pj4.cloudfront.net/qvHDimMUqxZcQnsj/a5447e0f-39e4-440a-ad53-f95b4807bc6f.jpeg", "Алексей Бирюков: Ссылка на изображение")</f>
        <v>Алексей Бирюков: Ссылка на изображение</v>
      </c>
      <c r="EH681" t="str">
        <f>HYPERLINK("https://d33htgqikc2pj4.cloudfront.net/qvHDimMUqxZcQnsj/74780d48-ac38-476b-a754-b78fb9881609.jpeg", "Алексей Бирюков: Ссылка на изображение")</f>
        <v>Алексей Бирюков: Ссылка на изображение</v>
      </c>
      <c r="EI681" t="str">
        <f>HYPERLINK("https://d33htgqikc2pj4.cloudfront.net/qvHDimMUqxZcQnsj/d48c1c0f-86a2-4f7f-bb80-8a95d449a32d.jpeg", "Алексей Бирюков: Ссылка на изображение")</f>
        <v>Алексей Бирюков: Ссылка на изображение</v>
      </c>
      <c r="EJ681" t="s">
        <v>5360</v>
      </c>
      <c r="EK681" t="str">
        <f>HYPERLINK("https://d33htgqikc2pj4.cloudfront.net/qvHDimMUqxZcQnsj/file_a2e35292-79ba-424d-9d19-e29494f8f2cf.jpeg", "Алексей Бирюков: Ссылка на изображение")</f>
        <v>Алексей Бирюков: Ссылка на изображение</v>
      </c>
      <c r="EL681" t="s">
        <v>1902</v>
      </c>
      <c r="EM681" t="s">
        <v>1899</v>
      </c>
    </row>
    <row r="682" spans="1:160" ht="15" customHeight="1" x14ac:dyDescent="0.35">
      <c r="A682">
        <v>556</v>
      </c>
      <c r="B682" t="s">
        <v>5361</v>
      </c>
      <c r="C682">
        <v>2</v>
      </c>
      <c r="D682" t="str">
        <f>VLOOKUP(source[[#This Row],[Приоритет]],тПриоритеты[],2,0)</f>
        <v>Значительное</v>
      </c>
      <c r="E682" t="str">
        <f>IF(ISBLANK(source[[#This Row],[Проверенные]]),IF(ISBLANK(source[[#This Row],[Завершенные]]),source[[#This Row],[Приоритет_]],"Завершено"),"Проверено")</f>
        <v>Проверено</v>
      </c>
      <c r="F682" t="s">
        <v>4423</v>
      </c>
      <c r="G682" t="s">
        <v>2926</v>
      </c>
      <c r="H682" t="e">
        <f>VLOOKUP(source[[#This Row],[Отвественный]],тОтветственные[],2,0)</f>
        <v>#N/A</v>
      </c>
      <c r="I682" s="2">
        <v>43806</v>
      </c>
      <c r="J682" s="2">
        <v>43806</v>
      </c>
      <c r="S682" s="1">
        <v>43806.483090277776</v>
      </c>
      <c r="T682" s="1">
        <v>43811.681423611109</v>
      </c>
      <c r="U682" s="1">
        <v>43811.681423611109</v>
      </c>
      <c r="W682" s="1">
        <v>43811.756863425922</v>
      </c>
      <c r="X682" t="s">
        <v>5362</v>
      </c>
      <c r="AH682" s="3" t="s">
        <v>5363</v>
      </c>
      <c r="AI682" t="s">
        <v>5364</v>
      </c>
      <c r="AJ682" t="s">
        <v>5365</v>
      </c>
      <c r="AK682" t="s">
        <v>5366</v>
      </c>
      <c r="AL682" t="s">
        <v>5367</v>
      </c>
      <c r="AM682" t="s">
        <v>5368</v>
      </c>
      <c r="EC682" t="s">
        <v>5369</v>
      </c>
      <c r="ED682" t="s">
        <v>3069</v>
      </c>
      <c r="EE682" t="s">
        <v>2617</v>
      </c>
      <c r="EF682" t="str">
        <f>HYPERLINK("https://d33htgqikc2pj4.cloudfront.net/qvHDimMUqxZcQnsj/0758d715-7587-4ba7-8ee5-2a9eb5ebb21f.jpeg", "Алексей Бирюков: Ссылка на изображение")</f>
        <v>Алексей Бирюков: Ссылка на изображение</v>
      </c>
      <c r="EG682" t="str">
        <f>HYPERLINK("https://d33htgqikc2pj4.cloudfront.net/qvHDimMUqxZcQnsj/b0309c61-b190-4c4e-9b48-e0d59edf8ab0.jpeg", "Алексей Бирюков: Ссылка на изображение")</f>
        <v>Алексей Бирюков: Ссылка на изображение</v>
      </c>
      <c r="EH682" t="str">
        <f>HYPERLINK("https://d33htgqikc2pj4.cloudfront.net/qvHDimMUqxZcQnsj/72fd9cdf-95ac-42d6-b034-3d12b7e2b7ed.jpeg", "Алексей Бирюков: Ссылка на изображение")</f>
        <v>Алексей Бирюков: Ссылка на изображение</v>
      </c>
      <c r="EI682" t="str">
        <f>HYPERLINK("https://d33htgqikc2pj4.cloudfront.net/qvHDimMUqxZcQnsj/246bc156-6c36-429a-8339-16adafdcf5ad.jpeg", "Алексей Бирюков: Ссылка на изображение")</f>
        <v>Алексей Бирюков: Ссылка на изображение</v>
      </c>
      <c r="EJ682" t="str">
        <f>HYPERLINK("https://d33htgqikc2pj4.cloudfront.net/qvHDimMUqxZcQnsj/7e6e9d33-293e-416d-817d-ab8bca1d2ffb.jpeg", "Алексей Бирюков: Ссылка на изображение")</f>
        <v>Алексей Бирюков: Ссылка на изображение</v>
      </c>
      <c r="EK682" t="str">
        <f>HYPERLINK("https://d33htgqikc2pj4.cloudfront.net/qvHDimMUqxZcQnsj/14bf437d-07a3-4e69-bdce-53ba93eec6d6.jpeg", "Алексей Бирюков: Ссылка на изображение")</f>
        <v>Алексей Бирюков: Ссылка на изображение</v>
      </c>
      <c r="EL682" t="s">
        <v>5370</v>
      </c>
      <c r="EM682" t="str">
        <f>HYPERLINK("https://d33htgqikc2pj4.cloudfront.net/qvHDimMUqxZcQnsj/22f0d94e-076b-4680-bd43-260271f6a1bc.jpeg", "Алексей Бирюков: Ссылка на изображение")</f>
        <v>Алексей Бирюков: Ссылка на изображение</v>
      </c>
      <c r="EN682" t="str">
        <f>HYPERLINK("https://d33htgqikc2pj4.cloudfront.net/qvHDimMUqxZcQnsj/9efbd74e-4ce2-411a-8a71-d064a13c69a3.jpeg", "Алексей Бирюков: Ссылка на изображение")</f>
        <v>Алексей Бирюков: Ссылка на изображение</v>
      </c>
      <c r="EO682" t="str">
        <f>HYPERLINK("https://d33htgqikc2pj4.cloudfront.net/qvHDimMUqxZcQnsj/e9f64a2c-5d28-47a7-ab7f-0aa83ba1ca95.jpeg", "Алексей Бирюков: Ссылка на изображение")</f>
        <v>Алексей Бирюков: Ссылка на изображение</v>
      </c>
      <c r="EP682" t="s">
        <v>1902</v>
      </c>
      <c r="EQ682" t="s">
        <v>1899</v>
      </c>
    </row>
    <row r="683" spans="1:160" ht="15" customHeight="1" x14ac:dyDescent="0.35">
      <c r="A683">
        <v>563</v>
      </c>
      <c r="B683" t="s">
        <v>5371</v>
      </c>
      <c r="C683">
        <v>2</v>
      </c>
      <c r="D683" t="str">
        <f>VLOOKUP(source[[#This Row],[Приоритет]],тПриоритеты[],2,0)</f>
        <v>Значительное</v>
      </c>
      <c r="E683" t="str">
        <f>IF(ISBLANK(source[[#This Row],[Проверенные]]),IF(ISBLANK(source[[#This Row],[Завершенные]]),source[[#This Row],[Приоритет_]],"Завершено"),"Проверено")</f>
        <v>Проверено</v>
      </c>
      <c r="F683" t="s">
        <v>4423</v>
      </c>
      <c r="G683" t="s">
        <v>2926</v>
      </c>
      <c r="H683" t="e">
        <f>VLOOKUP(source[[#This Row],[Отвественный]],тОтветственные[],2,0)</f>
        <v>#N/A</v>
      </c>
      <c r="I683" s="2">
        <v>43807</v>
      </c>
      <c r="J683" s="2">
        <v>43807</v>
      </c>
      <c r="S683" s="1">
        <v>43807.700138888889</v>
      </c>
      <c r="T683" s="1">
        <v>43811.682372685187</v>
      </c>
      <c r="U683" s="1">
        <v>43811.682372685187</v>
      </c>
      <c r="W683" s="1">
        <v>43811.756932870368</v>
      </c>
      <c r="X683" t="s">
        <v>2606</v>
      </c>
      <c r="AH683" t="s">
        <v>5372</v>
      </c>
      <c r="AI683" t="s">
        <v>5373</v>
      </c>
      <c r="AJ683" t="s">
        <v>5374</v>
      </c>
      <c r="AK683" t="s">
        <v>5375</v>
      </c>
      <c r="AL683" t="s">
        <v>5376</v>
      </c>
      <c r="AM683" t="s">
        <v>5377</v>
      </c>
      <c r="AN683" t="s">
        <v>5378</v>
      </c>
      <c r="AO683" t="s">
        <v>5379</v>
      </c>
      <c r="EC683" t="s">
        <v>5380</v>
      </c>
      <c r="ED683" t="s">
        <v>2617</v>
      </c>
      <c r="EE683" t="s">
        <v>5381</v>
      </c>
      <c r="EF683" t="s">
        <v>5382</v>
      </c>
      <c r="EG683" t="str">
        <f>HYPERLINK("https://d33htgqikc2pj4.cloudfront.net/qvHDimMUqxZcQnsj/bf450b44-48d6-4370-90c6-83e87e870850.jpeg", "Алексей Бирюков: Ссылка на изображение")</f>
        <v>Алексей Бирюков: Ссылка на изображение</v>
      </c>
      <c r="EH683" t="str">
        <f>HYPERLINK("https://d33htgqikc2pj4.cloudfront.net/qvHDimMUqxZcQnsj/226859a7-f73b-40a5-97e5-92c8b28b1cb6.jpeg", "Алексей Бирюков: Ссылка на изображение")</f>
        <v>Алексей Бирюков: Ссылка на изображение</v>
      </c>
      <c r="EI683" t="str">
        <f>HYPERLINK("https://d33htgqikc2pj4.cloudfront.net/qvHDimMUqxZcQnsj/0b442e5e-d7a9-4c82-8535-c689ef9c4195.jpeg", "Алексей Бирюков: Ссылка на изображение")</f>
        <v>Алексей Бирюков: Ссылка на изображение</v>
      </c>
      <c r="EJ683" t="str">
        <f>HYPERLINK("https://d33htgqikc2pj4.cloudfront.net/qvHDimMUqxZcQnsj/ab36ae56-74a4-40c3-b2ec-1dfbc7807000.jpeg", "Алексей Бирюков: Ссылка на изображение")</f>
        <v>Алексей Бирюков: Ссылка на изображение</v>
      </c>
      <c r="EK683" t="str">
        <f>HYPERLINK("https://d33htgqikc2pj4.cloudfront.net/qvHDimMUqxZcQnsj/7e1ea29b-4190-4e01-96e8-c0ab9efffc89.jpeg", "Алексей Бирюков: Ссылка на изображение")</f>
        <v>Алексей Бирюков: Ссылка на изображение</v>
      </c>
      <c r="EL683" t="str">
        <f>HYPERLINK("https://d33htgqikc2pj4.cloudfront.net/qvHDimMUqxZcQnsj/0cf7e95d-32e7-4e43-b2fa-ad1d326b71a0.jpeg", "Алексей Бирюков: Ссылка на изображение")</f>
        <v>Алексей Бирюков: Ссылка на изображение</v>
      </c>
      <c r="EM683" t="str">
        <f>HYPERLINK("https://d33htgqikc2pj4.cloudfront.net/qvHDimMUqxZcQnsj/bc6b6959-44bc-4293-a847-573adf545b9e.jpeg", "Алексей Бирюков: Ссылка на изображение")</f>
        <v>Алексей Бирюков: Ссылка на изображение</v>
      </c>
      <c r="EN683" t="s">
        <v>5383</v>
      </c>
      <c r="EO683" t="str">
        <f>HYPERLINK("https://d33htgqikc2pj4.cloudfront.net/qvHDimMUqxZcQnsj/7a9f823d-5a21-4624-890f-8fba2b4c9946.jpeg", "Алексей Бирюков: Ссылка на изображение")</f>
        <v>Алексей Бирюков: Ссылка на изображение</v>
      </c>
      <c r="EP683" t="str">
        <f>HYPERLINK("https://d33htgqikc2pj4.cloudfront.net/qvHDimMUqxZcQnsj/5a1e8e9a-2913-4b27-8aab-3bb2916c451a.jpeg", "Алексей Бирюков: Ссылка на изображение")</f>
        <v>Алексей Бирюков: Ссылка на изображение</v>
      </c>
      <c r="EQ683" t="str">
        <f>HYPERLINK("https://d33htgqikc2pj4.cloudfront.net/qvHDimMUqxZcQnsj/52dbdf4b-bec3-4ac1-aefb-c4aa3d54b6bf.jpeg", "Алексей Бирюков: Ссылка на изображение")</f>
        <v>Алексей Бирюков: Ссылка на изображение</v>
      </c>
      <c r="ER683" t="str">
        <f>HYPERLINK("https://d33htgqikc2pj4.cloudfront.net/qvHDimMUqxZcQnsj/ca517fef-5c54-45f7-91b0-eb05e87427a2.jpeg", "Алексей Бирюков: Ссылка на изображение")</f>
        <v>Алексей Бирюков: Ссылка на изображение</v>
      </c>
      <c r="ES683" t="str">
        <f>HYPERLINK("https://d33htgqikc2pj4.cloudfront.net/qvHDimMUqxZcQnsj/12180e23-3495-444b-9e75-b7ffb9c11ecc.jpeg", "Алексей Бирюков: Ссылка на изображение")</f>
        <v>Алексей Бирюков: Ссылка на изображение</v>
      </c>
      <c r="ET683" t="s">
        <v>1902</v>
      </c>
      <c r="EU683" t="s">
        <v>1899</v>
      </c>
    </row>
    <row r="684" spans="1:160" ht="15" customHeight="1" x14ac:dyDescent="0.35">
      <c r="A684">
        <v>564</v>
      </c>
      <c r="B684" t="s">
        <v>5384</v>
      </c>
      <c r="C684">
        <v>2</v>
      </c>
      <c r="D684" t="str">
        <f>VLOOKUP(source[[#This Row],[Приоритет]],тПриоритеты[],2,0)</f>
        <v>Значительное</v>
      </c>
      <c r="E684" t="str">
        <f>IF(ISBLANK(source[[#This Row],[Проверенные]]),IF(ISBLANK(source[[#This Row],[Завершенные]]),source[[#This Row],[Приоритет_]],"Завершено"),"Проверено")</f>
        <v>Проверено</v>
      </c>
      <c r="F684" t="s">
        <v>4423</v>
      </c>
      <c r="G684" t="s">
        <v>2926</v>
      </c>
      <c r="H684" t="e">
        <f>VLOOKUP(source[[#This Row],[Отвественный]],тОтветственные[],2,0)</f>
        <v>#N/A</v>
      </c>
      <c r="I684" s="2">
        <v>43807</v>
      </c>
      <c r="J684" s="2">
        <v>43807</v>
      </c>
      <c r="S684" s="1">
        <v>43807.700138888889</v>
      </c>
      <c r="T684" s="1">
        <v>43811.682314814818</v>
      </c>
      <c r="U684" s="1">
        <v>43811.682314814818</v>
      </c>
      <c r="W684" s="1">
        <v>43811.7575462963</v>
      </c>
      <c r="X684" t="s">
        <v>2606</v>
      </c>
      <c r="AH684" t="s">
        <v>5372</v>
      </c>
      <c r="AI684" t="s">
        <v>5373</v>
      </c>
      <c r="AJ684" t="s">
        <v>5374</v>
      </c>
      <c r="AK684" t="s">
        <v>5385</v>
      </c>
      <c r="AL684" t="s">
        <v>5376</v>
      </c>
      <c r="AM684" t="s">
        <v>5386</v>
      </c>
      <c r="AN684" t="s">
        <v>5378</v>
      </c>
      <c r="AO684" t="s">
        <v>5379</v>
      </c>
      <c r="EC684" t="s">
        <v>5387</v>
      </c>
      <c r="ED684" t="s">
        <v>5381</v>
      </c>
      <c r="EE684" t="s">
        <v>2617</v>
      </c>
      <c r="EF684" t="s">
        <v>5388</v>
      </c>
      <c r="EG684" t="str">
        <f>HYPERLINK("https://d33htgqikc2pj4.cloudfront.net/qvHDimMUqxZcQnsj/f42f8ada-4418-43c5-97dc-88c67c1b140b.jpeg", "Алексей Бирюков: Ссылка на изображение")</f>
        <v>Алексей Бирюков: Ссылка на изображение</v>
      </c>
      <c r="EH684" t="str">
        <f>HYPERLINK("https://d33htgqikc2pj4.cloudfront.net/qvHDimMUqxZcQnsj/5fe5f248-8236-48c4-ad61-bd6d858ae513.jpeg", "Алексей Бирюков: Ссылка на изображение")</f>
        <v>Алексей Бирюков: Ссылка на изображение</v>
      </c>
      <c r="EI684" t="str">
        <f>HYPERLINK("https://d33htgqikc2pj4.cloudfront.net/qvHDimMUqxZcQnsj/ac80b36a-5c43-43f7-b82b-78683ea29417.jpeg", "Алексей Бирюков: Ссылка на изображение")</f>
        <v>Алексей Бирюков: Ссылка на изображение</v>
      </c>
      <c r="EJ684" t="str">
        <f>HYPERLINK("https://d33htgqikc2pj4.cloudfront.net/qvHDimMUqxZcQnsj/2a6b8cf8-5a4c-428c-9dbf-68f4329de1dc.jpeg", "Алексей Бирюков: Ссылка на изображение")</f>
        <v>Алексей Бирюков: Ссылка на изображение</v>
      </c>
      <c r="EK684" t="str">
        <f>HYPERLINK("https://d33htgqikc2pj4.cloudfront.net/qvHDimMUqxZcQnsj/173ca81d-dfe0-47bc-aa1f-1c5a3d61bc26.jpeg", "Алексей Бирюков: Ссылка на изображение")</f>
        <v>Алексей Бирюков: Ссылка на изображение</v>
      </c>
      <c r="EL684" t="str">
        <f>HYPERLINK("https://d33htgqikc2pj4.cloudfront.net/qvHDimMUqxZcQnsj/fcc3b73c-2884-4ec0-8651-288616f072cf.jpeg", "Алексей Бирюков: Ссылка на изображение")</f>
        <v>Алексей Бирюков: Ссылка на изображение</v>
      </c>
      <c r="EM684" t="str">
        <f>HYPERLINK("https://d33htgqikc2pj4.cloudfront.net/qvHDimMUqxZcQnsj/aefb807f-78aa-46d0-a0af-86a1f39f79fb.jpeg", "Алексей Бирюков: Ссылка на изображение")</f>
        <v>Алексей Бирюков: Ссылка на изображение</v>
      </c>
      <c r="EN684" t="str">
        <f>HYPERLINK("https://d33htgqikc2pj4.cloudfront.net/qvHDimMUqxZcQnsj/58cc8f23-48d5-45dc-a77c-3aebd95e5c66.jpeg", "Алексей Бирюков: Ссылка на изображение")</f>
        <v>Алексей Бирюков: Ссылка на изображение</v>
      </c>
      <c r="EO684" t="str">
        <f>HYPERLINK("https://d33htgqikc2pj4.cloudfront.net/qvHDimMUqxZcQnsj/d0b74cfc-2698-487f-916d-adecb2d33bd6.jpeg", "Алексей Бирюков: Ссылка на изображение")</f>
        <v>Алексей Бирюков: Ссылка на изображение</v>
      </c>
      <c r="EP684" t="str">
        <f>HYPERLINK("https://d33htgqikc2pj4.cloudfront.net/qvHDimMUqxZcQnsj/09a695fb-f77d-4d5f-b084-b3f6ab9ac8ae.jpeg", "Алексей Бирюков: Ссылка на изображение")</f>
        <v>Алексей Бирюков: Ссылка на изображение</v>
      </c>
      <c r="EQ684" t="str">
        <f>HYPERLINK("https://d33htgqikc2pj4.cloudfront.net/qvHDimMUqxZcQnsj/ff82a218-e388-4d4a-9383-4ec6a1fa3406.jpeg", "Алексей Бирюков: Ссылка на изображение")</f>
        <v>Алексей Бирюков: Ссылка на изображение</v>
      </c>
      <c r="ER684" t="s">
        <v>1902</v>
      </c>
      <c r="ES684" t="s">
        <v>1899</v>
      </c>
    </row>
    <row r="685" spans="1:160" ht="15" customHeight="1" x14ac:dyDescent="0.35">
      <c r="A685">
        <v>940</v>
      </c>
      <c r="B685" t="s">
        <v>5389</v>
      </c>
      <c r="C685">
        <v>3</v>
      </c>
      <c r="D685" t="str">
        <f>VLOOKUP(source[[#This Row],[Приоритет]],тПриоритеты[],2,0)</f>
        <v>Малозначительное</v>
      </c>
      <c r="E685" t="str">
        <f>IF(ISBLANK(source[[#This Row],[Проверенные]]),IF(ISBLANK(source[[#This Row],[Завершенные]]),source[[#This Row],[Приоритет_]],"Завершено"),"Проверено")</f>
        <v>Проверено</v>
      </c>
      <c r="F685" t="s">
        <v>4423</v>
      </c>
      <c r="G685" t="s">
        <v>2926</v>
      </c>
      <c r="H685" t="e">
        <f>VLOOKUP(source[[#This Row],[Отвественный]],тОтветственные[],2,0)</f>
        <v>#N/A</v>
      </c>
      <c r="I685" s="2">
        <v>43848</v>
      </c>
      <c r="J685" s="2">
        <v>43848</v>
      </c>
      <c r="S685" s="1">
        <v>43848.518680555557</v>
      </c>
      <c r="T685" s="1">
        <v>43848.460451388892</v>
      </c>
      <c r="U685" s="1">
        <v>43848.460451388892</v>
      </c>
      <c r="W685" s="1">
        <v>43848.518680555557</v>
      </c>
      <c r="X685" t="s">
        <v>2268</v>
      </c>
      <c r="AH685" t="s">
        <v>5390</v>
      </c>
      <c r="AI685" t="s">
        <v>5391</v>
      </c>
      <c r="AJ685" t="s">
        <v>5392</v>
      </c>
      <c r="AK685" t="s">
        <v>5393</v>
      </c>
      <c r="AL685" t="s">
        <v>5394</v>
      </c>
      <c r="AM685" t="s">
        <v>5395</v>
      </c>
      <c r="AN685" t="s">
        <v>5396</v>
      </c>
      <c r="AO685" t="s">
        <v>5397</v>
      </c>
      <c r="AP685" t="s">
        <v>5398</v>
      </c>
      <c r="AQ685" t="s">
        <v>5399</v>
      </c>
      <c r="AR685" t="s">
        <v>5400</v>
      </c>
      <c r="EC685" t="s">
        <v>5401</v>
      </c>
      <c r="ED685" t="str">
        <f>HYPERLINK("https://d33htgqikc2pj4.cloudfront.net/qvHDimMUqxZcQnsj/d237d023-8116-4a74-bdd8-5799cac63c86.jpeg", "Алексей Бирюков: Ссылка на изображение")</f>
        <v>Алексей Бирюков: Ссылка на изображение</v>
      </c>
      <c r="EE685" t="str">
        <f>HYPERLINK("https://d33htgqikc2pj4.cloudfront.net/qvHDimMUqxZcQnsj/d9344533-965e-4e92-882d-97420f0f1ae8.jpeg", "Алексей Бирюков: Ссылка на изображение")</f>
        <v>Алексей Бирюков: Ссылка на изображение</v>
      </c>
      <c r="EF685" t="str">
        <f>HYPERLINK("https://d33htgqikc2pj4.cloudfront.net/qvHDimMUqxZcQnsj/a40d1200-fd26-4d37-b512-4024101d9184.jpeg", "Алексей Бирюков: Ссылка на изображение")</f>
        <v>Алексей Бирюков: Ссылка на изображение</v>
      </c>
      <c r="EG685" t="str">
        <f>HYPERLINK("https://d33htgqikc2pj4.cloudfront.net/qvHDimMUqxZcQnsj/e338f667-f158-43c2-89e2-d8206f4110f0.jpeg", "Алексей Бирюков: Ссылка на изображение")</f>
        <v>Алексей Бирюков: Ссылка на изображение</v>
      </c>
      <c r="EH685" t="str">
        <f>HYPERLINK("https://d33htgqikc2pj4.cloudfront.net/qvHDimMUqxZcQnsj/f753258b-6050-4803-9a9f-e6fe2ff2ac67.jpeg", "Алексей Бирюков: Ссылка на изображение")</f>
        <v>Алексей Бирюков: Ссылка на изображение</v>
      </c>
      <c r="EI685" t="s">
        <v>5402</v>
      </c>
      <c r="EJ685" t="s">
        <v>5403</v>
      </c>
      <c r="EK685" t="s">
        <v>5404</v>
      </c>
      <c r="EL685" t="s">
        <v>2617</v>
      </c>
      <c r="EM685" t="s">
        <v>3216</v>
      </c>
      <c r="EN685" t="s">
        <v>2977</v>
      </c>
      <c r="EO685" t="s">
        <v>1902</v>
      </c>
      <c r="EP685" t="s">
        <v>1899</v>
      </c>
    </row>
    <row r="686" spans="1:160" ht="15" customHeight="1" x14ac:dyDescent="0.35">
      <c r="A686">
        <v>182</v>
      </c>
      <c r="B686" t="s">
        <v>5405</v>
      </c>
      <c r="C686">
        <v>2</v>
      </c>
      <c r="D686" t="str">
        <f>VLOOKUP(source[[#This Row],[Приоритет]],тПриоритеты[],2,0)</f>
        <v>Значительное</v>
      </c>
      <c r="E686" t="str">
        <f>IF(ISBLANK(source[[#This Row],[Проверенные]]),IF(ISBLANK(source[[#This Row],[Завершенные]]),source[[#This Row],[Приоритет_]],"Завершено"),"Проверено")</f>
        <v>Проверено</v>
      </c>
      <c r="F686" t="s">
        <v>4423</v>
      </c>
      <c r="G686" t="s">
        <v>2926</v>
      </c>
      <c r="H686" t="e">
        <f>VLOOKUP(source[[#This Row],[Отвественный]],тОтветственные[],2,0)</f>
        <v>#N/A</v>
      </c>
      <c r="I686" s="2">
        <v>43777</v>
      </c>
      <c r="J686" s="2">
        <v>43777</v>
      </c>
      <c r="S686" s="1">
        <v>43777.075729166667</v>
      </c>
      <c r="T686" s="1">
        <v>43811.679756944446</v>
      </c>
      <c r="U686" s="1">
        <v>43811.679756944446</v>
      </c>
      <c r="W686" s="1">
        <v>43811.756747685184</v>
      </c>
      <c r="X686" t="s">
        <v>4760</v>
      </c>
      <c r="AH686" t="s">
        <v>5406</v>
      </c>
      <c r="AI686" t="s">
        <v>5407</v>
      </c>
      <c r="AJ686" t="s">
        <v>5408</v>
      </c>
      <c r="AK686" t="s">
        <v>5409</v>
      </c>
      <c r="AL686" t="s">
        <v>5410</v>
      </c>
      <c r="AM686" t="s">
        <v>5411</v>
      </c>
      <c r="AN686" t="s">
        <v>5412</v>
      </c>
      <c r="AO686" t="s">
        <v>5413</v>
      </c>
      <c r="AP686" t="s">
        <v>5414</v>
      </c>
      <c r="AQ686" t="s">
        <v>5415</v>
      </c>
      <c r="AR686" t="s">
        <v>5416</v>
      </c>
      <c r="AS686" t="s">
        <v>5417</v>
      </c>
      <c r="AT686" t="s">
        <v>5418</v>
      </c>
      <c r="AU686" t="s">
        <v>5419</v>
      </c>
      <c r="AV686" t="s">
        <v>5420</v>
      </c>
      <c r="AW686" t="s">
        <v>5421</v>
      </c>
      <c r="AX686" t="s">
        <v>5422</v>
      </c>
      <c r="AY686" t="s">
        <v>5423</v>
      </c>
      <c r="EC686" t="s">
        <v>5424</v>
      </c>
      <c r="ED686" t="s">
        <v>2617</v>
      </c>
      <c r="EE686" t="s">
        <v>5425</v>
      </c>
      <c r="EF686" t="str">
        <f>HYPERLINK("https://d33htgqikc2pj4.cloudfront.net/60761109-8be7-4d18-9998-c7f50cabb9ba.jpeg", "Алексей Бирюков: Ссылка на изображение")</f>
        <v>Алексей Бирюков: Ссылка на изображение</v>
      </c>
      <c r="EG686" t="str">
        <f>HYPERLINK("https://d33htgqikc2pj4.cloudfront.net/e2497fe0-ebdd-43a9-b222-dde32bd9b5f8.jpeg", "Алексей Бирюков: Ссылка на изображение")</f>
        <v>Алексей Бирюков: Ссылка на изображение</v>
      </c>
      <c r="EH686" t="str">
        <f>HYPERLINK("https://d33htgqikc2pj4.cloudfront.net/11aa9289-2e2d-45d1-94ed-5e8c36e9f591.jpeg", "Алексей Бирюков: Ссылка на изображение")</f>
        <v>Алексей Бирюков: Ссылка на изображение</v>
      </c>
      <c r="EI686" t="str">
        <f>HYPERLINK("https://d33htgqikc2pj4.cloudfront.net/968f553f-a29f-4e38-b21c-b3334833cd56.jpeg", "Алексей Бирюков: Ссылка на изображение")</f>
        <v>Алексей Бирюков: Ссылка на изображение</v>
      </c>
      <c r="EJ686" t="str">
        <f>HYPERLINK("https://d33htgqikc2pj4.cloudfront.net/9fee102e-6e29-4a48-bdaf-6079caef3754.jpeg", "Алексей Бирюков: Ссылка на изображение")</f>
        <v>Алексей Бирюков: Ссылка на изображение</v>
      </c>
      <c r="EK686" t="str">
        <f>HYPERLINK("https://d33htgqikc2pj4.cloudfront.net/1b5a6c9a-6173-48b6-8b45-1a9974fa01d9.jpeg", "Алексей Бирюков: Ссылка на изображение")</f>
        <v>Алексей Бирюков: Ссылка на изображение</v>
      </c>
      <c r="EL686" t="str">
        <f>HYPERLINK("https://d33htgqikc2pj4.cloudfront.net/1cc770b7-12f9-4eed-b2af-d9b9b7320a04.jpeg", "Алексей Бирюков: Ссылка на изображение")</f>
        <v>Алексей Бирюков: Ссылка на изображение</v>
      </c>
      <c r="EM686" t="s">
        <v>5426</v>
      </c>
      <c r="EN686" t="s">
        <v>5427</v>
      </c>
      <c r="EO686" t="s">
        <v>1902</v>
      </c>
      <c r="EP686" t="s">
        <v>1899</v>
      </c>
    </row>
    <row r="687" spans="1:160" ht="15" customHeight="1" x14ac:dyDescent="0.35">
      <c r="A687">
        <v>595</v>
      </c>
      <c r="B687" t="s">
        <v>5428</v>
      </c>
      <c r="C687">
        <v>3</v>
      </c>
      <c r="D687" t="str">
        <f>VLOOKUP(source[[#This Row],[Приоритет]],тПриоритеты[],2,0)</f>
        <v>Малозначительное</v>
      </c>
      <c r="E687" t="str">
        <f>IF(ISBLANK(source[[#This Row],[Проверенные]]),IF(ISBLANK(source[[#This Row],[Завершенные]]),source[[#This Row],[Приоритет_]],"Завершено"),"Проверено")</f>
        <v>Проверено</v>
      </c>
      <c r="F687" t="s">
        <v>4423</v>
      </c>
      <c r="G687" t="s">
        <v>2926</v>
      </c>
      <c r="H687" t="e">
        <f>VLOOKUP(source[[#This Row],[Отвественный]],тОтветственные[],2,0)</f>
        <v>#N/A</v>
      </c>
      <c r="I687" s="2">
        <v>43810</v>
      </c>
      <c r="J687" s="2">
        <v>43810</v>
      </c>
      <c r="S687" s="1">
        <v>43810.475347222222</v>
      </c>
      <c r="T687" s="1">
        <v>43811.682430555556</v>
      </c>
      <c r="U687" s="1">
        <v>43811.682430555556</v>
      </c>
      <c r="W687" s="1">
        <v>43811.7575462963</v>
      </c>
      <c r="X687" t="s">
        <v>4879</v>
      </c>
      <c r="AH687" t="s">
        <v>5429</v>
      </c>
      <c r="AI687" t="s">
        <v>5430</v>
      </c>
      <c r="AJ687" t="s">
        <v>5431</v>
      </c>
      <c r="AK687" t="s">
        <v>5432</v>
      </c>
      <c r="AL687" t="s">
        <v>5433</v>
      </c>
      <c r="AM687" t="s">
        <v>5429</v>
      </c>
      <c r="AN687" t="s">
        <v>5430</v>
      </c>
      <c r="AO687" t="s">
        <v>5431</v>
      </c>
      <c r="AP687" t="s">
        <v>5432</v>
      </c>
      <c r="AQ687" t="s">
        <v>5433</v>
      </c>
      <c r="EC687" t="s">
        <v>5216</v>
      </c>
      <c r="ED687" t="s">
        <v>3109</v>
      </c>
      <c r="EE687" t="s">
        <v>2617</v>
      </c>
      <c r="EF687" t="str">
        <f>HYPERLINK("https://d33htgqikc2pj4.cloudfront.net/qvHDimMUqxZcQnsj/59abe3a2-bb2b-4f93-8b66-b3bc72977063.jpeg", "Алексей Бирюков: Ссылка на изображение")</f>
        <v>Алексей Бирюков: Ссылка на изображение</v>
      </c>
      <c r="EG687" t="str">
        <f>HYPERLINK("https://d33htgqikc2pj4.cloudfront.net/qvHDimMUqxZcQnsj/b03eb1be-217d-4d4a-974e-c2fc98092ae6.jpeg", "Алексей Бирюков: Ссылка на изображение")</f>
        <v>Алексей Бирюков: Ссылка на изображение</v>
      </c>
      <c r="EH687" t="str">
        <f>HYPERLINK("https://d33htgqikc2pj4.cloudfront.net/qvHDimMUqxZcQnsj/6807d127-4ccd-4f11-8418-b17be9e237e2.jpeg", "Алексей Бирюков: Ссылка на изображение")</f>
        <v>Алексей Бирюков: Ссылка на изображение</v>
      </c>
      <c r="EI687" t="str">
        <f>HYPERLINK("https://d33htgqikc2pj4.cloudfront.net/qvHDimMUqxZcQnsj/b1aa297d-4e55-4eea-9c57-c094514d87bd.jpeg", "Алексей Бирюков: Ссылка на изображение")</f>
        <v>Алексей Бирюков: Ссылка на изображение</v>
      </c>
      <c r="EJ687" t="str">
        <f>HYPERLINK("https://d33htgqikc2pj4.cloudfront.net/qvHDimMUqxZcQnsj/da759013-a1c9-40a0-bf11-e8c22365fbc2.jpeg", "Алексей Бирюков: Ссылка на изображение")</f>
        <v>Алексей Бирюков: Ссылка на изображение</v>
      </c>
      <c r="EK687" t="str">
        <f>HYPERLINK("https://d33htgqikc2pj4.cloudfront.net/qvHDimMUqxZcQnsj/40f5cc08-5ae4-48f0-81aa-eabfe41806bf.jpeg", "Алексей Бирюков: Ссылка на изображение")</f>
        <v>Алексей Бирюков: Ссылка на изображение</v>
      </c>
      <c r="EL687" t="str">
        <f>HYPERLINK("https://d33htgqikc2pj4.cloudfront.net/qvHDimMUqxZcQnsj/9d828812-1188-4ece-8c5f-a5c8c8de81dd.jpeg", "Алексей Бирюков: Ссылка на изображение")</f>
        <v>Алексей Бирюков: Ссылка на изображение</v>
      </c>
      <c r="EM687" t="s">
        <v>2977</v>
      </c>
      <c r="EN687" t="s">
        <v>1902</v>
      </c>
      <c r="EO687" t="s">
        <v>2977</v>
      </c>
      <c r="EP687" t="s">
        <v>5434</v>
      </c>
      <c r="EQ687" t="s">
        <v>1902</v>
      </c>
      <c r="ER687" t="s">
        <v>1899</v>
      </c>
    </row>
    <row r="688" spans="1:160" ht="15" customHeight="1" x14ac:dyDescent="0.35">
      <c r="A688">
        <v>950</v>
      </c>
      <c r="B688" t="s">
        <v>5435</v>
      </c>
      <c r="C688">
        <v>2</v>
      </c>
      <c r="D688" t="str">
        <f>VLOOKUP(source[[#This Row],[Приоритет]],тПриоритеты[],2,0)</f>
        <v>Значительное</v>
      </c>
      <c r="E688" t="str">
        <f>IF(ISBLANK(source[[#This Row],[Проверенные]]),IF(ISBLANK(source[[#This Row],[Завершенные]]),source[[#This Row],[Приоритет_]],"Завершено"),"Проверено")</f>
        <v>Проверено</v>
      </c>
      <c r="F688" t="s">
        <v>4423</v>
      </c>
      <c r="G688" t="s">
        <v>2926</v>
      </c>
      <c r="H688" t="e">
        <f>VLOOKUP(source[[#This Row],[Отвественный]],тОтветственные[],2,0)</f>
        <v>#N/A</v>
      </c>
      <c r="I688" s="2">
        <v>43849</v>
      </c>
      <c r="J688" s="2">
        <v>43849</v>
      </c>
      <c r="S688" s="1">
        <v>43849.538900462961</v>
      </c>
      <c r="T688" s="1">
        <v>43849.689479166664</v>
      </c>
      <c r="U688" s="1">
        <v>43849.689479166664</v>
      </c>
      <c r="W688" s="1">
        <v>43849.68949074074</v>
      </c>
      <c r="X688" t="s">
        <v>3262</v>
      </c>
      <c r="AH688" t="s">
        <v>5436</v>
      </c>
      <c r="AI688" t="s">
        <v>5437</v>
      </c>
      <c r="AJ688" t="s">
        <v>5438</v>
      </c>
      <c r="AK688" t="s">
        <v>5439</v>
      </c>
      <c r="AL688" t="s">
        <v>5440</v>
      </c>
      <c r="AM688" t="s">
        <v>5441</v>
      </c>
      <c r="AN688" t="s">
        <v>5442</v>
      </c>
      <c r="AO688" t="s">
        <v>5443</v>
      </c>
      <c r="AP688" t="s">
        <v>5444</v>
      </c>
      <c r="AQ688" t="s">
        <v>5445</v>
      </c>
      <c r="AR688" t="s">
        <v>5446</v>
      </c>
      <c r="AS688" t="s">
        <v>5447</v>
      </c>
      <c r="AT688" t="s">
        <v>5448</v>
      </c>
      <c r="AU688" s="3" t="s">
        <v>5449</v>
      </c>
      <c r="EC688" t="s">
        <v>5450</v>
      </c>
      <c r="ED688" t="s">
        <v>2617</v>
      </c>
      <c r="EE688" t="s">
        <v>3091</v>
      </c>
      <c r="EF688" t="str">
        <f>HYPERLINK("https://d33htgqikc2pj4.cloudfront.net/qvHDimMUqxZcQnsj/50b14ff9-800b-4b61-807d-f0b75582ef4d.jpeg", "Алексей Бирюков: Ссылка на изображение")</f>
        <v>Алексей Бирюков: Ссылка на изображение</v>
      </c>
      <c r="EG688" t="str">
        <f>HYPERLINK("https://d33htgqikc2pj4.cloudfront.net/qvHDimMUqxZcQnsj/979bc88a-93dd-4ab5-8c27-bebebb979c03.jpeg", "Алексей Бирюков: Ссылка на изображение")</f>
        <v>Алексей Бирюков: Ссылка на изображение</v>
      </c>
      <c r="EH688" t="str">
        <f>HYPERLINK("https://d33htgqikc2pj4.cloudfront.net/qvHDimMUqxZcQnsj/1acd0c68-a934-47ca-917c-93e4d63e63fe.jpeg", "Алексей Бирюков: Ссылка на изображение")</f>
        <v>Алексей Бирюков: Ссылка на изображение</v>
      </c>
      <c r="EI688" t="str">
        <f>HYPERLINK("https://d33htgqikc2pj4.cloudfront.net/qvHDimMUqxZcQnsj/2e253375-af61-4469-ac6b-e2affe75a050.jpeg", "Алексей Бирюков: Ссылка на изображение")</f>
        <v>Алексей Бирюков: Ссылка на изображение</v>
      </c>
      <c r="EJ688" t="str">
        <f>HYPERLINK("https://d33htgqikc2pj4.cloudfront.net/qvHDimMUqxZcQnsj/b8125763-4adc-4e88-af04-1813ed2c6daa.jpeg", "Алексей Бирюков: Ссылка на изображение")</f>
        <v>Алексей Бирюков: Ссылка на изображение</v>
      </c>
      <c r="EK688" t="s">
        <v>1899</v>
      </c>
    </row>
    <row r="689" spans="1:149" ht="15" customHeight="1" x14ac:dyDescent="0.35">
      <c r="A689">
        <v>196</v>
      </c>
      <c r="B689" t="s">
        <v>5451</v>
      </c>
      <c r="C689">
        <v>3</v>
      </c>
      <c r="D689" t="str">
        <f>VLOOKUP(source[[#This Row],[Приоритет]],тПриоритеты[],2,0)</f>
        <v>Малозначительное</v>
      </c>
      <c r="E689" t="str">
        <f>IF(ISBLANK(source[[#This Row],[Проверенные]]),IF(ISBLANK(source[[#This Row],[Завершенные]]),source[[#This Row],[Приоритет_]],"Завершено"),"Проверено")</f>
        <v>Проверено</v>
      </c>
      <c r="F689" t="s">
        <v>4423</v>
      </c>
      <c r="G689" t="s">
        <v>2926</v>
      </c>
      <c r="H689" t="e">
        <f>VLOOKUP(source[[#This Row],[Отвественный]],тОтветственные[],2,0)</f>
        <v>#N/A</v>
      </c>
      <c r="I689" s="2">
        <v>43777</v>
      </c>
      <c r="J689" s="2">
        <v>43777</v>
      </c>
      <c r="S689" s="1">
        <v>43777.892916666664</v>
      </c>
      <c r="T689" s="1">
        <v>43811.679814814815</v>
      </c>
      <c r="U689" s="1">
        <v>43811.679814814815</v>
      </c>
      <c r="W689" s="1">
        <v>43811.75675925926</v>
      </c>
      <c r="X689" t="s">
        <v>444</v>
      </c>
      <c r="AH689" t="s">
        <v>5452</v>
      </c>
      <c r="AI689" t="s">
        <v>5453</v>
      </c>
      <c r="AJ689" t="s">
        <v>5454</v>
      </c>
      <c r="AK689" t="s">
        <v>5455</v>
      </c>
      <c r="AL689" t="s">
        <v>5456</v>
      </c>
      <c r="AM689" t="s">
        <v>5457</v>
      </c>
      <c r="AN689" t="s">
        <v>5458</v>
      </c>
      <c r="EC689" t="s">
        <v>5459</v>
      </c>
      <c r="ED689" t="s">
        <v>5460</v>
      </c>
      <c r="EE689" t="s">
        <v>2617</v>
      </c>
      <c r="EF689" t="s">
        <v>5461</v>
      </c>
      <c r="EG689" t="str">
        <f>HYPERLINK("https://d33htgqikc2pj4.cloudfront.net/15439d90-fa63-4a8c-a033-bfdcc44ee10c.jpeg", "Алексей Бирюков: Ссылка на изображение")</f>
        <v>Алексей Бирюков: Ссылка на изображение</v>
      </c>
      <c r="EH689" t="str">
        <f>HYPERLINK("https://d33htgqikc2pj4.cloudfront.net/6a9456f9-6172-4411-8329-a502049d439b.jpeg", "Алексей Бирюков: Ссылка на изображение")</f>
        <v>Алексей Бирюков: Ссылка на изображение</v>
      </c>
      <c r="EI689" t="str">
        <f>HYPERLINK("https://d33htgqikc2pj4.cloudfront.net/f35907ae-6758-4545-a8d3-d84695c14672.jpeg", "Алексей Бирюков: Ссылка на изображение")</f>
        <v>Алексей Бирюков: Ссылка на изображение</v>
      </c>
      <c r="EJ689" t="str">
        <f>HYPERLINK("https://d33htgqikc2pj4.cloudfront.net/36d88df3-fadf-4363-a6e5-7b9a15189c73.jpeg", "Алексей Бирюков: Ссылка на изображение")</f>
        <v>Алексей Бирюков: Ссылка на изображение</v>
      </c>
      <c r="EK689" t="str">
        <f>HYPERLINK("https://d33htgqikc2pj4.cloudfront.net/0eea490a-a0b5-4375-9cac-f2545d91e216.jpeg", "Алексей Бирюков: Ссылка на изображение")</f>
        <v>Алексей Бирюков: Ссылка на изображение</v>
      </c>
      <c r="EL689" t="str">
        <f>HYPERLINK("https://d33htgqikc2pj4.cloudfront.net/6d8c881b-2c14-4161-b064-365510a74ecc.jpeg", "Алексей Бирюков: Ссылка на изображение")</f>
        <v>Алексей Бирюков: Ссылка на изображение</v>
      </c>
      <c r="EM689" t="s">
        <v>1902</v>
      </c>
      <c r="EN689" t="s">
        <v>5462</v>
      </c>
      <c r="EO689" t="str">
        <f>HYPERLINK("https://d33htgqikc2pj4.cloudfront.net/2e7b7907-17c4-47ba-a3b7-128a4e356251.jpeg", "Алексей Бирюков: Ссылка на изображение")</f>
        <v>Алексей Бирюков: Ссылка на изображение</v>
      </c>
      <c r="EP689" t="s">
        <v>1899</v>
      </c>
    </row>
    <row r="690" spans="1:149" ht="15" customHeight="1" x14ac:dyDescent="0.35">
      <c r="A690">
        <v>200</v>
      </c>
      <c r="B690" t="s">
        <v>5463</v>
      </c>
      <c r="C690">
        <v>2</v>
      </c>
      <c r="D690" t="str">
        <f>VLOOKUP(source[[#This Row],[Приоритет]],тПриоритеты[],2,0)</f>
        <v>Значительное</v>
      </c>
      <c r="E690" t="str">
        <f>IF(ISBLANK(source[[#This Row],[Проверенные]]),IF(ISBLANK(source[[#This Row],[Завершенные]]),source[[#This Row],[Приоритет_]],"Завершено"),"Проверено")</f>
        <v>Проверено</v>
      </c>
      <c r="F690" t="s">
        <v>4423</v>
      </c>
      <c r="G690" t="s">
        <v>2926</v>
      </c>
      <c r="H690" t="e">
        <f>VLOOKUP(source[[#This Row],[Отвественный]],тОтветственные[],2,0)</f>
        <v>#N/A</v>
      </c>
      <c r="I690" s="2">
        <v>43778</v>
      </c>
      <c r="J690" s="2">
        <v>43778</v>
      </c>
      <c r="S690" s="1">
        <v>43778.057071759256</v>
      </c>
      <c r="T690" s="1">
        <v>43811.679942129631</v>
      </c>
      <c r="U690" s="1">
        <v>43811.679942129631</v>
      </c>
      <c r="W690" s="1">
        <v>43811.75675925926</v>
      </c>
      <c r="X690" t="s">
        <v>2889</v>
      </c>
      <c r="AH690" t="s">
        <v>5464</v>
      </c>
      <c r="AI690" t="s">
        <v>5465</v>
      </c>
      <c r="AJ690" t="s">
        <v>5466</v>
      </c>
      <c r="AK690" t="s">
        <v>5467</v>
      </c>
      <c r="AL690" t="s">
        <v>5468</v>
      </c>
      <c r="AM690" t="s">
        <v>5469</v>
      </c>
      <c r="AN690" t="s">
        <v>5470</v>
      </c>
      <c r="AO690" t="s">
        <v>5471</v>
      </c>
      <c r="AP690" t="s">
        <v>5472</v>
      </c>
      <c r="AQ690" t="s">
        <v>5473</v>
      </c>
      <c r="AR690" t="s">
        <v>5474</v>
      </c>
      <c r="AS690" t="s">
        <v>5475</v>
      </c>
      <c r="AT690" t="s">
        <v>5476</v>
      </c>
      <c r="AU690" t="s">
        <v>5477</v>
      </c>
      <c r="AV690" t="s">
        <v>5478</v>
      </c>
      <c r="AW690" t="s">
        <v>5479</v>
      </c>
      <c r="EC690" t="s">
        <v>5480</v>
      </c>
      <c r="ED690" t="s">
        <v>2617</v>
      </c>
      <c r="EE690" t="str">
        <f>HYPERLINK("https://d33htgqikc2pj4.cloudfront.net/d78b2aae-e40c-412c-b532-8589d047ebfd.jpeg", "Алексей Бирюков: Ссылка на изображение")</f>
        <v>Алексей Бирюков: Ссылка на изображение</v>
      </c>
      <c r="EF690" t="str">
        <f>HYPERLINK("https://d33htgqikc2pj4.cloudfront.net/526c9cf9-d2b1-4d2f-bd9a-ab95880070ac.jpeg", "Алексей Бирюков: Ссылка на изображение")</f>
        <v>Алексей Бирюков: Ссылка на изображение</v>
      </c>
      <c r="EG690" t="str">
        <f>HYPERLINK("https://d33htgqikc2pj4.cloudfront.net/88eba53d-cdda-44f3-a37b-6ea893411ec9.jpeg", "Алексей Бирюков: Ссылка на изображение")</f>
        <v>Алексей Бирюков: Ссылка на изображение</v>
      </c>
      <c r="EH690" t="str">
        <f>HYPERLINK("https://d33htgqikc2pj4.cloudfront.net/070bc0fb-a58f-4dd7-9a2c-e183912719ad.jpeg", "Алексей Бирюков: Ссылка на изображение")</f>
        <v>Алексей Бирюков: Ссылка на изображение</v>
      </c>
      <c r="EI690" t="str">
        <f>HYPERLINK("https://d33htgqikc2pj4.cloudfront.net/96e9c827-2bc4-4fe7-85a7-d437a4cfcd55.jpeg", "Алексей Бирюков: Ссылка на изображение")</f>
        <v>Алексей Бирюков: Ссылка на изображение</v>
      </c>
      <c r="EJ690" t="s">
        <v>5481</v>
      </c>
      <c r="EK690" t="s">
        <v>1902</v>
      </c>
      <c r="EL690" t="s">
        <v>5482</v>
      </c>
      <c r="EM690" t="s">
        <v>1899</v>
      </c>
    </row>
    <row r="691" spans="1:149" ht="15" customHeight="1" x14ac:dyDescent="0.35">
      <c r="A691">
        <v>198</v>
      </c>
      <c r="B691" t="s">
        <v>5483</v>
      </c>
      <c r="C691">
        <v>3</v>
      </c>
      <c r="D691" t="str">
        <f>VLOOKUP(source[[#This Row],[Приоритет]],тПриоритеты[],2,0)</f>
        <v>Малозначительное</v>
      </c>
      <c r="E691" t="str">
        <f>IF(ISBLANK(source[[#This Row],[Проверенные]]),IF(ISBLANK(source[[#This Row],[Завершенные]]),source[[#This Row],[Приоритет_]],"Завершено"),"Проверено")</f>
        <v>Проверено</v>
      </c>
      <c r="F691" t="s">
        <v>4423</v>
      </c>
      <c r="G691" t="s">
        <v>2926</v>
      </c>
      <c r="H691" t="e">
        <f>VLOOKUP(source[[#This Row],[Отвественный]],тОтветственные[],2,0)</f>
        <v>#N/A</v>
      </c>
      <c r="I691" s="2">
        <v>43778</v>
      </c>
      <c r="J691" s="2">
        <v>43778</v>
      </c>
      <c r="S691" s="1">
        <v>43778.054988425924</v>
      </c>
      <c r="T691" s="1">
        <v>43811.679849537039</v>
      </c>
      <c r="U691" s="1">
        <v>43811.679849537039</v>
      </c>
      <c r="W691" s="1">
        <v>43811.75675925926</v>
      </c>
      <c r="AH691" t="s">
        <v>5484</v>
      </c>
      <c r="EC691" t="s">
        <v>5459</v>
      </c>
      <c r="ED691" t="s">
        <v>3006</v>
      </c>
      <c r="EE691" t="s">
        <v>2617</v>
      </c>
      <c r="EF691" t="s">
        <v>5485</v>
      </c>
      <c r="EG691" t="str">
        <f>HYPERLINK("https://d33htgqikc2pj4.cloudfront.net/e21d59f8c4f28c98cb20d505d6867f80/a81602824f2f305538fea672f823e07c-flattened.jpeg", "Алексей Бирюков: Ссылка на изображение")</f>
        <v>Алексей Бирюков: Ссылка на изображение</v>
      </c>
      <c r="EH691" t="str">
        <f>HYPERLINK("https://d33htgqikc2pj4.cloudfront.net/e1d338ba-3bac-4902-a509-ccc8ccf496d2.jpeg", "Алексей Бирюков: Ссылка на изображение")</f>
        <v>Алексей Бирюков: Ссылка на изображение</v>
      </c>
      <c r="EI691" t="str">
        <f>HYPERLINK("https://d33htgqikc2pj4.cloudfront.net/d82ecb6a-3a3c-4d2c-bbb6-e779dbc3aa0a.jpeg", "Алексей Бирюков: Ссылка на изображение")</f>
        <v>Алексей Бирюков: Ссылка на изображение</v>
      </c>
      <c r="EJ691" t="str">
        <f>HYPERLINK("https://d33htgqikc2pj4.cloudfront.net/bc400d2d-ec3f-4d18-a933-e58f0c551b14.jpeg", "Алексей Бирюков: Ссылка на изображение")</f>
        <v>Алексей Бирюков: Ссылка на изображение</v>
      </c>
      <c r="EK691" t="str">
        <f>HYPERLINK("https://d33htgqikc2pj4.cloudfront.net/b0049fc8-d005-434e-ba5d-1a87c39459d6.jpeg", "Алексей Бирюков: Ссылка на изображение")</f>
        <v>Алексей Бирюков: Ссылка на изображение</v>
      </c>
      <c r="EL691" t="str">
        <f>HYPERLINK("https://d33htgqikc2pj4.cloudfront.net/b8644dd7-d141-46a5-85e3-d9e0d4ffb99b.jpeg", "Алексей Бирюков: Ссылка на изображение")</f>
        <v>Алексей Бирюков: Ссылка на изображение</v>
      </c>
      <c r="EM691" t="str">
        <f>HYPERLINK("https://d33htgqikc2pj4.cloudfront.net/9cb2c910-01cb-4ba5-92e4-7edb66771122.jpeg", "Алексей Бирюков: Ссылка на изображение")</f>
        <v>Алексей Бирюков: Ссылка на изображение</v>
      </c>
      <c r="EN691" t="str">
        <f>HYPERLINK("https://d33htgqikc2pj4.cloudfront.net/5e0a5490-2673-42e3-b57b-3c2f992a3e03.jpeg", "Алексей Бирюков: Ссылка на изображение")</f>
        <v>Алексей Бирюков: Ссылка на изображение</v>
      </c>
      <c r="EO691" t="str">
        <f>HYPERLINK("https://d33htgqikc2pj4.cloudfront.net/f0c33ae8-3336-4e4c-bb8e-079f973b9f2c.jpeg", "Алексей Бирюков: Ссылка на изображение")</f>
        <v>Алексей Бирюков: Ссылка на изображение</v>
      </c>
      <c r="EP691" t="s">
        <v>5486</v>
      </c>
      <c r="EQ691" t="s">
        <v>5487</v>
      </c>
      <c r="ER691" t="s">
        <v>1902</v>
      </c>
      <c r="ES691" t="s">
        <v>1899</v>
      </c>
    </row>
    <row r="692" spans="1:149" ht="15" customHeight="1" x14ac:dyDescent="0.35">
      <c r="A692">
        <v>199</v>
      </c>
      <c r="B692" t="s">
        <v>5488</v>
      </c>
      <c r="C692">
        <v>2</v>
      </c>
      <c r="D692" t="str">
        <f>VLOOKUP(source[[#This Row],[Приоритет]],тПриоритеты[],2,0)</f>
        <v>Значительное</v>
      </c>
      <c r="E692" t="str">
        <f>IF(ISBLANK(source[[#This Row],[Проверенные]]),IF(ISBLANK(source[[#This Row],[Завершенные]]),source[[#This Row],[Приоритет_]],"Завершено"),"Проверено")</f>
        <v>Проверено</v>
      </c>
      <c r="F692" t="s">
        <v>4423</v>
      </c>
      <c r="G692" t="s">
        <v>2926</v>
      </c>
      <c r="H692" t="e">
        <f>VLOOKUP(source[[#This Row],[Отвественный]],тОтветственные[],2,0)</f>
        <v>#N/A</v>
      </c>
      <c r="S692" s="1">
        <v>43778.056921296295</v>
      </c>
      <c r="T692" s="1">
        <v>43811.679895833331</v>
      </c>
      <c r="U692" s="1">
        <v>43811.679895833331</v>
      </c>
      <c r="W692" s="1">
        <v>43811.75675925926</v>
      </c>
      <c r="EC692" t="s">
        <v>5489</v>
      </c>
      <c r="ED692" t="s">
        <v>5490</v>
      </c>
      <c r="EE692" t="s">
        <v>1902</v>
      </c>
      <c r="EF692" t="s">
        <v>1899</v>
      </c>
    </row>
    <row r="693" spans="1:149" ht="15" customHeight="1" x14ac:dyDescent="0.35">
      <c r="A693">
        <v>201</v>
      </c>
      <c r="B693" t="s">
        <v>5491</v>
      </c>
      <c r="C693">
        <v>3</v>
      </c>
      <c r="D693" t="str">
        <f>VLOOKUP(source[[#This Row],[Приоритет]],тПриоритеты[],2,0)</f>
        <v>Малозначительное</v>
      </c>
      <c r="E693" t="str">
        <f>IF(ISBLANK(source[[#This Row],[Проверенные]]),IF(ISBLANK(source[[#This Row],[Завершенные]]),source[[#This Row],[Приоритет_]],"Завершено"),"Проверено")</f>
        <v>Проверено</v>
      </c>
      <c r="F693" t="s">
        <v>4423</v>
      </c>
      <c r="G693" t="s">
        <v>2926</v>
      </c>
      <c r="H693" t="e">
        <f>VLOOKUP(source[[#This Row],[Отвественный]],тОтветственные[],2,0)</f>
        <v>#N/A</v>
      </c>
      <c r="I693" s="2">
        <v>43778</v>
      </c>
      <c r="J693" s="2">
        <v>43778</v>
      </c>
      <c r="S693" s="1">
        <v>43778.06627314815</v>
      </c>
      <c r="T693" s="1">
        <v>43811.679988425924</v>
      </c>
      <c r="U693" s="1">
        <v>43811.679988425924</v>
      </c>
      <c r="W693" s="1">
        <v>43811.75675925926</v>
      </c>
      <c r="X693" t="s">
        <v>461</v>
      </c>
      <c r="AH693" t="s">
        <v>5492</v>
      </c>
      <c r="AI693" s="3" t="s">
        <v>5493</v>
      </c>
      <c r="AJ693" s="3" t="s">
        <v>5494</v>
      </c>
      <c r="AK693" t="s">
        <v>5495</v>
      </c>
      <c r="AL693" t="s">
        <v>5496</v>
      </c>
      <c r="AM693" t="s">
        <v>5497</v>
      </c>
      <c r="AN693" t="s">
        <v>5498</v>
      </c>
      <c r="AO693" t="s">
        <v>5499</v>
      </c>
      <c r="AP693" t="s">
        <v>5500</v>
      </c>
      <c r="AQ693" t="s">
        <v>5501</v>
      </c>
      <c r="AR693" t="s">
        <v>5502</v>
      </c>
      <c r="EC693" t="s">
        <v>5503</v>
      </c>
      <c r="ED693" t="s">
        <v>5459</v>
      </c>
      <c r="EE693" t="s">
        <v>5485</v>
      </c>
      <c r="EF693" t="str">
        <f>HYPERLINK("https://d33htgqikc2pj4.cloudfront.net/293e89de-6c5e-4553-9ced-f0bcbe2f2b51.jpeg", "Алексей Бирюков: Ссылка на изображение")</f>
        <v>Алексей Бирюков: Ссылка на изображение</v>
      </c>
      <c r="EG693" t="str">
        <f>HYPERLINK("https://d33htgqikc2pj4.cloudfront.net/de0a0f05-16e6-4767-adf3-1c67bedde9df.jpeg", "Алексей Бирюков: Ссылка на изображение")</f>
        <v>Алексей Бирюков: Ссылка на изображение</v>
      </c>
      <c r="EH693" t="str">
        <f>HYPERLINK("https://d33htgqikc2pj4.cloudfront.net/89182b38-b63e-4f2c-94f4-d164f3057f6e.jpeg", "Алексей Бирюков: Ссылка на изображение")</f>
        <v>Алексей Бирюков: Ссылка на изображение</v>
      </c>
      <c r="EI693" t="str">
        <f>HYPERLINK("https://d33htgqikc2pj4.cloudfront.net/338be1c0-fa76-453d-b6bc-26844e90c792.jpeg", "Алексей Бирюков: Ссылка на изображение")</f>
        <v>Алексей Бирюков: Ссылка на изображение</v>
      </c>
      <c r="EJ693" t="str">
        <f>HYPERLINK("https://d33htgqikc2pj4.cloudfront.net/579d7a15-8446-49e0-8c30-7aa632823d35.jpeg", "Алексей Бирюков: Ссылка на изображение")</f>
        <v>Алексей Бирюков: Ссылка на изображение</v>
      </c>
      <c r="EK693" t="str">
        <f>HYPERLINK("https://d33htgqikc2pj4.cloudfront.net/3f9f35d1-685a-4d60-892c-1bbde3ec3c7a.jpeg", "Алексей Бирюков: Ссылка на изображение")</f>
        <v>Алексей Бирюков: Ссылка на изображение</v>
      </c>
      <c r="EL693" t="s">
        <v>1902</v>
      </c>
      <c r="EM693" t="s">
        <v>5339</v>
      </c>
      <c r="EN693" t="s">
        <v>1899</v>
      </c>
    </row>
    <row r="694" spans="1:149" ht="15" customHeight="1" x14ac:dyDescent="0.35">
      <c r="A694">
        <v>596</v>
      </c>
      <c r="B694" t="s">
        <v>5504</v>
      </c>
      <c r="C694">
        <v>3</v>
      </c>
      <c r="D694" t="str">
        <f>VLOOKUP(source[[#This Row],[Приоритет]],тПриоритеты[],2,0)</f>
        <v>Малозначительное</v>
      </c>
      <c r="E694" t="str">
        <f>IF(ISBLANK(source[[#This Row],[Проверенные]]),IF(ISBLANK(source[[#This Row],[Завершенные]]),source[[#This Row],[Приоритет_]],"Завершено"),"Проверено")</f>
        <v>Проверено</v>
      </c>
      <c r="F694" t="s">
        <v>4423</v>
      </c>
      <c r="G694" t="s">
        <v>2926</v>
      </c>
      <c r="H694" t="e">
        <f>VLOOKUP(source[[#This Row],[Отвественный]],тОтветственные[],2,0)</f>
        <v>#N/A</v>
      </c>
      <c r="I694" s="2">
        <v>43810</v>
      </c>
      <c r="J694" s="2">
        <v>43810</v>
      </c>
      <c r="S694" s="1">
        <v>43810.475347222222</v>
      </c>
      <c r="T694" s="1">
        <v>43811.682476851849</v>
      </c>
      <c r="U694" s="1">
        <v>43811.682476851849</v>
      </c>
      <c r="W694" s="1">
        <v>43811.7575462963</v>
      </c>
      <c r="X694" t="s">
        <v>5505</v>
      </c>
      <c r="AH694" t="s">
        <v>5506</v>
      </c>
      <c r="AI694" t="s">
        <v>5507</v>
      </c>
      <c r="AJ694" t="s">
        <v>5508</v>
      </c>
      <c r="AK694" t="s">
        <v>5509</v>
      </c>
      <c r="AL694" t="s">
        <v>5510</v>
      </c>
      <c r="AM694" t="s">
        <v>5511</v>
      </c>
      <c r="AN694" t="s">
        <v>5512</v>
      </c>
      <c r="EC694" t="s">
        <v>5513</v>
      </c>
      <c r="ED694" t="s">
        <v>3109</v>
      </c>
      <c r="EE694" t="s">
        <v>2617</v>
      </c>
      <c r="EF694" t="str">
        <f>HYPERLINK("https://d33htgqikc2pj4.cloudfront.net/qvHDimMUqxZcQnsj/1cbf47d5-efd9-469d-8306-b0ac925ec596.jpeg", "Алексей Бирюков: Ссылка на изображение")</f>
        <v>Алексей Бирюков: Ссылка на изображение</v>
      </c>
      <c r="EG694" t="str">
        <f>HYPERLINK("https://d33htgqikc2pj4.cloudfront.net/qvHDimMUqxZcQnsj/21976caa-e7d4-42a5-b8ff-890b004c59bf.jpeg", "Алексей Бирюков: Ссылка на изображение")</f>
        <v>Алексей Бирюков: Ссылка на изображение</v>
      </c>
      <c r="EH694" t="str">
        <f>HYPERLINK("https://d33htgqikc2pj4.cloudfront.net/qvHDimMUqxZcQnsj/9891fc2d-881f-4043-a860-58b47218bef9.jpeg", "Алексей Бирюков: Ссылка на изображение")</f>
        <v>Алексей Бирюков: Ссылка на изображение</v>
      </c>
      <c r="EI694" t="str">
        <f>HYPERLINK("https://d33htgqikc2pj4.cloudfront.net/qvHDimMUqxZcQnsj/369b6b0e-1a1e-4398-aad5-99ecadbadce2.jpeg", "Алексей Бирюков: Ссылка на изображение")</f>
        <v>Алексей Бирюков: Ссылка на изображение</v>
      </c>
      <c r="EJ694" t="s">
        <v>1902</v>
      </c>
      <c r="EK694" t="s">
        <v>2977</v>
      </c>
      <c r="EL694" t="s">
        <v>5514</v>
      </c>
      <c r="EM694" t="s">
        <v>1902</v>
      </c>
      <c r="EN694" t="s">
        <v>1899</v>
      </c>
    </row>
    <row r="695" spans="1:149" ht="15" customHeight="1" x14ac:dyDescent="0.35">
      <c r="A695">
        <v>612</v>
      </c>
      <c r="B695" t="s">
        <v>5515</v>
      </c>
      <c r="C695">
        <v>2</v>
      </c>
      <c r="D695" t="str">
        <f>VLOOKUP(source[[#This Row],[Приоритет]],тПриоритеты[],2,0)</f>
        <v>Значительное</v>
      </c>
      <c r="E695" t="str">
        <f>IF(ISBLANK(source[[#This Row],[Проверенные]]),IF(ISBLANK(source[[#This Row],[Завершенные]]),source[[#This Row],[Приоритет_]],"Завершено"),"Проверено")</f>
        <v>Проверено</v>
      </c>
      <c r="F695" t="s">
        <v>4423</v>
      </c>
      <c r="G695" t="s">
        <v>2926</v>
      </c>
      <c r="H695" t="e">
        <f>VLOOKUP(source[[#This Row],[Отвественный]],тОтветственные[],2,0)</f>
        <v>#N/A</v>
      </c>
      <c r="I695" s="2">
        <v>43811</v>
      </c>
      <c r="J695" s="2">
        <v>43811</v>
      </c>
      <c r="S695" s="1">
        <v>43811.62290509259</v>
      </c>
      <c r="T695" s="1">
        <v>43811.713495370372</v>
      </c>
      <c r="U695" s="1">
        <v>43811.713495370372</v>
      </c>
      <c r="W695" s="1">
        <v>43811.756689814814</v>
      </c>
      <c r="X695" t="s">
        <v>4879</v>
      </c>
      <c r="AH695" t="s">
        <v>5516</v>
      </c>
      <c r="AI695" t="s">
        <v>5517</v>
      </c>
      <c r="AJ695" t="s">
        <v>5518</v>
      </c>
      <c r="AK695" t="s">
        <v>5519</v>
      </c>
      <c r="AL695" t="s">
        <v>5520</v>
      </c>
      <c r="EC695" t="s">
        <v>5521</v>
      </c>
      <c r="ED695" t="s">
        <v>5522</v>
      </c>
      <c r="EE695" t="str">
        <f>HYPERLINK("https://d33htgqikc2pj4.cloudfront.net/qvHDimMUqxZcQnsj/0325ff2c-826b-4743-bb5b-1c5a58bccc91.jpeg", "Алексей Бирюков: Ссылка на изображение")</f>
        <v>Алексей Бирюков: Ссылка на изображение</v>
      </c>
      <c r="EF695" t="str">
        <f>HYPERLINK("https://d33htgqikc2pj4.cloudfront.net/qvHDimMUqxZcQnsj/5bdf09ac-e460-4962-b084-d51e7fa8a18d.jpeg", "Алексей Бирюков: Ссылка на изображение")</f>
        <v>Алексей Бирюков: Ссылка на изображение</v>
      </c>
      <c r="EG695" t="str">
        <f>HYPERLINK("https://d33htgqikc2pj4.cloudfront.net/qvHDimMUqxZcQnsj/eb18105e-fd04-4370-82eb-eb1aa1127516.jpeg", "Алексей Бирюков: Ссылка на изображение")</f>
        <v>Алексей Бирюков: Ссылка на изображение</v>
      </c>
      <c r="EH695" t="str">
        <f>HYPERLINK("https://d33htgqikc2pj4.cloudfront.net/qvHDimMUqxZcQnsj/747471be-374d-49ce-b0c8-f02b50f57076.jpeg", "Алексей Бирюков: Ссылка на изображение")</f>
        <v>Алексей Бирюков: Ссылка на изображение</v>
      </c>
      <c r="EI695" t="str">
        <f>HYPERLINK("https://d33htgqikc2pj4.cloudfront.net/qvHDimMUqxZcQnsj/11f7aacc-ea01-4e88-8e4b-41cf3a314ffa.jpeg", "Алексей Бирюков: Ссылка на изображение")</f>
        <v>Алексей Бирюков: Ссылка на изображение</v>
      </c>
      <c r="EJ695" t="s">
        <v>5523</v>
      </c>
      <c r="EK695" t="s">
        <v>2617</v>
      </c>
      <c r="EL695" t="s">
        <v>1899</v>
      </c>
    </row>
    <row r="696" spans="1:149" ht="15" customHeight="1" x14ac:dyDescent="0.35">
      <c r="A696">
        <v>603</v>
      </c>
      <c r="B696" t="s">
        <v>5524</v>
      </c>
      <c r="C696">
        <v>2</v>
      </c>
      <c r="D696" t="str">
        <f>VLOOKUP(source[[#This Row],[Приоритет]],тПриоритеты[],2,0)</f>
        <v>Значительное</v>
      </c>
      <c r="E696" t="str">
        <f>IF(ISBLANK(source[[#This Row],[Проверенные]]),IF(ISBLANK(source[[#This Row],[Завершенные]]),source[[#This Row],[Приоритет_]],"Завершено"),"Проверено")</f>
        <v>Проверено</v>
      </c>
      <c r="F696" t="s">
        <v>4423</v>
      </c>
      <c r="G696" t="s">
        <v>2926</v>
      </c>
      <c r="H696" t="e">
        <f>VLOOKUP(source[[#This Row],[Отвественный]],тОтветственные[],2,0)</f>
        <v>#N/A</v>
      </c>
      <c r="I696" s="2">
        <v>43810</v>
      </c>
      <c r="J696" s="2">
        <v>43810</v>
      </c>
      <c r="S696" s="1">
        <v>43810.68886574074</v>
      </c>
      <c r="T696" s="1">
        <v>43811.682557870372</v>
      </c>
      <c r="U696" s="1">
        <v>43811.682557870372</v>
      </c>
      <c r="W696" s="1">
        <v>43811.7575462963</v>
      </c>
      <c r="EC696" t="s">
        <v>3170</v>
      </c>
      <c r="ED696" t="s">
        <v>3109</v>
      </c>
      <c r="EE696" t="s">
        <v>2617</v>
      </c>
      <c r="EF696" t="str">
        <f>HYPERLINK("https://d33htgqikc2pj4.cloudfront.net/qvHDimMUqxZcQnsj/d2f41abc-c04c-4a18-8e72-8624b168fbe5.jpeg", "Алексей Бирюков: Ссылка на изображение")</f>
        <v>Алексей Бирюков: Ссылка на изображение</v>
      </c>
      <c r="EG696" t="str">
        <f>HYPERLINK("https://d33htgqikc2pj4.cloudfront.net/qvHDimMUqxZcQnsj/bea7e9e2-0e3d-4dd6-8775-8aef5d02e63d.jpeg", "Алексей Бирюков: Ссылка на изображение")</f>
        <v>Алексей Бирюков: Ссылка на изображение</v>
      </c>
      <c r="EH696" t="str">
        <f>HYPERLINK("https://d33htgqikc2pj4.cloudfront.net/qvHDimMUqxZcQnsj/342d9c55-6789-4993-95f7-c0ed8941ef73.jpeg", "Алексей Бирюков: Ссылка на изображение")</f>
        <v>Алексей Бирюков: Ссылка на изображение</v>
      </c>
      <c r="EI696" t="str">
        <f>HYPERLINK("https://d33htgqikc2pj4.cloudfront.net/qvHDimMUqxZcQnsj/07975a27-7f92-4cd1-8082-cd75dd0d5cc8.jpeg", "Алексей Бирюков: Ссылка на изображение")</f>
        <v>Алексей Бирюков: Ссылка на изображение</v>
      </c>
      <c r="EJ696" t="str">
        <f>HYPERLINK("https://d33htgqikc2pj4.cloudfront.net/qvHDimMUqxZcQnsj/bed60200-6373-4d14-8d7f-880f44e22bb9.jpeg", "Алексей Бирюков: Ссылка на изображение")</f>
        <v>Алексей Бирюков: Ссылка на изображение</v>
      </c>
      <c r="EK696" t="str">
        <f>HYPERLINK("https://d33htgqikc2pj4.cloudfront.net/qvHDimMUqxZcQnsj/cc72b857-d1bf-47e8-9ee8-f904a84a9a6c.jpeg", "Алексей Бирюков: Ссылка на изображение")</f>
        <v>Алексей Бирюков: Ссылка на изображение</v>
      </c>
      <c r="EL696" t="str">
        <f>HYPERLINK("https://d33htgqikc2pj4.cloudfront.net/qvHDimMUqxZcQnsj/758323c3-64c6-4933-b980-f3822f30e267.jpeg", "Алексей Бирюков: Ссылка на изображение")</f>
        <v>Алексей Бирюков: Ссылка на изображение</v>
      </c>
      <c r="EM696" t="str">
        <f>HYPERLINK("https://d33htgqikc2pj4.cloudfront.net/qvHDimMUqxZcQnsj/c72ceac5-6bf9-4e34-ac18-27d3ed4d900c.jpeg", "Алексей Бирюков: Ссылка на изображение")</f>
        <v>Алексей Бирюков: Ссылка на изображение</v>
      </c>
      <c r="EN696" t="str">
        <f>HYPERLINK("https://d33htgqikc2pj4.cloudfront.net/qvHDimMUqxZcQnsj/aa2f4446-439e-470f-aa4f-578b8c5d777d.jpeg", "Алексей Бирюков: Ссылка на изображение")</f>
        <v>Алексей Бирюков: Ссылка на изображение</v>
      </c>
      <c r="EO696" t="str">
        <f>HYPERLINK("https://d33htgqikc2pj4.cloudfront.net/qvHDimMUqxZcQnsj/adcbbf87-6403-426c-aafb-3a51b7bbc14a.jpeg", "Алексей Бирюков: Ссылка на изображение")</f>
        <v>Алексей Бирюков: Ссылка на изображение</v>
      </c>
      <c r="EP696" t="str">
        <f>HYPERLINK("https://d33htgqikc2pj4.cloudfront.net/qvHDimMUqxZcQnsj/9a51f661-08ad-45e0-91be-36a836d1f88d.jpeg", "Алексей Бирюков: Ссылка на изображение")</f>
        <v>Алексей Бирюков: Ссылка на изображение</v>
      </c>
      <c r="EQ696" t="s">
        <v>1902</v>
      </c>
      <c r="ER696" t="s">
        <v>1899</v>
      </c>
    </row>
    <row r="697" spans="1:149" ht="15" customHeight="1" x14ac:dyDescent="0.35">
      <c r="A697">
        <v>602</v>
      </c>
      <c r="B697" t="s">
        <v>5525</v>
      </c>
      <c r="C697">
        <v>2</v>
      </c>
      <c r="D697" t="str">
        <f>VLOOKUP(source[[#This Row],[Приоритет]],тПриоритеты[],2,0)</f>
        <v>Значительное</v>
      </c>
      <c r="E697" t="str">
        <f>IF(ISBLANK(source[[#This Row],[Проверенные]]),IF(ISBLANK(source[[#This Row],[Завершенные]]),source[[#This Row],[Приоритет_]],"Завершено"),"Проверено")</f>
        <v>Проверено</v>
      </c>
      <c r="F697" t="s">
        <v>4423</v>
      </c>
      <c r="G697" t="s">
        <v>2926</v>
      </c>
      <c r="H697" t="e">
        <f>VLOOKUP(source[[#This Row],[Отвественный]],тОтветственные[],2,0)</f>
        <v>#N/A</v>
      </c>
      <c r="I697" s="2">
        <v>43810</v>
      </c>
      <c r="J697" s="2">
        <v>43810</v>
      </c>
      <c r="S697" s="1">
        <v>43810.688854166663</v>
      </c>
      <c r="T697" s="1">
        <v>43811.682511574072</v>
      </c>
      <c r="U697" s="1">
        <v>43811.682511574072</v>
      </c>
      <c r="W697" s="1">
        <v>43811.7575462963</v>
      </c>
      <c r="X697" t="s">
        <v>4760</v>
      </c>
      <c r="AH697" t="s">
        <v>5526</v>
      </c>
      <c r="AI697" t="s">
        <v>5527</v>
      </c>
      <c r="AJ697" t="s">
        <v>5528</v>
      </c>
      <c r="AK697" t="s">
        <v>5529</v>
      </c>
      <c r="AL697" t="s">
        <v>5530</v>
      </c>
      <c r="AM697" t="s">
        <v>5531</v>
      </c>
      <c r="AN697" t="s">
        <v>5532</v>
      </c>
      <c r="AO697" t="s">
        <v>5533</v>
      </c>
      <c r="AP697" t="s">
        <v>5534</v>
      </c>
      <c r="AQ697" t="s">
        <v>5535</v>
      </c>
      <c r="AR697" t="s">
        <v>5536</v>
      </c>
      <c r="AS697" t="s">
        <v>5537</v>
      </c>
      <c r="AT697" t="s">
        <v>5538</v>
      </c>
      <c r="AU697" t="s">
        <v>5539</v>
      </c>
      <c r="AV697" t="s">
        <v>5540</v>
      </c>
      <c r="AW697" t="s">
        <v>5541</v>
      </c>
      <c r="AX697" t="s">
        <v>5542</v>
      </c>
      <c r="AY697" t="s">
        <v>5543</v>
      </c>
      <c r="EC697" t="s">
        <v>5544</v>
      </c>
      <c r="ED697" t="str">
        <f>HYPERLINK("https://d33htgqikc2pj4.cloudfront.net/qvHDimMUqxZcQnsj/42a76a3c-a1a2-4228-994a-f74439402d8b.jpeg", "Алексей Бирюков: Ссылка на изображение")</f>
        <v>Алексей Бирюков: Ссылка на изображение</v>
      </c>
      <c r="EE697" t="str">
        <f>HYPERLINK("https://d33htgqikc2pj4.cloudfront.net/qvHDimMUqxZcQnsj/19e5aa38-ef40-4014-b6f0-eded2ee60c3f.jpeg", "Алексей Бирюков: Ссылка на изображение")</f>
        <v>Алексей Бирюков: Ссылка на изображение</v>
      </c>
      <c r="EF697" t="str">
        <f>HYPERLINK("https://d33htgqikc2pj4.cloudfront.net/qvHDimMUqxZcQnsj/3b55f6d6-faaf-45d7-a06e-2d6ab847af56.jpeg", "Алексей Бирюков: Ссылка на изображение")</f>
        <v>Алексей Бирюков: Ссылка на изображение</v>
      </c>
      <c r="EG697" t="str">
        <f>HYPERLINK("https://d33htgqikc2pj4.cloudfront.net/qvHDimMUqxZcQnsj/2e324303-20bf-4e47-8129-c838db81e5e3.jpeg", "Алексей Бирюков: Ссылка на изображение")</f>
        <v>Алексей Бирюков: Ссылка на изображение</v>
      </c>
      <c r="EH697" t="s">
        <v>5237</v>
      </c>
      <c r="EI697" t="s">
        <v>2617</v>
      </c>
      <c r="EJ697" t="s">
        <v>3109</v>
      </c>
      <c r="EK697" t="s">
        <v>1902</v>
      </c>
      <c r="EL697" t="s">
        <v>5545</v>
      </c>
      <c r="EM697" t="s">
        <v>1899</v>
      </c>
    </row>
    <row r="698" spans="1:149" ht="15" customHeight="1" x14ac:dyDescent="0.35">
      <c r="A698">
        <v>389</v>
      </c>
      <c r="B698" t="s">
        <v>5546</v>
      </c>
      <c r="C698">
        <v>2</v>
      </c>
      <c r="D698" t="str">
        <f>VLOOKUP(source[[#This Row],[Приоритет]],тПриоритеты[],2,0)</f>
        <v>Значительное</v>
      </c>
      <c r="E698" t="str">
        <f>IF(ISBLANK(source[[#This Row],[Проверенные]]),IF(ISBLANK(source[[#This Row],[Завершенные]]),source[[#This Row],[Приоритет_]],"Завершено"),"Проверено")</f>
        <v>Проверено</v>
      </c>
      <c r="F698" t="s">
        <v>4423</v>
      </c>
      <c r="G698" t="s">
        <v>2926</v>
      </c>
      <c r="H698" t="e">
        <f>VLOOKUP(source[[#This Row],[Отвественный]],тОтветственные[],2,0)</f>
        <v>#N/A</v>
      </c>
      <c r="I698" s="2">
        <v>43790</v>
      </c>
      <c r="J698" s="2">
        <v>43790</v>
      </c>
      <c r="S698" s="1">
        <v>43790.910162037035</v>
      </c>
      <c r="T698" s="1">
        <v>43811.680081018516</v>
      </c>
      <c r="U698" s="1">
        <v>43811.680081018516</v>
      </c>
      <c r="W698" s="1">
        <v>43811.75675925926</v>
      </c>
      <c r="X698" t="s">
        <v>2967</v>
      </c>
      <c r="AH698" t="s">
        <v>4817</v>
      </c>
      <c r="AI698" t="s">
        <v>4818</v>
      </c>
      <c r="AJ698" t="s">
        <v>4819</v>
      </c>
      <c r="AK698" t="s">
        <v>4820</v>
      </c>
      <c r="AL698" t="s">
        <v>4821</v>
      </c>
      <c r="AM698" t="s">
        <v>4822</v>
      </c>
      <c r="AN698" t="s">
        <v>4823</v>
      </c>
      <c r="AO698" t="s">
        <v>4824</v>
      </c>
      <c r="EC698" t="s">
        <v>3006</v>
      </c>
      <c r="ED698" t="s">
        <v>2617</v>
      </c>
      <c r="EE698" t="s">
        <v>4826</v>
      </c>
      <c r="EF698" t="str">
        <f>HYPERLINK("https://d33htgqikc2pj4.cloudfront.net/13c1d012-060c-422b-9430-84b3b1f38d49.jpeg", "Алексей Бирюков: Ссылка на изображение")</f>
        <v>Алексей Бирюков: Ссылка на изображение</v>
      </c>
      <c r="EG698" t="str">
        <f>HYPERLINK("https://d33htgqikc2pj4.cloudfront.net/2293f3b7-38ec-48eb-aff2-a570a26a49a5.jpeg", "Алексей Бирюков: Ссылка на изображение")</f>
        <v>Алексей Бирюков: Ссылка на изображение</v>
      </c>
      <c r="EH698" t="str">
        <f>HYPERLINK("https://d33htgqikc2pj4.cloudfront.net/dde2976c-c515-43e6-9df4-eddf1a1fe6d7.jpeg", "Алексей Бирюков: Ссылка на изображение")</f>
        <v>Алексей Бирюков: Ссылка на изображение</v>
      </c>
      <c r="EI698" t="str">
        <f>HYPERLINK("https://d33htgqikc2pj4.cloudfront.net/f1356eb8-aaf9-4318-b1e6-b2d3bc40e2f7.jpeg", "Алексей Бирюков: Ссылка на изображение")</f>
        <v>Алексей Бирюков: Ссылка на изображение</v>
      </c>
      <c r="EJ698" t="str">
        <f>HYPERLINK("https://d33htgqikc2pj4.cloudfront.net/8144ad4a-4c5b-4c56-a444-989a04c35cc4.jpeg", "Алексей Бирюков: Ссылка на изображение")</f>
        <v>Алексей Бирюков: Ссылка на изображение</v>
      </c>
      <c r="EK698" t="s">
        <v>5547</v>
      </c>
      <c r="EL698" t="s">
        <v>1902</v>
      </c>
      <c r="EM698" t="s">
        <v>1899</v>
      </c>
    </row>
    <row r="699" spans="1:149" ht="15" customHeight="1" x14ac:dyDescent="0.35">
      <c r="A699">
        <v>390</v>
      </c>
      <c r="B699" t="s">
        <v>5548</v>
      </c>
      <c r="C699">
        <v>3</v>
      </c>
      <c r="D699" t="str">
        <f>VLOOKUP(source[[#This Row],[Приоритет]],тПриоритеты[],2,0)</f>
        <v>Малозначительное</v>
      </c>
      <c r="E699" t="str">
        <f>IF(ISBLANK(source[[#This Row],[Проверенные]]),IF(ISBLANK(source[[#This Row],[Завершенные]]),source[[#This Row],[Приоритет_]],"Завершено"),"Проверено")</f>
        <v>Проверено</v>
      </c>
      <c r="F699" t="s">
        <v>4423</v>
      </c>
      <c r="G699" t="s">
        <v>2926</v>
      </c>
      <c r="H699" t="e">
        <f>VLOOKUP(source[[#This Row],[Отвественный]],тОтветственные[],2,0)</f>
        <v>#N/A</v>
      </c>
      <c r="I699" s="2">
        <v>43790</v>
      </c>
      <c r="J699" s="2">
        <v>43790</v>
      </c>
      <c r="S699" s="1">
        <v>43790.931076388886</v>
      </c>
      <c r="T699" s="1">
        <v>43811.680127314816</v>
      </c>
      <c r="U699" s="1">
        <v>43811.680127314816</v>
      </c>
      <c r="W699" s="1">
        <v>43811.75677083333</v>
      </c>
      <c r="X699" t="s">
        <v>4760</v>
      </c>
      <c r="AH699" t="s">
        <v>5549</v>
      </c>
      <c r="AI699" t="s">
        <v>5550</v>
      </c>
      <c r="AJ699" t="s">
        <v>5551</v>
      </c>
      <c r="AK699" t="s">
        <v>5552</v>
      </c>
      <c r="AL699" t="s">
        <v>5553</v>
      </c>
      <c r="AM699" t="s">
        <v>5554</v>
      </c>
      <c r="AN699" t="s">
        <v>5555</v>
      </c>
      <c r="AO699" t="s">
        <v>5556</v>
      </c>
      <c r="AP699" t="s">
        <v>5557</v>
      </c>
      <c r="AQ699" t="s">
        <v>5558</v>
      </c>
      <c r="AR699" t="s">
        <v>5559</v>
      </c>
      <c r="AS699" t="s">
        <v>5560</v>
      </c>
      <c r="AT699" t="s">
        <v>5561</v>
      </c>
      <c r="AU699" t="s">
        <v>5562</v>
      </c>
      <c r="AV699" t="s">
        <v>5563</v>
      </c>
      <c r="AW699" t="s">
        <v>5564</v>
      </c>
      <c r="AX699" t="s">
        <v>5565</v>
      </c>
      <c r="AY699" t="s">
        <v>5566</v>
      </c>
      <c r="EC699" t="s">
        <v>5459</v>
      </c>
      <c r="ED699" t="s">
        <v>5293</v>
      </c>
      <c r="EE699" t="s">
        <v>2617</v>
      </c>
      <c r="EF699" t="s">
        <v>4826</v>
      </c>
      <c r="EG699" t="s">
        <v>5567</v>
      </c>
      <c r="EH699" t="str">
        <f>HYPERLINK("https://d33htgqikc2pj4.cloudfront.net/b00059f2-4a35-47eb-9ed4-67f5fc69d12f.jpeg", "Алексей Бирюков: Ссылка на изображение")</f>
        <v>Алексей Бирюков: Ссылка на изображение</v>
      </c>
      <c r="EI699" t="str">
        <f>HYPERLINK("https://d33htgqikc2pj4.cloudfront.net/d2d48ae9-327e-4d06-94fc-ee054260302f.jpeg", "Алексей Бирюков: Ссылка на изображение")</f>
        <v>Алексей Бирюков: Ссылка на изображение</v>
      </c>
      <c r="EJ699" t="str">
        <f>HYPERLINK("https://d33htgqikc2pj4.cloudfront.net/9506a6f8-f0de-4628-9d66-3fdc0da99694.jpeg", "Алексей Бирюков: Ссылка на изображение")</f>
        <v>Алексей Бирюков: Ссылка на изображение</v>
      </c>
      <c r="EK699" t="str">
        <f>HYPERLINK("https://d33htgqikc2pj4.cloudfront.net/c636d172-222a-4211-9244-e002b94f7c38.jpeg", "Алексей Бирюков: Ссылка на изображение")</f>
        <v>Алексей Бирюков: Ссылка на изображение</v>
      </c>
      <c r="EL699" t="str">
        <f>HYPERLINK("https://d33htgqikc2pj4.cloudfront.net/1fd38fce-1040-46db-afd0-648c7c23a311.jpeg", "Алексей Бирюков: Ссылка на изображение")</f>
        <v>Алексей Бирюков: Ссылка на изображение</v>
      </c>
      <c r="EM699" t="str">
        <f>HYPERLINK("https://d33htgqikc2pj4.cloudfront.net/3387447c-8572-4266-be77-ecae576253c9.jpeg", "Алексей Бирюков: Ссылка на изображение")</f>
        <v>Алексей Бирюков: Ссылка на изображение</v>
      </c>
      <c r="EN699" t="str">
        <f>HYPERLINK("https://d33htgqikc2pj4.cloudfront.net/93829156-7db3-4a36-a224-ff998d1b3c58.jpeg", "Алексей Бирюков: Ссылка на изображение")</f>
        <v>Алексей Бирюков: Ссылка на изображение</v>
      </c>
      <c r="EO699" t="s">
        <v>5568</v>
      </c>
      <c r="EP699" t="s">
        <v>1902</v>
      </c>
      <c r="EQ699" t="s">
        <v>1899</v>
      </c>
    </row>
    <row r="700" spans="1:149" ht="15" customHeight="1" x14ac:dyDescent="0.35">
      <c r="A700">
        <v>607</v>
      </c>
      <c r="B700" t="s">
        <v>5569</v>
      </c>
      <c r="C700">
        <v>2</v>
      </c>
      <c r="D700" t="str">
        <f>VLOOKUP(source[[#This Row],[Приоритет]],тПриоритеты[],2,0)</f>
        <v>Значительное</v>
      </c>
      <c r="E700" t="str">
        <f>IF(ISBLANK(source[[#This Row],[Проверенные]]),IF(ISBLANK(source[[#This Row],[Завершенные]]),source[[#This Row],[Приоритет_]],"Завершено"),"Проверено")</f>
        <v>Проверено</v>
      </c>
      <c r="F700" t="s">
        <v>4423</v>
      </c>
      <c r="G700" t="s">
        <v>2926</v>
      </c>
      <c r="H700" t="e">
        <f>VLOOKUP(source[[#This Row],[Отвественный]],тОтветственные[],2,0)</f>
        <v>#N/A</v>
      </c>
      <c r="I700" s="2">
        <v>43811</v>
      </c>
      <c r="J700" s="2">
        <v>43811</v>
      </c>
      <c r="S700" s="1">
        <v>43811.490891203706</v>
      </c>
      <c r="T700" s="1">
        <v>43811.713854166665</v>
      </c>
      <c r="U700" s="1">
        <v>43811.713854166665</v>
      </c>
      <c r="W700" s="1">
        <v>43811.757557870369</v>
      </c>
      <c r="X700" t="s">
        <v>4879</v>
      </c>
      <c r="AH700" t="s">
        <v>5516</v>
      </c>
      <c r="AI700" t="s">
        <v>5517</v>
      </c>
      <c r="AJ700" t="s">
        <v>5518</v>
      </c>
      <c r="AK700" t="s">
        <v>5519</v>
      </c>
      <c r="AL700" t="s">
        <v>5520</v>
      </c>
      <c r="EC700" t="s">
        <v>5570</v>
      </c>
      <c r="ED700" t="str">
        <f>HYPERLINK("https://d33htgqikc2pj4.cloudfront.net/qvHDimMUqxZcQnsj/e3fb2120-e1df-47b3-9e0f-346eb7f414e9.jpeg", "Алексей Бирюков: Ссылка на изображение")</f>
        <v>Алексей Бирюков: Ссылка на изображение</v>
      </c>
      <c r="EE700" t="str">
        <f>HYPERLINK("https://d33htgqikc2pj4.cloudfront.net/qvHDimMUqxZcQnsj/05422ce1-9278-4efc-a894-0aea78ba75ef.jpeg", "Алексей Бирюков: Ссылка на изображение")</f>
        <v>Алексей Бирюков: Ссылка на изображение</v>
      </c>
      <c r="EF700" t="str">
        <f>HYPERLINK("https://d33htgqikc2pj4.cloudfront.net/qvHDimMUqxZcQnsj/0ef9d366-d446-4c0a-b811-a49c18029709.jpeg", "Алексей Бирюков: Ссылка на изображение")</f>
        <v>Алексей Бирюков: Ссылка на изображение</v>
      </c>
      <c r="EG700" t="str">
        <f>HYPERLINK("https://d33htgqikc2pj4.cloudfront.net/qvHDimMUqxZcQnsj/f3f45972-11e5-4f7f-9700-921935546b6f.jpeg", "Алексей Бирюков: Ссылка на изображение")</f>
        <v>Алексей Бирюков: Ссылка на изображение</v>
      </c>
      <c r="EH700" t="str">
        <f>HYPERLINK("https://d33htgqikc2pj4.cloudfront.net/qvHDimMUqxZcQnsj/0babf797-7b62-434c-97de-81c8a94aa66c.jpeg", "Алексей Бирюков: Ссылка на изображение")</f>
        <v>Алексей Бирюков: Ссылка на изображение</v>
      </c>
      <c r="EI700" t="s">
        <v>2617</v>
      </c>
      <c r="EJ700" t="s">
        <v>5522</v>
      </c>
      <c r="EK700" t="s">
        <v>1899</v>
      </c>
    </row>
    <row r="701" spans="1:149" ht="15" customHeight="1" x14ac:dyDescent="0.35">
      <c r="A701">
        <v>609</v>
      </c>
      <c r="B701" t="s">
        <v>5571</v>
      </c>
      <c r="C701">
        <v>2</v>
      </c>
      <c r="D701" t="str">
        <f>VLOOKUP(source[[#This Row],[Приоритет]],тПриоритеты[],2,0)</f>
        <v>Значительное</v>
      </c>
      <c r="E701" t="str">
        <f>IF(ISBLANK(source[[#This Row],[Проверенные]]),IF(ISBLANK(source[[#This Row],[Завершенные]]),source[[#This Row],[Приоритет_]],"Завершено"),"Проверено")</f>
        <v>Проверено</v>
      </c>
      <c r="F701" t="s">
        <v>4423</v>
      </c>
      <c r="G701" t="s">
        <v>2926</v>
      </c>
      <c r="H701" t="e">
        <f>VLOOKUP(source[[#This Row],[Отвественный]],тОтветственные[],2,0)</f>
        <v>#N/A</v>
      </c>
      <c r="I701" s="2">
        <v>43811</v>
      </c>
      <c r="J701" s="2">
        <v>43811</v>
      </c>
      <c r="S701" s="1">
        <v>43811.490960648145</v>
      </c>
      <c r="T701" s="1">
        <v>43811.71497685185</v>
      </c>
      <c r="U701" s="1">
        <v>43811.71497685185</v>
      </c>
      <c r="W701" s="1">
        <v>43811.757557870369</v>
      </c>
      <c r="X701" t="s">
        <v>4760</v>
      </c>
      <c r="AH701" t="s">
        <v>5572</v>
      </c>
      <c r="AI701" t="s">
        <v>5573</v>
      </c>
      <c r="AJ701" t="s">
        <v>5574</v>
      </c>
      <c r="AK701" t="s">
        <v>5575</v>
      </c>
      <c r="AL701" t="s">
        <v>5576</v>
      </c>
      <c r="AM701" t="s">
        <v>5577</v>
      </c>
      <c r="AN701" t="s">
        <v>5578</v>
      </c>
      <c r="AO701" t="s">
        <v>5579</v>
      </c>
      <c r="AP701" t="s">
        <v>5580</v>
      </c>
      <c r="AQ701" t="s">
        <v>5581</v>
      </c>
      <c r="AR701" t="s">
        <v>5582</v>
      </c>
      <c r="AS701" t="s">
        <v>5583</v>
      </c>
      <c r="AT701" t="s">
        <v>5584</v>
      </c>
      <c r="AU701" t="s">
        <v>5585</v>
      </c>
      <c r="AV701" t="s">
        <v>5586</v>
      </c>
      <c r="AW701" t="s">
        <v>5587</v>
      </c>
      <c r="AX701" t="s">
        <v>5588</v>
      </c>
      <c r="AY701" t="s">
        <v>5589</v>
      </c>
      <c r="EC701" t="s">
        <v>5590</v>
      </c>
      <c r="ED701" t="s">
        <v>2617</v>
      </c>
      <c r="EE701" t="s">
        <v>5522</v>
      </c>
      <c r="EF701" t="str">
        <f>HYPERLINK("https://d33htgqikc2pj4.cloudfront.net/qvHDimMUqxZcQnsj/accc5b6a-c5bb-4f9f-be0f-5d16d20b009d.jpeg", "Алексей Бирюков: Ссылка на изображение")</f>
        <v>Алексей Бирюков: Ссылка на изображение</v>
      </c>
      <c r="EG701" t="str">
        <f>HYPERLINK("https://d33htgqikc2pj4.cloudfront.net/qvHDimMUqxZcQnsj/f51c510e-b9b1-40a8-960d-5781218f13f4.jpeg", "Алексей Бирюков: Ссылка на изображение")</f>
        <v>Алексей Бирюков: Ссылка на изображение</v>
      </c>
      <c r="EH701" t="str">
        <f>HYPERLINK("https://d33htgqikc2pj4.cloudfront.net/qvHDimMUqxZcQnsj/b5dc75bc-522e-4462-86ff-1ebebf0020b9.jpeg", "Алексей Бирюков: Ссылка на изображение")</f>
        <v>Алексей Бирюков: Ссылка на изображение</v>
      </c>
      <c r="EI701" t="str">
        <f>HYPERLINK("https://d33htgqikc2pj4.cloudfront.net/qvHDimMUqxZcQnsj/1ea810b1-f5ec-483c-9ed6-464175182097.jpeg", "Алексей Бирюков: Ссылка на изображение")</f>
        <v>Алексей Бирюков: Ссылка на изображение</v>
      </c>
      <c r="EJ701" t="s">
        <v>5591</v>
      </c>
      <c r="EK701" t="s">
        <v>1902</v>
      </c>
      <c r="EL701" t="s">
        <v>1899</v>
      </c>
    </row>
    <row r="702" spans="1:149" ht="15" customHeight="1" x14ac:dyDescent="0.35">
      <c r="A702">
        <v>172</v>
      </c>
      <c r="B702" t="s">
        <v>5592</v>
      </c>
      <c r="C702">
        <v>2</v>
      </c>
      <c r="D702" t="str">
        <f>VLOOKUP(source[[#This Row],[Приоритет]],тПриоритеты[],2,0)</f>
        <v>Значительное</v>
      </c>
      <c r="E702" t="str">
        <f>IF(ISBLANK(source[[#This Row],[Проверенные]]),IF(ISBLANK(source[[#This Row],[Завершенные]]),source[[#This Row],[Приоритет_]],"Завершено"),"Проверено")</f>
        <v>Проверено</v>
      </c>
      <c r="F702" t="s">
        <v>4423</v>
      </c>
      <c r="G702" t="s">
        <v>2926</v>
      </c>
      <c r="H702" t="e">
        <f>VLOOKUP(source[[#This Row],[Отвественный]],тОтветственные[],2,0)</f>
        <v>#N/A</v>
      </c>
      <c r="I702" s="2">
        <v>43775</v>
      </c>
      <c r="J702" s="2">
        <v>43775</v>
      </c>
      <c r="S702" s="1">
        <v>43775.722592592596</v>
      </c>
      <c r="T702" s="1">
        <v>43775.739340277774</v>
      </c>
      <c r="U702" s="1">
        <v>43811.57707175926</v>
      </c>
      <c r="W702" s="1">
        <v>43811.57708333333</v>
      </c>
      <c r="EC702" t="s">
        <v>5593</v>
      </c>
      <c r="ED702" t="s">
        <v>1896</v>
      </c>
      <c r="EE702" t="str">
        <f>HYPERLINK("https://d33htgqikc2pj4.cloudfront.net/1efe54ca-e13c-4a60-bd52-87ac2e094f5a.jpeg", "Алексей Бирюков: Ссылка на изображение")</f>
        <v>Алексей Бирюков: Ссылка на изображение</v>
      </c>
      <c r="EF702" t="str">
        <f>HYPERLINK("https://d33htgqikc2pj4.cloudfront.net/d95fb388-2d2f-4a7b-bee5-0a103b148a78.jpeg", "Алексей Бирюков: Ссылка на изображение")</f>
        <v>Алексей Бирюков: Ссылка на изображение</v>
      </c>
      <c r="EG702" t="str">
        <f>HYPERLINK("https://d33htgqikc2pj4.cloudfront.net/373039e1-80fb-456f-9567-0e7e66db3471.jpeg", "Алексей Бирюков: Ссылка на изображение")</f>
        <v>Алексей Бирюков: Ссылка на изображение</v>
      </c>
      <c r="EH702" t="str">
        <f>HYPERLINK("https://d33htgqikc2pj4.cloudfront.net/67eedc6e-bec6-4909-8528-fbe291aac0c3.jpeg", "Алексей Бирюков: Ссылка на изображение")</f>
        <v>Алексей Бирюков: Ссылка на изображение</v>
      </c>
      <c r="EI702" t="str">
        <f>HYPERLINK("https://d33htgqikc2pj4.cloudfront.net/face9ff4-a89f-4ffc-b957-15485a9b50f9.jpeg", "Алексей Бирюков: Ссылка на изображение")</f>
        <v>Алексей Бирюков: Ссылка на изображение</v>
      </c>
      <c r="EJ702" t="str">
        <f>HYPERLINK("https://d33htgqikc2pj4.cloudfront.net/f37203f9-0120-49b8-a1bc-0d3f6e943bdb.jpeg", "Алексей Бирюков: Ссылка на изображение")</f>
        <v>Алексей Бирюков: Ссылка на изображение</v>
      </c>
      <c r="EK702" t="str">
        <f>HYPERLINK("https://d33htgqikc2pj4.cloudfront.net/197a3b60-412b-4f3b-8dbd-de115a2cc619.jpeg", "Алексей Бирюков: Ссылка на изображение")</f>
        <v>Алексей Бирюков: Ссылка на изображение</v>
      </c>
      <c r="EL702" t="str">
        <f>HYPERLINK("https://d33htgqikc2pj4.cloudfront.net/b94a7ea3-c00f-45e8-af48-dc8addc594ba.jpeg", "Алексей Бирюков: Ссылка на изображение")</f>
        <v>Алексей Бирюков: Ссылка на изображение</v>
      </c>
      <c r="EM702" t="s">
        <v>5594</v>
      </c>
      <c r="EN702" t="str">
        <f>HYPERLINK("https://d33htgqikc2pj4.cloudfront.net/92bf6e14-8126-46cd-9aa3-f017130ec64e.jpeg", "Алексей Бирюков: Ссылка на изображение")</f>
        <v>Алексей Бирюков: Ссылка на изображение</v>
      </c>
      <c r="EO702" t="str">
        <f>HYPERLINK("https://d33htgqikc2pj4.cloudfront.net/37629788-3705-4b0e-97cd-951c8a65d156.jpeg", "Алексей Бирюков: Ссылка на изображение")</f>
        <v>Алексей Бирюков: Ссылка на изображение</v>
      </c>
      <c r="EP702" t="s">
        <v>1902</v>
      </c>
      <c r="EQ702" t="s">
        <v>5595</v>
      </c>
      <c r="ER702" t="s">
        <v>5339</v>
      </c>
      <c r="ES702" t="s">
        <v>836</v>
      </c>
    </row>
    <row r="703" spans="1:149" ht="15" customHeight="1" x14ac:dyDescent="0.35">
      <c r="A703">
        <v>613</v>
      </c>
      <c r="B703" t="s">
        <v>5596</v>
      </c>
      <c r="C703">
        <v>2</v>
      </c>
      <c r="D703" t="str">
        <f>VLOOKUP(source[[#This Row],[Приоритет]],тПриоритеты[],2,0)</f>
        <v>Значительное</v>
      </c>
      <c r="E703" t="str">
        <f>IF(ISBLANK(source[[#This Row],[Проверенные]]),IF(ISBLANK(source[[#This Row],[Завершенные]]),source[[#This Row],[Приоритет_]],"Завершено"),"Проверено")</f>
        <v>Проверено</v>
      </c>
      <c r="F703" t="s">
        <v>4423</v>
      </c>
      <c r="G703" t="s">
        <v>2926</v>
      </c>
      <c r="H703" t="e">
        <f>VLOOKUP(source[[#This Row],[Отвественный]],тОтветственные[],2,0)</f>
        <v>#N/A</v>
      </c>
      <c r="I703" s="2">
        <v>43811</v>
      </c>
      <c r="J703" s="2">
        <v>43811</v>
      </c>
      <c r="S703" s="1">
        <v>43811.62290509259</v>
      </c>
      <c r="T703" s="1">
        <v>43811.714780092596</v>
      </c>
      <c r="U703" s="1">
        <v>43811.714780092596</v>
      </c>
      <c r="W703" s="1">
        <v>43811.7575462963</v>
      </c>
      <c r="EC703" t="s">
        <v>5597</v>
      </c>
      <c r="ED703" t="s">
        <v>5598</v>
      </c>
      <c r="EE703" t="str">
        <f>HYPERLINK("https://d33htgqikc2pj4.cloudfront.net/qvHDimMUqxZcQnsj/8f516e65-1964-400b-be12-c76f7b03f9a7.jpeg", "Алексей Бирюков: Ссылка на изображение")</f>
        <v>Алексей Бирюков: Ссылка на изображение</v>
      </c>
      <c r="EF703" t="str">
        <f>HYPERLINK("https://d33htgqikc2pj4.cloudfront.net/qvHDimMUqxZcQnsj/15a589eb-6fef-476f-86df-e1f33bce74bc.jpeg", "Алексей Бирюков: Ссылка на изображение")</f>
        <v>Алексей Бирюков: Ссылка на изображение</v>
      </c>
      <c r="EG703" t="str">
        <f>HYPERLINK("https://d33htgqikc2pj4.cloudfront.net/qvHDimMUqxZcQnsj/fd375562-56a6-48f9-bc3f-bf940c64a535.jpeg", "Алексей Бирюков: Ссылка на изображение")</f>
        <v>Алексей Бирюков: Ссылка на изображение</v>
      </c>
      <c r="EH703" t="str">
        <f>HYPERLINK("https://d33htgqikc2pj4.cloudfront.net/qvHDimMUqxZcQnsj/fac95c63-eb2f-46f4-b346-7357a8c9d529.jpeg", "Алексей Бирюков: Ссылка на изображение")</f>
        <v>Алексей Бирюков: Ссылка на изображение</v>
      </c>
      <c r="EI703" t="str">
        <f>HYPERLINK("https://d33htgqikc2pj4.cloudfront.net/qvHDimMUqxZcQnsj/b00013b8-7c5c-42e1-9651-d9d11a5dc83e.jpeg", "Алексей Бирюков: Ссылка на изображение")</f>
        <v>Алексей Бирюков: Ссылка на изображение</v>
      </c>
      <c r="EJ703" t="str">
        <f>HYPERLINK("https://d33htgqikc2pj4.cloudfront.net/qvHDimMUqxZcQnsj/3cd4d8e5-09c0-4000-a94c-0fc7b6e13d18.jpeg", "Алексей Бирюков: Ссылка на изображение")</f>
        <v>Алексей Бирюков: Ссылка на изображение</v>
      </c>
      <c r="EK703" t="str">
        <f>HYPERLINK("https://d33htgqikc2pj4.cloudfront.net/qvHDimMUqxZcQnsj/d3dbbbd1-92fd-488d-b8d0-4421f0fb5b06.jpeg", "Алексей Бирюков: Ссылка на изображение")</f>
        <v>Алексей Бирюков: Ссылка на изображение</v>
      </c>
      <c r="EL703" t="s">
        <v>5599</v>
      </c>
      <c r="EM703" t="s">
        <v>2617</v>
      </c>
      <c r="EN703" t="s">
        <v>1899</v>
      </c>
      <c r="EO703" t="s">
        <v>1902</v>
      </c>
      <c r="EP703" t="s">
        <v>1899</v>
      </c>
    </row>
    <row r="704" spans="1:149" ht="15" customHeight="1" x14ac:dyDescent="0.35">
      <c r="A704">
        <v>630</v>
      </c>
      <c r="B704" t="s">
        <v>5600</v>
      </c>
      <c r="C704">
        <v>2</v>
      </c>
      <c r="D704" t="str">
        <f>VLOOKUP(source[[#This Row],[Приоритет]],тПриоритеты[],2,0)</f>
        <v>Значительное</v>
      </c>
      <c r="E704" t="str">
        <f>IF(ISBLANK(source[[#This Row],[Проверенные]]),IF(ISBLANK(source[[#This Row],[Завершенные]]),source[[#This Row],[Приоритет_]],"Завершено"),"Проверено")</f>
        <v>Проверено</v>
      </c>
      <c r="F704" t="s">
        <v>4423</v>
      </c>
      <c r="G704" t="s">
        <v>2926</v>
      </c>
      <c r="H704" t="e">
        <f>VLOOKUP(source[[#This Row],[Отвественный]],тОтветственные[],2,0)</f>
        <v>#N/A</v>
      </c>
      <c r="I704" s="2">
        <v>43814</v>
      </c>
      <c r="J704" s="2">
        <v>43814</v>
      </c>
      <c r="S704" s="1">
        <v>43814.977453703701</v>
      </c>
      <c r="T704" s="1">
        <v>43814.980787037035</v>
      </c>
      <c r="U704" s="1">
        <v>43814.980787037035</v>
      </c>
      <c r="W704" s="1">
        <v>43814.980798611112</v>
      </c>
      <c r="X704" t="s">
        <v>4760</v>
      </c>
      <c r="AH704" t="s">
        <v>5601</v>
      </c>
      <c r="AI704" t="s">
        <v>5602</v>
      </c>
      <c r="AJ704" t="s">
        <v>5603</v>
      </c>
      <c r="AK704" t="s">
        <v>5604</v>
      </c>
      <c r="AL704" t="s">
        <v>5605</v>
      </c>
      <c r="AM704" t="s">
        <v>5606</v>
      </c>
      <c r="AN704" t="s">
        <v>5607</v>
      </c>
      <c r="AO704" t="s">
        <v>5608</v>
      </c>
      <c r="AP704" t="s">
        <v>5609</v>
      </c>
      <c r="AQ704" t="s">
        <v>5610</v>
      </c>
      <c r="AR704" t="s">
        <v>5611</v>
      </c>
      <c r="AS704" t="s">
        <v>5612</v>
      </c>
      <c r="AT704" t="s">
        <v>5613</v>
      </c>
      <c r="AU704" t="s">
        <v>5614</v>
      </c>
      <c r="AV704" t="s">
        <v>5615</v>
      </c>
      <c r="AW704" t="s">
        <v>5616</v>
      </c>
      <c r="AX704" t="s">
        <v>5617</v>
      </c>
      <c r="AY704" t="s">
        <v>5618</v>
      </c>
      <c r="EC704" t="s">
        <v>5039</v>
      </c>
      <c r="ED704" t="s">
        <v>2617</v>
      </c>
      <c r="EE704" t="s">
        <v>2616</v>
      </c>
      <c r="EF704" t="str">
        <f>HYPERLINK("https://d33htgqikc2pj4.cloudfront.net/qvHDimMUqxZcQnsj/75442642-e682-4765-a7bb-fe68d93fd060.jpeg", "Алексей Бирюков: Ссылка на изображение")</f>
        <v>Алексей Бирюков: Ссылка на изображение</v>
      </c>
      <c r="EG704" t="str">
        <f>HYPERLINK("https://d33htgqikc2pj4.cloudfront.net/qvHDimMUqxZcQnsj/71db67c6-8afb-44e0-a6b1-d762d1a722f9.jpeg", "Алексей Бирюков: Ссылка на изображение")</f>
        <v>Алексей Бирюков: Ссылка на изображение</v>
      </c>
      <c r="EH704" t="str">
        <f>HYPERLINK("https://d33htgqikc2pj4.cloudfront.net/qvHDimMUqxZcQnsj/c7d71b82-138d-4c65-afd3-24706f20af9b.jpeg", "Алексей Бирюков: Ссылка на изображение")</f>
        <v>Алексей Бирюков: Ссылка на изображение</v>
      </c>
      <c r="EI704" t="str">
        <f>HYPERLINK("https://d33htgqikc2pj4.cloudfront.net/qvHDimMUqxZcQnsj/0b5cc32a-4dc3-4701-ae4a-4d850c063698.jpeg", "Алексей Бирюков: Ссылка на изображение")</f>
        <v>Алексей Бирюков: Ссылка на изображение</v>
      </c>
      <c r="EJ704" t="str">
        <f>HYPERLINK("https://d33htgqikc2pj4.cloudfront.net/qvHDimMUqxZcQnsj/b0909553-6313-41f6-8f4a-9d22d7573d36.jpeg", "Алексей Бирюков: Ссылка на изображение")</f>
        <v>Алексей Бирюков: Ссылка на изображение</v>
      </c>
      <c r="EK704" t="s">
        <v>5619</v>
      </c>
      <c r="EL704" t="s">
        <v>1902</v>
      </c>
      <c r="EM704" t="s">
        <v>1899</v>
      </c>
    </row>
    <row r="705" spans="1:148" ht="15" customHeight="1" x14ac:dyDescent="0.35">
      <c r="A705">
        <v>1147</v>
      </c>
      <c r="B705" t="s">
        <v>5620</v>
      </c>
      <c r="C705">
        <v>2</v>
      </c>
      <c r="D705" t="str">
        <f>VLOOKUP(source[[#This Row],[Приоритет]],тПриоритеты[],2,0)</f>
        <v>Значительное</v>
      </c>
      <c r="E705" t="str">
        <f>IF(ISBLANK(source[[#This Row],[Проверенные]]),IF(ISBLANK(source[[#This Row],[Завершенные]]),source[[#This Row],[Приоритет_]],"Завершено"),"Проверено")</f>
        <v>Проверено</v>
      </c>
      <c r="F705" t="s">
        <v>4423</v>
      </c>
      <c r="G705" t="s">
        <v>2926</v>
      </c>
      <c r="H705" t="e">
        <f>VLOOKUP(source[[#This Row],[Отвественный]],тОтветственные[],2,0)</f>
        <v>#N/A</v>
      </c>
      <c r="I705" s="2">
        <v>43861</v>
      </c>
      <c r="J705" s="2">
        <v>43861</v>
      </c>
      <c r="S705" s="1">
        <v>43861.968206018515</v>
      </c>
      <c r="T705" s="1">
        <v>43862.020266203705</v>
      </c>
      <c r="U705" s="1">
        <v>43862.020266203705</v>
      </c>
      <c r="W705" s="1">
        <v>43862.020266203705</v>
      </c>
      <c r="X705" t="s">
        <v>2606</v>
      </c>
      <c r="AH705" t="s">
        <v>5621</v>
      </c>
      <c r="AI705" t="s">
        <v>5622</v>
      </c>
      <c r="AJ705" t="s">
        <v>5623</v>
      </c>
      <c r="AK705" t="s">
        <v>5624</v>
      </c>
      <c r="AL705" t="s">
        <v>5625</v>
      </c>
      <c r="AM705" t="s">
        <v>5626</v>
      </c>
      <c r="AN705" t="s">
        <v>5627</v>
      </c>
      <c r="AO705" t="s">
        <v>5628</v>
      </c>
      <c r="EC705" t="s">
        <v>5629</v>
      </c>
      <c r="ED705" t="s">
        <v>2617</v>
      </c>
      <c r="EE705" t="s">
        <v>3113</v>
      </c>
      <c r="EF705" t="str">
        <f>HYPERLINK("https://d33htgqikc2pj4.cloudfront.net/qvHDimMUqxZcQnsj/f447aacc-3421-4bcd-8641-05c9ce8496d1.jpeg", "Алексей Бирюков: Ссылка на изображение")</f>
        <v>Алексей Бирюков: Ссылка на изображение</v>
      </c>
      <c r="EG705" t="str">
        <f>HYPERLINK("https://d33htgqikc2pj4.cloudfront.net/qvHDimMUqxZcQnsj/13ec9e27-ee40-494d-9230-d3b826cbee4c.jpeg", "Алексей Бирюков: Ссылка на изображение")</f>
        <v>Алексей Бирюков: Ссылка на изображение</v>
      </c>
      <c r="EH705" t="s">
        <v>1899</v>
      </c>
    </row>
    <row r="706" spans="1:148" ht="15" customHeight="1" x14ac:dyDescent="0.35">
      <c r="A706">
        <v>636</v>
      </c>
      <c r="B706" t="s">
        <v>5630</v>
      </c>
      <c r="C706">
        <v>3</v>
      </c>
      <c r="D706" t="str">
        <f>VLOOKUP(source[[#This Row],[Приоритет]],тПриоритеты[],2,0)</f>
        <v>Малозначительное</v>
      </c>
      <c r="E706" t="str">
        <f>IF(ISBLANK(source[[#This Row],[Проверенные]]),IF(ISBLANK(source[[#This Row],[Завершенные]]),source[[#This Row],[Приоритет_]],"Завершено"),"Проверено")</f>
        <v>Проверено</v>
      </c>
      <c r="F706" t="s">
        <v>4423</v>
      </c>
      <c r="G706" t="s">
        <v>2926</v>
      </c>
      <c r="H706" t="e">
        <f>VLOOKUP(source[[#This Row],[Отвественный]],тОтветственные[],2,0)</f>
        <v>#N/A</v>
      </c>
      <c r="I706" s="2">
        <v>43815</v>
      </c>
      <c r="J706" s="2">
        <v>43815</v>
      </c>
      <c r="S706" s="1">
        <v>43815.883263888885</v>
      </c>
      <c r="T706" s="1">
        <v>43816.114664351851</v>
      </c>
      <c r="U706" s="1">
        <v>43816.114664351851</v>
      </c>
      <c r="W706" s="1">
        <v>43816.286249999997</v>
      </c>
      <c r="X706" t="s">
        <v>2606</v>
      </c>
      <c r="AH706" t="s">
        <v>5631</v>
      </c>
      <c r="AI706" t="s">
        <v>5632</v>
      </c>
      <c r="AJ706" t="s">
        <v>5633</v>
      </c>
      <c r="AK706" t="s">
        <v>5634</v>
      </c>
      <c r="AL706" t="s">
        <v>5635</v>
      </c>
      <c r="AM706" t="s">
        <v>5636</v>
      </c>
      <c r="AN706" t="s">
        <v>5637</v>
      </c>
      <c r="AO706" t="s">
        <v>5638</v>
      </c>
      <c r="EC706" t="s">
        <v>5639</v>
      </c>
      <c r="ED706" t="s">
        <v>5640</v>
      </c>
      <c r="EE706" t="str">
        <f>HYPERLINK("https://d33htgqikc2pj4.cloudfront.net/qvHDimMUqxZcQnsj/9745c18b-2a89-4ad3-9e40-9900d455dd11.jpeg", "Алексей Бирюков: Ссылка на изображение")</f>
        <v>Алексей Бирюков: Ссылка на изображение</v>
      </c>
      <c r="EF706" t="str">
        <f>HYPERLINK("https://d33htgqikc2pj4.cloudfront.net/qvHDimMUqxZcQnsj/b1c0ecb4-d234-4862-b94e-50886ac9745b.jpeg", "Алексей Бирюков: Ссылка на изображение")</f>
        <v>Алексей Бирюков: Ссылка на изображение</v>
      </c>
      <c r="EG706" t="str">
        <f>HYPERLINK("https://d33htgqikc2pj4.cloudfront.net/qvHDimMUqxZcQnsj/69462e0d-b9aa-42c6-9466-006f484630c4.jpeg", "Алексей Бирюков: Ссылка на изображение")</f>
        <v>Алексей Бирюков: Ссылка на изображение</v>
      </c>
      <c r="EH706" t="str">
        <f>HYPERLINK("https://d33htgqikc2pj4.cloudfront.net/qvHDimMUqxZcQnsj/937e02b6-834b-4617-9633-a4c195bad28a.jpeg", "Алексей Бирюков: Ссылка на изображение")</f>
        <v>Алексей Бирюков: Ссылка на изображение</v>
      </c>
      <c r="EI706" t="s">
        <v>5641</v>
      </c>
      <c r="EJ706" t="s">
        <v>5642</v>
      </c>
      <c r="EK706" t="s">
        <v>2977</v>
      </c>
      <c r="EL706" t="s">
        <v>1902</v>
      </c>
      <c r="EM706" t="s">
        <v>2617</v>
      </c>
      <c r="EN706" t="s">
        <v>1899</v>
      </c>
    </row>
    <row r="707" spans="1:148" ht="15" customHeight="1" x14ac:dyDescent="0.35">
      <c r="A707">
        <v>841</v>
      </c>
      <c r="B707" t="s">
        <v>5643</v>
      </c>
      <c r="C707">
        <v>2</v>
      </c>
      <c r="D707" t="str">
        <f>VLOOKUP(source[[#This Row],[Приоритет]],тПриоритеты[],2,0)</f>
        <v>Значительное</v>
      </c>
      <c r="E707" t="str">
        <f>IF(ISBLANK(source[[#This Row],[Проверенные]]),IF(ISBLANK(source[[#This Row],[Завершенные]]),source[[#This Row],[Приоритет_]],"Завершено"),"Проверено")</f>
        <v>Проверено</v>
      </c>
      <c r="F707" t="s">
        <v>4423</v>
      </c>
      <c r="G707" t="s">
        <v>2926</v>
      </c>
      <c r="H707" t="e">
        <f>VLOOKUP(source[[#This Row],[Отвественный]],тОтветственные[],2,0)</f>
        <v>#N/A</v>
      </c>
      <c r="I707" s="2">
        <v>43833</v>
      </c>
      <c r="J707" s="2">
        <v>43833</v>
      </c>
      <c r="S707" s="1">
        <v>43833.922662037039</v>
      </c>
      <c r="T707" s="1">
        <v>43834.213379629633</v>
      </c>
      <c r="U707" s="1">
        <v>43834.213379629633</v>
      </c>
      <c r="W707" s="1">
        <v>43834.213379629633</v>
      </c>
      <c r="EC707" t="s">
        <v>5644</v>
      </c>
      <c r="ED707" t="s">
        <v>2617</v>
      </c>
      <c r="EE707" t="s">
        <v>3135</v>
      </c>
      <c r="EF707" t="str">
        <f>HYPERLINK("https://d33htgqikc2pj4.cloudfront.net/qvHDimMUqxZcQnsj/f33c4c0d-a917-47d6-b5fc-a8baaa2f0051.jpeg", "Алексей Бирюков: Ссылка на изображение")</f>
        <v>Алексей Бирюков: Ссылка на изображение</v>
      </c>
      <c r="EG707" t="str">
        <f>HYPERLINK("https://d33htgqikc2pj4.cloudfront.net/qvHDimMUqxZcQnsj/f85b2a2a-ba25-4a51-bbd8-9ebb4494f4eb.jpeg", "Алексей Бирюков: Ссылка на изображение")</f>
        <v>Алексей Бирюков: Ссылка на изображение</v>
      </c>
      <c r="EH707" t="str">
        <f>HYPERLINK("https://d33htgqikc2pj4.cloudfront.net/qvHDimMUqxZcQnsj/7e2223cb-10f1-442c-af14-73609f130ce2.jpeg", "Алексей Бирюков: Ссылка на изображение")</f>
        <v>Алексей Бирюков: Ссылка на изображение</v>
      </c>
      <c r="EI707" t="str">
        <f>HYPERLINK("https://d33htgqikc2pj4.cloudfront.net/qvHDimMUqxZcQnsj/1d57fc01-296b-455f-aaf3-e72d2e9c14c3.jpeg", "Алексей Бирюков: Ссылка на изображение")</f>
        <v>Алексей Бирюков: Ссылка на изображение</v>
      </c>
      <c r="EJ707" t="str">
        <f>HYPERLINK("https://d33htgqikc2pj4.cloudfront.net/qvHDimMUqxZcQnsj/9b63aac1-4b52-4505-9880-f2e970bdc75e.jpeg", "Алексей Бирюков: Ссылка на изображение")</f>
        <v>Алексей Бирюков: Ссылка на изображение</v>
      </c>
      <c r="EK707" t="str">
        <f>HYPERLINK("https://d33htgqikc2pj4.cloudfront.net/qvHDimMUqxZcQnsj/efbba2b4-1077-4185-bd13-92d1777da5dd.jpeg", "Алексей Бирюков: Ссылка на изображение")</f>
        <v>Алексей Бирюков: Ссылка на изображение</v>
      </c>
      <c r="EL707" t="str">
        <f>HYPERLINK("https://d33htgqikc2pj4.cloudfront.net/qvHDimMUqxZcQnsj/d8533475-977c-465e-8406-6972a8cc7678.jpeg", "Алексей Бирюков: Ссылка на изображение")</f>
        <v>Алексей Бирюков: Ссылка на изображение</v>
      </c>
      <c r="EM707" t="str">
        <f>HYPERLINK("https://d33htgqikc2pj4.cloudfront.net/qvHDimMUqxZcQnsj/bd3740c9-7250-42b8-8e4c-cb7ac7b86001.jpeg", "Алексей Бирюков: Ссылка на изображение")</f>
        <v>Алексей Бирюков: Ссылка на изображение</v>
      </c>
      <c r="EN707" t="str">
        <f>HYPERLINK("https://d33htgqikc2pj4.cloudfront.net/qvHDimMUqxZcQnsj/ba975026-9840-40d0-a917-aaaeec7a2bb9.jpeg", "Алексей Бирюков: Ссылка на изображение")</f>
        <v>Алексей Бирюков: Ссылка на изображение</v>
      </c>
      <c r="EO707" t="str">
        <f>HYPERLINK("https://d33htgqikc2pj4.cloudfront.net/qvHDimMUqxZcQnsj/daec3d95-ee68-4013-b934-1137169c45f0.jpeg", "Алексей Бирюков: Ссылка на изображение")</f>
        <v>Алексей Бирюков: Ссылка на изображение</v>
      </c>
      <c r="EP707" t="str">
        <f>HYPERLINK("https://d33htgqikc2pj4.cloudfront.net/qvHDimMUqxZcQnsj/f2454504-92e7-461e-ad46-7510396c4299.jpeg", "Алексей Бирюков: Ссылка на изображение")</f>
        <v>Алексей Бирюков: Ссылка на изображение</v>
      </c>
      <c r="EQ707" t="s">
        <v>1902</v>
      </c>
      <c r="ER707" t="s">
        <v>1899</v>
      </c>
    </row>
    <row r="708" spans="1:148" ht="15" customHeight="1" x14ac:dyDescent="0.35">
      <c r="A708">
        <v>1149</v>
      </c>
      <c r="B708" t="s">
        <v>5645</v>
      </c>
      <c r="C708">
        <v>2</v>
      </c>
      <c r="D708" t="str">
        <f>VLOOKUP(source[[#This Row],[Приоритет]],тПриоритеты[],2,0)</f>
        <v>Значительное</v>
      </c>
      <c r="E708" t="str">
        <f>IF(ISBLANK(source[[#This Row],[Проверенные]]),IF(ISBLANK(source[[#This Row],[Завершенные]]),source[[#This Row],[Приоритет_]],"Завершено"),"Проверено")</f>
        <v>Проверено</v>
      </c>
      <c r="F708" t="s">
        <v>4423</v>
      </c>
      <c r="G708" t="s">
        <v>2926</v>
      </c>
      <c r="H708" t="e">
        <f>VLOOKUP(source[[#This Row],[Отвественный]],тОтветственные[],2,0)</f>
        <v>#N/A</v>
      </c>
      <c r="I708" s="2">
        <v>43862</v>
      </c>
      <c r="J708" s="2">
        <v>43862</v>
      </c>
      <c r="S708" s="1">
        <v>43862.177569444444</v>
      </c>
      <c r="T708" s="1">
        <v>43862.179178240738</v>
      </c>
      <c r="U708" s="1">
        <v>43862.179178240738</v>
      </c>
      <c r="W708" s="1">
        <v>43862.179178240738</v>
      </c>
      <c r="X708" t="s">
        <v>2606</v>
      </c>
      <c r="AH708" t="s">
        <v>5646</v>
      </c>
      <c r="AI708" t="s">
        <v>5647</v>
      </c>
      <c r="AJ708" t="s">
        <v>5648</v>
      </c>
      <c r="AK708" t="s">
        <v>5649</v>
      </c>
      <c r="AL708" t="s">
        <v>5650</v>
      </c>
      <c r="AM708" t="s">
        <v>5651</v>
      </c>
      <c r="AN708" t="s">
        <v>5652</v>
      </c>
      <c r="AO708" t="s">
        <v>5653</v>
      </c>
      <c r="EC708" t="s">
        <v>5654</v>
      </c>
      <c r="ED708" t="s">
        <v>2617</v>
      </c>
      <c r="EE708" t="s">
        <v>3144</v>
      </c>
      <c r="EF708" t="s">
        <v>1899</v>
      </c>
    </row>
    <row r="709" spans="1:148" ht="15" customHeight="1" x14ac:dyDescent="0.35">
      <c r="A709">
        <v>1150</v>
      </c>
      <c r="B709" t="s">
        <v>5655</v>
      </c>
      <c r="C709">
        <v>2</v>
      </c>
      <c r="D709" t="str">
        <f>VLOOKUP(source[[#This Row],[Приоритет]],тПриоритеты[],2,0)</f>
        <v>Значительное</v>
      </c>
      <c r="E709" t="str">
        <f>IF(ISBLANK(source[[#This Row],[Проверенные]]),IF(ISBLANK(source[[#This Row],[Завершенные]]),source[[#This Row],[Приоритет_]],"Завершено"),"Проверено")</f>
        <v>Проверено</v>
      </c>
      <c r="F709" t="s">
        <v>4423</v>
      </c>
      <c r="G709" t="s">
        <v>2926</v>
      </c>
      <c r="H709" t="e">
        <f>VLOOKUP(source[[#This Row],[Отвественный]],тОтветственные[],2,0)</f>
        <v>#N/A</v>
      </c>
      <c r="I709" s="2">
        <v>43862</v>
      </c>
      <c r="J709" s="2">
        <v>43862</v>
      </c>
      <c r="S709" s="1">
        <v>43862.179305555554</v>
      </c>
      <c r="T709" s="1">
        <v>43862.18105324074</v>
      </c>
      <c r="U709" s="1">
        <v>43862.18105324074</v>
      </c>
      <c r="W709" s="1">
        <v>43862.181064814817</v>
      </c>
      <c r="X709" t="s">
        <v>2606</v>
      </c>
      <c r="AH709" t="s">
        <v>5646</v>
      </c>
      <c r="AI709" t="s">
        <v>5647</v>
      </c>
      <c r="AJ709" t="s">
        <v>5648</v>
      </c>
      <c r="AK709" t="s">
        <v>5649</v>
      </c>
      <c r="AL709" t="s">
        <v>5650</v>
      </c>
      <c r="AM709" t="s">
        <v>5651</v>
      </c>
      <c r="AN709" t="s">
        <v>5652</v>
      </c>
      <c r="AO709" t="s">
        <v>5653</v>
      </c>
      <c r="EC709" t="s">
        <v>5656</v>
      </c>
      <c r="ED709" t="s">
        <v>2617</v>
      </c>
      <c r="EE709" t="s">
        <v>3144</v>
      </c>
      <c r="EF709" t="str">
        <f>HYPERLINK("https://d33htgqikc2pj4.cloudfront.net/qvHDimMUqxZcQnsj/bc7f9135-1095-46cc-bc56-a2de9ffc4b9d.jpeg", "Алексей Бирюков: Ссылка на изображение")</f>
        <v>Алексей Бирюков: Ссылка на изображение</v>
      </c>
      <c r="EG709" t="str">
        <f>HYPERLINK("https://d33htgqikc2pj4.cloudfront.net/qvHDimMUqxZcQnsj/6d462acc-a409-42b5-bbbf-9fcdd2e1e2ea.jpeg", "Алексей Бирюков: Ссылка на изображение")</f>
        <v>Алексей Бирюков: Ссылка на изображение</v>
      </c>
      <c r="EH709" t="s">
        <v>1899</v>
      </c>
    </row>
    <row r="710" spans="1:148" ht="15" customHeight="1" x14ac:dyDescent="0.35">
      <c r="A710">
        <v>1151</v>
      </c>
      <c r="B710" t="s">
        <v>5657</v>
      </c>
      <c r="C710">
        <v>3</v>
      </c>
      <c r="D710" t="str">
        <f>VLOOKUP(source[[#This Row],[Приоритет]],тПриоритеты[],2,0)</f>
        <v>Малозначительное</v>
      </c>
      <c r="E710" t="str">
        <f>IF(ISBLANK(source[[#This Row],[Проверенные]]),IF(ISBLANK(source[[#This Row],[Завершенные]]),source[[#This Row],[Приоритет_]],"Завершено"),"Проверено")</f>
        <v>Проверено</v>
      </c>
      <c r="F710" t="s">
        <v>4423</v>
      </c>
      <c r="G710" t="s">
        <v>2926</v>
      </c>
      <c r="H710" t="e">
        <f>VLOOKUP(source[[#This Row],[Отвественный]],тОтветственные[],2,0)</f>
        <v>#N/A</v>
      </c>
      <c r="I710" s="2">
        <v>43862</v>
      </c>
      <c r="J710" s="2">
        <v>43862</v>
      </c>
      <c r="S710" s="1">
        <v>43862.304282407407</v>
      </c>
      <c r="T710" s="1">
        <v>43862.306423611109</v>
      </c>
      <c r="U710" s="1">
        <v>43862.306423611109</v>
      </c>
      <c r="W710" s="1">
        <v>43862.306423611109</v>
      </c>
      <c r="X710" t="s">
        <v>4760</v>
      </c>
      <c r="AH710" t="s">
        <v>5658</v>
      </c>
      <c r="AI710" t="s">
        <v>5659</v>
      </c>
      <c r="AJ710" t="s">
        <v>5660</v>
      </c>
      <c r="AK710" t="s">
        <v>5661</v>
      </c>
      <c r="AL710" t="s">
        <v>5662</v>
      </c>
      <c r="AM710" t="s">
        <v>5663</v>
      </c>
      <c r="AN710" t="s">
        <v>5664</v>
      </c>
      <c r="AO710" t="s">
        <v>5665</v>
      </c>
      <c r="AP710" t="s">
        <v>5666</v>
      </c>
      <c r="AQ710" t="s">
        <v>5667</v>
      </c>
      <c r="AR710" t="s">
        <v>5668</v>
      </c>
      <c r="AS710" t="s">
        <v>5669</v>
      </c>
      <c r="AT710" t="s">
        <v>5670</v>
      </c>
      <c r="AU710" t="s">
        <v>5671</v>
      </c>
      <c r="AV710" t="s">
        <v>5672</v>
      </c>
      <c r="AW710" t="s">
        <v>5673</v>
      </c>
      <c r="AX710" t="s">
        <v>5674</v>
      </c>
      <c r="AY710" t="s">
        <v>5675</v>
      </c>
      <c r="EC710" t="s">
        <v>5676</v>
      </c>
      <c r="ED710" t="s">
        <v>2617</v>
      </c>
      <c r="EE710" t="s">
        <v>3144</v>
      </c>
      <c r="EF710" t="s">
        <v>2977</v>
      </c>
      <c r="EG710" t="s">
        <v>1902</v>
      </c>
      <c r="EH710" t="s">
        <v>1899</v>
      </c>
    </row>
    <row r="711" spans="1:148" ht="15" customHeight="1" x14ac:dyDescent="0.35">
      <c r="A711">
        <v>855</v>
      </c>
      <c r="B711" t="s">
        <v>5677</v>
      </c>
      <c r="C711">
        <v>2</v>
      </c>
      <c r="D711" t="str">
        <f>VLOOKUP(source[[#This Row],[Приоритет]],тПриоритеты[],2,0)</f>
        <v>Значительное</v>
      </c>
      <c r="E711" t="str">
        <f>IF(ISBLANK(source[[#This Row],[Проверенные]]),IF(ISBLANK(source[[#This Row],[Завершенные]]),source[[#This Row],[Приоритет_]],"Завершено"),"Проверено")</f>
        <v>Проверено</v>
      </c>
      <c r="F711" t="s">
        <v>4423</v>
      </c>
      <c r="G711" t="s">
        <v>2926</v>
      </c>
      <c r="H711" t="e">
        <f>VLOOKUP(source[[#This Row],[Отвественный]],тОтветственные[],2,0)</f>
        <v>#N/A</v>
      </c>
      <c r="I711" s="2">
        <v>43836</v>
      </c>
      <c r="J711" s="2">
        <v>43836</v>
      </c>
      <c r="S711" s="1">
        <v>43836.886770833335</v>
      </c>
      <c r="T711" s="1">
        <v>43836.913414351853</v>
      </c>
      <c r="U711" s="1">
        <v>43836.913414351853</v>
      </c>
      <c r="W711" s="1">
        <v>43836.913414351853</v>
      </c>
      <c r="X711" t="s">
        <v>2606</v>
      </c>
      <c r="AH711" t="s">
        <v>5678</v>
      </c>
      <c r="AI711" t="s">
        <v>5679</v>
      </c>
      <c r="AJ711" t="s">
        <v>5680</v>
      </c>
      <c r="AK711" t="s">
        <v>5681</v>
      </c>
      <c r="AL711" t="s">
        <v>5682</v>
      </c>
      <c r="AM711" t="s">
        <v>5683</v>
      </c>
      <c r="AN711" t="s">
        <v>5684</v>
      </c>
      <c r="AO711" t="s">
        <v>5685</v>
      </c>
      <c r="EC711" t="s">
        <v>5686</v>
      </c>
      <c r="ED711" t="s">
        <v>2617</v>
      </c>
      <c r="EE711" t="s">
        <v>5687</v>
      </c>
      <c r="EF711" t="str">
        <f>HYPERLINK("https://d33htgqikc2pj4.cloudfront.net/qvHDimMUqxZcQnsj/c062df84-c1af-4a47-88ab-12881f547365.jpeg", "Алексей Бирюков: Ссылка на изображение")</f>
        <v>Алексей Бирюков: Ссылка на изображение</v>
      </c>
      <c r="EG711" t="str">
        <f>HYPERLINK("https://d33htgqikc2pj4.cloudfront.net/qvHDimMUqxZcQnsj/b1735ce2-be5e-4a45-897e-b375c668b896.jpeg", "Алексей Бирюков: Ссылка на изображение")</f>
        <v>Алексей Бирюков: Ссылка на изображение</v>
      </c>
      <c r="EH711" t="str">
        <f>HYPERLINK("https://d33htgqikc2pj4.cloudfront.net/qvHDimMUqxZcQnsj/bace1184-4d45-42cf-b88f-87bb261cd692.jpeg", "Алексей Бирюков: Ссылка на изображение")</f>
        <v>Алексей Бирюков: Ссылка на изображение</v>
      </c>
      <c r="EI711" t="str">
        <f>HYPERLINK("https://d33htgqikc2pj4.cloudfront.net/qvHDimMUqxZcQnsj/c63fe890-4bed-473b-b6c5-1f6b68fcd2dc.jpeg", "Алексей Бирюков: Ссылка на изображение")</f>
        <v>Алексей Бирюков: Ссылка на изображение</v>
      </c>
      <c r="EJ711" t="s">
        <v>1902</v>
      </c>
      <c r="EK711" t="s">
        <v>1899</v>
      </c>
    </row>
    <row r="712" spans="1:148" ht="15" customHeight="1" x14ac:dyDescent="0.35">
      <c r="A712">
        <v>856</v>
      </c>
      <c r="B712" t="s">
        <v>5688</v>
      </c>
      <c r="C712">
        <v>2</v>
      </c>
      <c r="D712" t="str">
        <f>VLOOKUP(source[[#This Row],[Приоритет]],тПриоритеты[],2,0)</f>
        <v>Значительное</v>
      </c>
      <c r="E712" t="str">
        <f>IF(ISBLANK(source[[#This Row],[Проверенные]]),IF(ISBLANK(source[[#This Row],[Завершенные]]),source[[#This Row],[Приоритет_]],"Завершено"),"Проверено")</f>
        <v>Проверено</v>
      </c>
      <c r="F712" t="s">
        <v>4423</v>
      </c>
      <c r="G712" t="s">
        <v>2926</v>
      </c>
      <c r="H712" t="e">
        <f>VLOOKUP(source[[#This Row],[Отвественный]],тОтветственные[],2,0)</f>
        <v>#N/A</v>
      </c>
      <c r="I712" s="2">
        <v>43836</v>
      </c>
      <c r="J712" s="2">
        <v>43836</v>
      </c>
      <c r="S712" s="1">
        <v>43836.989444444444</v>
      </c>
      <c r="T712" s="1">
        <v>43836.990115740744</v>
      </c>
      <c r="U712" s="1">
        <v>43836.990115740744</v>
      </c>
      <c r="W712" s="1">
        <v>43836.990115740744</v>
      </c>
      <c r="X712" t="s">
        <v>4760</v>
      </c>
      <c r="AH712" t="s">
        <v>5689</v>
      </c>
      <c r="AI712" t="s">
        <v>5690</v>
      </c>
      <c r="AJ712" t="s">
        <v>5691</v>
      </c>
      <c r="AK712" t="s">
        <v>5692</v>
      </c>
      <c r="AL712" t="s">
        <v>5693</v>
      </c>
      <c r="AM712" t="s">
        <v>5694</v>
      </c>
      <c r="AN712" t="s">
        <v>5695</v>
      </c>
      <c r="AO712" t="s">
        <v>5696</v>
      </c>
      <c r="AP712" t="s">
        <v>5697</v>
      </c>
      <c r="AQ712" t="s">
        <v>5698</v>
      </c>
      <c r="AR712" t="s">
        <v>5699</v>
      </c>
      <c r="AS712" t="s">
        <v>5700</v>
      </c>
      <c r="AT712" t="s">
        <v>5701</v>
      </c>
      <c r="AU712" t="s">
        <v>5702</v>
      </c>
      <c r="AV712" t="s">
        <v>5703</v>
      </c>
      <c r="AW712" t="s">
        <v>5704</v>
      </c>
      <c r="AX712" t="s">
        <v>5705</v>
      </c>
      <c r="AY712" t="s">
        <v>5706</v>
      </c>
      <c r="EC712" t="s">
        <v>5707</v>
      </c>
      <c r="ED712" t="str">
        <f>HYPERLINK("https://d33htgqikc2pj4.cloudfront.net/qvHDimMUqxZcQnsj/d5fedb6a-f764-4d92-ac75-faabbb40971f.jpeg", "Алексей Бирюков: Ссылка на изображение")</f>
        <v>Алексей Бирюков: Ссылка на изображение</v>
      </c>
      <c r="EE712" t="str">
        <f>HYPERLINK("https://d33htgqikc2pj4.cloudfront.net/qvHDimMUqxZcQnsj/2a72e377-1ede-4580-8fd5-7a6e2b561e76.jpeg", "Алексей Бирюков: Ссылка на изображение")</f>
        <v>Алексей Бирюков: Ссылка на изображение</v>
      </c>
      <c r="EF712" t="str">
        <f>HYPERLINK("https://d33htgqikc2pj4.cloudfront.net/qvHDimMUqxZcQnsj/44808080-da61-42d2-b15e-4e454ea69446.jpeg", "Алексей Бирюков: Ссылка на изображение")</f>
        <v>Алексей Бирюков: Ссылка на изображение</v>
      </c>
      <c r="EG712" t="str">
        <f>HYPERLINK("https://d33htgqikc2pj4.cloudfront.net/qvHDimMUqxZcQnsj/fd257bff-b8da-4f8d-b2ff-d38fccd11c7d.jpeg", "Алексей Бирюков: Ссылка на изображение")</f>
        <v>Алексей Бирюков: Ссылка на изображение</v>
      </c>
      <c r="EH712" t="str">
        <f>HYPERLINK("https://d33htgqikc2pj4.cloudfront.net/qvHDimMUqxZcQnsj/368aad8e-6255-4e2d-9076-c868022c1590.jpeg", "Алексей Бирюков: Ссылка на изображение")</f>
        <v>Алексей Бирюков: Ссылка на изображение</v>
      </c>
      <c r="EI712" t="str">
        <f>HYPERLINK("https://d33htgqikc2pj4.cloudfront.net/qvHDimMUqxZcQnsj/01873790-19ac-400f-acde-31d68340e09e.jpeg", "Алексей Бирюков: Ссылка на изображение")</f>
        <v>Алексей Бирюков: Ссылка на изображение</v>
      </c>
      <c r="EJ712" t="str">
        <f>HYPERLINK("https://d33htgqikc2pj4.cloudfront.net/qvHDimMUqxZcQnsj/b003d161-23c7-4dfe-a428-f1beba6f0167.jpeg", "Алексей Бирюков: Ссылка на изображение")</f>
        <v>Алексей Бирюков: Ссылка на изображение</v>
      </c>
      <c r="EK712" t="str">
        <f>HYPERLINK("https://d33htgqikc2pj4.cloudfront.net/qvHDimMUqxZcQnsj/f80c3420-983e-43d1-b96e-653bbba54a44.jpeg", "Алексей Бирюков: Ссылка на изображение")</f>
        <v>Алексей Бирюков: Ссылка на изображение</v>
      </c>
      <c r="EL712" t="str">
        <f>HYPERLINK("https://d33htgqikc2pj4.cloudfront.net/qvHDimMUqxZcQnsj/b0eb70f0-6f10-41ad-a4d7-875d5d4101bf.jpeg", "Алексей Бирюков: Ссылка на изображение")</f>
        <v>Алексей Бирюков: Ссылка на изображение</v>
      </c>
      <c r="EM712" t="s">
        <v>5708</v>
      </c>
      <c r="EN712" t="s">
        <v>2617</v>
      </c>
      <c r="EO712" t="s">
        <v>5687</v>
      </c>
      <c r="EP712" t="s">
        <v>1902</v>
      </c>
      <c r="EQ712" t="s">
        <v>1899</v>
      </c>
    </row>
    <row r="713" spans="1:148" ht="15" customHeight="1" x14ac:dyDescent="0.35">
      <c r="A713">
        <v>858</v>
      </c>
      <c r="B713" t="s">
        <v>5709</v>
      </c>
      <c r="C713">
        <v>2</v>
      </c>
      <c r="D713" t="str">
        <f>VLOOKUP(source[[#This Row],[Приоритет]],тПриоритеты[],2,0)</f>
        <v>Значительное</v>
      </c>
      <c r="E713" t="str">
        <f>IF(ISBLANK(source[[#This Row],[Проверенные]]),IF(ISBLANK(source[[#This Row],[Завершенные]]),source[[#This Row],[Приоритет_]],"Завершено"),"Проверено")</f>
        <v>Проверено</v>
      </c>
      <c r="F713" t="s">
        <v>4423</v>
      </c>
      <c r="G713" t="s">
        <v>2926</v>
      </c>
      <c r="H713" t="e">
        <f>VLOOKUP(source[[#This Row],[Отвественный]],тОтветственные[],2,0)</f>
        <v>#N/A</v>
      </c>
      <c r="I713" s="2">
        <v>43838</v>
      </c>
      <c r="J713" s="2">
        <v>43838</v>
      </c>
      <c r="S713" s="1">
        <v>43837.982361111113</v>
      </c>
      <c r="T713" s="1">
        <v>43838.069386574076</v>
      </c>
      <c r="U713" s="1">
        <v>43838.069386574076</v>
      </c>
      <c r="W713" s="1">
        <v>43838.069398148145</v>
      </c>
      <c r="X713" t="s">
        <v>2606</v>
      </c>
      <c r="AH713" t="s">
        <v>5710</v>
      </c>
      <c r="AI713" t="s">
        <v>5711</v>
      </c>
      <c r="AJ713" t="s">
        <v>5712</v>
      </c>
      <c r="AK713" t="s">
        <v>5713</v>
      </c>
      <c r="AL713" t="s">
        <v>5714</v>
      </c>
      <c r="AM713" t="s">
        <v>5715</v>
      </c>
      <c r="AN713" t="s">
        <v>5716</v>
      </c>
      <c r="AO713" t="s">
        <v>5717</v>
      </c>
      <c r="EC713" t="s">
        <v>5718</v>
      </c>
      <c r="ED713" t="str">
        <f>HYPERLINK("https://d33htgqikc2pj4.cloudfront.net/qvHDimMUqxZcQnsj/973b286b-1f8d-4aa2-8a55-521dc3c344e3.jpeg", "Алексей Бирюков: Ссылка на изображение")</f>
        <v>Алексей Бирюков: Ссылка на изображение</v>
      </c>
      <c r="EE713" t="str">
        <f>HYPERLINK("https://d33htgqikc2pj4.cloudfront.net/qvHDimMUqxZcQnsj/0111f5a9-7bc6-40f9-ab47-2564cfc9b4bb.jpeg", "Алексей Бирюков: Ссылка на изображение")</f>
        <v>Алексей Бирюков: Ссылка на изображение</v>
      </c>
      <c r="EF713" t="str">
        <f>HYPERLINK("https://d33htgqikc2pj4.cloudfront.net/qvHDimMUqxZcQnsj/4ecc7f1d-64a9-4afe-92e2-0cb998fc33c5.jpeg", "Алексей Бирюков: Ссылка на изображение")</f>
        <v>Алексей Бирюков: Ссылка на изображение</v>
      </c>
      <c r="EG713" t="str">
        <f>HYPERLINK("https://d33htgqikc2pj4.cloudfront.net/qvHDimMUqxZcQnsj/8c1f2086-e8d1-4b75-bac4-b1f9b0bd69bc.jpeg", "Алексей Бирюков: Ссылка на изображение")</f>
        <v>Алексей Бирюков: Ссылка на изображение</v>
      </c>
      <c r="EH713" t="str">
        <f>HYPERLINK("https://d33htgqikc2pj4.cloudfront.net/qvHDimMUqxZcQnsj/ef11cd0c-8284-4ccb-b1f7-c7775933345a.jpeg", "Алексей Бирюков: Ссылка на изображение")</f>
        <v>Алексей Бирюков: Ссылка на изображение</v>
      </c>
      <c r="EI713" t="str">
        <f>HYPERLINK("https://d33htgqikc2pj4.cloudfront.net/qvHDimMUqxZcQnsj/5cd3f139-7568-4d66-be0f-01de585d3e46.jpeg", "Алексей Бирюков: Ссылка на изображение")</f>
        <v>Алексей Бирюков: Ссылка на изображение</v>
      </c>
      <c r="EJ713" t="str">
        <f>HYPERLINK("https://d33htgqikc2pj4.cloudfront.net/qvHDimMUqxZcQnsj/0a2b187d-b4cd-4f6b-943b-72a1cf8f8aa5.jpeg", "Алексей Бирюков: Ссылка на изображение")</f>
        <v>Алексей Бирюков: Ссылка на изображение</v>
      </c>
      <c r="EK713" t="str">
        <f>HYPERLINK("https://d33htgqikc2pj4.cloudfront.net/qvHDimMUqxZcQnsj/5743c9cb-22b9-47b2-9b62-2094e0ebf0fe.jpeg", "Алексей Бирюков: Ссылка на изображение")</f>
        <v>Алексей Бирюков: Ссылка на изображение</v>
      </c>
      <c r="EL713" t="s">
        <v>5719</v>
      </c>
      <c r="EM713" t="s">
        <v>2617</v>
      </c>
      <c r="EN713" t="s">
        <v>5720</v>
      </c>
      <c r="EO713" t="s">
        <v>1902</v>
      </c>
      <c r="EP713" t="s">
        <v>1899</v>
      </c>
    </row>
    <row r="714" spans="1:148" ht="15" customHeight="1" x14ac:dyDescent="0.35">
      <c r="A714">
        <v>1165</v>
      </c>
      <c r="B714" t="s">
        <v>5721</v>
      </c>
      <c r="C714">
        <v>2</v>
      </c>
      <c r="D714" t="str">
        <f>VLOOKUP(source[[#This Row],[Приоритет]],тПриоритеты[],2,0)</f>
        <v>Значительное</v>
      </c>
      <c r="E714" t="str">
        <f>IF(ISBLANK(source[[#This Row],[Проверенные]]),IF(ISBLANK(source[[#This Row],[Завершенные]]),source[[#This Row],[Приоритет_]],"Завершено"),"Проверено")</f>
        <v>Проверено</v>
      </c>
      <c r="F714" t="s">
        <v>4423</v>
      </c>
      <c r="G714" t="s">
        <v>2926</v>
      </c>
      <c r="H714" t="e">
        <f>VLOOKUP(source[[#This Row],[Отвественный]],тОтветственные[],2,0)</f>
        <v>#N/A</v>
      </c>
      <c r="I714" s="2">
        <v>43864</v>
      </c>
      <c r="J714" s="2">
        <v>43864</v>
      </c>
      <c r="S714" s="1">
        <v>43865.336527777778</v>
      </c>
      <c r="T714" s="1">
        <v>43865.336724537039</v>
      </c>
      <c r="U714" s="1">
        <v>43865.336724537039</v>
      </c>
      <c r="W714" s="1">
        <v>43865.336724537039</v>
      </c>
      <c r="EC714" t="s">
        <v>5722</v>
      </c>
      <c r="ED714" t="s">
        <v>2617</v>
      </c>
      <c r="EE714" t="s">
        <v>5723</v>
      </c>
      <c r="EF714" t="str">
        <f>HYPERLINK("https://d33htgqikc2pj4.cloudfront.net/qvHDimMUqxZcQnsj/664d5e99-fef3-4ab1-b124-705538a2d153.jpeg", "Алексей Бирюков: Ссылка на изображение")</f>
        <v>Алексей Бирюков: Ссылка на изображение</v>
      </c>
      <c r="EG714" t="str">
        <f>HYPERLINK("https://d33htgqikc2pj4.cloudfront.net/qvHDimMUqxZcQnsj/632f346a-9800-4ca1-9d2e-eba2993e049b.jpeg", "Алексей Бирюков: Ссылка на изображение")</f>
        <v>Алексей Бирюков: Ссылка на изображение</v>
      </c>
      <c r="EH714" t="str">
        <f>HYPERLINK("https://d33htgqikc2pj4.cloudfront.net/qvHDimMUqxZcQnsj/68559fc0-c3d1-4ed5-88f6-6ef890ae072e.jpeg", "Алексей Бирюков: Ссылка на изображение")</f>
        <v>Алексей Бирюков: Ссылка на изображение</v>
      </c>
      <c r="EI714" t="str">
        <f>HYPERLINK("https://d33htgqikc2pj4.cloudfront.net/qvHDimMUqxZcQnsj/9e3feef0-8a7a-4b11-bccc-c1eefd22bfcd.jpeg", "Алексей Бирюков: Ссылка на изображение")</f>
        <v>Алексей Бирюков: Ссылка на изображение</v>
      </c>
      <c r="EJ714" t="str">
        <f>HYPERLINK("https://d33htgqikc2pj4.cloudfront.net/qvHDimMUqxZcQnsj/2d02116b-8b5e-468a-ac55-263245071df9.jpeg", "Алексей Бирюков: Ссылка на изображение")</f>
        <v>Алексей Бирюков: Ссылка на изображение</v>
      </c>
      <c r="EK714" t="str">
        <f>HYPERLINK("https://d33htgqikc2pj4.cloudfront.net/qvHDimMUqxZcQnsj/b09095ee-ed2a-48df-8c4d-24d202f97df9.jpeg", "Алексей Бирюков: Ссылка на изображение")</f>
        <v>Алексей Бирюков: Ссылка на изображение</v>
      </c>
      <c r="EL714" t="str">
        <f>HYPERLINK("https://d33htgqikc2pj4.cloudfront.net/qvHDimMUqxZcQnsj/9754143b-9ba5-44bb-9759-16aa1ecaf484.jpeg", "Алексей Бирюков: Ссылка на изображение")</f>
        <v>Алексей Бирюков: Ссылка на изображение</v>
      </c>
      <c r="EM714" t="str">
        <f>HYPERLINK("https://d33htgqikc2pj4.cloudfront.net/qvHDimMUqxZcQnsj/cd7338f6-2504-4651-be77-dfae433e8453.jpeg", "Алексей Бирюков: Ссылка на изображение")</f>
        <v>Алексей Бирюков: Ссылка на изображение</v>
      </c>
      <c r="EN714" t="str">
        <f>HYPERLINK("https://d33htgqikc2pj4.cloudfront.net/qvHDimMUqxZcQnsj/385e1885-0e45-4e26-9fb0-b068a9591d15.jpeg", "Алексей Бирюков: Ссылка на изображение")</f>
        <v>Алексей Бирюков: Ссылка на изображение</v>
      </c>
      <c r="EO714" t="s">
        <v>1899</v>
      </c>
    </row>
    <row r="715" spans="1:148" ht="15" customHeight="1" x14ac:dyDescent="0.35">
      <c r="A715">
        <v>1183</v>
      </c>
      <c r="B715" t="s">
        <v>5724</v>
      </c>
      <c r="C715">
        <v>2</v>
      </c>
      <c r="D715" t="str">
        <f>VLOOKUP(source[[#This Row],[Приоритет]],тПриоритеты[],2,0)</f>
        <v>Значительное</v>
      </c>
      <c r="E715" t="str">
        <f>IF(ISBLANK(source[[#This Row],[Проверенные]]),IF(ISBLANK(source[[#This Row],[Завершенные]]),source[[#This Row],[Приоритет_]],"Завершено"),"Проверено")</f>
        <v>Проверено</v>
      </c>
      <c r="F715" t="s">
        <v>4423</v>
      </c>
      <c r="G715" t="s">
        <v>2926</v>
      </c>
      <c r="H715" t="e">
        <f>VLOOKUP(source[[#This Row],[Отвественный]],тОтветственные[],2,0)</f>
        <v>#N/A</v>
      </c>
      <c r="I715" s="2">
        <v>43866</v>
      </c>
      <c r="J715" s="2">
        <v>43866</v>
      </c>
      <c r="S715" s="1">
        <v>43866.122986111113</v>
      </c>
      <c r="T715" s="1">
        <v>43866.125092592592</v>
      </c>
      <c r="U715" s="1">
        <v>43866.125092592592</v>
      </c>
      <c r="W715" s="1">
        <v>43866.125092592592</v>
      </c>
      <c r="X715" t="s">
        <v>4760</v>
      </c>
      <c r="AH715" t="s">
        <v>5725</v>
      </c>
      <c r="AI715" t="s">
        <v>5726</v>
      </c>
      <c r="AJ715" t="s">
        <v>5727</v>
      </c>
      <c r="AK715" t="s">
        <v>5728</v>
      </c>
      <c r="AL715" t="s">
        <v>5729</v>
      </c>
      <c r="AM715" t="s">
        <v>5730</v>
      </c>
      <c r="AN715" t="s">
        <v>5731</v>
      </c>
      <c r="AO715" t="s">
        <v>5732</v>
      </c>
      <c r="AP715" t="s">
        <v>5733</v>
      </c>
      <c r="AQ715" t="s">
        <v>5734</v>
      </c>
      <c r="AR715" t="s">
        <v>5735</v>
      </c>
      <c r="AS715" t="s">
        <v>5736</v>
      </c>
      <c r="AT715" t="s">
        <v>5737</v>
      </c>
      <c r="AU715" t="s">
        <v>5738</v>
      </c>
      <c r="AV715" t="s">
        <v>5739</v>
      </c>
      <c r="AW715" t="s">
        <v>5740</v>
      </c>
      <c r="AX715" t="s">
        <v>5741</v>
      </c>
      <c r="AY715" t="s">
        <v>5742</v>
      </c>
      <c r="EC715" t="s">
        <v>5743</v>
      </c>
      <c r="ED715" t="s">
        <v>2617</v>
      </c>
      <c r="EE715" t="s">
        <v>5744</v>
      </c>
      <c r="EF715" t="s">
        <v>3164</v>
      </c>
      <c r="EG715" t="str">
        <f>HYPERLINK("https://d33htgqikc2pj4.cloudfront.net/qvHDimMUqxZcQnsj/8d2c67c9-3af7-4145-87e1-2df0efde820b.jpeg", "Алексей Бирюков: Ссылка на изображение")</f>
        <v>Алексей Бирюков: Ссылка на изображение</v>
      </c>
      <c r="EH715" t="str">
        <f>HYPERLINK("https://d33htgqikc2pj4.cloudfront.net/qvHDimMUqxZcQnsj/4b490300-5150-4c09-a167-b36b6b21fe0b.jpeg", "Алексей Бирюков: Ссылка на изображение")</f>
        <v>Алексей Бирюков: Ссылка на изображение</v>
      </c>
      <c r="EI715" t="str">
        <f>HYPERLINK("https://d33htgqikc2pj4.cloudfront.net/qvHDimMUqxZcQnsj/e02b70cf-86b4-4d00-81b0-9bdb0709fdad.jpeg", "Алексей Бирюков: Ссылка на изображение")</f>
        <v>Алексей Бирюков: Ссылка на изображение</v>
      </c>
      <c r="EJ715" t="str">
        <f>HYPERLINK("https://d33htgqikc2pj4.cloudfront.net/qvHDimMUqxZcQnsj/b7b300d7-00e4-4d98-96e2-93f8a673a1d5.jpeg", "Алексей Бирюков: Ссылка на изображение")</f>
        <v>Алексей Бирюков: Ссылка на изображение</v>
      </c>
      <c r="EK715" t="s">
        <v>1899</v>
      </c>
    </row>
    <row r="716" spans="1:148" ht="15" customHeight="1" x14ac:dyDescent="0.35">
      <c r="A716">
        <v>1184</v>
      </c>
      <c r="B716" t="s">
        <v>5745</v>
      </c>
      <c r="C716">
        <v>2</v>
      </c>
      <c r="D716" t="str">
        <f>VLOOKUP(source[[#This Row],[Приоритет]],тПриоритеты[],2,0)</f>
        <v>Значительное</v>
      </c>
      <c r="E716" t="str">
        <f>IF(ISBLANK(source[[#This Row],[Проверенные]]),IF(ISBLANK(source[[#This Row],[Завершенные]]),source[[#This Row],[Приоритет_]],"Завершено"),"Проверено")</f>
        <v>Проверено</v>
      </c>
      <c r="F716" t="s">
        <v>4423</v>
      </c>
      <c r="G716" t="s">
        <v>2926</v>
      </c>
      <c r="H716" t="e">
        <f>VLOOKUP(source[[#This Row],[Отвественный]],тОтветственные[],2,0)</f>
        <v>#N/A</v>
      </c>
      <c r="I716" s="2">
        <v>43866</v>
      </c>
      <c r="J716" s="2">
        <v>43866</v>
      </c>
      <c r="S716" s="1">
        <v>43866.122986111113</v>
      </c>
      <c r="T716" s="1">
        <v>43868.386817129627</v>
      </c>
      <c r="U716" s="1">
        <v>43868.386817129627</v>
      </c>
      <c r="W716" s="1">
        <v>43868.386828703704</v>
      </c>
      <c r="X716" t="s">
        <v>2606</v>
      </c>
      <c r="AH716" t="s">
        <v>5746</v>
      </c>
      <c r="AI716" t="s">
        <v>5747</v>
      </c>
      <c r="AJ716" t="s">
        <v>5748</v>
      </c>
      <c r="AK716" t="s">
        <v>5749</v>
      </c>
      <c r="AL716" t="s">
        <v>5750</v>
      </c>
      <c r="AM716" t="s">
        <v>5751</v>
      </c>
      <c r="AN716" t="s">
        <v>5752</v>
      </c>
      <c r="AO716" t="s">
        <v>5753</v>
      </c>
      <c r="EC716" t="s">
        <v>5754</v>
      </c>
      <c r="ED716" t="s">
        <v>2617</v>
      </c>
      <c r="EE716" t="s">
        <v>3164</v>
      </c>
      <c r="EF716" t="str">
        <f>HYPERLINK("https://d33htgqikc2pj4.cloudfront.net/qvHDimMUqxZcQnsj/2c9e4c3c-469a-42f6-99f2-a0ceb945dd18.jpeg", "Алексей Бирюков: Ссылка на изображение")</f>
        <v>Алексей Бирюков: Ссылка на изображение</v>
      </c>
      <c r="EG716" t="str">
        <f>HYPERLINK("https://d33htgqikc2pj4.cloudfront.net/qvHDimMUqxZcQnsj/6e9ee835-e8ac-4e33-9c75-24a4f24abbc2.jpeg", "Алексей Бирюков: Ссылка на изображение")</f>
        <v>Алексей Бирюков: Ссылка на изображение</v>
      </c>
      <c r="EH716" t="str">
        <f>HYPERLINK("https://d33htgqikc2pj4.cloudfront.net/qvHDimMUqxZcQnsj/a28fba62-a174-4f80-a5b5-af50fdd28945.jpeg", "Алексей Бирюков: Ссылка на изображение")</f>
        <v>Алексей Бирюков: Ссылка на изображение</v>
      </c>
      <c r="EI716" t="str">
        <f>HYPERLINK("https://d33htgqikc2pj4.cloudfront.net/qvHDimMUqxZcQnsj/66a9f49d-d059-469e-abd1-cda9f29a24c1.jpeg", "Алексей Бирюков: Ссылка на изображение")</f>
        <v>Алексей Бирюков: Ссылка на изображение</v>
      </c>
      <c r="EJ716" t="str">
        <f>HYPERLINK("https://d33htgqikc2pj4.cloudfront.net/qvHDimMUqxZcQnsj/26cc25db-773c-4424-8a17-f8215a354a6c.jpeg", "Алексей Бирюков: Ссылка на изображение")</f>
        <v>Алексей Бирюков: Ссылка на изображение</v>
      </c>
      <c r="EK716" t="str">
        <f>HYPERLINK("https://d33htgqikc2pj4.cloudfront.net/qvHDimMUqxZcQnsj/06726308-69ef-41bc-864b-3ee54363d1aa.jpeg", "Алексей Бирюков: Ссылка на изображение")</f>
        <v>Алексей Бирюков: Ссылка на изображение</v>
      </c>
      <c r="EL716" t="str">
        <f>HYPERLINK("https://d33htgqikc2pj4.cloudfront.net/qvHDimMUqxZcQnsj/d14d1a60-b40a-4fb7-967b-22bd46795d07.jpeg", "Алексей Бирюков: Ссылка на изображение")</f>
        <v>Алексей Бирюков: Ссылка на изображение</v>
      </c>
      <c r="EM716" t="str">
        <f>HYPERLINK("https://d33htgqikc2pj4.cloudfront.net/qvHDimMUqxZcQnsj/9cb4a5df-6e31-48ec-aa6c-d1c7b392a764.jpeg", "Алексей Бирюков: Ссылка на изображение")</f>
        <v>Алексей Бирюков: Ссылка на изображение</v>
      </c>
      <c r="EN716" t="s">
        <v>1902</v>
      </c>
      <c r="EO716" t="s">
        <v>1899</v>
      </c>
    </row>
    <row r="717" spans="1:148" ht="15" customHeight="1" x14ac:dyDescent="0.35">
      <c r="A717">
        <v>1181</v>
      </c>
      <c r="B717" t="s">
        <v>5755</v>
      </c>
      <c r="C717">
        <v>3</v>
      </c>
      <c r="D717" t="str">
        <f>VLOOKUP(source[[#This Row],[Приоритет]],тПриоритеты[],2,0)</f>
        <v>Малозначительное</v>
      </c>
      <c r="E717" t="str">
        <f>IF(ISBLANK(source[[#This Row],[Проверенные]]),IF(ISBLANK(source[[#This Row],[Завершенные]]),source[[#This Row],[Приоритет_]],"Завершено"),"Проверено")</f>
        <v>Проверено</v>
      </c>
      <c r="F717" t="s">
        <v>4423</v>
      </c>
      <c r="G717" t="s">
        <v>2926</v>
      </c>
      <c r="H717" t="e">
        <f>VLOOKUP(source[[#This Row],[Отвественный]],тОтветственные[],2,0)</f>
        <v>#N/A</v>
      </c>
      <c r="I717" s="2">
        <v>43865</v>
      </c>
      <c r="J717" s="2">
        <v>43865</v>
      </c>
      <c r="S717" s="1">
        <v>43865.998518518521</v>
      </c>
      <c r="T717" s="1">
        <v>43866.123136574075</v>
      </c>
      <c r="U717" s="1">
        <v>43866.123136574075</v>
      </c>
      <c r="W717" s="1">
        <v>43866.123136574075</v>
      </c>
      <c r="X717" t="s">
        <v>2606</v>
      </c>
      <c r="AH717" t="s">
        <v>5746</v>
      </c>
      <c r="AI717" t="s">
        <v>5747</v>
      </c>
      <c r="AJ717" t="s">
        <v>5748</v>
      </c>
      <c r="AK717" t="s">
        <v>5749</v>
      </c>
      <c r="AL717" t="s">
        <v>5750</v>
      </c>
      <c r="AM717" t="s">
        <v>5751</v>
      </c>
      <c r="AN717" t="s">
        <v>5752</v>
      </c>
      <c r="AO717" t="s">
        <v>5753</v>
      </c>
      <c r="EC717" t="s">
        <v>5756</v>
      </c>
      <c r="ED717" t="s">
        <v>2617</v>
      </c>
      <c r="EE717" t="s">
        <v>5757</v>
      </c>
      <c r="EF717" t="str">
        <f>HYPERLINK("https://d33htgqikc2pj4.cloudfront.net/qvHDimMUqxZcQnsj/ff2cfe70-2a06-4cbb-8b46-336e12fb446b.jpeg", "Алексей Бирюков: Ссылка на изображение")</f>
        <v>Алексей Бирюков: Ссылка на изображение</v>
      </c>
      <c r="EG717" t="str">
        <f>HYPERLINK("https://d33htgqikc2pj4.cloudfront.net/qvHDimMUqxZcQnsj/195d4c3c-d4c6-4fda-9cd8-69d84d249b00.jpeg", "Алексей Бирюков: Ссылка на изображение")</f>
        <v>Алексей Бирюков: Ссылка на изображение</v>
      </c>
      <c r="EH717" t="str">
        <f>HYPERLINK("https://d33htgqikc2pj4.cloudfront.net/qvHDimMUqxZcQnsj/083518b1-b4c5-4336-acaf-cc410a15a82c.jpeg", "Алексей Бирюков: Ссылка на изображение")</f>
        <v>Алексей Бирюков: Ссылка на изображение</v>
      </c>
      <c r="EI717" t="str">
        <f>HYPERLINK("https://d33htgqikc2pj4.cloudfront.net/qvHDimMUqxZcQnsj/b379a049-91b8-4e1e-abc5-21770c7d2ac6.jpeg", "Алексей Бирюков: Ссылка на изображение")</f>
        <v>Алексей Бирюков: Ссылка на изображение</v>
      </c>
      <c r="EJ717" t="str">
        <f>HYPERLINK("https://d33htgqikc2pj4.cloudfront.net/qvHDimMUqxZcQnsj/0080fa6b-8a49-412c-9833-c5e2945573d9.jpeg", "Алексей Бирюков: Ссылка на изображение")</f>
        <v>Алексей Бирюков: Ссылка на изображение</v>
      </c>
      <c r="EK717" t="str">
        <f>HYPERLINK("https://d33htgqikc2pj4.cloudfront.net/qvHDimMUqxZcQnsj/4092a081-e8ab-4a2a-965a-06ae7ec49738.jpeg", "Алексей Бирюков: Ссылка на изображение")</f>
        <v>Алексей Бирюков: Ссылка на изображение</v>
      </c>
      <c r="EL717" t="str">
        <f>HYPERLINK("https://d33htgqikc2pj4.cloudfront.net/qvHDimMUqxZcQnsj/d89276b5-19a7-406e-8ab8-6968c2c2eb1d.jpeg", "Алексей Бирюков: Ссылка на изображение")</f>
        <v>Алексей Бирюков: Ссылка на изображение</v>
      </c>
      <c r="EM717" t="str">
        <f>HYPERLINK("https://d33htgqikc2pj4.cloudfront.net/qvHDimMUqxZcQnsj/07aec3ed-b278-4cca-9c60-4c8cbd6a2756.jpeg", "Алексей Бирюков: Ссылка на изображение")</f>
        <v>Алексей Бирюков: Ссылка на изображение</v>
      </c>
      <c r="EN717" t="s">
        <v>2977</v>
      </c>
      <c r="EO717" t="s">
        <v>1899</v>
      </c>
    </row>
    <row r="718" spans="1:148" ht="15" customHeight="1" x14ac:dyDescent="0.35">
      <c r="A718">
        <v>890</v>
      </c>
      <c r="B718" t="s">
        <v>5758</v>
      </c>
      <c r="C718">
        <v>3</v>
      </c>
      <c r="D718" t="str">
        <f>VLOOKUP(source[[#This Row],[Приоритет]],тПриоритеты[],2,0)</f>
        <v>Малозначительное</v>
      </c>
      <c r="E718" t="str">
        <f>IF(ISBLANK(source[[#This Row],[Проверенные]]),IF(ISBLANK(source[[#This Row],[Завершенные]]),source[[#This Row],[Приоритет_]],"Завершено"),"Проверено")</f>
        <v>Проверено</v>
      </c>
      <c r="F718" t="s">
        <v>4423</v>
      </c>
      <c r="G718" t="s">
        <v>2926</v>
      </c>
      <c r="H718" t="e">
        <f>VLOOKUP(source[[#This Row],[Отвественный]],тОтветственные[],2,0)</f>
        <v>#N/A</v>
      </c>
      <c r="I718" s="2">
        <v>43840</v>
      </c>
      <c r="J718" s="2">
        <v>43840</v>
      </c>
      <c r="S718" s="1">
        <v>43840.717210648145</v>
      </c>
      <c r="T718" s="1">
        <v>43840.717685185184</v>
      </c>
      <c r="U718" s="1">
        <v>43840.717685185184</v>
      </c>
      <c r="W718" s="1">
        <v>43840.71769675926</v>
      </c>
      <c r="X718" t="s">
        <v>2606</v>
      </c>
      <c r="AH718" t="s">
        <v>5759</v>
      </c>
      <c r="AI718" t="s">
        <v>5760</v>
      </c>
      <c r="AJ718" t="s">
        <v>5761</v>
      </c>
      <c r="AK718" t="s">
        <v>5762</v>
      </c>
      <c r="AL718" t="s">
        <v>5763</v>
      </c>
      <c r="AM718" t="s">
        <v>5764</v>
      </c>
      <c r="AN718" t="s">
        <v>5765</v>
      </c>
      <c r="AO718" t="s">
        <v>5766</v>
      </c>
      <c r="EC718" t="s">
        <v>5767</v>
      </c>
      <c r="ED718" t="s">
        <v>2617</v>
      </c>
      <c r="EE718" t="s">
        <v>3171</v>
      </c>
      <c r="EF718" t="str">
        <f>HYPERLINK("https://d33htgqikc2pj4.cloudfront.net/qvHDimMUqxZcQnsj/b46bc2d5-b924-4327-a03a-ec97ab1b35e0.jpeg", "Алексей Бирюков: Ссылка на изображение")</f>
        <v>Алексей Бирюков: Ссылка на изображение</v>
      </c>
      <c r="EG718" t="str">
        <f>HYPERLINK("https://d33htgqikc2pj4.cloudfront.net/qvHDimMUqxZcQnsj/dac0018a-e0ed-46da-ae44-36dd19710329.jpeg", "Алексей Бирюков: Ссылка на изображение")</f>
        <v>Алексей Бирюков: Ссылка на изображение</v>
      </c>
      <c r="EH718" t="str">
        <f>HYPERLINK("https://d33htgqikc2pj4.cloudfront.net/qvHDimMUqxZcQnsj/40c23005-c7bf-4674-9973-ad6028691f02.jpeg", "Алексей Бирюков: Ссылка на изображение")</f>
        <v>Алексей Бирюков: Ссылка на изображение</v>
      </c>
      <c r="EI718" t="str">
        <f>HYPERLINK("https://d33htgqikc2pj4.cloudfront.net/qvHDimMUqxZcQnsj/a5240a84-ebc8-4144-897b-2aa1559d719f.jpeg", "Алексей Бирюков: Ссылка на изображение")</f>
        <v>Алексей Бирюков: Ссылка на изображение</v>
      </c>
      <c r="EJ718" t="str">
        <f>HYPERLINK("https://d33htgqikc2pj4.cloudfront.net/qvHDimMUqxZcQnsj/e23fb9de-3dfd-4b1d-9f37-1a68d0ffb056.jpeg", "Алексей Бирюков: Ссылка на изображение")</f>
        <v>Алексей Бирюков: Ссылка на изображение</v>
      </c>
      <c r="EK718" t="str">
        <f>HYPERLINK("https://d33htgqikc2pj4.cloudfront.net/qvHDimMUqxZcQnsj/afc08def-50b7-4f6c-a4c5-a1c806b8b55c.jpeg", "Алексей Бирюков: Ссылка на изображение")</f>
        <v>Алексей Бирюков: Ссылка на изображение</v>
      </c>
      <c r="EL718" t="str">
        <f>HYPERLINK("https://d33htgqikc2pj4.cloudfront.net/qvHDimMUqxZcQnsj/c9ae8695-2af5-43b7-8378-c9f359bc0ee4.jpeg", "Алексей Бирюков: Ссылка на изображение")</f>
        <v>Алексей Бирюков: Ссылка на изображение</v>
      </c>
      <c r="EM718" t="str">
        <f>HYPERLINK("https://d33htgqikc2pj4.cloudfront.net/qvHDimMUqxZcQnsj/b42f3965-bc37-463b-b3eb-fb082aabb9e2.jpeg", "Алексей Бирюков: Ссылка на изображение")</f>
        <v>Алексей Бирюков: Ссылка на изображение</v>
      </c>
      <c r="EN718" t="str">
        <f>HYPERLINK("https://d33htgqikc2pj4.cloudfront.net/qvHDimMUqxZcQnsj/0e95939a-8d25-4682-b7b8-68fd31f51859.jpeg", "Алексей Бирюков: Ссылка на изображение")</f>
        <v>Алексей Бирюков: Ссылка на изображение</v>
      </c>
      <c r="EO718" t="s">
        <v>2977</v>
      </c>
      <c r="EP718" t="s">
        <v>1902</v>
      </c>
      <c r="EQ718" t="s">
        <v>1899</v>
      </c>
    </row>
    <row r="719" spans="1:148" ht="15" customHeight="1" x14ac:dyDescent="0.35">
      <c r="A719">
        <v>888</v>
      </c>
      <c r="B719" t="s">
        <v>5768</v>
      </c>
      <c r="C719">
        <v>2</v>
      </c>
      <c r="D719" t="str">
        <f>VLOOKUP(source[[#This Row],[Приоритет]],тПриоритеты[],2,0)</f>
        <v>Значительное</v>
      </c>
      <c r="E719" t="str">
        <f>IF(ISBLANK(source[[#This Row],[Проверенные]]),IF(ISBLANK(source[[#This Row],[Завершенные]]),source[[#This Row],[Приоритет_]],"Завершено"),"Проверено")</f>
        <v>Проверено</v>
      </c>
      <c r="F719" t="s">
        <v>4423</v>
      </c>
      <c r="G719" t="s">
        <v>2926</v>
      </c>
      <c r="H719" t="e">
        <f>VLOOKUP(source[[#This Row],[Отвественный]],тОтветственные[],2,0)</f>
        <v>#N/A</v>
      </c>
      <c r="I719" s="2">
        <v>43840</v>
      </c>
      <c r="J719" s="2">
        <v>43840</v>
      </c>
      <c r="S719" s="1">
        <v>43840.717199074075</v>
      </c>
      <c r="T719" s="1">
        <v>43840.586712962962</v>
      </c>
      <c r="U719" s="1">
        <v>43840.586712962962</v>
      </c>
      <c r="W719" s="1">
        <v>43840.717210648145</v>
      </c>
      <c r="X719" t="s">
        <v>5769</v>
      </c>
      <c r="AH719" t="s">
        <v>5770</v>
      </c>
      <c r="AI719" t="s">
        <v>5771</v>
      </c>
      <c r="AJ719" t="s">
        <v>5772</v>
      </c>
      <c r="AK719" t="s">
        <v>5773</v>
      </c>
      <c r="AL719" t="s">
        <v>5774</v>
      </c>
      <c r="AM719" t="s">
        <v>5775</v>
      </c>
      <c r="AN719" t="s">
        <v>5776</v>
      </c>
      <c r="AO719" t="s">
        <v>5777</v>
      </c>
      <c r="AP719" t="s">
        <v>5778</v>
      </c>
      <c r="EC719" t="s">
        <v>5779</v>
      </c>
      <c r="ED719" t="str">
        <f>HYPERLINK("https://d33htgqikc2pj4.cloudfront.net/qvHDimMUqxZcQnsj/e6066d96-e6db-4e26-9345-e98c21fc6a72.jpeg", "Алексей Бирюков: Ссылка на изображение")</f>
        <v>Алексей Бирюков: Ссылка на изображение</v>
      </c>
      <c r="EE719" t="str">
        <f>HYPERLINK("https://d33htgqikc2pj4.cloudfront.net/qvHDimMUqxZcQnsj/8c2f9195-8858-4b1f-950a-1f55e7d53cfd.jpeg", "Алексей Бирюков: Ссылка на изображение")</f>
        <v>Алексей Бирюков: Ссылка на изображение</v>
      </c>
      <c r="EF719" t="str">
        <f>HYPERLINK("https://d33htgqikc2pj4.cloudfront.net/qvHDimMUqxZcQnsj/b845008d-cdb5-4e74-8f72-42285526469f.jpeg", "Алексей Бирюков: Ссылка на изображение")</f>
        <v>Алексей Бирюков: Ссылка на изображение</v>
      </c>
      <c r="EG719" t="str">
        <f>HYPERLINK("https://d33htgqikc2pj4.cloudfront.net/qvHDimMUqxZcQnsj/accb617a-1972-4a81-9d8c-f348d452ddef.jpeg", "Алексей Бирюков: Ссылка на изображение")</f>
        <v>Алексей Бирюков: Ссылка на изображение</v>
      </c>
      <c r="EH719" t="str">
        <f>HYPERLINK("https://d33htgqikc2pj4.cloudfront.net/qvHDimMUqxZcQnsj/eb0236b9-ef9e-423e-a286-549b5ae4e7b0.jpeg", "Алексей Бирюков: Ссылка на изображение")</f>
        <v>Алексей Бирюков: Ссылка на изображение</v>
      </c>
      <c r="EI719" t="str">
        <f>HYPERLINK("https://d33htgqikc2pj4.cloudfront.net/qvHDimMUqxZcQnsj/5f3f7cbf-34f3-4627-a523-050db4efd363.jpeg", "Алексей Бирюков: Ссылка на изображение")</f>
        <v>Алексей Бирюков: Ссылка на изображение</v>
      </c>
      <c r="EJ719" t="str">
        <f>HYPERLINK("https://d33htgqikc2pj4.cloudfront.net/qvHDimMUqxZcQnsj/8c2029e0-9aff-43cc-ac3f-0671133def12.jpeg", "Алексей Бирюков: Ссылка на изображение")</f>
        <v>Алексей Бирюков: Ссылка на изображение</v>
      </c>
      <c r="EK719" t="s">
        <v>1902</v>
      </c>
      <c r="EL719" t="s">
        <v>1899</v>
      </c>
      <c r="EM719" t="s">
        <v>2617</v>
      </c>
      <c r="EN719" t="s">
        <v>3171</v>
      </c>
    </row>
    <row r="720" spans="1:148" ht="15" customHeight="1" x14ac:dyDescent="0.35">
      <c r="A720">
        <v>891</v>
      </c>
      <c r="B720" t="s">
        <v>5780</v>
      </c>
      <c r="C720">
        <v>2</v>
      </c>
      <c r="D720" t="str">
        <f>VLOOKUP(source[[#This Row],[Приоритет]],тПриоритеты[],2,0)</f>
        <v>Значительное</v>
      </c>
      <c r="E720" t="str">
        <f>IF(ISBLANK(source[[#This Row],[Проверенные]]),IF(ISBLANK(source[[#This Row],[Завершенные]]),source[[#This Row],[Приоритет_]],"Завершено"),"Проверено")</f>
        <v>Проверено</v>
      </c>
      <c r="F720" t="s">
        <v>4423</v>
      </c>
      <c r="G720" t="s">
        <v>2926</v>
      </c>
      <c r="H720" t="e">
        <f>VLOOKUP(source[[#This Row],[Отвественный]],тОтветственные[],2,0)</f>
        <v>#N/A</v>
      </c>
      <c r="I720" s="2">
        <v>43841</v>
      </c>
      <c r="J720" s="2">
        <v>43841</v>
      </c>
      <c r="S720" s="1">
        <v>43841.447592592594</v>
      </c>
      <c r="T720" s="1">
        <v>43841.545972222222</v>
      </c>
      <c r="U720" s="1">
        <v>43841.545972222222</v>
      </c>
      <c r="W720" s="1">
        <v>43841.545995370368</v>
      </c>
      <c r="X720" t="s">
        <v>432</v>
      </c>
      <c r="AH720" t="s">
        <v>5781</v>
      </c>
      <c r="AI720" t="s">
        <v>5782</v>
      </c>
      <c r="AJ720" s="3" t="s">
        <v>5783</v>
      </c>
      <c r="AK720" s="3" t="s">
        <v>5784</v>
      </c>
      <c r="AL720" t="s">
        <v>5785</v>
      </c>
      <c r="AM720" s="3" t="s">
        <v>5786</v>
      </c>
      <c r="AN720" t="s">
        <v>5787</v>
      </c>
      <c r="AO720" t="s">
        <v>5788</v>
      </c>
      <c r="AP720" t="s">
        <v>5789</v>
      </c>
      <c r="EC720" t="s">
        <v>5790</v>
      </c>
      <c r="ED720" t="s">
        <v>2617</v>
      </c>
      <c r="EE720" t="str">
        <f>HYPERLINK("https://d33htgqikc2pj4.cloudfront.net/qvHDimMUqxZcQnsj/ed9d44c1-04d1-435c-80d8-93eb364e0b4c.jpeg", "Алексей Бирюков: Ссылка на изображение")</f>
        <v>Алексей Бирюков: Ссылка на изображение</v>
      </c>
      <c r="EF720" t="str">
        <f>HYPERLINK("https://d33htgqikc2pj4.cloudfront.net/qvHDimMUqxZcQnsj/af841b8e-3958-49cf-b7d6-a0c2b4a1a7b7.jpeg", "Алексей Бирюков: Ссылка на изображение")</f>
        <v>Алексей Бирюков: Ссылка на изображение</v>
      </c>
      <c r="EG720" t="str">
        <f>HYPERLINK("https://d33htgqikc2pj4.cloudfront.net/qvHDimMUqxZcQnsj/0b969d8a-ec6c-4acd-bb7f-0caf9887e068.jpeg", "Алексей Бирюков: Ссылка на изображение")</f>
        <v>Алексей Бирюков: Ссылка на изображение</v>
      </c>
      <c r="EH720" t="str">
        <f>HYPERLINK("https://d33htgqikc2pj4.cloudfront.net/qvHDimMUqxZcQnsj/3cef8fbe-31e0-43a8-923a-5a996ad26b04.jpeg", "Алексей Бирюков: Ссылка на изображение")</f>
        <v>Алексей Бирюков: Ссылка на изображение</v>
      </c>
      <c r="EI720" t="str">
        <f>HYPERLINK("https://d33htgqikc2pj4.cloudfront.net/qvHDimMUqxZcQnsj/2b5ac448-74d0-43b5-a1f2-f5892b2f32b4.jpeg", "Алексей Бирюков: Ссылка на изображение")</f>
        <v>Алексей Бирюков: Ссылка на изображение</v>
      </c>
      <c r="EJ720" t="str">
        <f>HYPERLINK("https://d33htgqikc2pj4.cloudfront.net/qvHDimMUqxZcQnsj/d927c413-84c8-4405-9ec9-979ff4931ff1.jpeg", "Алексей Бирюков: Ссылка на изображение")</f>
        <v>Алексей Бирюков: Ссылка на изображение</v>
      </c>
      <c r="EK720" t="s">
        <v>5791</v>
      </c>
      <c r="EL720" t="s">
        <v>1902</v>
      </c>
      <c r="EM720" t="s">
        <v>1899</v>
      </c>
    </row>
    <row r="721" spans="1:146" ht="15" customHeight="1" x14ac:dyDescent="0.35">
      <c r="A721">
        <v>1230</v>
      </c>
      <c r="B721" t="s">
        <v>5792</v>
      </c>
      <c r="C721">
        <v>2</v>
      </c>
      <c r="D721" t="str">
        <f>VLOOKUP(source[[#This Row],[Приоритет]],тПриоритеты[],2,0)</f>
        <v>Значительное</v>
      </c>
      <c r="E721" t="str">
        <f>IF(ISBLANK(source[[#This Row],[Проверенные]]),IF(ISBLANK(source[[#This Row],[Завершенные]]),source[[#This Row],[Приоритет_]],"Завершено"),"Проверено")</f>
        <v>Проверено</v>
      </c>
      <c r="F721" t="s">
        <v>4423</v>
      </c>
      <c r="G721" t="s">
        <v>2926</v>
      </c>
      <c r="H721" t="e">
        <f>VLOOKUP(source[[#This Row],[Отвественный]],тОтветственные[],2,0)</f>
        <v>#N/A</v>
      </c>
      <c r="I721" s="2">
        <v>43868</v>
      </c>
      <c r="J721" s="2">
        <v>43868</v>
      </c>
      <c r="S721" s="1">
        <v>43868.471990740742</v>
      </c>
      <c r="T721" s="1">
        <v>43868.774328703701</v>
      </c>
      <c r="U721" s="1">
        <v>43868.774328703701</v>
      </c>
      <c r="W721" s="1">
        <v>43868.774328703701</v>
      </c>
      <c r="X721" t="s">
        <v>2606</v>
      </c>
      <c r="AH721" t="s">
        <v>3180</v>
      </c>
      <c r="AI721" t="s">
        <v>3181</v>
      </c>
      <c r="AJ721" t="s">
        <v>3182</v>
      </c>
      <c r="AK721" t="s">
        <v>3183</v>
      </c>
      <c r="AL721" t="s">
        <v>3184</v>
      </c>
      <c r="AM721" t="s">
        <v>3185</v>
      </c>
      <c r="AN721" t="s">
        <v>3186</v>
      </c>
      <c r="AO721" t="s">
        <v>3187</v>
      </c>
      <c r="EC721" t="s">
        <v>5793</v>
      </c>
      <c r="ED721" t="str">
        <f>HYPERLINK("https://d33htgqikc2pj4.cloudfront.net/qvHDimMUqxZcQnsj/d102b8b7-0ced-40ed-b0e7-5e51564c7c48.jpeg", "Алексей Бирюков: Ссылка на изображение")</f>
        <v>Алексей Бирюков: Ссылка на изображение</v>
      </c>
      <c r="EE721" t="str">
        <f>HYPERLINK("https://d33htgqikc2pj4.cloudfront.net/qvHDimMUqxZcQnsj/1b042103-e9fb-4a9a-821b-e880b259cc7d.jpeg", "Алексей Бирюков: Ссылка на изображение")</f>
        <v>Алексей Бирюков: Ссылка на изображение</v>
      </c>
      <c r="EF721" t="str">
        <f>HYPERLINK("https://d33htgqikc2pj4.cloudfront.net/qvHDimMUqxZcQnsj/4b9d65a8-da20-4e63-af9e-74e8743f679d.jpeg", "Алексей Бирюков: Ссылка на изображение")</f>
        <v>Алексей Бирюков: Ссылка на изображение</v>
      </c>
      <c r="EG721" t="str">
        <f>HYPERLINK("https://d33htgqikc2pj4.cloudfront.net/qvHDimMUqxZcQnsj/4a6b43c1-ed28-4ced-870b-ec05d6bc7bbc.jpeg", "Алексей Бирюков: Ссылка на изображение")</f>
        <v>Алексей Бирюков: Ссылка на изображение</v>
      </c>
      <c r="EH721" t="s">
        <v>5794</v>
      </c>
      <c r="EI721" t="s">
        <v>5795</v>
      </c>
      <c r="EJ721" t="s">
        <v>5796</v>
      </c>
      <c r="EK721" t="str">
        <f>HYPERLINK("https://d33htgqikc2pj4.cloudfront.net/qvHDimMUqxZcQnsj/c0c75a6f-311a-4add-9568-5608095623e6.jpeg", "Алексей Бирюков: Ссылка на изображение")</f>
        <v>Алексей Бирюков: Ссылка на изображение</v>
      </c>
      <c r="EL721" t="str">
        <f>HYPERLINK("https://d33htgqikc2pj4.cloudfront.net/qvHDimMUqxZcQnsj/f04b6c2b-0341-4c05-8bd7-19fc4fd1c345.jpeg", "Алексей Бирюков: Ссылка на изображение")</f>
        <v>Алексей Бирюков: Ссылка на изображение</v>
      </c>
      <c r="EM721" t="s">
        <v>2617</v>
      </c>
      <c r="EN721" t="s">
        <v>3189</v>
      </c>
      <c r="EO721" t="s">
        <v>1899</v>
      </c>
    </row>
    <row r="722" spans="1:146" ht="15" customHeight="1" x14ac:dyDescent="0.35">
      <c r="A722">
        <v>1232</v>
      </c>
      <c r="B722" t="s">
        <v>5797</v>
      </c>
      <c r="C722">
        <v>2</v>
      </c>
      <c r="D722" t="str">
        <f>VLOOKUP(source[[#This Row],[Приоритет]],тПриоритеты[],2,0)</f>
        <v>Значительное</v>
      </c>
      <c r="E722" t="str">
        <f>IF(ISBLANK(source[[#This Row],[Проверенные]]),IF(ISBLANK(source[[#This Row],[Завершенные]]),source[[#This Row],[Приоритет_]],"Завершено"),"Проверено")</f>
        <v>Проверено</v>
      </c>
      <c r="F722" t="s">
        <v>4423</v>
      </c>
      <c r="G722" t="s">
        <v>2926</v>
      </c>
      <c r="H722" t="e">
        <f>VLOOKUP(source[[#This Row],[Отвественный]],тОтветственные[],2,0)</f>
        <v>#N/A</v>
      </c>
      <c r="I722" s="2">
        <v>43868</v>
      </c>
      <c r="J722" s="2">
        <v>43868</v>
      </c>
      <c r="S722" s="1">
        <v>43868.471990740742</v>
      </c>
      <c r="T722" s="1">
        <v>43868.774409722224</v>
      </c>
      <c r="U722" s="1">
        <v>43868.774409722224</v>
      </c>
      <c r="W722" s="1">
        <v>43868.774409722224</v>
      </c>
      <c r="X722" t="s">
        <v>2606</v>
      </c>
      <c r="AH722" t="s">
        <v>3180</v>
      </c>
      <c r="AI722" t="s">
        <v>3181</v>
      </c>
      <c r="AJ722" t="s">
        <v>3182</v>
      </c>
      <c r="AK722" t="s">
        <v>3183</v>
      </c>
      <c r="AL722" t="s">
        <v>3184</v>
      </c>
      <c r="AM722" t="s">
        <v>3185</v>
      </c>
      <c r="AN722" t="s">
        <v>3186</v>
      </c>
      <c r="AO722" t="s">
        <v>3187</v>
      </c>
      <c r="EC722" t="s">
        <v>5798</v>
      </c>
      <c r="ED722" t="str">
        <f>HYPERLINK("https://d33htgqikc2pj4.cloudfront.net/qvHDimMUqxZcQnsj/d42afdad-dd5c-42b2-84cc-6292221c30d4.jpeg", "Алексей Бирюков: Ссылка на изображение")</f>
        <v>Алексей Бирюков: Ссылка на изображение</v>
      </c>
      <c r="EE722" t="str">
        <f>HYPERLINK("https://d33htgqikc2pj4.cloudfront.net/qvHDimMUqxZcQnsj/3a19b5e7-95ff-472d-b665-ec09aa81eaf4.jpeg", "Алексей Бирюков: Ссылка на изображение")</f>
        <v>Алексей Бирюков: Ссылка на изображение</v>
      </c>
      <c r="EF722" t="str">
        <f>HYPERLINK("https://d33htgqikc2pj4.cloudfront.net/qvHDimMUqxZcQnsj/c4c5e88e-6a2e-47fb-8721-b9daacdb65aa.jpeg", "Алексей Бирюков: Ссылка на изображение")</f>
        <v>Алексей Бирюков: Ссылка на изображение</v>
      </c>
      <c r="EG722" t="str">
        <f>HYPERLINK("https://d33htgqikc2pj4.cloudfront.net/qvHDimMUqxZcQnsj/bb745f1e-234c-4156-b3d6-9d5366c1f552.jpeg", "Алексей Бирюков: Ссылка на изображение")</f>
        <v>Алексей Бирюков: Ссылка на изображение</v>
      </c>
      <c r="EH722" t="str">
        <f>HYPERLINK("https://d33htgqikc2pj4.cloudfront.net/qvHDimMUqxZcQnsj/323d0553-87b7-4d92-8a48-e109ea57ef8f.jpeg", "Алексей Бирюков: Ссылка на изображение")</f>
        <v>Алексей Бирюков: Ссылка на изображение</v>
      </c>
      <c r="EI722" t="s">
        <v>2617</v>
      </c>
      <c r="EJ722" t="s">
        <v>3189</v>
      </c>
      <c r="EK722" t="s">
        <v>1899</v>
      </c>
    </row>
    <row r="723" spans="1:146" ht="15" customHeight="1" x14ac:dyDescent="0.35">
      <c r="A723">
        <v>1231</v>
      </c>
      <c r="B723" t="s">
        <v>5799</v>
      </c>
      <c r="C723">
        <v>2</v>
      </c>
      <c r="D723" t="str">
        <f>VLOOKUP(source[[#This Row],[Приоритет]],тПриоритеты[],2,0)</f>
        <v>Значительное</v>
      </c>
      <c r="E723" t="str">
        <f>IF(ISBLANK(source[[#This Row],[Проверенные]]),IF(ISBLANK(source[[#This Row],[Завершенные]]),source[[#This Row],[Приоритет_]],"Завершено"),"Проверено")</f>
        <v>Проверено</v>
      </c>
      <c r="F723" t="s">
        <v>4423</v>
      </c>
      <c r="G723" t="s">
        <v>2926</v>
      </c>
      <c r="H723" t="e">
        <f>VLOOKUP(source[[#This Row],[Отвественный]],тОтветственные[],2,0)</f>
        <v>#N/A</v>
      </c>
      <c r="I723" s="2">
        <v>43868</v>
      </c>
      <c r="J723" s="2">
        <v>43868</v>
      </c>
      <c r="S723" s="1">
        <v>43868.471990740742</v>
      </c>
      <c r="T723" s="1">
        <v>43868.773599537039</v>
      </c>
      <c r="U723" s="1">
        <v>43868.773599537039</v>
      </c>
      <c r="W723" s="1">
        <v>43868.773657407408</v>
      </c>
      <c r="X723" t="s">
        <v>2606</v>
      </c>
      <c r="AH723" t="s">
        <v>3180</v>
      </c>
      <c r="AI723" t="s">
        <v>3181</v>
      </c>
      <c r="AJ723" t="s">
        <v>3182</v>
      </c>
      <c r="AK723" t="s">
        <v>3183</v>
      </c>
      <c r="AL723" t="s">
        <v>3184</v>
      </c>
      <c r="AM723" t="s">
        <v>3185</v>
      </c>
      <c r="AN723" t="s">
        <v>3186</v>
      </c>
      <c r="AO723" t="s">
        <v>3187</v>
      </c>
      <c r="EC723" t="s">
        <v>5800</v>
      </c>
      <c r="ED723" t="str">
        <f>HYPERLINK("https://d33htgqikc2pj4.cloudfront.net/qvHDimMUqxZcQnsj/63b667b7-3031-4753-a2aa-5e41294f42b3.jpeg", "Алексей Бирюков: Ссылка на изображение")</f>
        <v>Алексей Бирюков: Ссылка на изображение</v>
      </c>
      <c r="EE723" t="str">
        <f>HYPERLINK("https://d33htgqikc2pj4.cloudfront.net/qvHDimMUqxZcQnsj/a434a11e-65dd-411c-bd68-3e1830f1b616.jpeg", "Алексей Бирюков: Ссылка на изображение")</f>
        <v>Алексей Бирюков: Ссылка на изображение</v>
      </c>
      <c r="EF723" t="str">
        <f>HYPERLINK("https://d33htgqikc2pj4.cloudfront.net/qvHDimMUqxZcQnsj/440c8cae-1316-4d14-956c-31c907fce576.jpeg", "Алексей Бирюков: Ссылка на изображение")</f>
        <v>Алексей Бирюков: Ссылка на изображение</v>
      </c>
      <c r="EG723" t="str">
        <f>HYPERLINK("https://d33htgqikc2pj4.cloudfront.net/qvHDimMUqxZcQnsj/51b475b3-8e49-4698-b92a-c68bbee93643.jpeg", "Алексей Бирюков: Ссылка на изображение")</f>
        <v>Алексей Бирюков: Ссылка на изображение</v>
      </c>
      <c r="EH723" t="str">
        <f>HYPERLINK("https://d33htgqikc2pj4.cloudfront.net/qvHDimMUqxZcQnsj/ffaf4e7f-b2a0-476a-9898-c5993d520703.jpeg", "Алексей Бирюков: Ссылка на изображение")</f>
        <v>Алексей Бирюков: Ссылка на изображение</v>
      </c>
      <c r="EI723" t="str">
        <f>HYPERLINK("https://d33htgqikc2pj4.cloudfront.net/qvHDimMUqxZcQnsj/c7f8f478-a445-4b59-a74b-ea5dea1cd370.jpeg", "Алексей Бирюков: Ссылка на изображение")</f>
        <v>Алексей Бирюков: Ссылка на изображение</v>
      </c>
      <c r="EJ723" t="str">
        <f>HYPERLINK("https://d33htgqikc2pj4.cloudfront.net/qvHDimMUqxZcQnsj/40553930-ff2c-453c-8038-e12abcb10b91.jpeg", "Алексей Бирюков: Ссылка на изображение")</f>
        <v>Алексей Бирюков: Ссылка на изображение</v>
      </c>
      <c r="EK723" t="str">
        <f>HYPERLINK("https://d33htgqikc2pj4.cloudfront.net/qvHDimMUqxZcQnsj/3e497342-939a-499a-81a4-85e08d24c407.jpeg", "Алексей Бирюков: Ссылка на изображение")</f>
        <v>Алексей Бирюков: Ссылка на изображение</v>
      </c>
      <c r="EL723" t="str">
        <f>HYPERLINK("https://d33htgqikc2pj4.cloudfront.net/qvHDimMUqxZcQnsj/f8432f11-2ec1-4e77-922e-32ea417df88b.jpeg", "Алексей Бирюков: Ссылка на изображение")</f>
        <v>Алексей Бирюков: Ссылка на изображение</v>
      </c>
      <c r="EM723" t="str">
        <f>HYPERLINK("https://d33htgqikc2pj4.cloudfront.net/qvHDimMUqxZcQnsj/6d365708-0b83-4352-9a02-f75353ab33bc.jpeg", "Алексей Бирюков: Ссылка на изображение")</f>
        <v>Алексей Бирюков: Ссылка на изображение</v>
      </c>
      <c r="EN723" t="s">
        <v>2617</v>
      </c>
      <c r="EO723" t="s">
        <v>1899</v>
      </c>
      <c r="EP723" t="s">
        <v>3189</v>
      </c>
    </row>
    <row r="724" spans="1:146" ht="15" customHeight="1" x14ac:dyDescent="0.35">
      <c r="A724">
        <v>1238</v>
      </c>
      <c r="B724" t="s">
        <v>5801</v>
      </c>
      <c r="C724">
        <v>2</v>
      </c>
      <c r="D724" t="str">
        <f>VLOOKUP(source[[#This Row],[Приоритет]],тПриоритеты[],2,0)</f>
        <v>Значительное</v>
      </c>
      <c r="E724" t="str">
        <f>IF(ISBLANK(source[[#This Row],[Проверенные]]),IF(ISBLANK(source[[#This Row],[Завершенные]]),source[[#This Row],[Приоритет_]],"Завершено"),"Проверено")</f>
        <v>Проверено</v>
      </c>
      <c r="F724" t="s">
        <v>4423</v>
      </c>
      <c r="G724" t="s">
        <v>2926</v>
      </c>
      <c r="H724" t="e">
        <f>VLOOKUP(source[[#This Row],[Отвественный]],тОтветственные[],2,0)</f>
        <v>#N/A</v>
      </c>
      <c r="I724" s="2">
        <v>43868</v>
      </c>
      <c r="J724" s="2">
        <v>43868</v>
      </c>
      <c r="S724" s="1">
        <v>43868.605312500003</v>
      </c>
      <c r="T724" s="1">
        <v>43868.745636574073</v>
      </c>
      <c r="U724" s="1">
        <v>43868.745636574073</v>
      </c>
      <c r="W724" s="1">
        <v>43868.745636574073</v>
      </c>
      <c r="X724" t="s">
        <v>3262</v>
      </c>
      <c r="AH724" t="s">
        <v>5802</v>
      </c>
      <c r="AI724" t="s">
        <v>5803</v>
      </c>
      <c r="AJ724" t="s">
        <v>5804</v>
      </c>
      <c r="AK724" t="s">
        <v>5805</v>
      </c>
      <c r="AL724" t="s">
        <v>5806</v>
      </c>
      <c r="AM724" t="s">
        <v>5807</v>
      </c>
      <c r="AN724" t="s">
        <v>5808</v>
      </c>
      <c r="AO724" t="s">
        <v>5809</v>
      </c>
      <c r="AP724" t="s">
        <v>5810</v>
      </c>
      <c r="AQ724" t="s">
        <v>3184</v>
      </c>
      <c r="AR724" t="s">
        <v>3185</v>
      </c>
      <c r="AS724" t="s">
        <v>3186</v>
      </c>
      <c r="AT724" t="s">
        <v>5811</v>
      </c>
      <c r="AU724" s="3" t="s">
        <v>5812</v>
      </c>
      <c r="EC724" t="s">
        <v>5813</v>
      </c>
      <c r="ED724" t="str">
        <f>HYPERLINK("https://d33htgqikc2pj4.cloudfront.net/qvHDimMUqxZcQnsj/61199232-7fbd-406c-85cd-be6766bddd82.jpeg", "Алексей Бирюков: Ссылка на изображение")</f>
        <v>Алексей Бирюков: Ссылка на изображение</v>
      </c>
      <c r="EE724" t="str">
        <f>HYPERLINK("https://d33htgqikc2pj4.cloudfront.net/qvHDimMUqxZcQnsj/553dcca7-8c81-4bdb-a67a-184c5f3da260.jpeg", "Алексей Бирюков: Ссылка на изображение")</f>
        <v>Алексей Бирюков: Ссылка на изображение</v>
      </c>
      <c r="EF724" t="str">
        <f>HYPERLINK("https://d33htgqikc2pj4.cloudfront.net/qvHDimMUqxZcQnsj/d3072944-432a-42a8-90bc-d20313795419.jpeg", "Алексей Бирюков: Ссылка на изображение")</f>
        <v>Алексей Бирюков: Ссылка на изображение</v>
      </c>
      <c r="EG724" t="str">
        <f>HYPERLINK("https://d33htgqikc2pj4.cloudfront.net/qvHDimMUqxZcQnsj/e18f11ce-95a7-43ba-adf0-9273d4fb0621.jpeg", "Алексей Бирюков: Ссылка на изображение")</f>
        <v>Алексей Бирюков: Ссылка на изображение</v>
      </c>
      <c r="EH724" t="str">
        <f>HYPERLINK("https://d33htgqikc2pj4.cloudfront.net/qvHDimMUqxZcQnsj/3b1f23b9-0c30-45b6-b6ab-8340a879e12d.jpeg", "Алексей Бирюков: Ссылка на изображение")</f>
        <v>Алексей Бирюков: Ссылка на изображение</v>
      </c>
      <c r="EI724" t="str">
        <f>HYPERLINK("https://d33htgqikc2pj4.cloudfront.net/qvHDimMUqxZcQnsj/9cdee8f1-b57d-4064-8b23-206a80de373c.jpeg", "Алексей Бирюков: Ссылка на изображение")</f>
        <v>Алексей Бирюков: Ссылка на изображение</v>
      </c>
      <c r="EJ724" t="s">
        <v>5814</v>
      </c>
      <c r="EK724" t="s">
        <v>2617</v>
      </c>
      <c r="EL724" t="s">
        <v>1902</v>
      </c>
      <c r="EM724" t="s">
        <v>3189</v>
      </c>
      <c r="EN724" t="s">
        <v>1899</v>
      </c>
    </row>
    <row r="725" spans="1:146" ht="15" customHeight="1" x14ac:dyDescent="0.35">
      <c r="A725">
        <v>1251</v>
      </c>
      <c r="B725" t="s">
        <v>5815</v>
      </c>
      <c r="C725">
        <v>2</v>
      </c>
      <c r="D725" t="str">
        <f>VLOOKUP(source[[#This Row],[Приоритет]],тПриоритеты[],2,0)</f>
        <v>Значительное</v>
      </c>
      <c r="E725" t="str">
        <f>IF(ISBLANK(source[[#This Row],[Проверенные]]),IF(ISBLANK(source[[#This Row],[Завершенные]]),source[[#This Row],[Приоритет_]],"Завершено"),"Проверено")</f>
        <v>Проверено</v>
      </c>
      <c r="F725" t="s">
        <v>4423</v>
      </c>
      <c r="G725" t="s">
        <v>2926</v>
      </c>
      <c r="H725" t="e">
        <f>VLOOKUP(source[[#This Row],[Отвественный]],тОтветственные[],2,0)</f>
        <v>#N/A</v>
      </c>
      <c r="I725" s="2">
        <v>43869</v>
      </c>
      <c r="J725" s="2">
        <v>43869</v>
      </c>
      <c r="S725" s="1">
        <v>43869.739212962966</v>
      </c>
      <c r="T725" s="1">
        <v>43869.740752314814</v>
      </c>
      <c r="U725" s="1">
        <v>43869.740752314814</v>
      </c>
      <c r="W725" s="1">
        <v>43869.740752314814</v>
      </c>
      <c r="X725" t="s">
        <v>3262</v>
      </c>
      <c r="AH725" t="s">
        <v>5816</v>
      </c>
      <c r="AI725" t="s">
        <v>5817</v>
      </c>
      <c r="AJ725" t="s">
        <v>5818</v>
      </c>
      <c r="AK725" t="s">
        <v>5819</v>
      </c>
      <c r="AL725" t="s">
        <v>5820</v>
      </c>
      <c r="AM725" t="s">
        <v>5821</v>
      </c>
      <c r="AN725" t="s">
        <v>5822</v>
      </c>
      <c r="AO725" t="s">
        <v>5823</v>
      </c>
      <c r="AP725" t="s">
        <v>5824</v>
      </c>
      <c r="AQ725" t="s">
        <v>5825</v>
      </c>
      <c r="AR725" t="s">
        <v>5826</v>
      </c>
      <c r="AS725" t="s">
        <v>5827</v>
      </c>
      <c r="AT725" t="s">
        <v>5828</v>
      </c>
      <c r="AU725" s="3" t="s">
        <v>5829</v>
      </c>
      <c r="EC725" t="s">
        <v>5830</v>
      </c>
      <c r="ED725" t="s">
        <v>2617</v>
      </c>
      <c r="EE725" t="s">
        <v>3201</v>
      </c>
      <c r="EF725" t="str">
        <f>HYPERLINK("https://d33htgqikc2pj4.cloudfront.net/qvHDimMUqxZcQnsj/055b7fb9-6de0-4a0e-a957-b1ec2588d587.jpeg", "Алексей Бирюков: Ссылка на изображение")</f>
        <v>Алексей Бирюков: Ссылка на изображение</v>
      </c>
      <c r="EG725" t="str">
        <f>HYPERLINK("https://d33htgqikc2pj4.cloudfront.net/qvHDimMUqxZcQnsj/51051509-962d-4bb3-bac1-7a2c3bbf1268.jpeg", "Алексей Бирюков: Ссылка на изображение")</f>
        <v>Алексей Бирюков: Ссылка на изображение</v>
      </c>
      <c r="EH725" t="str">
        <f>HYPERLINK("https://d33htgqikc2pj4.cloudfront.net/qvHDimMUqxZcQnsj/d2aa587e-60d3-4117-ac37-69674ffde536.jpeg", "Алексей Бирюков: Ссылка на изображение")</f>
        <v>Алексей Бирюков: Ссылка на изображение</v>
      </c>
      <c r="EI725" t="str">
        <f>HYPERLINK("https://d33htgqikc2pj4.cloudfront.net/qvHDimMUqxZcQnsj/bdbd2e8d-54e2-4259-ab70-3befc0646026.jpeg", "Алексей Бирюков: Ссылка на изображение")</f>
        <v>Алексей Бирюков: Ссылка на изображение</v>
      </c>
      <c r="EJ725" t="s">
        <v>1899</v>
      </c>
    </row>
    <row r="726" spans="1:146" ht="15" customHeight="1" x14ac:dyDescent="0.35">
      <c r="A726">
        <v>1250</v>
      </c>
      <c r="B726" t="s">
        <v>5831</v>
      </c>
      <c r="C726">
        <v>2</v>
      </c>
      <c r="D726" t="str">
        <f>VLOOKUP(source[[#This Row],[Приоритет]],тПриоритеты[],2,0)</f>
        <v>Значительное</v>
      </c>
      <c r="E726" t="str">
        <f>IF(ISBLANK(source[[#This Row],[Проверенные]]),IF(ISBLANK(source[[#This Row],[Завершенные]]),source[[#This Row],[Приоритет_]],"Завершено"),"Проверено")</f>
        <v>Проверено</v>
      </c>
      <c r="F726" t="s">
        <v>4423</v>
      </c>
      <c r="G726" t="s">
        <v>2926</v>
      </c>
      <c r="H726" t="e">
        <f>VLOOKUP(source[[#This Row],[Отвественный]],тОтветственные[],2,0)</f>
        <v>#N/A</v>
      </c>
      <c r="I726" s="2">
        <v>43869</v>
      </c>
      <c r="J726" s="2">
        <v>43869</v>
      </c>
      <c r="S726" s="1">
        <v>43869.739212962966</v>
      </c>
      <c r="T726" s="1">
        <v>43869.741238425922</v>
      </c>
      <c r="U726" s="1">
        <v>43869.741238425922</v>
      </c>
      <c r="W726" s="1">
        <v>43869.741249999999</v>
      </c>
      <c r="X726" t="s">
        <v>2606</v>
      </c>
      <c r="AH726" t="s">
        <v>5832</v>
      </c>
      <c r="AI726" t="s">
        <v>5833</v>
      </c>
      <c r="AJ726" t="s">
        <v>5834</v>
      </c>
      <c r="AK726" t="s">
        <v>5835</v>
      </c>
      <c r="AL726" t="s">
        <v>5825</v>
      </c>
      <c r="AM726" t="s">
        <v>5826</v>
      </c>
      <c r="AN726" t="s">
        <v>5827</v>
      </c>
      <c r="AO726" t="s">
        <v>5836</v>
      </c>
      <c r="EC726" t="s">
        <v>5837</v>
      </c>
      <c r="ED726" t="s">
        <v>2617</v>
      </c>
      <c r="EE726" t="s">
        <v>3201</v>
      </c>
      <c r="EF726" t="str">
        <f>HYPERLINK("https://d33htgqikc2pj4.cloudfront.net/qvHDimMUqxZcQnsj/0c88dfb5-4287-4396-abca-aba484a35dd5.jpeg", "Алексей Бирюков: Ссылка на изображение")</f>
        <v>Алексей Бирюков: Ссылка на изображение</v>
      </c>
      <c r="EG726" t="str">
        <f>HYPERLINK("https://d33htgqikc2pj4.cloudfront.net/qvHDimMUqxZcQnsj/fe4f7ee4-d74d-451b-bf36-d3a96bfb9d57.jpeg", "Алексей Бирюков: Ссылка на изображение")</f>
        <v>Алексей Бирюков: Ссылка на изображение</v>
      </c>
      <c r="EH726" t="str">
        <f>HYPERLINK("https://d33htgqikc2pj4.cloudfront.net/qvHDimMUqxZcQnsj/4336b8ef-2c76-4065-b5d8-d89470b88336.jpeg", "Алексей Бирюков: Ссылка на изображение")</f>
        <v>Алексей Бирюков: Ссылка на изображение</v>
      </c>
      <c r="EI726" t="str">
        <f>HYPERLINK("https://d33htgqikc2pj4.cloudfront.net/qvHDimMUqxZcQnsj/df21fe9b-12e3-44d2-b72e-6373d24a2a81.jpeg", "Алексей Бирюков: Ссылка на изображение")</f>
        <v>Алексей Бирюков: Ссылка на изображение</v>
      </c>
      <c r="EJ726" t="str">
        <f>HYPERLINK("https://d33htgqikc2pj4.cloudfront.net/qvHDimMUqxZcQnsj/d1867b7c-b268-4780-9ba6-b8e0834aec77.jpeg", "Алексей Бирюков: Ссылка на изображение")</f>
        <v>Алексей Бирюков: Ссылка на изображение</v>
      </c>
      <c r="EK726" t="str">
        <f>HYPERLINK("https://d33htgqikc2pj4.cloudfront.net/qvHDimMUqxZcQnsj/ad2f022d-2957-456f-adb0-89134350df3c.jpeg", "Алексей Бирюков: Ссылка на изображение")</f>
        <v>Алексей Бирюков: Ссылка на изображение</v>
      </c>
      <c r="EL726" t="str">
        <f>HYPERLINK("https://d33htgqikc2pj4.cloudfront.net/qvHDimMUqxZcQnsj/1a593c7a-7786-4c17-b261-4382f5c3f944.jpeg", "Алексей Бирюков: Ссылка на изображение")</f>
        <v>Алексей Бирюков: Ссылка на изображение</v>
      </c>
      <c r="EM726" t="str">
        <f>HYPERLINK("https://d33htgqikc2pj4.cloudfront.net/qvHDimMUqxZcQnsj/91a60e61-881c-4c34-a87b-1ba73269e7e4.jpeg", "Алексей Бирюков: Ссылка на изображение")</f>
        <v>Алексей Бирюков: Ссылка на изображение</v>
      </c>
      <c r="EN726" t="str">
        <f>HYPERLINK("https://d33htgqikc2pj4.cloudfront.net/qvHDimMUqxZcQnsj/b6f21a70-8ee6-4e06-a152-4e532af058df.jpeg", "Алексей Бирюков: Ссылка на изображение")</f>
        <v>Алексей Бирюков: Ссылка на изображение</v>
      </c>
      <c r="EO726" t="s">
        <v>1899</v>
      </c>
    </row>
    <row r="727" spans="1:146" ht="15" customHeight="1" x14ac:dyDescent="0.35">
      <c r="A727">
        <v>1248</v>
      </c>
      <c r="B727" t="s">
        <v>5838</v>
      </c>
      <c r="C727">
        <v>2</v>
      </c>
      <c r="D727" t="str">
        <f>VLOOKUP(source[[#This Row],[Приоритет]],тПриоритеты[],2,0)</f>
        <v>Значительное</v>
      </c>
      <c r="E727" t="str">
        <f>IF(ISBLANK(source[[#This Row],[Проверенные]]),IF(ISBLANK(source[[#This Row],[Завершенные]]),source[[#This Row],[Приоритет_]],"Завершено"),"Проверено")</f>
        <v>Проверено</v>
      </c>
      <c r="F727" t="s">
        <v>4423</v>
      </c>
      <c r="G727" t="s">
        <v>2926</v>
      </c>
      <c r="H727" t="e">
        <f>VLOOKUP(source[[#This Row],[Отвественный]],тОтветственные[],2,0)</f>
        <v>#N/A</v>
      </c>
      <c r="I727" s="2">
        <v>43869</v>
      </c>
      <c r="J727" s="2">
        <v>43869</v>
      </c>
      <c r="S727" s="1">
        <v>43869.527002314811</v>
      </c>
      <c r="T727" s="1">
        <v>43869.740208333336</v>
      </c>
      <c r="U727" s="1">
        <v>43869.740208333336</v>
      </c>
      <c r="W727" s="1">
        <v>43869.740219907406</v>
      </c>
      <c r="X727" t="s">
        <v>2606</v>
      </c>
      <c r="AH727" t="s">
        <v>5832</v>
      </c>
      <c r="AI727" t="s">
        <v>5833</v>
      </c>
      <c r="AJ727" t="s">
        <v>5834</v>
      </c>
      <c r="AK727" t="s">
        <v>5835</v>
      </c>
      <c r="AL727" t="s">
        <v>5825</v>
      </c>
      <c r="AM727" t="s">
        <v>5839</v>
      </c>
      <c r="AN727" t="s">
        <v>5827</v>
      </c>
      <c r="AO727" t="s">
        <v>5836</v>
      </c>
      <c r="EC727" t="s">
        <v>5840</v>
      </c>
      <c r="ED727" t="s">
        <v>2617</v>
      </c>
      <c r="EE727" t="s">
        <v>3201</v>
      </c>
      <c r="EF727" t="str">
        <f>HYPERLINK("https://d33htgqikc2pj4.cloudfront.net/qvHDimMUqxZcQnsj/ccc2e94c-aadc-43b0-b4fc-ca16f56fd693.jpeg", "Алексей Бирюков: Ссылка на изображение")</f>
        <v>Алексей Бирюков: Ссылка на изображение</v>
      </c>
      <c r="EG727" t="str">
        <f>HYPERLINK("https://d33htgqikc2pj4.cloudfront.net/qvHDimMUqxZcQnsj/142575bf-749e-4b97-97a1-5f83690825d4.jpeg", "Алексей Бирюков: Ссылка на изображение")</f>
        <v>Алексей Бирюков: Ссылка на изображение</v>
      </c>
      <c r="EH727" t="str">
        <f>HYPERLINK("https://d33htgqikc2pj4.cloudfront.net/qvHDimMUqxZcQnsj/f97f0b1a-5ec4-4b82-af74-f0121896ad2a.jpeg", "Алексей Бирюков: Ссылка на изображение")</f>
        <v>Алексей Бирюков: Ссылка на изображение</v>
      </c>
      <c r="EI727" t="str">
        <f>HYPERLINK("https://d33htgqikc2pj4.cloudfront.net/qvHDimMUqxZcQnsj/6f3907c0-e0c4-464b-8999-e26e726ae787.jpeg", "Алексей Бирюков: Ссылка на изображение")</f>
        <v>Алексей Бирюков: Ссылка на изображение</v>
      </c>
      <c r="EJ727" t="str">
        <f>HYPERLINK("https://d33htgqikc2pj4.cloudfront.net/qvHDimMUqxZcQnsj/0ab49813-6b8a-4082-81cf-01e02e7ba5e5.jpeg", "Алексей Бирюков: Ссылка на изображение")</f>
        <v>Алексей Бирюков: Ссылка на изображение</v>
      </c>
      <c r="EK727" t="str">
        <f>HYPERLINK("https://d33htgqikc2pj4.cloudfront.net/qvHDimMUqxZcQnsj/9e7845e1-7f78-4316-aca0-e900be1b0fb2.jpeg", "Алексей Бирюков: Ссылка на изображение")</f>
        <v>Алексей Бирюков: Ссылка на изображение</v>
      </c>
      <c r="EL727" t="str">
        <f>HYPERLINK("https://d33htgqikc2pj4.cloudfront.net/qvHDimMUqxZcQnsj/ec5cd7d8-4427-4496-943f-118a33547a64.jpeg", "Алексей Бирюков: Ссылка на изображение")</f>
        <v>Алексей Бирюков: Ссылка на изображение</v>
      </c>
      <c r="EM727" t="s">
        <v>1902</v>
      </c>
      <c r="EN727" t="s">
        <v>1899</v>
      </c>
    </row>
    <row r="728" spans="1:146" ht="15" customHeight="1" x14ac:dyDescent="0.35">
      <c r="A728">
        <v>1247</v>
      </c>
      <c r="B728" t="s">
        <v>5841</v>
      </c>
      <c r="C728">
        <v>2</v>
      </c>
      <c r="D728" t="str">
        <f>VLOOKUP(source[[#This Row],[Приоритет]],тПриоритеты[],2,0)</f>
        <v>Значительное</v>
      </c>
      <c r="E728" t="str">
        <f>IF(ISBLANK(source[[#This Row],[Проверенные]]),IF(ISBLANK(source[[#This Row],[Завершенные]]),source[[#This Row],[Приоритет_]],"Завершено"),"Проверено")</f>
        <v>Проверено</v>
      </c>
      <c r="F728" t="s">
        <v>4423</v>
      </c>
      <c r="G728" t="s">
        <v>2926</v>
      </c>
      <c r="H728" t="e">
        <f>VLOOKUP(source[[#This Row],[Отвественный]],тОтветственные[],2,0)</f>
        <v>#N/A</v>
      </c>
      <c r="I728" s="2">
        <v>43869</v>
      </c>
      <c r="J728" s="2">
        <v>43869</v>
      </c>
      <c r="S728" s="1">
        <v>43869.527002314811</v>
      </c>
      <c r="T728" s="1">
        <v>43869.739606481482</v>
      </c>
      <c r="U728" s="1">
        <v>43869.739606481482</v>
      </c>
      <c r="W728" s="1">
        <v>43869.739606481482</v>
      </c>
      <c r="EC728" t="s">
        <v>5842</v>
      </c>
      <c r="ED728" t="s">
        <v>2617</v>
      </c>
      <c r="EE728" t="s">
        <v>3201</v>
      </c>
      <c r="EF728" t="s">
        <v>5843</v>
      </c>
      <c r="EG728" t="s">
        <v>1902</v>
      </c>
      <c r="EH728" t="s">
        <v>1899</v>
      </c>
    </row>
    <row r="729" spans="1:146" ht="15" customHeight="1" x14ac:dyDescent="0.35">
      <c r="A729">
        <v>913</v>
      </c>
      <c r="B729" t="s">
        <v>5844</v>
      </c>
      <c r="C729">
        <v>2</v>
      </c>
      <c r="D729" t="str">
        <f>VLOOKUP(source[[#This Row],[Приоритет]],тПриоритеты[],2,0)</f>
        <v>Значительное</v>
      </c>
      <c r="E729" t="str">
        <f>IF(ISBLANK(source[[#This Row],[Проверенные]]),IF(ISBLANK(source[[#This Row],[Завершенные]]),source[[#This Row],[Приоритет_]],"Завершено"),"Проверено")</f>
        <v>Проверено</v>
      </c>
      <c r="F729" t="s">
        <v>4423</v>
      </c>
      <c r="G729" t="s">
        <v>2926</v>
      </c>
      <c r="H729" t="e">
        <f>VLOOKUP(source[[#This Row],[Отвественный]],тОтветственные[],2,0)</f>
        <v>#N/A</v>
      </c>
      <c r="I729" s="2">
        <v>43844</v>
      </c>
      <c r="J729" s="2">
        <v>43844</v>
      </c>
      <c r="S729" s="1">
        <v>43845.043564814812</v>
      </c>
      <c r="T729" s="1">
        <v>43845.044004629628</v>
      </c>
      <c r="U729" s="1">
        <v>43845.044004629628</v>
      </c>
      <c r="W729" s="1">
        <v>43845.044016203705</v>
      </c>
      <c r="X729" t="s">
        <v>432</v>
      </c>
      <c r="AH729" t="s">
        <v>5845</v>
      </c>
      <c r="AI729" t="s">
        <v>5846</v>
      </c>
      <c r="AJ729" s="3" t="s">
        <v>5847</v>
      </c>
      <c r="AK729" s="3" t="s">
        <v>5848</v>
      </c>
      <c r="AL729" t="s">
        <v>5849</v>
      </c>
      <c r="AM729" s="3" t="s">
        <v>5850</v>
      </c>
      <c r="AN729" t="s">
        <v>5851</v>
      </c>
      <c r="AO729" t="s">
        <v>5852</v>
      </c>
      <c r="AP729" t="s">
        <v>5853</v>
      </c>
      <c r="EC729" t="s">
        <v>5854</v>
      </c>
      <c r="ED729" t="s">
        <v>2617</v>
      </c>
      <c r="EE729" t="s">
        <v>3041</v>
      </c>
      <c r="EF729" t="str">
        <f>HYPERLINK("https://d33htgqikc2pj4.cloudfront.net/qvHDimMUqxZcQnsj/8e541d77-09fb-46fa-bc6c-58ca38fdde80.jpeg", "Алексей Бирюков: Ссылка на изображение")</f>
        <v>Алексей Бирюков: Ссылка на изображение</v>
      </c>
      <c r="EG729" t="str">
        <f>HYPERLINK("https://d33htgqikc2pj4.cloudfront.net/qvHDimMUqxZcQnsj/43bdae3b-6a69-4807-90d6-03cbc3cbe9e4.jpeg", "Алексей Бирюков: Ссылка на изображение")</f>
        <v>Алексей Бирюков: Ссылка на изображение</v>
      </c>
      <c r="EH729" t="str">
        <f>HYPERLINK("https://d33htgqikc2pj4.cloudfront.net/qvHDimMUqxZcQnsj/51040ab4-ab61-4a99-9159-0d5eae51dea7.jpeg", "Алексей Бирюков: Ссылка на изображение")</f>
        <v>Алексей Бирюков: Ссылка на изображение</v>
      </c>
      <c r="EI729" t="str">
        <f>HYPERLINK("https://d33htgqikc2pj4.cloudfront.net/qvHDimMUqxZcQnsj/29422e4d-ac61-459e-b798-a530145cc182.jpeg", "Алексей Бирюков: Ссылка на изображение")</f>
        <v>Алексей Бирюков: Ссылка на изображение</v>
      </c>
      <c r="EJ729" t="str">
        <f>HYPERLINK("https://d33htgqikc2pj4.cloudfront.net/qvHDimMUqxZcQnsj/c77d5d47-0d9f-4f3b-a7c0-4995da2d5d09.jpeg", "Алексей Бирюков: Ссылка на изображение")</f>
        <v>Алексей Бирюков: Ссылка на изображение</v>
      </c>
      <c r="EK729" t="str">
        <f>HYPERLINK("https://d33htgqikc2pj4.cloudfront.net/qvHDimMUqxZcQnsj/c49b947f-9f2c-4445-b790-9d5ed67967bd.jpeg", "Алексей Бирюков: Ссылка на изображение")</f>
        <v>Алексей Бирюков: Ссылка на изображение</v>
      </c>
      <c r="EL729" t="s">
        <v>5855</v>
      </c>
      <c r="EM729" t="s">
        <v>1899</v>
      </c>
    </row>
    <row r="730" spans="1:146" ht="15" customHeight="1" x14ac:dyDescent="0.35">
      <c r="A730">
        <v>914</v>
      </c>
      <c r="B730" t="s">
        <v>5856</v>
      </c>
      <c r="C730">
        <v>2</v>
      </c>
      <c r="D730" t="str">
        <f>VLOOKUP(source[[#This Row],[Приоритет]],тПриоритеты[],2,0)</f>
        <v>Значительное</v>
      </c>
      <c r="E730" t="str">
        <f>IF(ISBLANK(source[[#This Row],[Проверенные]]),IF(ISBLANK(source[[#This Row],[Завершенные]]),source[[#This Row],[Приоритет_]],"Завершено"),"Проверено")</f>
        <v>Проверено</v>
      </c>
      <c r="F730" t="s">
        <v>4423</v>
      </c>
      <c r="G730" t="s">
        <v>2926</v>
      </c>
      <c r="H730" t="e">
        <f>VLOOKUP(source[[#This Row],[Отвественный]],тОтветственные[],2,0)</f>
        <v>#N/A</v>
      </c>
      <c r="I730" s="2">
        <v>43844</v>
      </c>
      <c r="J730" s="2">
        <v>43845</v>
      </c>
      <c r="S730" s="1">
        <v>43845.086562500001</v>
      </c>
      <c r="T730" s="1">
        <v>43845.107245370367</v>
      </c>
      <c r="U730" s="1">
        <v>43845.107245370367</v>
      </c>
      <c r="W730" s="1">
        <v>43845.107303240744</v>
      </c>
      <c r="X730" t="s">
        <v>2606</v>
      </c>
      <c r="AH730" t="s">
        <v>5857</v>
      </c>
      <c r="AI730" t="s">
        <v>5858</v>
      </c>
      <c r="AJ730" t="s">
        <v>5859</v>
      </c>
      <c r="AK730" t="s">
        <v>5860</v>
      </c>
      <c r="AL730" t="s">
        <v>5861</v>
      </c>
      <c r="AM730" t="s">
        <v>5862</v>
      </c>
      <c r="AN730" t="s">
        <v>5863</v>
      </c>
      <c r="AO730" t="s">
        <v>5864</v>
      </c>
      <c r="EC730" t="s">
        <v>5865</v>
      </c>
      <c r="ED730" t="s">
        <v>5866</v>
      </c>
      <c r="EE730" t="s">
        <v>2617</v>
      </c>
      <c r="EF730" t="str">
        <f>HYPERLINK("https://d33htgqikc2pj4.cloudfront.net/qvHDimMUqxZcQnsj/55d59c77-37be-4966-8ff9-a02ad2c545f6.jpeg", "Алексей Бирюков: Ссылка на изображение")</f>
        <v>Алексей Бирюков: Ссылка на изображение</v>
      </c>
      <c r="EG730" t="str">
        <f>HYPERLINK("https://d33htgqikc2pj4.cloudfront.net/qvHDimMUqxZcQnsj/7d0a8df9-8cb8-4619-98d8-3f0bf03e4c45.jpeg", "Алексей Бирюков: Ссылка на изображение")</f>
        <v>Алексей Бирюков: Ссылка на изображение</v>
      </c>
      <c r="EH730" t="str">
        <f>HYPERLINK("https://d33htgqikc2pj4.cloudfront.net/qvHDimMUqxZcQnsj/6122e6a8-3a23-4df6-8a19-87b21c84da5c.jpeg", "Алексей Бирюков: Ссылка на изображение")</f>
        <v>Алексей Бирюков: Ссылка на изображение</v>
      </c>
      <c r="EI730" t="str">
        <f>HYPERLINK("https://d33htgqikc2pj4.cloudfront.net/qvHDimMUqxZcQnsj/2ca8df6b-8c97-4358-a96d-e1e4c6921059.jpeg", "Алексей Бирюков: Ссылка на изображение")</f>
        <v>Алексей Бирюков: Ссылка на изображение</v>
      </c>
      <c r="EJ730" t="str">
        <f>HYPERLINK("https://d33htgqikc2pj4.cloudfront.net/qvHDimMUqxZcQnsj/c0626879-4846-4867-8497-5fc2cc184a28.jpeg", "Алексей Бирюков: Ссылка на изображение")</f>
        <v>Алексей Бирюков: Ссылка на изображение</v>
      </c>
      <c r="EK730" t="str">
        <f>HYPERLINK("https://d33htgqikc2pj4.cloudfront.net/qvHDimMUqxZcQnsj/2b60d751-2046-4647-b91a-7635cde96148.jpeg", "Алексей Бирюков: Ссылка на изображение")</f>
        <v>Алексей Бирюков: Ссылка на изображение</v>
      </c>
      <c r="EL730" t="str">
        <f>HYPERLINK("https://d33htgqikc2pj4.cloudfront.net/qvHDimMUqxZcQnsj/2d9fbc32-8388-49c2-aa8e-60fe8638f6da.jpeg", "Алексей Бирюков: Ссылка на изображение")</f>
        <v>Алексей Бирюков: Ссылка на изображение</v>
      </c>
      <c r="EM730" t="str">
        <f>HYPERLINK("https://d33htgqikc2pj4.cloudfront.net/qvHDimMUqxZcQnsj/ae73c3eb-8721-415a-b29d-11aa634f44e5.jpeg", "Алексей Бирюков: Ссылка на изображение")</f>
        <v>Алексей Бирюков: Ссылка на изображение</v>
      </c>
      <c r="EN730" t="s">
        <v>1902</v>
      </c>
      <c r="EO730" t="s">
        <v>1899</v>
      </c>
      <c r="EP730" t="s">
        <v>3041</v>
      </c>
    </row>
    <row r="731" spans="1:146" ht="15" customHeight="1" x14ac:dyDescent="0.35">
      <c r="A731">
        <v>926</v>
      </c>
      <c r="B731" t="s">
        <v>5867</v>
      </c>
      <c r="C731">
        <v>2</v>
      </c>
      <c r="D731" t="str">
        <f>VLOOKUP(source[[#This Row],[Приоритет]],тПриоритеты[],2,0)</f>
        <v>Значительное</v>
      </c>
      <c r="E731" t="str">
        <f>IF(ISBLANK(source[[#This Row],[Проверенные]]),IF(ISBLANK(source[[#This Row],[Завершенные]]),source[[#This Row],[Приоритет_]],"Завершено"),"Проверено")</f>
        <v>Проверено</v>
      </c>
      <c r="F731" t="s">
        <v>4423</v>
      </c>
      <c r="G731" t="s">
        <v>2926</v>
      </c>
      <c r="H731" t="e">
        <f>VLOOKUP(source[[#This Row],[Отвественный]],тОтветственные[],2,0)</f>
        <v>#N/A</v>
      </c>
      <c r="I731" s="2">
        <v>43846</v>
      </c>
      <c r="J731" s="2">
        <v>43846</v>
      </c>
      <c r="S731" s="1">
        <v>43846.259444444448</v>
      </c>
      <c r="T731" s="1">
        <v>43846.26121527778</v>
      </c>
      <c r="U731" s="1">
        <v>43846.26121527778</v>
      </c>
      <c r="W731" s="1">
        <v>43846.26122685185</v>
      </c>
      <c r="X731" t="s">
        <v>2606</v>
      </c>
      <c r="AH731" t="s">
        <v>5868</v>
      </c>
      <c r="AI731" t="s">
        <v>5869</v>
      </c>
      <c r="AJ731" t="s">
        <v>5870</v>
      </c>
      <c r="AK731" t="s">
        <v>5871</v>
      </c>
      <c r="AL731" t="s">
        <v>5872</v>
      </c>
      <c r="AM731" t="s">
        <v>5873</v>
      </c>
      <c r="AN731" t="s">
        <v>5874</v>
      </c>
      <c r="AO731" t="s">
        <v>5875</v>
      </c>
      <c r="EC731" t="s">
        <v>5876</v>
      </c>
      <c r="ED731" t="s">
        <v>2617</v>
      </c>
      <c r="EE731" t="s">
        <v>3209</v>
      </c>
      <c r="EF731" t="str">
        <f>HYPERLINK("https://d33htgqikc2pj4.cloudfront.net/qvHDimMUqxZcQnsj/91b5a62b-8370-4fbc-8c23-3f7f3b011d5a.jpeg", "Алексей Бирюков: Ссылка на изображение")</f>
        <v>Алексей Бирюков: Ссылка на изображение</v>
      </c>
      <c r="EG731" t="str">
        <f>HYPERLINK("https://d33htgqikc2pj4.cloudfront.net/qvHDimMUqxZcQnsj/49b657a1-bddb-4d95-aefe-96e0a245aca9.jpeg", "Алексей Бирюков: Ссылка на изображение")</f>
        <v>Алексей Бирюков: Ссылка на изображение</v>
      </c>
      <c r="EH731" t="str">
        <f>HYPERLINK("https://d33htgqikc2pj4.cloudfront.net/qvHDimMUqxZcQnsj/3af85bf7-ba25-4a2b-9957-240a74075170.jpeg", "Алексей Бирюков: Ссылка на изображение")</f>
        <v>Алексей Бирюков: Ссылка на изображение</v>
      </c>
      <c r="EI731" t="str">
        <f>HYPERLINK("https://d33htgqikc2pj4.cloudfront.net/qvHDimMUqxZcQnsj/fe6c464b-9fbf-4ece-b9eb-53efc11424c2.jpeg", "Алексей Бирюков: Ссылка на изображение")</f>
        <v>Алексей Бирюков: Ссылка на изображение</v>
      </c>
      <c r="EJ731" t="str">
        <f>HYPERLINK("https://d33htgqikc2pj4.cloudfront.net/qvHDimMUqxZcQnsj/c30008c7-236b-4682-a52f-deeb23650f81.jpeg", "Алексей Бирюков: Ссылка на изображение")</f>
        <v>Алексей Бирюков: Ссылка на изображение</v>
      </c>
      <c r="EK731" t="str">
        <f>HYPERLINK("https://d33htgqikc2pj4.cloudfront.net/qvHDimMUqxZcQnsj/ea6122d4-df55-49f0-8853-3b1dbd467c5e.jpeg", "Алексей Бирюков: Ссылка на изображение")</f>
        <v>Алексей Бирюков: Ссылка на изображение</v>
      </c>
      <c r="EL731" t="s">
        <v>5877</v>
      </c>
      <c r="EM731" t="s">
        <v>5878</v>
      </c>
      <c r="EN731" t="s">
        <v>1902</v>
      </c>
      <c r="EO731" t="s">
        <v>1899</v>
      </c>
    </row>
    <row r="732" spans="1:146" ht="15" customHeight="1" x14ac:dyDescent="0.35">
      <c r="A732">
        <v>944</v>
      </c>
      <c r="B732" t="s">
        <v>5879</v>
      </c>
      <c r="C732">
        <v>2</v>
      </c>
      <c r="D732" t="str">
        <f>VLOOKUP(source[[#This Row],[Приоритет]],тПриоритеты[],2,0)</f>
        <v>Значительное</v>
      </c>
      <c r="E732" t="str">
        <f>IF(ISBLANK(source[[#This Row],[Проверенные]]),IF(ISBLANK(source[[#This Row],[Завершенные]]),source[[#This Row],[Приоритет_]],"Завершено"),"Проверено")</f>
        <v>Проверено</v>
      </c>
      <c r="F732" t="s">
        <v>4423</v>
      </c>
      <c r="G732" t="s">
        <v>2926</v>
      </c>
      <c r="H732" t="e">
        <f>VLOOKUP(source[[#This Row],[Отвественный]],тОтветственные[],2,0)</f>
        <v>#N/A</v>
      </c>
      <c r="I732" s="2">
        <v>43848</v>
      </c>
      <c r="J732" s="2">
        <v>43848</v>
      </c>
      <c r="S732" s="1">
        <v>43848.518680555557</v>
      </c>
      <c r="T732" s="1">
        <v>43848.461238425924</v>
      </c>
      <c r="U732" s="1">
        <v>43848.461238425924</v>
      </c>
      <c r="W732" s="1">
        <v>43848.518692129626</v>
      </c>
      <c r="X732" t="s">
        <v>2606</v>
      </c>
      <c r="AH732" t="s">
        <v>3235</v>
      </c>
      <c r="AI732" t="s">
        <v>3236</v>
      </c>
      <c r="AJ732" t="s">
        <v>3237</v>
      </c>
      <c r="AK732" t="s">
        <v>3238</v>
      </c>
      <c r="AL732" t="s">
        <v>3239</v>
      </c>
      <c r="AM732" t="s">
        <v>3240</v>
      </c>
      <c r="AN732" t="s">
        <v>3241</v>
      </c>
      <c r="AO732" t="s">
        <v>3242</v>
      </c>
      <c r="EC732" t="s">
        <v>5880</v>
      </c>
      <c r="ED732" t="str">
        <f>HYPERLINK("https://d33htgqikc2pj4.cloudfront.net/qvHDimMUqxZcQnsj/1ee1cf30-089a-4a23-8116-a2e97446de17.jpeg", "Алексей Бирюков: Ссылка на изображение")</f>
        <v>Алексей Бирюков: Ссылка на изображение</v>
      </c>
      <c r="EE732" t="str">
        <f>HYPERLINK("https://d33htgqikc2pj4.cloudfront.net/qvHDimMUqxZcQnsj/4cdfb6db-9e5e-4a41-98bf-8f170bae4595.jpeg", "Алексей Бирюков: Ссылка на изображение")</f>
        <v>Алексей Бирюков: Ссылка на изображение</v>
      </c>
      <c r="EF732" t="str">
        <f>HYPERLINK("https://d33htgqikc2pj4.cloudfront.net/qvHDimMUqxZcQnsj/5b958db4-56f4-4980-bf85-fb74d130b5a0.jpeg", "Алексей Бирюков: Ссылка на изображение")</f>
        <v>Алексей Бирюков: Ссылка на изображение</v>
      </c>
      <c r="EG732" t="str">
        <f>HYPERLINK("https://d33htgqikc2pj4.cloudfront.net/qvHDimMUqxZcQnsj/fc778b25-3bd1-4b8c-9c4b-b4b270767f29.jpeg", "Алексей Бирюков: Ссылка на изображение")</f>
        <v>Алексей Бирюков: Ссылка на изображение</v>
      </c>
      <c r="EH732" t="str">
        <f>HYPERLINK("https://d33htgqikc2pj4.cloudfront.net/qvHDimMUqxZcQnsj/52b6bf78-dfea-4b4d-8fbb-8e6bb1467495.jpeg", "Алексей Бирюков: Ссылка на изображение")</f>
        <v>Алексей Бирюков: Ссылка на изображение</v>
      </c>
      <c r="EI732" t="str">
        <f>HYPERLINK("https://d33htgqikc2pj4.cloudfront.net/qvHDimMUqxZcQnsj/5eb1b11b-61a9-43a2-a2ba-e41b5c9dc5db.jpeg", "Алексей Бирюков: Ссылка на изображение")</f>
        <v>Алексей Бирюков: Ссылка на изображение</v>
      </c>
      <c r="EJ732" t="s">
        <v>5881</v>
      </c>
      <c r="EK732" t="s">
        <v>2617</v>
      </c>
      <c r="EL732" t="s">
        <v>3216</v>
      </c>
      <c r="EM732" t="s">
        <v>1902</v>
      </c>
      <c r="EN732" t="s">
        <v>1899</v>
      </c>
    </row>
    <row r="733" spans="1:146" ht="15" customHeight="1" x14ac:dyDescent="0.35">
      <c r="A733">
        <v>943</v>
      </c>
      <c r="B733" t="s">
        <v>5882</v>
      </c>
      <c r="C733">
        <v>2</v>
      </c>
      <c r="D733" t="str">
        <f>VLOOKUP(source[[#This Row],[Приоритет]],тПриоритеты[],2,0)</f>
        <v>Значительное</v>
      </c>
      <c r="E733" t="str">
        <f>IF(ISBLANK(source[[#This Row],[Проверенные]]),IF(ISBLANK(source[[#This Row],[Завершенные]]),source[[#This Row],[Приоритет_]],"Завершено"),"Проверено")</f>
        <v>Проверено</v>
      </c>
      <c r="F733" t="s">
        <v>4423</v>
      </c>
      <c r="G733" t="s">
        <v>2926</v>
      </c>
      <c r="H733" t="e">
        <f>VLOOKUP(source[[#This Row],[Отвественный]],тОтветственные[],2,0)</f>
        <v>#N/A</v>
      </c>
      <c r="I733" s="2">
        <v>43848</v>
      </c>
      <c r="J733" s="2">
        <v>43848</v>
      </c>
      <c r="S733" s="1">
        <v>43848.518680555557</v>
      </c>
      <c r="T733" s="1">
        <v>43848.461840277778</v>
      </c>
      <c r="U733" s="1">
        <v>43848.461840277778</v>
      </c>
      <c r="W733" s="1">
        <v>43848.518680555557</v>
      </c>
      <c r="X733" t="s">
        <v>432</v>
      </c>
      <c r="AH733" t="s">
        <v>5883</v>
      </c>
      <c r="AI733" t="s">
        <v>5884</v>
      </c>
      <c r="AJ733" s="3" t="s">
        <v>5885</v>
      </c>
      <c r="AK733" s="3" t="s">
        <v>5886</v>
      </c>
      <c r="AL733" t="s">
        <v>5887</v>
      </c>
      <c r="AM733" s="3" t="s">
        <v>5888</v>
      </c>
      <c r="AN733" t="s">
        <v>5889</v>
      </c>
      <c r="AO733" t="s">
        <v>5890</v>
      </c>
      <c r="AP733" t="s">
        <v>5891</v>
      </c>
      <c r="EC733" t="s">
        <v>5892</v>
      </c>
      <c r="ED733" t="str">
        <f>HYPERLINK("https://d33htgqikc2pj4.cloudfront.net/qvHDimMUqxZcQnsj/18b7de6c-0432-45e8-8bf9-cff09417a98a.jpeg", "Алексей Бирюков: Ссылка на изображение")</f>
        <v>Алексей Бирюков: Ссылка на изображение</v>
      </c>
      <c r="EE733" t="str">
        <f>HYPERLINK("https://d33htgqikc2pj4.cloudfront.net/qvHDimMUqxZcQnsj/3d9313be-16a7-498c-a96b-8d777101da54.jpeg", "Алексей Бирюков: Ссылка на изображение")</f>
        <v>Алексей Бирюков: Ссылка на изображение</v>
      </c>
      <c r="EF733" t="str">
        <f>HYPERLINK("https://d33htgqikc2pj4.cloudfront.net/qvHDimMUqxZcQnsj/c7f6dbfc-0590-48ab-8065-479ac009c85b.jpeg", "Алексей Бирюков: Ссылка на изображение")</f>
        <v>Алексей Бирюков: Ссылка на изображение</v>
      </c>
      <c r="EG733" t="str">
        <f>HYPERLINK("https://d33htgqikc2pj4.cloudfront.net/qvHDimMUqxZcQnsj/b5c2c6fd-d2c0-4644-b8a5-52de52879c0f.jpeg", "Алексей Бирюков: Ссылка на изображение")</f>
        <v>Алексей Бирюков: Ссылка на изображение</v>
      </c>
      <c r="EH733" t="str">
        <f>HYPERLINK("https://d33htgqikc2pj4.cloudfront.net/qvHDimMUqxZcQnsj/b82ea411-c449-4326-a5a4-bcd79a3c542b.jpeg", "Алексей Бирюков: Ссылка на изображение")</f>
        <v>Алексей Бирюков: Ссылка на изображение</v>
      </c>
      <c r="EI733" t="str">
        <f>HYPERLINK("https://d33htgqikc2pj4.cloudfront.net/qvHDimMUqxZcQnsj/7d6ddc5a-b9a1-416a-897a-9b10846b08c2.jpeg", "Алексей Бирюков: Ссылка на изображение")</f>
        <v>Алексей Бирюков: Ссылка на изображение</v>
      </c>
      <c r="EJ733" t="str">
        <f>HYPERLINK("https://d33htgqikc2pj4.cloudfront.net/qvHDimMUqxZcQnsj/3510470f-242a-446a-b3ed-0520f32483cf.jpeg", "Алексей Бирюков: Ссылка на изображение")</f>
        <v>Алексей Бирюков: Ссылка на изображение</v>
      </c>
      <c r="EK733" t="str">
        <f>HYPERLINK("https://d33htgqikc2pj4.cloudfront.net/qvHDimMUqxZcQnsj/2812c151-a55a-4040-97ec-407aea1745f5.jpeg", "Алексей Бирюков: Ссылка на изображение")</f>
        <v>Алексей Бирюков: Ссылка на изображение</v>
      </c>
      <c r="EL733" t="s">
        <v>2617</v>
      </c>
      <c r="EM733" t="s">
        <v>3216</v>
      </c>
      <c r="EN733" t="s">
        <v>1902</v>
      </c>
      <c r="EO733" t="s">
        <v>1899</v>
      </c>
    </row>
    <row r="734" spans="1:146" ht="15" customHeight="1" x14ac:dyDescent="0.35">
      <c r="A734">
        <v>947</v>
      </c>
      <c r="B734" t="s">
        <v>5893</v>
      </c>
      <c r="C734">
        <v>2</v>
      </c>
      <c r="D734" t="str">
        <f>VLOOKUP(source[[#This Row],[Приоритет]],тПриоритеты[],2,0)</f>
        <v>Значительное</v>
      </c>
      <c r="E734" t="str">
        <f>IF(ISBLANK(source[[#This Row],[Проверенные]]),IF(ISBLANK(source[[#This Row],[Завершенные]]),source[[#This Row],[Приоритет_]],"Завершено"),"Проверено")</f>
        <v>Проверено</v>
      </c>
      <c r="F734" t="s">
        <v>4423</v>
      </c>
      <c r="G734" t="s">
        <v>2926</v>
      </c>
      <c r="H734" t="e">
        <f>VLOOKUP(source[[#This Row],[Отвественный]],тОтветственные[],2,0)</f>
        <v>#N/A</v>
      </c>
      <c r="I734" s="2">
        <v>43848</v>
      </c>
      <c r="J734" s="2">
        <v>43848</v>
      </c>
      <c r="S734" s="1">
        <v>43848.518692129626</v>
      </c>
      <c r="T734" s="1">
        <v>43848.519907407404</v>
      </c>
      <c r="U734" s="1">
        <v>43848.519907407404</v>
      </c>
      <c r="W734" s="1">
        <v>43848.519907407404</v>
      </c>
      <c r="X734" t="s">
        <v>2606</v>
      </c>
      <c r="AH734" t="s">
        <v>3235</v>
      </c>
      <c r="AI734" t="s">
        <v>3236</v>
      </c>
      <c r="AJ734" t="s">
        <v>3237</v>
      </c>
      <c r="AK734" t="s">
        <v>3238</v>
      </c>
      <c r="AL734" t="s">
        <v>3239</v>
      </c>
      <c r="AM734" t="s">
        <v>5894</v>
      </c>
      <c r="AN734" t="s">
        <v>3241</v>
      </c>
      <c r="AO734" t="s">
        <v>3242</v>
      </c>
      <c r="EC734" t="s">
        <v>5895</v>
      </c>
      <c r="ED734" t="str">
        <f>HYPERLINK("https://d33htgqikc2pj4.cloudfront.net/qvHDimMUqxZcQnsj/8514a683-fc94-498d-88db-aafdb0ed10d1.jpeg", "Алексей Бирюков: Ссылка на изображение")</f>
        <v>Алексей Бирюков: Ссылка на изображение</v>
      </c>
      <c r="EE734" t="str">
        <f>HYPERLINK("https://d33htgqikc2pj4.cloudfront.net/qvHDimMUqxZcQnsj/dc298355-1346-49a1-9bdc-8f08a3134eff.jpeg", "Алексей Бирюков: Ссылка на изображение")</f>
        <v>Алексей Бирюков: Ссылка на изображение</v>
      </c>
      <c r="EF734" t="str">
        <f>HYPERLINK("https://d33htgqikc2pj4.cloudfront.net/qvHDimMUqxZcQnsj/09cec505-0db2-4567-a59e-c5d443016270.jpeg", "Алексей Бирюков: Ссылка на изображение")</f>
        <v>Алексей Бирюков: Ссылка на изображение</v>
      </c>
      <c r="EG734" t="str">
        <f>HYPERLINK("https://d33htgqikc2pj4.cloudfront.net/qvHDimMUqxZcQnsj/d979853f-49b1-48a0-81da-80117fa27a7b.jpeg", "Алексей Бирюков: Ссылка на изображение")</f>
        <v>Алексей Бирюков: Ссылка на изображение</v>
      </c>
      <c r="EH734" t="str">
        <f>HYPERLINK("https://d33htgqikc2pj4.cloudfront.net/qvHDimMUqxZcQnsj/a4b0ed7f-580a-4884-b844-51959eb6f41c.jpeg", "Алексей Бирюков: Ссылка на изображение")</f>
        <v>Алексей Бирюков: Ссылка на изображение</v>
      </c>
      <c r="EI734" t="s">
        <v>5896</v>
      </c>
      <c r="EJ734" t="s">
        <v>2617</v>
      </c>
      <c r="EK734" t="s">
        <v>3216</v>
      </c>
      <c r="EL734" t="s">
        <v>1902</v>
      </c>
      <c r="EM734" t="s">
        <v>1899</v>
      </c>
    </row>
    <row r="735" spans="1:146" ht="15" customHeight="1" x14ac:dyDescent="0.35">
      <c r="A735">
        <v>952</v>
      </c>
      <c r="B735" t="s">
        <v>5897</v>
      </c>
      <c r="C735">
        <v>1</v>
      </c>
      <c r="D735" t="str">
        <f>VLOOKUP(source[[#This Row],[Приоритет]],тПриоритеты[],2,0)</f>
        <v>КРИТИЧЕСКОЕ</v>
      </c>
      <c r="E735" t="str">
        <f>IF(ISBLANK(source[[#This Row],[Проверенные]]),IF(ISBLANK(source[[#This Row],[Завершенные]]),source[[#This Row],[Приоритет_]],"Завершено"),"Проверено")</f>
        <v>Проверено</v>
      </c>
      <c r="F735" t="s">
        <v>4423</v>
      </c>
      <c r="G735" t="s">
        <v>2926</v>
      </c>
      <c r="H735" t="e">
        <f>VLOOKUP(source[[#This Row],[Отвественный]],тОтветственные[],2,0)</f>
        <v>#N/A</v>
      </c>
      <c r="I735" s="2">
        <v>43849</v>
      </c>
      <c r="J735" s="2">
        <v>43850</v>
      </c>
      <c r="S735" s="1">
        <v>43849.538900462961</v>
      </c>
      <c r="T735" s="1">
        <v>43849.685752314814</v>
      </c>
      <c r="U735" s="1">
        <v>43849.685752314814</v>
      </c>
      <c r="W735" s="1">
        <v>43849.685752314814</v>
      </c>
      <c r="X735" t="s">
        <v>2606</v>
      </c>
      <c r="AH735" t="s">
        <v>5898</v>
      </c>
      <c r="AI735" t="s">
        <v>5899</v>
      </c>
      <c r="AJ735" t="s">
        <v>5900</v>
      </c>
      <c r="AK735" t="s">
        <v>5901</v>
      </c>
      <c r="AL735" t="s">
        <v>5902</v>
      </c>
      <c r="AM735" t="s">
        <v>5903</v>
      </c>
      <c r="AN735" t="s">
        <v>5447</v>
      </c>
      <c r="AO735" t="s">
        <v>5904</v>
      </c>
      <c r="EC735" t="s">
        <v>5905</v>
      </c>
      <c r="ED735" t="s">
        <v>5906</v>
      </c>
      <c r="EE735" t="s">
        <v>3091</v>
      </c>
      <c r="EF735" t="s">
        <v>2617</v>
      </c>
      <c r="EG735" t="str">
        <f>HYPERLINK("https://d33htgqikc2pj4.cloudfront.net/qvHDimMUqxZcQnsj/43de43b2-ac53-453b-8e93-22e4e7eb8503.jpeg", "Алексей Бирюков: Ссылка на изображение")</f>
        <v>Алексей Бирюков: Ссылка на изображение</v>
      </c>
      <c r="EH735" t="str">
        <f>HYPERLINK("https://d33htgqikc2pj4.cloudfront.net/qvHDimMUqxZcQnsj/d34f7125-6d23-4d2a-9544-d49f31d08d59.jpeg", "Алексей Бирюков: Ссылка на изображение")</f>
        <v>Алексей Бирюков: Ссылка на изображение</v>
      </c>
      <c r="EI735" t="str">
        <f>HYPERLINK("https://d33htgqikc2pj4.cloudfront.net/qvHDimMUqxZcQnsj/bd056c5a-a6a0-4d4c-a670-d076f4548d45.jpeg", "Алексей Бирюков: Ссылка на изображение")</f>
        <v>Алексей Бирюков: Ссылка на изображение</v>
      </c>
      <c r="EJ735" t="str">
        <f>HYPERLINK("https://d33htgqikc2pj4.cloudfront.net/qvHDimMUqxZcQnsj/52b8fc59-5af9-43ce-9324-3d3aa3d39754.jpeg", "Алексей Бирюков: Ссылка на изображение")</f>
        <v>Алексей Бирюков: Ссылка на изображение</v>
      </c>
      <c r="EK735" t="str">
        <f>HYPERLINK("https://d33htgqikc2pj4.cloudfront.net/qvHDimMUqxZcQnsj/30879edb-5bf5-47c4-92b9-828918d57c6e.jpeg", "Алексей Бирюков: Ссылка на изображение")</f>
        <v>Алексей Бирюков: Ссылка на изображение</v>
      </c>
      <c r="EL735" t="s">
        <v>2990</v>
      </c>
      <c r="EM735" t="s">
        <v>5907</v>
      </c>
      <c r="EN735" t="s">
        <v>5908</v>
      </c>
      <c r="EO735" t="s">
        <v>1899</v>
      </c>
    </row>
    <row r="736" spans="1:146" ht="15" customHeight="1" x14ac:dyDescent="0.35">
      <c r="A736">
        <v>954</v>
      </c>
      <c r="B736" t="s">
        <v>5909</v>
      </c>
      <c r="C736">
        <v>2</v>
      </c>
      <c r="D736" t="str">
        <f>VLOOKUP(source[[#This Row],[Приоритет]],тПриоритеты[],2,0)</f>
        <v>Значительное</v>
      </c>
      <c r="E736" t="str">
        <f>IF(ISBLANK(source[[#This Row],[Проверенные]]),IF(ISBLANK(source[[#This Row],[Завершенные]]),source[[#This Row],[Приоритет_]],"Завершено"),"Проверено")</f>
        <v>Проверено</v>
      </c>
      <c r="F736" t="s">
        <v>4423</v>
      </c>
      <c r="G736" t="s">
        <v>2926</v>
      </c>
      <c r="H736" t="e">
        <f>VLOOKUP(source[[#This Row],[Отвественный]],тОтветственные[],2,0)</f>
        <v>#N/A</v>
      </c>
      <c r="I736" s="2">
        <v>43849</v>
      </c>
      <c r="J736" s="2">
        <v>43849</v>
      </c>
      <c r="S736" s="1">
        <v>43849.666817129626</v>
      </c>
      <c r="T736" s="1">
        <v>43849.684548611112</v>
      </c>
      <c r="U736" s="1">
        <v>43849.684548611112</v>
      </c>
      <c r="W736" s="1">
        <v>43849.684629629628</v>
      </c>
      <c r="X736" t="s">
        <v>2606</v>
      </c>
      <c r="AH736" t="s">
        <v>5898</v>
      </c>
      <c r="AI736" t="s">
        <v>5899</v>
      </c>
      <c r="AJ736" t="s">
        <v>5900</v>
      </c>
      <c r="AK736" t="s">
        <v>5901</v>
      </c>
      <c r="AL736" t="s">
        <v>5902</v>
      </c>
      <c r="AM736" t="s">
        <v>5910</v>
      </c>
      <c r="AN736" t="s">
        <v>5447</v>
      </c>
      <c r="AO736" t="s">
        <v>5904</v>
      </c>
      <c r="EC736" t="s">
        <v>5911</v>
      </c>
      <c r="ED736" t="str">
        <f>HYPERLINK("https://d33htgqikc2pj4.cloudfront.net/qvHDimMUqxZcQnsj/85f6da05-2ac9-4fcd-8089-ebe1c1efe950.jpeg", "Алексей Бирюков: Ссылка на изображение")</f>
        <v>Алексей Бирюков: Ссылка на изображение</v>
      </c>
      <c r="EE736" t="str">
        <f>HYPERLINK("https://d33htgqikc2pj4.cloudfront.net/qvHDimMUqxZcQnsj/a7e8f200-c5e1-449b-9b40-fc58c12b7650.jpeg", "Алексей Бирюков: Ссылка на изображение")</f>
        <v>Алексей Бирюков: Ссылка на изображение</v>
      </c>
      <c r="EF736" t="str">
        <f>HYPERLINK("https://d33htgqikc2pj4.cloudfront.net/qvHDimMUqxZcQnsj/7129ce6d-f500-43a2-9d6f-180eeeb871e9.jpeg", "Алексей Бирюков: Ссылка на изображение")</f>
        <v>Алексей Бирюков: Ссылка на изображение</v>
      </c>
      <c r="EG736" t="str">
        <f>HYPERLINK("https://d33htgqikc2pj4.cloudfront.net/qvHDimMUqxZcQnsj/505b4c50-0ad6-4cac-8c8b-474e5a8495c4.jpeg", "Алексей Бирюков: Ссылка на изображение")</f>
        <v>Алексей Бирюков: Ссылка на изображение</v>
      </c>
      <c r="EH736" t="str">
        <f>HYPERLINK("https://d33htgqikc2pj4.cloudfront.net/qvHDimMUqxZcQnsj/ee7e534d-7d4e-4de0-a31c-bbfed541fc33.jpeg", "Алексей Бирюков: Ссылка на изображение")</f>
        <v>Алексей Бирюков: Ссылка на изображение</v>
      </c>
      <c r="EI736" t="str">
        <f>HYPERLINK("https://d33htgqikc2pj4.cloudfront.net/qvHDimMUqxZcQnsj/3e9c0492-f32a-470b-adfa-ff68549972a2.jpeg", "Алексей Бирюков: Ссылка на изображение")</f>
        <v>Алексей Бирюков: Ссылка на изображение</v>
      </c>
      <c r="EJ736" t="s">
        <v>1899</v>
      </c>
      <c r="EK736" t="s">
        <v>2617</v>
      </c>
      <c r="EL736" t="s">
        <v>3091</v>
      </c>
    </row>
    <row r="737" spans="1:148" ht="15" customHeight="1" x14ac:dyDescent="0.35">
      <c r="A737">
        <v>1006</v>
      </c>
      <c r="B737" t="s">
        <v>5912</v>
      </c>
      <c r="C737">
        <v>2</v>
      </c>
      <c r="D737" t="str">
        <f>VLOOKUP(source[[#This Row],[Приоритет]],тПриоритеты[],2,0)</f>
        <v>Значительное</v>
      </c>
      <c r="E737" t="str">
        <f>IF(ISBLANK(source[[#This Row],[Проверенные]]),IF(ISBLANK(source[[#This Row],[Завершенные]]),source[[#This Row],[Приоритет_]],"Завершено"),"Проверено")</f>
        <v>Проверено</v>
      </c>
      <c r="F737" t="s">
        <v>4423</v>
      </c>
      <c r="G737" t="s">
        <v>2926</v>
      </c>
      <c r="H737" t="e">
        <f>VLOOKUP(source[[#This Row],[Отвественный]],тОтветственные[],2,0)</f>
        <v>#N/A</v>
      </c>
      <c r="I737" s="2">
        <v>43852</v>
      </c>
      <c r="J737" s="2">
        <v>43852</v>
      </c>
      <c r="S737" s="1">
        <v>43852.679965277777</v>
      </c>
      <c r="T737" s="1">
        <v>43852.79078703704</v>
      </c>
      <c r="U737" s="1">
        <v>43852.79078703704</v>
      </c>
      <c r="W737" s="1">
        <v>43852.79078703704</v>
      </c>
      <c r="X737" t="s">
        <v>4879</v>
      </c>
      <c r="AH737" t="s">
        <v>5913</v>
      </c>
      <c r="AI737" t="s">
        <v>5914</v>
      </c>
      <c r="AJ737" t="s">
        <v>5915</v>
      </c>
      <c r="AK737" t="s">
        <v>5916</v>
      </c>
      <c r="AL737" t="s">
        <v>5917</v>
      </c>
      <c r="EC737" t="s">
        <v>5918</v>
      </c>
      <c r="ED737" t="str">
        <f>HYPERLINK("https://d33htgqikc2pj4.cloudfront.net/qvHDimMUqxZcQnsj/9ce4ee42-0db9-45b2-b9e7-57871fd27560.jpeg", "Алексей Бирюков: Ссылка на изображение")</f>
        <v>Алексей Бирюков: Ссылка на изображение</v>
      </c>
      <c r="EE737" t="str">
        <f>HYPERLINK("https://d33htgqikc2pj4.cloudfront.net/qvHDimMUqxZcQnsj/6a8a935e-2354-45a8-9350-2f2ee522c543.jpeg", "Алексей Бирюков: Ссылка на изображение")</f>
        <v>Алексей Бирюков: Ссылка на изображение</v>
      </c>
      <c r="EF737" t="str">
        <f>HYPERLINK("https://d33htgqikc2pj4.cloudfront.net/qvHDimMUqxZcQnsj/140e5a25-88c5-44dd-b6e2-04ccdbfbb57b.jpeg", "Алексей Бирюков: Ссылка на изображение")</f>
        <v>Алексей Бирюков: Ссылка на изображение</v>
      </c>
      <c r="EG737" t="str">
        <f>HYPERLINK("https://d33htgqikc2pj4.cloudfront.net/qvHDimMUqxZcQnsj/5e1c0b7f-b76d-492a-ac46-09cb0e9fed37.jpeg", "Алексей Бирюков: Ссылка на изображение")</f>
        <v>Алексей Бирюков: Ссылка на изображение</v>
      </c>
      <c r="EH737" t="str">
        <f>HYPERLINK("https://d33htgqikc2pj4.cloudfront.net/qvHDimMUqxZcQnsj/f5e88afc-1fc4-4426-bea8-42f490f85aa2.jpeg", "Алексей Бирюков: Ссылка на изображение")</f>
        <v>Алексей Бирюков: Ссылка на изображение</v>
      </c>
      <c r="EI737" t="s">
        <v>5919</v>
      </c>
      <c r="EJ737" t="str">
        <f>HYPERLINK("https://d33htgqikc2pj4.cloudfront.net/qvHDimMUqxZcQnsj/53d623c6-11d3-4b6c-a258-cddd57d2e61b.jpeg", "Алексей Бирюков: Ссылка на изображение")</f>
        <v>Алексей Бирюков: Ссылка на изображение</v>
      </c>
      <c r="EK737" t="str">
        <f>HYPERLINK("https://d33htgqikc2pj4.cloudfront.net/qvHDimMUqxZcQnsj/1bc8f144-f05b-4af2-9e2e-eb5a74e2b41e.jpeg", "Алексей Бирюков: Ссылка на изображение")</f>
        <v>Алексей Бирюков: Ссылка на изображение</v>
      </c>
      <c r="EL737" t="str">
        <f>HYPERLINK("https://d33htgqikc2pj4.cloudfront.net/qvHDimMUqxZcQnsj/259c46cf-f1c6-46a0-a714-cf7a22aa3d8e.jpeg", "Алексей Бирюков: Ссылка на изображение")</f>
        <v>Алексей Бирюков: Ссылка на изображение</v>
      </c>
      <c r="EM737" t="s">
        <v>5920</v>
      </c>
      <c r="EN737" t="s">
        <v>5921</v>
      </c>
      <c r="EO737" t="s">
        <v>2617</v>
      </c>
      <c r="EP737" t="s">
        <v>5922</v>
      </c>
      <c r="EQ737" t="s">
        <v>1902</v>
      </c>
      <c r="ER737" t="s">
        <v>1899</v>
      </c>
    </row>
    <row r="738" spans="1:148" ht="15" customHeight="1" x14ac:dyDescent="0.35">
      <c r="A738">
        <v>1010</v>
      </c>
      <c r="B738" t="s">
        <v>5923</v>
      </c>
      <c r="C738">
        <v>2</v>
      </c>
      <c r="D738" t="str">
        <f>VLOOKUP(source[[#This Row],[Приоритет]],тПриоритеты[],2,0)</f>
        <v>Значительное</v>
      </c>
      <c r="E738" t="str">
        <f>IF(ISBLANK(source[[#This Row],[Проверенные]]),IF(ISBLANK(source[[#This Row],[Завершенные]]),source[[#This Row],[Приоритет_]],"Завершено"),"Проверено")</f>
        <v>Проверено</v>
      </c>
      <c r="F738" t="s">
        <v>4423</v>
      </c>
      <c r="G738" t="s">
        <v>2926</v>
      </c>
      <c r="H738" t="e">
        <f>VLOOKUP(source[[#This Row],[Отвественный]],тОтветственные[],2,0)</f>
        <v>#N/A</v>
      </c>
      <c r="I738" s="2">
        <v>43852</v>
      </c>
      <c r="J738" s="2">
        <v>43852</v>
      </c>
      <c r="S738" s="1">
        <v>43852.679976851854</v>
      </c>
      <c r="T738" s="1">
        <v>43852.792592592596</v>
      </c>
      <c r="U738" s="1">
        <v>43852.792592592596</v>
      </c>
      <c r="W738" s="1">
        <v>43852.792592592596</v>
      </c>
      <c r="X738" t="s">
        <v>2606</v>
      </c>
      <c r="AH738" t="s">
        <v>5924</v>
      </c>
      <c r="AI738" t="s">
        <v>5925</v>
      </c>
      <c r="AJ738" t="s">
        <v>5926</v>
      </c>
      <c r="AK738" t="s">
        <v>5927</v>
      </c>
      <c r="AL738" t="s">
        <v>5928</v>
      </c>
      <c r="AM738" t="s">
        <v>5929</v>
      </c>
      <c r="AN738" t="s">
        <v>5930</v>
      </c>
      <c r="AO738" t="s">
        <v>5931</v>
      </c>
      <c r="EC738" t="s">
        <v>5932</v>
      </c>
      <c r="ED738" t="s">
        <v>2617</v>
      </c>
      <c r="EE738" t="s">
        <v>5922</v>
      </c>
      <c r="EF738" t="str">
        <f>HYPERLINK("https://d33htgqikc2pj4.cloudfront.net/qvHDimMUqxZcQnsj/94c05308-7bf7-4c22-9cdb-efa1ca282fdf.jpeg", "Алексей Бирюков: Ссылка на изображение")</f>
        <v>Алексей Бирюков: Ссылка на изображение</v>
      </c>
      <c r="EG738" t="str">
        <f>HYPERLINK("https://d33htgqikc2pj4.cloudfront.net/qvHDimMUqxZcQnsj/95908fd0-ff97-4f7c-a0dd-8dbb0fa3903e.jpeg", "Алексей Бирюков: Ссылка на изображение")</f>
        <v>Алексей Бирюков: Ссылка на изображение</v>
      </c>
      <c r="EH738" t="str">
        <f>HYPERLINK("https://d33htgqikc2pj4.cloudfront.net/qvHDimMUqxZcQnsj/a352d157-03db-4fd8-be0e-9fb23718453e.jpeg", "Алексей Бирюков: Ссылка на изображение")</f>
        <v>Алексей Бирюков: Ссылка на изображение</v>
      </c>
      <c r="EI738" t="str">
        <f>HYPERLINK("https://d33htgqikc2pj4.cloudfront.net/qvHDimMUqxZcQnsj/5c0cd7fe-d741-47a3-9cfd-fa10d46b6b00.jpeg", "Алексей Бирюков: Ссылка на изображение")</f>
        <v>Алексей Бирюков: Ссылка на изображение</v>
      </c>
      <c r="EJ738" t="str">
        <f>HYPERLINK("https://d33htgqikc2pj4.cloudfront.net/qvHDimMUqxZcQnsj/3b241b25-915b-4358-adbc-74dcd6b21759.jpeg", "Алексей Бирюков: Ссылка на изображение")</f>
        <v>Алексей Бирюков: Ссылка на изображение</v>
      </c>
      <c r="EK738" t="str">
        <f>HYPERLINK("https://d33htgqikc2pj4.cloudfront.net/qvHDimMUqxZcQnsj/0187a586-e36d-4883-a9a3-96f5e521de9d.jpeg", "Алексей Бирюков: Ссылка на изображение")</f>
        <v>Алексей Бирюков: Ссылка на изображение</v>
      </c>
      <c r="EL738" t="s">
        <v>1902</v>
      </c>
      <c r="EM738" t="s">
        <v>1899</v>
      </c>
    </row>
    <row r="739" spans="1:148" ht="15" customHeight="1" x14ac:dyDescent="0.35">
      <c r="A739">
        <v>1011</v>
      </c>
      <c r="B739" t="s">
        <v>5933</v>
      </c>
      <c r="C739">
        <v>2</v>
      </c>
      <c r="D739" t="str">
        <f>VLOOKUP(source[[#This Row],[Приоритет]],тПриоритеты[],2,0)</f>
        <v>Значительное</v>
      </c>
      <c r="E739" t="str">
        <f>IF(ISBLANK(source[[#This Row],[Проверенные]]),IF(ISBLANK(source[[#This Row],[Завершенные]]),source[[#This Row],[Приоритет_]],"Завершено"),"Проверено")</f>
        <v>Проверено</v>
      </c>
      <c r="F739" t="s">
        <v>4423</v>
      </c>
      <c r="G739" t="s">
        <v>2926</v>
      </c>
      <c r="H739" t="e">
        <f>VLOOKUP(source[[#This Row],[Отвественный]],тОтветственные[],2,0)</f>
        <v>#N/A</v>
      </c>
      <c r="I739" s="2">
        <v>43852</v>
      </c>
      <c r="J739" s="2">
        <v>43852</v>
      </c>
      <c r="S739" s="1">
        <v>43852.679976851854</v>
      </c>
      <c r="T739" s="1">
        <v>43852.792083333334</v>
      </c>
      <c r="U739" s="1">
        <v>43852.792083333334</v>
      </c>
      <c r="W739" s="1">
        <v>43852.792094907411</v>
      </c>
      <c r="X739" t="s">
        <v>2606</v>
      </c>
      <c r="AH739" t="s">
        <v>5924</v>
      </c>
      <c r="AI739" t="s">
        <v>5925</v>
      </c>
      <c r="AJ739" t="s">
        <v>5926</v>
      </c>
      <c r="AK739" t="s">
        <v>5927</v>
      </c>
      <c r="AL739" t="s">
        <v>5928</v>
      </c>
      <c r="AM739" t="s">
        <v>5929</v>
      </c>
      <c r="AN739" t="s">
        <v>5930</v>
      </c>
      <c r="AO739" t="s">
        <v>5931</v>
      </c>
      <c r="EC739" t="s">
        <v>5934</v>
      </c>
      <c r="ED739" t="str">
        <f>HYPERLINK("https://d33htgqikc2pj4.cloudfront.net/qvHDimMUqxZcQnsj/f4403624-ac6b-4546-9e1e-83f0904b788b.jpeg", "Алексей Бирюков: Ссылка на изображение")</f>
        <v>Алексей Бирюков: Ссылка на изображение</v>
      </c>
      <c r="EE739" t="str">
        <f>HYPERLINK("https://d33htgqikc2pj4.cloudfront.net/qvHDimMUqxZcQnsj/33787934-55ba-42bf-b85d-b364e57cf7bd.jpeg", "Алексей Бирюков: Ссылка на изображение")</f>
        <v>Алексей Бирюков: Ссылка на изображение</v>
      </c>
      <c r="EF739" t="str">
        <f>HYPERLINK("https://d33htgqikc2pj4.cloudfront.net/qvHDimMUqxZcQnsj/d61edad6-5b91-4fac-90b1-611dc81a7a71.jpeg", "Алексей Бирюков: Ссылка на изображение")</f>
        <v>Алексей Бирюков: Ссылка на изображение</v>
      </c>
      <c r="EG739" t="str">
        <f>HYPERLINK("https://d33htgqikc2pj4.cloudfront.net/qvHDimMUqxZcQnsj/afecc67f-2e6f-4527-b164-7bb1b01385ae.jpeg", "Алексей Бирюков: Ссылка на изображение")</f>
        <v>Алексей Бирюков: Ссылка на изображение</v>
      </c>
      <c r="EH739" t="str">
        <f>HYPERLINK("https://d33htgqikc2pj4.cloudfront.net/qvHDimMUqxZcQnsj/94d695a9-f890-4683-a0ae-193e71746f8d.jpeg", "Алексей Бирюков: Ссылка на изображение")</f>
        <v>Алексей Бирюков: Ссылка на изображение</v>
      </c>
      <c r="EI739" t="s">
        <v>5935</v>
      </c>
      <c r="EJ739" t="s">
        <v>5922</v>
      </c>
      <c r="EK739" t="s">
        <v>2617</v>
      </c>
      <c r="EL739" t="s">
        <v>5936</v>
      </c>
      <c r="EM739" t="str">
        <f>HYPERLINK("https://d33htgqikc2pj4.cloudfront.net/qvHDimMUqxZcQnsj/f94ae73e-f18f-47b4-afa0-affe4c60dc34.jpeg", "Алексей Бирюков: Ссылка на изображение")</f>
        <v>Алексей Бирюков: Ссылка на изображение</v>
      </c>
      <c r="EN739" t="str">
        <f>HYPERLINK("https://d33htgqikc2pj4.cloudfront.net/qvHDimMUqxZcQnsj/2feae5f8-576b-4a71-800a-8ba484abcecf.jpeg", "Алексей Бирюков: Ссылка на изображение")</f>
        <v>Алексей Бирюков: Ссылка на изображение</v>
      </c>
      <c r="EO739" t="s">
        <v>1902</v>
      </c>
      <c r="EP739" t="s">
        <v>1899</v>
      </c>
    </row>
    <row r="740" spans="1:148" ht="15" customHeight="1" x14ac:dyDescent="0.35">
      <c r="A740">
        <v>1009</v>
      </c>
      <c r="B740" t="s">
        <v>5937</v>
      </c>
      <c r="C740">
        <v>2</v>
      </c>
      <c r="D740" t="str">
        <f>VLOOKUP(source[[#This Row],[Приоритет]],тПриоритеты[],2,0)</f>
        <v>Значительное</v>
      </c>
      <c r="E740" t="str">
        <f>IF(ISBLANK(source[[#This Row],[Проверенные]]),IF(ISBLANK(source[[#This Row],[Завершенные]]),source[[#This Row],[Приоритет_]],"Завершено"),"Проверено")</f>
        <v>Проверено</v>
      </c>
      <c r="F740" t="s">
        <v>4423</v>
      </c>
      <c r="G740" t="s">
        <v>2926</v>
      </c>
      <c r="H740" t="e">
        <f>VLOOKUP(source[[#This Row],[Отвественный]],тОтветственные[],2,0)</f>
        <v>#N/A</v>
      </c>
      <c r="I740" s="2">
        <v>43852</v>
      </c>
      <c r="J740" s="2">
        <v>43852</v>
      </c>
      <c r="S740" s="1">
        <v>43852.679965277777</v>
      </c>
      <c r="T740" s="1">
        <v>43852.793124999997</v>
      </c>
      <c r="U740" s="1">
        <v>43852.793124999997</v>
      </c>
      <c r="W740" s="1">
        <v>43852.793124999997</v>
      </c>
      <c r="X740" t="s">
        <v>5769</v>
      </c>
      <c r="AH740" t="s">
        <v>5938</v>
      </c>
      <c r="AI740" t="s">
        <v>5939</v>
      </c>
      <c r="AJ740" t="s">
        <v>5940</v>
      </c>
      <c r="AK740" t="s">
        <v>5941</v>
      </c>
      <c r="AL740" t="s">
        <v>5942</v>
      </c>
      <c r="AM740" t="s">
        <v>5943</v>
      </c>
      <c r="AN740" t="s">
        <v>5944</v>
      </c>
      <c r="AO740" t="s">
        <v>5945</v>
      </c>
      <c r="AP740" t="s">
        <v>5946</v>
      </c>
      <c r="EC740" t="s">
        <v>5947</v>
      </c>
      <c r="ED740" t="s">
        <v>2617</v>
      </c>
      <c r="EE740" t="s">
        <v>5922</v>
      </c>
      <c r="EF740" t="str">
        <f>HYPERLINK("https://d33htgqikc2pj4.cloudfront.net/qvHDimMUqxZcQnsj/1161291c-60a5-42aa-8953-ba4772c9315e.jpeg", "Алексей Бирюков: Ссылка на изображение")</f>
        <v>Алексей Бирюков: Ссылка на изображение</v>
      </c>
      <c r="EG740" t="str">
        <f>HYPERLINK("https://d33htgqikc2pj4.cloudfront.net/qvHDimMUqxZcQnsj/9ff8f640-2c11-4673-9f21-4b3cf3979fd3.jpeg", "Алексей Бирюков: Ссылка на изображение")</f>
        <v>Алексей Бирюков: Ссылка на изображение</v>
      </c>
      <c r="EH740" t="str">
        <f>HYPERLINK("https://d33htgqikc2pj4.cloudfront.net/qvHDimMUqxZcQnsj/6ee34dfe-2f74-4f3c-8fd5-c7e85bfb9401.jpeg", "Алексей Бирюков: Ссылка на изображение")</f>
        <v>Алексей Бирюков: Ссылка на изображение</v>
      </c>
      <c r="EI740" t="str">
        <f>HYPERLINK("https://d33htgqikc2pj4.cloudfront.net/qvHDimMUqxZcQnsj/ad654cb3-e4f8-4601-b737-708f9b81c359.jpeg", "Алексей Бирюков: Ссылка на изображение")</f>
        <v>Алексей Бирюков: Ссылка на изображение</v>
      </c>
      <c r="EJ740" t="str">
        <f>HYPERLINK("https://d33htgqikc2pj4.cloudfront.net/qvHDimMUqxZcQnsj/b9b6cae8-f04d-443f-9823-9a8ceb81f3d1.jpeg", "Алексей Бирюков: Ссылка на изображение")</f>
        <v>Алексей Бирюков: Ссылка на изображение</v>
      </c>
      <c r="EK740" t="str">
        <f>HYPERLINK("https://d33htgqikc2pj4.cloudfront.net/qvHDimMUqxZcQnsj/aee7376c-6202-499b-b2dc-8f78317b1f2a.jpeg", "Алексей Бирюков: Ссылка на изображение")</f>
        <v>Алексей Бирюков: Ссылка на изображение</v>
      </c>
      <c r="EL740" t="str">
        <f>HYPERLINK("https://d33htgqikc2pj4.cloudfront.net/qvHDimMUqxZcQnsj/fc588e8e-2bb2-4eed-988f-1593b41bf85a.jpeg", "Алексей Бирюков: Ссылка на изображение")</f>
        <v>Алексей Бирюков: Ссылка на изображение</v>
      </c>
      <c r="EM740" t="str">
        <f>HYPERLINK("https://d33htgqikc2pj4.cloudfront.net/qvHDimMUqxZcQnsj/f515cd17-392c-4205-a8cc-39ed5ea7952a.jpeg", "Алексей Бирюков: Ссылка на изображение")</f>
        <v>Алексей Бирюков: Ссылка на изображение</v>
      </c>
      <c r="EN740" t="str">
        <f>HYPERLINK("https://d33htgqikc2pj4.cloudfront.net/qvHDimMUqxZcQnsj/176f331d-91a9-4635-baea-bf8cc04d08ea.jpeg", "Алексей Бирюков: Ссылка на изображение")</f>
        <v>Алексей Бирюков: Ссылка на изображение</v>
      </c>
      <c r="EO740" t="str">
        <f>HYPERLINK("https://d33htgqikc2pj4.cloudfront.net/qvHDimMUqxZcQnsj/a620a245-99a0-4864-b0ce-9d37182947de.jpeg", "Алексей Бирюков: Ссылка на изображение")</f>
        <v>Алексей Бирюков: Ссылка на изображение</v>
      </c>
      <c r="EP740" t="s">
        <v>1902</v>
      </c>
      <c r="EQ740" t="s">
        <v>1899</v>
      </c>
    </row>
    <row r="741" spans="1:148" ht="15" customHeight="1" x14ac:dyDescent="0.35">
      <c r="A741">
        <v>1012</v>
      </c>
      <c r="B741" t="s">
        <v>5948</v>
      </c>
      <c r="C741">
        <v>2</v>
      </c>
      <c r="D741" t="str">
        <f>VLOOKUP(source[[#This Row],[Приоритет]],тПриоритеты[],2,0)</f>
        <v>Значительное</v>
      </c>
      <c r="E741" t="str">
        <f>IF(ISBLANK(source[[#This Row],[Проверенные]]),IF(ISBLANK(source[[#This Row],[Завершенные]]),source[[#This Row],[Приоритет_]],"Завершено"),"Проверено")</f>
        <v>Проверено</v>
      </c>
      <c r="F741" t="s">
        <v>4423</v>
      </c>
      <c r="G741" t="s">
        <v>2926</v>
      </c>
      <c r="H741" t="e">
        <f>VLOOKUP(source[[#This Row],[Отвественный]],тОтветственные[],2,0)</f>
        <v>#N/A</v>
      </c>
      <c r="I741" s="2">
        <v>43852</v>
      </c>
      <c r="J741" s="2">
        <v>43852</v>
      </c>
      <c r="S741" s="1">
        <v>43852.679976851854</v>
      </c>
      <c r="T741" s="1">
        <v>43852.791307870371</v>
      </c>
      <c r="U741" s="1">
        <v>43852.791307870371</v>
      </c>
      <c r="W741" s="1">
        <v>43852.791307870371</v>
      </c>
      <c r="X741" t="s">
        <v>2606</v>
      </c>
      <c r="AH741" t="s">
        <v>5924</v>
      </c>
      <c r="AI741" t="s">
        <v>5925</v>
      </c>
      <c r="AJ741" t="s">
        <v>5926</v>
      </c>
      <c r="AK741" t="s">
        <v>5927</v>
      </c>
      <c r="AL741" t="s">
        <v>5928</v>
      </c>
      <c r="AM741" t="s">
        <v>5929</v>
      </c>
      <c r="AN741" t="s">
        <v>5930</v>
      </c>
      <c r="AO741" t="s">
        <v>5931</v>
      </c>
      <c r="EC741" t="s">
        <v>5949</v>
      </c>
      <c r="ED741" t="s">
        <v>2617</v>
      </c>
      <c r="EE741" t="s">
        <v>5922</v>
      </c>
      <c r="EF741" t="str">
        <f>HYPERLINK("https://d33htgqikc2pj4.cloudfront.net/qvHDimMUqxZcQnsj/8ebaf1e8-479d-4ff4-ad70-e994f4fd7954.jpeg", "Алексей Бирюков: Ссылка на изображение")</f>
        <v>Алексей Бирюков: Ссылка на изображение</v>
      </c>
      <c r="EG741" t="str">
        <f>HYPERLINK("https://d33htgqikc2pj4.cloudfront.net/qvHDimMUqxZcQnsj/8a709498-0850-40e0-a246-38fa8f8169b9.jpeg", "Алексей Бирюков: Ссылка на изображение")</f>
        <v>Алексей Бирюков: Ссылка на изображение</v>
      </c>
      <c r="EH741" t="str">
        <f>HYPERLINK("https://d33htgqikc2pj4.cloudfront.net/qvHDimMUqxZcQnsj/5635d18b-792a-4a37-8347-99bb66896448.jpeg", "Алексей Бирюков: Ссылка на изображение")</f>
        <v>Алексей Бирюков: Ссылка на изображение</v>
      </c>
      <c r="EI741" t="str">
        <f>HYPERLINK("https://d33htgqikc2pj4.cloudfront.net/qvHDimMUqxZcQnsj/f1f485fb-fe48-4cd6-8585-db2fe80f1925.jpeg", "Алексей Бирюков: Ссылка на изображение")</f>
        <v>Алексей Бирюков: Ссылка на изображение</v>
      </c>
      <c r="EJ741" t="str">
        <f>HYPERLINK("https://d33htgqikc2pj4.cloudfront.net/qvHDimMUqxZcQnsj/319b468c-c1a2-49af-82a8-da07a6061bfd.jpeg", "Алексей Бирюков: Ссылка на изображение")</f>
        <v>Алексей Бирюков: Ссылка на изображение</v>
      </c>
      <c r="EK741" t="str">
        <f>HYPERLINK("https://d33htgqikc2pj4.cloudfront.net/qvHDimMUqxZcQnsj/37ea93b8-e32b-4463-8504-25b1883da2d3.jpeg", "Алексей Бирюков: Ссылка на изображение")</f>
        <v>Алексей Бирюков: Ссылка на изображение</v>
      </c>
      <c r="EL741" t="str">
        <f>HYPERLINK("https://d33htgqikc2pj4.cloudfront.net/qvHDimMUqxZcQnsj/163f7f00-abe2-4e4c-b0b7-dafa26facb80.jpeg", "Алексей Бирюков: Ссылка на изображение")</f>
        <v>Алексей Бирюков: Ссылка на изображение</v>
      </c>
      <c r="EM741" t="str">
        <f>HYPERLINK("https://d33htgqikc2pj4.cloudfront.net/qvHDimMUqxZcQnsj/080f4821-379b-4633-aec7-8f352fb30497.jpeg", "Алексей Бирюков: Ссылка на изображение")</f>
        <v>Алексей Бирюков: Ссылка на изображение</v>
      </c>
      <c r="EN741" t="s">
        <v>1902</v>
      </c>
      <c r="EO741" t="s">
        <v>1899</v>
      </c>
    </row>
    <row r="742" spans="1:148" ht="15" customHeight="1" x14ac:dyDescent="0.35">
      <c r="A742">
        <v>1007</v>
      </c>
      <c r="B742" t="s">
        <v>5950</v>
      </c>
      <c r="C742">
        <v>2</v>
      </c>
      <c r="D742" t="str">
        <f>VLOOKUP(source[[#This Row],[Приоритет]],тПриоритеты[],2,0)</f>
        <v>Значительное</v>
      </c>
      <c r="E742" t="str">
        <f>IF(ISBLANK(source[[#This Row],[Проверенные]]),IF(ISBLANK(source[[#This Row],[Завершенные]]),source[[#This Row],[Приоритет_]],"Завершено"),"Проверено")</f>
        <v>Проверено</v>
      </c>
      <c r="F742" t="s">
        <v>4423</v>
      </c>
      <c r="G742" t="s">
        <v>2926</v>
      </c>
      <c r="H742" t="e">
        <f>VLOOKUP(source[[#This Row],[Отвественный]],тОтветственные[],2,0)</f>
        <v>#N/A</v>
      </c>
      <c r="I742" s="2">
        <v>43852</v>
      </c>
      <c r="J742" s="2">
        <v>43852</v>
      </c>
      <c r="S742" s="1">
        <v>43852.679965277777</v>
      </c>
      <c r="T742" s="1">
        <v>43852.793796296297</v>
      </c>
      <c r="U742" s="1">
        <v>43852.793796296297</v>
      </c>
      <c r="W742" s="1">
        <v>43852.793796296297</v>
      </c>
      <c r="X742" t="s">
        <v>3262</v>
      </c>
      <c r="AH742" t="s">
        <v>5951</v>
      </c>
      <c r="AI742" t="s">
        <v>5952</v>
      </c>
      <c r="AJ742" t="s">
        <v>5953</v>
      </c>
      <c r="AK742" t="s">
        <v>5954</v>
      </c>
      <c r="AL742" t="s">
        <v>5955</v>
      </c>
      <c r="AM742" t="s">
        <v>5956</v>
      </c>
      <c r="AN742" t="s">
        <v>5957</v>
      </c>
      <c r="AO742" t="s">
        <v>5958</v>
      </c>
      <c r="AP742" t="s">
        <v>5959</v>
      </c>
      <c r="AQ742" t="s">
        <v>5928</v>
      </c>
      <c r="AR742" t="s">
        <v>5929</v>
      </c>
      <c r="AS742" t="s">
        <v>5930</v>
      </c>
      <c r="AT742" t="s">
        <v>5960</v>
      </c>
      <c r="AU742" s="3" t="s">
        <v>5961</v>
      </c>
      <c r="EC742" t="s">
        <v>5962</v>
      </c>
      <c r="ED742" t="s">
        <v>2617</v>
      </c>
      <c r="EE742" t="s">
        <v>5922</v>
      </c>
      <c r="EF742" t="s">
        <v>5963</v>
      </c>
      <c r="EG742" t="str">
        <f>HYPERLINK("https://d33htgqikc2pj4.cloudfront.net/qvHDimMUqxZcQnsj/95d8ac41-6490-4946-995f-0b7f4655f1ce.jpeg", "Алексей Бирюков: Ссылка на изображение")</f>
        <v>Алексей Бирюков: Ссылка на изображение</v>
      </c>
      <c r="EH742" t="str">
        <f>HYPERLINK("https://d33htgqikc2pj4.cloudfront.net/qvHDimMUqxZcQnsj/4d938848-dede-45aa-aa8b-635c9aca3a61.jpeg", "Алексей Бирюков: Ссылка на изображение")</f>
        <v>Алексей Бирюков: Ссылка на изображение</v>
      </c>
      <c r="EI742" t="str">
        <f>HYPERLINK("https://d33htgqikc2pj4.cloudfront.net/qvHDimMUqxZcQnsj/a0e6be6b-7cf4-4614-aec0-6c1d70c27f30.jpeg", "Алексей Бирюков: Ссылка на изображение")</f>
        <v>Алексей Бирюков: Ссылка на изображение</v>
      </c>
      <c r="EJ742" t="str">
        <f>HYPERLINK("https://d33htgqikc2pj4.cloudfront.net/qvHDimMUqxZcQnsj/95366129-0640-459a-93d6-15fac163a1b4.jpeg", "Алексей Бирюков: Ссылка на изображение")</f>
        <v>Алексей Бирюков: Ссылка на изображение</v>
      </c>
      <c r="EK742" t="str">
        <f>HYPERLINK("https://d33htgqikc2pj4.cloudfront.net/qvHDimMUqxZcQnsj/519460bd-87f8-4ad6-8fc8-a6aaeca2025c.jpeg", "Алексей Бирюков: Ссылка на изображение")</f>
        <v>Алексей Бирюков: Ссылка на изображение</v>
      </c>
      <c r="EL742" t="str">
        <f>HYPERLINK("https://d33htgqikc2pj4.cloudfront.net/qvHDimMUqxZcQnsj/929e0536-9435-4a98-9cc5-c5b6bc6cc82d.jpeg", "Алексей Бирюков: Ссылка на изображение")</f>
        <v>Алексей Бирюков: Ссылка на изображение</v>
      </c>
      <c r="EM742" t="str">
        <f>HYPERLINK("https://d33htgqikc2pj4.cloudfront.net/qvHDimMUqxZcQnsj/ff26a10c-9aa7-4b31-a9f0-a84e0641194c.jpeg", "Алексей Бирюков: Ссылка на изображение")</f>
        <v>Алексей Бирюков: Ссылка на изображение</v>
      </c>
      <c r="EN742" t="s">
        <v>1902</v>
      </c>
      <c r="EO742" t="s">
        <v>1899</v>
      </c>
    </row>
    <row r="743" spans="1:148" ht="15" customHeight="1" x14ac:dyDescent="0.35">
      <c r="A743">
        <v>1026</v>
      </c>
      <c r="B743" t="s">
        <v>5964</v>
      </c>
      <c r="C743">
        <v>2</v>
      </c>
      <c r="D743" t="str">
        <f>VLOOKUP(source[[#This Row],[Приоритет]],тПриоритеты[],2,0)</f>
        <v>Значительное</v>
      </c>
      <c r="E743" t="str">
        <f>IF(ISBLANK(source[[#This Row],[Проверенные]]),IF(ISBLANK(source[[#This Row],[Завершенные]]),source[[#This Row],[Приоритет_]],"Завершено"),"Проверено")</f>
        <v>Проверено</v>
      </c>
      <c r="F743" t="s">
        <v>4423</v>
      </c>
      <c r="G743" t="s">
        <v>2926</v>
      </c>
      <c r="H743" t="e">
        <f>VLOOKUP(source[[#This Row],[Отвественный]],тОтветственные[],2,0)</f>
        <v>#N/A</v>
      </c>
      <c r="I743" s="2">
        <v>43853</v>
      </c>
      <c r="J743" s="2">
        <v>43853</v>
      </c>
      <c r="S743" s="1">
        <v>43853.714259259257</v>
      </c>
      <c r="T743" s="1">
        <v>43853.775312500002</v>
      </c>
      <c r="U743" s="1">
        <v>43853.775312500002</v>
      </c>
      <c r="W743" s="1">
        <v>43853.775324074071</v>
      </c>
      <c r="X743" t="s">
        <v>2606</v>
      </c>
      <c r="AH743" t="s">
        <v>3287</v>
      </c>
      <c r="AI743" t="s">
        <v>3288</v>
      </c>
      <c r="AJ743" t="s">
        <v>3289</v>
      </c>
      <c r="AK743" t="s">
        <v>3290</v>
      </c>
      <c r="AL743" t="s">
        <v>3272</v>
      </c>
      <c r="AM743" t="s">
        <v>3273</v>
      </c>
      <c r="AN743" t="s">
        <v>3274</v>
      </c>
      <c r="AO743" t="s">
        <v>3291</v>
      </c>
      <c r="EC743" t="s">
        <v>5965</v>
      </c>
      <c r="ED743" t="str">
        <f>HYPERLINK("https://d33htgqikc2pj4.cloudfront.net/qvHDimMUqxZcQnsj/86482b63-3602-4afe-a934-0270316855ea.jpeg", "Алексей Бирюков: Ссылка на изображение")</f>
        <v>Алексей Бирюков: Ссылка на изображение</v>
      </c>
      <c r="EE743" t="str">
        <f>HYPERLINK("https://d33htgqikc2pj4.cloudfront.net/qvHDimMUqxZcQnsj/cf6658dd-575f-45ef-ba2a-074a1f611397.jpeg", "Алексей Бирюков: Ссылка на изображение")</f>
        <v>Алексей Бирюков: Ссылка на изображение</v>
      </c>
      <c r="EF743" t="str">
        <f>HYPERLINK("https://d33htgqikc2pj4.cloudfront.net/qvHDimMUqxZcQnsj/e162060f-68c0-4a8c-8a5c-bc6f6988d208.jpeg", "Алексей Бирюков: Ссылка на изображение")</f>
        <v>Алексей Бирюков: Ссылка на изображение</v>
      </c>
      <c r="EG743" t="str">
        <f>HYPERLINK("https://d33htgqikc2pj4.cloudfront.net/qvHDimMUqxZcQnsj/2ce3e88c-6536-42f0-9935-e971b28d670a.jpeg", "Алексей Бирюков: Ссылка на изображение")</f>
        <v>Алексей Бирюков: Ссылка на изображение</v>
      </c>
      <c r="EH743" t="str">
        <f>HYPERLINK("https://d33htgqikc2pj4.cloudfront.net/qvHDimMUqxZcQnsj/3766128d-ac63-475c-b7b3-a44b3459cccf.jpeg", "Алексей Бирюков: Ссылка на изображение")</f>
        <v>Алексей Бирюков: Ссылка на изображение</v>
      </c>
      <c r="EI743" t="str">
        <f>HYPERLINK("https://d33htgqikc2pj4.cloudfront.net/qvHDimMUqxZcQnsj/8ea364fe-2d56-4a1f-bc63-b178cf238d1a.jpeg", "Алексей Бирюков: Ссылка на изображение")</f>
        <v>Алексей Бирюков: Ссылка на изображение</v>
      </c>
      <c r="EJ743" t="str">
        <f>HYPERLINK("https://d33htgqikc2pj4.cloudfront.net/qvHDimMUqxZcQnsj/4e1823c6-4770-4c21-992e-398e2e2e1115.jpeg", "Алексей Бирюков: Ссылка на изображение")</f>
        <v>Алексей Бирюков: Ссылка на изображение</v>
      </c>
      <c r="EK743" t="str">
        <f>HYPERLINK("https://d33htgqikc2pj4.cloudfront.net/qvHDimMUqxZcQnsj/b351d7a1-e197-41cf-a03f-f3cf1ae9b49a.jpeg", "Алексей Бирюков: Ссылка на изображение")</f>
        <v>Алексей Бирюков: Ссылка на изображение</v>
      </c>
      <c r="EL743" t="str">
        <f>HYPERLINK("https://d33htgqikc2pj4.cloudfront.net/qvHDimMUqxZcQnsj/346525e2-6c58-42de-845a-b2ae2ecdb676.jpeg", "Алексей Бирюков: Ссылка на изображение")</f>
        <v>Алексей Бирюков: Ссылка на изображение</v>
      </c>
      <c r="EM743" t="s">
        <v>2617</v>
      </c>
      <c r="EN743" t="s">
        <v>3278</v>
      </c>
      <c r="EO743" t="s">
        <v>1902</v>
      </c>
      <c r="EP743" t="s">
        <v>1899</v>
      </c>
    </row>
    <row r="744" spans="1:148" ht="15" customHeight="1" x14ac:dyDescent="0.35">
      <c r="A744">
        <v>1025</v>
      </c>
      <c r="B744" t="s">
        <v>5966</v>
      </c>
      <c r="C744">
        <v>2</v>
      </c>
      <c r="D744" t="str">
        <f>VLOOKUP(source[[#This Row],[Приоритет]],тПриоритеты[],2,0)</f>
        <v>Значительное</v>
      </c>
      <c r="E744" t="str">
        <f>IF(ISBLANK(source[[#This Row],[Проверенные]]),IF(ISBLANK(source[[#This Row],[Завершенные]]),source[[#This Row],[Приоритет_]],"Завершено"),"Проверено")</f>
        <v>Проверено</v>
      </c>
      <c r="F744" t="s">
        <v>4423</v>
      </c>
      <c r="G744" t="s">
        <v>2926</v>
      </c>
      <c r="H744" t="e">
        <f>VLOOKUP(source[[#This Row],[Отвественный]],тОтветственные[],2,0)</f>
        <v>#N/A</v>
      </c>
      <c r="I744" s="2">
        <v>43853</v>
      </c>
      <c r="J744" s="2">
        <v>43853</v>
      </c>
      <c r="S744" s="1">
        <v>43853.714259259257</v>
      </c>
      <c r="T744" s="1">
        <v>43853.773634259262</v>
      </c>
      <c r="U744" s="1">
        <v>43853.773634259262</v>
      </c>
      <c r="W744" s="1">
        <v>43853.773645833331</v>
      </c>
      <c r="X744" t="s">
        <v>5769</v>
      </c>
      <c r="AH744" t="s">
        <v>5967</v>
      </c>
      <c r="AI744" t="s">
        <v>5968</v>
      </c>
      <c r="AJ744" t="s">
        <v>5969</v>
      </c>
      <c r="AK744" t="s">
        <v>5970</v>
      </c>
      <c r="AL744" t="s">
        <v>5971</v>
      </c>
      <c r="AM744" t="s">
        <v>5972</v>
      </c>
      <c r="AN744" t="s">
        <v>5973</v>
      </c>
      <c r="AO744" t="s">
        <v>5974</v>
      </c>
      <c r="AP744" t="s">
        <v>5975</v>
      </c>
      <c r="EC744" t="s">
        <v>5976</v>
      </c>
      <c r="ED744" t="s">
        <v>2617</v>
      </c>
      <c r="EE744" t="str">
        <f>HYPERLINK("https://d33htgqikc2pj4.cloudfront.net/qvHDimMUqxZcQnsj/ba2d8348-26c4-4921-a88a-6db0cf4caa63.jpeg", "Алексей Бирюков: Ссылка на изображение")</f>
        <v>Алексей Бирюков: Ссылка на изображение</v>
      </c>
      <c r="EF744" t="str">
        <f>HYPERLINK("https://d33htgqikc2pj4.cloudfront.net/qvHDimMUqxZcQnsj/1cc4ffa7-4334-4cda-a7e7-c1bad2170bec.jpeg", "Алексей Бирюков: Ссылка на изображение")</f>
        <v>Алексей Бирюков: Ссылка на изображение</v>
      </c>
      <c r="EG744" t="str">
        <f>HYPERLINK("https://d33htgqikc2pj4.cloudfront.net/qvHDimMUqxZcQnsj/855b8fff-87eb-4ec3-b9c7-c9f2c61b0a4e.jpeg", "Алексей Бирюков: Ссылка на изображение")</f>
        <v>Алексей Бирюков: Ссылка на изображение</v>
      </c>
      <c r="EH744" t="str">
        <f>HYPERLINK("https://d33htgqikc2pj4.cloudfront.net/qvHDimMUqxZcQnsj/23d8e857-2da1-488c-84a4-046e9fea7eef.jpeg", "Алексей Бирюков: Ссылка на изображение")</f>
        <v>Алексей Бирюков: Ссылка на изображение</v>
      </c>
      <c r="EI744" t="str">
        <f>HYPERLINK("https://d33htgqikc2pj4.cloudfront.net/qvHDimMUqxZcQnsj/9de48f7f-0744-4362-bbe1-97f7cdd1afc0.jpeg", "Алексей Бирюков: Ссылка на изображение")</f>
        <v>Алексей Бирюков: Ссылка на изображение</v>
      </c>
      <c r="EJ744" t="s">
        <v>3278</v>
      </c>
      <c r="EK744" t="s">
        <v>1902</v>
      </c>
      <c r="EL744" t="s">
        <v>1899</v>
      </c>
    </row>
    <row r="745" spans="1:148" ht="15" customHeight="1" x14ac:dyDescent="0.35">
      <c r="A745">
        <v>1022</v>
      </c>
      <c r="B745" t="s">
        <v>5977</v>
      </c>
      <c r="C745">
        <v>2</v>
      </c>
      <c r="D745" t="str">
        <f>VLOOKUP(source[[#This Row],[Приоритет]],тПриоритеты[],2,0)</f>
        <v>Значительное</v>
      </c>
      <c r="E745" t="str">
        <f>IF(ISBLANK(source[[#This Row],[Проверенные]]),IF(ISBLANK(source[[#This Row],[Завершенные]]),source[[#This Row],[Приоритет_]],"Завершено"),"Проверено")</f>
        <v>Проверено</v>
      </c>
      <c r="F745" t="s">
        <v>4423</v>
      </c>
      <c r="G745" t="s">
        <v>2926</v>
      </c>
      <c r="H745" t="e">
        <f>VLOOKUP(source[[#This Row],[Отвественный]],тОтветственные[],2,0)</f>
        <v>#N/A</v>
      </c>
      <c r="I745" s="2">
        <v>43853</v>
      </c>
      <c r="J745" s="2">
        <v>43853</v>
      </c>
      <c r="S745" s="1">
        <v>43853.714259259257</v>
      </c>
      <c r="T745" s="1">
        <v>43853.774571759262</v>
      </c>
      <c r="U745" s="1">
        <v>43853.774571759262</v>
      </c>
      <c r="W745" s="1">
        <v>43853.774571759262</v>
      </c>
      <c r="X745" t="s">
        <v>2606</v>
      </c>
      <c r="AH745" t="s">
        <v>3287</v>
      </c>
      <c r="AI745" t="s">
        <v>3288</v>
      </c>
      <c r="AJ745" t="s">
        <v>3289</v>
      </c>
      <c r="AK745" t="s">
        <v>3290</v>
      </c>
      <c r="AL745" t="s">
        <v>3272</v>
      </c>
      <c r="AM745" t="s">
        <v>3273</v>
      </c>
      <c r="AN745" t="s">
        <v>3274</v>
      </c>
      <c r="AO745" t="s">
        <v>3291</v>
      </c>
      <c r="EC745" t="s">
        <v>5978</v>
      </c>
      <c r="ED745" t="str">
        <f>HYPERLINK("https://d33htgqikc2pj4.cloudfront.net/qvHDimMUqxZcQnsj/ae2b1cad-a791-4804-8d70-d13a4344430a.jpeg", "Алексей Бирюков: Ссылка на изображение")</f>
        <v>Алексей Бирюков: Ссылка на изображение</v>
      </c>
      <c r="EE745" t="str">
        <f>HYPERLINK("https://d33htgqikc2pj4.cloudfront.net/qvHDimMUqxZcQnsj/a6adc345-67fb-4a8d-a802-792aa2c069ac.jpeg", "Алексей Бирюков: Ссылка на изображение")</f>
        <v>Алексей Бирюков: Ссылка на изображение</v>
      </c>
      <c r="EF745" t="str">
        <f>HYPERLINK("https://d33htgqikc2pj4.cloudfront.net/qvHDimMUqxZcQnsj/f51e6508-efbd-4438-bcbf-3c0c656fa117.jpeg", "Алексей Бирюков: Ссылка на изображение")</f>
        <v>Алексей Бирюков: Ссылка на изображение</v>
      </c>
      <c r="EG745" t="str">
        <f>HYPERLINK("https://d33htgqikc2pj4.cloudfront.net/qvHDimMUqxZcQnsj/1a46d31e-cd83-4969-bb40-a4fcd442d4c8.jpeg", "Алексей Бирюков: Ссылка на изображение")</f>
        <v>Алексей Бирюков: Ссылка на изображение</v>
      </c>
      <c r="EH745" t="str">
        <f>HYPERLINK("https://d33htgqikc2pj4.cloudfront.net/qvHDimMUqxZcQnsj/bdb70401-b677-410c-a856-348b3b7c6edf.jpeg", "Алексей Бирюков: Ссылка на изображение")</f>
        <v>Алексей Бирюков: Ссылка на изображение</v>
      </c>
      <c r="EI745" t="s">
        <v>5979</v>
      </c>
      <c r="EJ745" t="s">
        <v>5980</v>
      </c>
      <c r="EK745" t="s">
        <v>2617</v>
      </c>
      <c r="EL745" t="s">
        <v>3278</v>
      </c>
      <c r="EM745" t="s">
        <v>1902</v>
      </c>
      <c r="EN745" t="s">
        <v>1899</v>
      </c>
    </row>
    <row r="746" spans="1:148" ht="15" customHeight="1" x14ac:dyDescent="0.35">
      <c r="A746">
        <v>1054</v>
      </c>
      <c r="B746" t="s">
        <v>5981</v>
      </c>
      <c r="C746">
        <v>2</v>
      </c>
      <c r="D746" t="str">
        <f>VLOOKUP(source[[#This Row],[Приоритет]],тПриоритеты[],2,0)</f>
        <v>Значительное</v>
      </c>
      <c r="E746" t="str">
        <f>IF(ISBLANK(source[[#This Row],[Проверенные]]),IF(ISBLANK(source[[#This Row],[Завершенные]]),source[[#This Row],[Приоритет_]],"Завершено"),"Проверено")</f>
        <v>Проверено</v>
      </c>
      <c r="F746" t="s">
        <v>4423</v>
      </c>
      <c r="G746" t="s">
        <v>217</v>
      </c>
      <c r="H746" t="e">
        <f>VLOOKUP(source[[#This Row],[Отвественный]],тОтветственные[],2,0)</f>
        <v>#N/A</v>
      </c>
      <c r="I746" s="2">
        <v>43855</v>
      </c>
      <c r="J746" s="2">
        <v>43855</v>
      </c>
      <c r="S746" s="1">
        <v>43855.308310185188</v>
      </c>
      <c r="T746" s="1">
        <v>43855.308344907404</v>
      </c>
      <c r="U746" s="1">
        <v>43855.308344907404</v>
      </c>
      <c r="W746" s="1">
        <v>43855.31040509259</v>
      </c>
      <c r="X746" t="s">
        <v>2889</v>
      </c>
      <c r="AH746" t="s">
        <v>5982</v>
      </c>
      <c r="AI746" t="s">
        <v>5983</v>
      </c>
      <c r="AJ746" t="s">
        <v>5984</v>
      </c>
      <c r="AK746" t="s">
        <v>5985</v>
      </c>
      <c r="AL746" t="s">
        <v>5986</v>
      </c>
      <c r="AM746" t="s">
        <v>5987</v>
      </c>
      <c r="AN746" t="s">
        <v>5988</v>
      </c>
      <c r="AO746" t="s">
        <v>5989</v>
      </c>
      <c r="AP746" t="s">
        <v>5990</v>
      </c>
      <c r="AQ746" t="s">
        <v>5991</v>
      </c>
      <c r="AR746" t="s">
        <v>5992</v>
      </c>
      <c r="AS746" t="s">
        <v>5993</v>
      </c>
      <c r="AT746" t="s">
        <v>5994</v>
      </c>
      <c r="AU746" t="s">
        <v>5995</v>
      </c>
      <c r="AV746" t="s">
        <v>5996</v>
      </c>
      <c r="AW746" t="s">
        <v>5997</v>
      </c>
      <c r="EC746" t="s">
        <v>218</v>
      </c>
      <c r="ED746" t="s">
        <v>5998</v>
      </c>
      <c r="EE746" t="s">
        <v>5999</v>
      </c>
      <c r="EF746" t="s">
        <v>6000</v>
      </c>
    </row>
    <row r="747" spans="1:148" ht="15" customHeight="1" x14ac:dyDescent="0.35">
      <c r="A747">
        <v>1055</v>
      </c>
      <c r="B747" t="s">
        <v>6001</v>
      </c>
      <c r="C747">
        <v>2</v>
      </c>
      <c r="D747" t="str">
        <f>VLOOKUP(source[[#This Row],[Приоритет]],тПриоритеты[],2,0)</f>
        <v>Значительное</v>
      </c>
      <c r="E747" t="str">
        <f>IF(ISBLANK(source[[#This Row],[Проверенные]]),IF(ISBLANK(source[[#This Row],[Завершенные]]),source[[#This Row],[Приоритет_]],"Завершено"),"Проверено")</f>
        <v>Проверено</v>
      </c>
      <c r="F747" t="s">
        <v>4423</v>
      </c>
      <c r="G747" t="s">
        <v>217</v>
      </c>
      <c r="H747" t="e">
        <f>VLOOKUP(source[[#This Row],[Отвественный]],тОтветственные[],2,0)</f>
        <v>#N/A</v>
      </c>
      <c r="I747" s="2">
        <v>43855</v>
      </c>
      <c r="J747" s="2">
        <v>43855</v>
      </c>
      <c r="S747" s="1">
        <v>43855.311909722222</v>
      </c>
      <c r="T747" s="1">
        <v>43855.311944444446</v>
      </c>
      <c r="U747" s="1">
        <v>43855.311944444446</v>
      </c>
      <c r="W747" s="1">
        <v>43855.312557870369</v>
      </c>
      <c r="EC747" t="s">
        <v>218</v>
      </c>
      <c r="ED747" t="s">
        <v>5998</v>
      </c>
      <c r="EE747" t="s">
        <v>6002</v>
      </c>
    </row>
    <row r="748" spans="1:148" ht="15" customHeight="1" x14ac:dyDescent="0.35">
      <c r="A748">
        <v>1056</v>
      </c>
      <c r="B748" t="s">
        <v>6003</v>
      </c>
      <c r="C748">
        <v>2</v>
      </c>
      <c r="D748" t="str">
        <f>VLOOKUP(source[[#This Row],[Приоритет]],тПриоритеты[],2,0)</f>
        <v>Значительное</v>
      </c>
      <c r="E748" t="str">
        <f>IF(ISBLANK(source[[#This Row],[Проверенные]]),IF(ISBLANK(source[[#This Row],[Завершенные]]),source[[#This Row],[Приоритет_]],"Завершено"),"Проверено")</f>
        <v>Проверено</v>
      </c>
      <c r="F748" t="s">
        <v>4423</v>
      </c>
      <c r="G748" t="s">
        <v>217</v>
      </c>
      <c r="H748" t="e">
        <f>VLOOKUP(source[[#This Row],[Отвественный]],тОтветственные[],2,0)</f>
        <v>#N/A</v>
      </c>
      <c r="I748" s="2">
        <v>43855</v>
      </c>
      <c r="J748" s="2">
        <v>43855</v>
      </c>
      <c r="S748" s="1">
        <v>43855.312615740739</v>
      </c>
      <c r="T748" s="1">
        <v>43855.312650462962</v>
      </c>
      <c r="U748" s="1">
        <v>43855.312650462962</v>
      </c>
      <c r="W748" s="1">
        <v>43855.314085648148</v>
      </c>
      <c r="EC748" t="s">
        <v>218</v>
      </c>
      <c r="ED748" t="s">
        <v>5998</v>
      </c>
      <c r="EE748" t="s">
        <v>6004</v>
      </c>
    </row>
    <row r="749" spans="1:148" ht="15" customHeight="1" x14ac:dyDescent="0.35">
      <c r="A749">
        <v>386</v>
      </c>
      <c r="B749" t="s">
        <v>6005</v>
      </c>
      <c r="C749">
        <v>2</v>
      </c>
      <c r="D749" t="str">
        <f>VLOOKUP(source[[#This Row],[Приоритет]],тПриоритеты[],2,0)</f>
        <v>Значительное</v>
      </c>
      <c r="E749" t="str">
        <f>IF(ISBLANK(source[[#This Row],[Проверенные]]),IF(ISBLANK(source[[#This Row],[Завершенные]]),source[[#This Row],[Приоритет_]],"Завершено"),"Проверено")</f>
        <v>Проверено</v>
      </c>
      <c r="F749" t="s">
        <v>4423</v>
      </c>
      <c r="G749" t="s">
        <v>217</v>
      </c>
      <c r="H749" t="e">
        <f>VLOOKUP(source[[#This Row],[Отвественный]],тОтветственные[],2,0)</f>
        <v>#N/A</v>
      </c>
      <c r="I749" s="2">
        <v>43790</v>
      </c>
      <c r="J749" s="2">
        <v>43790</v>
      </c>
      <c r="P749">
        <v>0</v>
      </c>
      <c r="S749" s="1">
        <v>43790.756122685183</v>
      </c>
      <c r="T749" s="1">
        <v>43790.757002314815</v>
      </c>
      <c r="U749" s="1">
        <v>43790.757002314815</v>
      </c>
      <c r="W749" s="1">
        <v>43790.762499999997</v>
      </c>
      <c r="X749" t="s">
        <v>6006</v>
      </c>
      <c r="Y749" t="s">
        <v>2889</v>
      </c>
      <c r="AH749" t="s">
        <v>6007</v>
      </c>
      <c r="AI749" t="s">
        <v>6008</v>
      </c>
      <c r="AJ749" t="s">
        <v>6009</v>
      </c>
      <c r="AK749" t="s">
        <v>6010</v>
      </c>
      <c r="AL749" t="s">
        <v>6011</v>
      </c>
      <c r="AM749" t="s">
        <v>6012</v>
      </c>
      <c r="AN749" t="s">
        <v>6013</v>
      </c>
      <c r="AO749" t="s">
        <v>6014</v>
      </c>
      <c r="AP749" t="s">
        <v>6015</v>
      </c>
      <c r="AQ749" t="s">
        <v>6016</v>
      </c>
      <c r="AR749" t="s">
        <v>6017</v>
      </c>
      <c r="AS749" t="s">
        <v>6018</v>
      </c>
      <c r="AT749" t="s">
        <v>6019</v>
      </c>
      <c r="AU749" t="s">
        <v>6020</v>
      </c>
      <c r="AV749" t="s">
        <v>6021</v>
      </c>
      <c r="AW749" t="s">
        <v>6022</v>
      </c>
      <c r="EC749" t="s">
        <v>6023</v>
      </c>
      <c r="ED749" t="s">
        <v>218</v>
      </c>
      <c r="EE749" t="s">
        <v>6024</v>
      </c>
      <c r="EF749" t="s">
        <v>6025</v>
      </c>
      <c r="EG749" t="s">
        <v>6026</v>
      </c>
      <c r="EH749" t="s">
        <v>6027</v>
      </c>
      <c r="EI749" t="s">
        <v>6028</v>
      </c>
    </row>
    <row r="750" spans="1:148" ht="15" customHeight="1" x14ac:dyDescent="0.35">
      <c r="A750">
        <v>404</v>
      </c>
      <c r="B750" t="s">
        <v>6029</v>
      </c>
      <c r="C750">
        <v>2</v>
      </c>
      <c r="D750" t="str">
        <f>VLOOKUP(source[[#This Row],[Приоритет]],тПриоритеты[],2,0)</f>
        <v>Значительное</v>
      </c>
      <c r="E750" t="str">
        <f>IF(ISBLANK(source[[#This Row],[Проверенные]]),IF(ISBLANK(source[[#This Row],[Завершенные]]),source[[#This Row],[Приоритет_]],"Завершено"),"Проверено")</f>
        <v>Проверено</v>
      </c>
      <c r="F750" t="s">
        <v>4423</v>
      </c>
      <c r="G750" t="s">
        <v>217</v>
      </c>
      <c r="H750" t="e">
        <f>VLOOKUP(source[[#This Row],[Отвественный]],тОтветственные[],2,0)</f>
        <v>#N/A</v>
      </c>
      <c r="I750" s="2">
        <v>43791</v>
      </c>
      <c r="J750" s="2">
        <v>43791</v>
      </c>
      <c r="K750" t="s">
        <v>6030</v>
      </c>
      <c r="L750">
        <v>19.05</v>
      </c>
      <c r="M750">
        <v>29.35</v>
      </c>
      <c r="Q750" t="s">
        <v>789</v>
      </c>
      <c r="R750" t="str">
        <f>HYPERLINK("https://d28ji4sm1vmprj.cloudfront.net/62a0111488a771339e40423b66a6c8c3/5c0d4475ad19338fae5e2e45da96413e.jpeg", "Ссылка на план")</f>
        <v>Ссылка на план</v>
      </c>
      <c r="S750" s="1">
        <v>43791.767418981479</v>
      </c>
      <c r="T750" s="1">
        <v>43771.278819444444</v>
      </c>
      <c r="U750" s="1">
        <v>43811.905057870368</v>
      </c>
      <c r="W750" s="1">
        <v>43811.905069444445</v>
      </c>
      <c r="EC750" t="s">
        <v>3298</v>
      </c>
      <c r="ED750" t="s">
        <v>6031</v>
      </c>
      <c r="EE750" t="s">
        <v>6032</v>
      </c>
      <c r="EF750" t="s">
        <v>6033</v>
      </c>
      <c r="EG750" t="s">
        <v>6034</v>
      </c>
      <c r="EH750" t="s">
        <v>218</v>
      </c>
    </row>
    <row r="751" spans="1:148" ht="15" customHeight="1" x14ac:dyDescent="0.35">
      <c r="A751">
        <v>899</v>
      </c>
      <c r="B751" t="s">
        <v>6035</v>
      </c>
      <c r="C751">
        <v>2</v>
      </c>
      <c r="D751" t="str">
        <f>VLOOKUP(source[[#This Row],[Приоритет]],тПриоритеты[],2,0)</f>
        <v>Значительное</v>
      </c>
      <c r="E751" t="str">
        <f>IF(ISBLANK(source[[#This Row],[Проверенные]]),IF(ISBLANK(source[[#This Row],[Завершенные]]),source[[#This Row],[Приоритет_]],"Завершено"),"Проверено")</f>
        <v>Проверено</v>
      </c>
      <c r="F751" t="s">
        <v>4423</v>
      </c>
      <c r="G751" t="s">
        <v>217</v>
      </c>
      <c r="H751" t="e">
        <f>VLOOKUP(source[[#This Row],[Отвественный]],тОтветственные[],2,0)</f>
        <v>#N/A</v>
      </c>
      <c r="I751" s="2">
        <v>43842</v>
      </c>
      <c r="J751" s="2">
        <v>43842</v>
      </c>
      <c r="S751" s="1">
        <v>43842.12568287037</v>
      </c>
      <c r="T751" s="1">
        <v>43842.125717592593</v>
      </c>
      <c r="U751" s="1">
        <v>43842.125717592593</v>
      </c>
      <c r="W751" s="1">
        <v>43842.126388888886</v>
      </c>
      <c r="EC751" t="s">
        <v>218</v>
      </c>
      <c r="ED751" t="s">
        <v>6036</v>
      </c>
      <c r="EE751" t="s">
        <v>6037</v>
      </c>
    </row>
    <row r="752" spans="1:148" ht="15" customHeight="1" x14ac:dyDescent="0.35">
      <c r="A752">
        <v>403</v>
      </c>
      <c r="B752" t="s">
        <v>6038</v>
      </c>
      <c r="C752">
        <v>2</v>
      </c>
      <c r="D752" t="str">
        <f>VLOOKUP(source[[#This Row],[Приоритет]],тПриоритеты[],2,0)</f>
        <v>Значительное</v>
      </c>
      <c r="E752" t="str">
        <f>IF(ISBLANK(source[[#This Row],[Проверенные]]),IF(ISBLANK(source[[#This Row],[Завершенные]]),source[[#This Row],[Приоритет_]],"Завершено"),"Проверено")</f>
        <v>Проверено</v>
      </c>
      <c r="F752" t="s">
        <v>4423</v>
      </c>
      <c r="G752" t="s">
        <v>217</v>
      </c>
      <c r="H752" t="e">
        <f>VLOOKUP(source[[#This Row],[Отвественный]],тОтветственные[],2,0)</f>
        <v>#N/A</v>
      </c>
      <c r="I752" s="2">
        <v>43791</v>
      </c>
      <c r="J752" s="2">
        <v>43791</v>
      </c>
      <c r="K752" t="s">
        <v>6039</v>
      </c>
      <c r="L752">
        <v>35.950000000000003</v>
      </c>
      <c r="M752">
        <v>62.92</v>
      </c>
      <c r="Q752" t="s">
        <v>789</v>
      </c>
      <c r="R752" t="str">
        <f>HYPERLINK("https://d28ji4sm1vmprj.cloudfront.net/569d6f4bd0e7c973c6939613afa51b2e/2a1c73371723a5ff38db5e8555858466.jpeg", "Ссылка на план")</f>
        <v>Ссылка на план</v>
      </c>
      <c r="S752" s="1">
        <v>43791.762418981481</v>
      </c>
      <c r="T752" s="1">
        <v>43771.278819444444</v>
      </c>
      <c r="U752" s="1">
        <v>43811.905057870368</v>
      </c>
      <c r="W752" s="1">
        <v>43811.905069444445</v>
      </c>
      <c r="X752" t="s">
        <v>191</v>
      </c>
      <c r="AH752" t="s">
        <v>6040</v>
      </c>
      <c r="AI752" t="s">
        <v>6041</v>
      </c>
      <c r="AJ752" t="s">
        <v>6042</v>
      </c>
      <c r="AK752" t="s">
        <v>6043</v>
      </c>
      <c r="AL752" t="s">
        <v>6044</v>
      </c>
      <c r="AM752" t="s">
        <v>6045</v>
      </c>
      <c r="AN752" t="s">
        <v>6046</v>
      </c>
      <c r="AO752" t="s">
        <v>6047</v>
      </c>
      <c r="AP752" t="s">
        <v>6048</v>
      </c>
      <c r="AQ752" t="s">
        <v>6049</v>
      </c>
      <c r="AR752" t="s">
        <v>6050</v>
      </c>
      <c r="AS752" t="s">
        <v>6051</v>
      </c>
      <c r="AT752" t="s">
        <v>6052</v>
      </c>
      <c r="AU752" t="s">
        <v>6053</v>
      </c>
      <c r="AV752" t="s">
        <v>6054</v>
      </c>
      <c r="AW752" t="s">
        <v>6055</v>
      </c>
      <c r="AX752" t="s">
        <v>6056</v>
      </c>
      <c r="AY752" t="s">
        <v>6057</v>
      </c>
      <c r="EC752" t="s">
        <v>3298</v>
      </c>
      <c r="ED752" t="s">
        <v>6032</v>
      </c>
      <c r="EE752" t="s">
        <v>6058</v>
      </c>
      <c r="EF752" t="s">
        <v>6059</v>
      </c>
      <c r="EG752" t="s">
        <v>6034</v>
      </c>
      <c r="EH752" t="s">
        <v>218</v>
      </c>
    </row>
    <row r="753" spans="1:139" ht="15" customHeight="1" x14ac:dyDescent="0.35">
      <c r="A753">
        <v>1061</v>
      </c>
      <c r="B753" t="s">
        <v>6060</v>
      </c>
      <c r="C753">
        <v>2</v>
      </c>
      <c r="D753" t="str">
        <f>VLOOKUP(source[[#This Row],[Приоритет]],тПриоритеты[],2,0)</f>
        <v>Значительное</v>
      </c>
      <c r="E753" t="str">
        <f>IF(ISBLANK(source[[#This Row],[Проверенные]]),IF(ISBLANK(source[[#This Row],[Завершенные]]),source[[#This Row],[Приоритет_]],"Завершено"),"Проверено")</f>
        <v>Проверено</v>
      </c>
      <c r="F753" t="s">
        <v>4423</v>
      </c>
      <c r="G753" t="s">
        <v>217</v>
      </c>
      <c r="H753" t="e">
        <f>VLOOKUP(source[[#This Row],[Отвественный]],тОтветственные[],2,0)</f>
        <v>#N/A</v>
      </c>
      <c r="I753" s="2">
        <v>43855</v>
      </c>
      <c r="J753" s="2">
        <v>43855</v>
      </c>
      <c r="S753" s="1">
        <v>43856.246249999997</v>
      </c>
      <c r="T753" s="1">
        <v>43856.247025462966</v>
      </c>
      <c r="U753" s="1">
        <v>43856.247025462966</v>
      </c>
      <c r="W753" s="1">
        <v>43856.247141203705</v>
      </c>
      <c r="EC753" t="s">
        <v>6061</v>
      </c>
      <c r="ED753" t="s">
        <v>6062</v>
      </c>
      <c r="EE753" t="s">
        <v>218</v>
      </c>
      <c r="EF753" t="s">
        <v>5998</v>
      </c>
    </row>
    <row r="754" spans="1:139" ht="15" customHeight="1" x14ac:dyDescent="0.35">
      <c r="A754">
        <v>1062</v>
      </c>
      <c r="B754" t="s">
        <v>6063</v>
      </c>
      <c r="C754">
        <v>2</v>
      </c>
      <c r="D754" t="str">
        <f>VLOOKUP(source[[#This Row],[Приоритет]],тПриоритеты[],2,0)</f>
        <v>Значительное</v>
      </c>
      <c r="E754" t="str">
        <f>IF(ISBLANK(source[[#This Row],[Проверенные]]),IF(ISBLANK(source[[#This Row],[Завершенные]]),source[[#This Row],[Приоритет_]],"Завершено"),"Проверено")</f>
        <v>Проверено</v>
      </c>
      <c r="F754" t="s">
        <v>4423</v>
      </c>
      <c r="G754" t="s">
        <v>217</v>
      </c>
      <c r="H754" t="e">
        <f>VLOOKUP(source[[#This Row],[Отвественный]],тОтветственные[],2,0)</f>
        <v>#N/A</v>
      </c>
      <c r="I754" s="2">
        <v>43856</v>
      </c>
      <c r="J754" s="2">
        <v>43856</v>
      </c>
      <c r="S754" s="1">
        <v>43856.24726851852</v>
      </c>
      <c r="T754" s="1">
        <v>43856.247754629629</v>
      </c>
      <c r="U754" s="1">
        <v>43856.247754629629</v>
      </c>
      <c r="W754" s="1">
        <v>43856.247824074075</v>
      </c>
      <c r="X754" t="s">
        <v>6064</v>
      </c>
      <c r="AH754" s="3" t="s">
        <v>6065</v>
      </c>
      <c r="AI754" t="s">
        <v>6066</v>
      </c>
      <c r="AJ754" t="s">
        <v>6067</v>
      </c>
      <c r="AK754" t="s">
        <v>6068</v>
      </c>
      <c r="AL754" t="s">
        <v>6069</v>
      </c>
      <c r="EC754" t="s">
        <v>6070</v>
      </c>
      <c r="ED754" t="s">
        <v>218</v>
      </c>
      <c r="EE754" t="s">
        <v>6071</v>
      </c>
    </row>
    <row r="755" spans="1:139" ht="15" customHeight="1" x14ac:dyDescent="0.35">
      <c r="A755">
        <v>683</v>
      </c>
      <c r="B755" t="s">
        <v>6072</v>
      </c>
      <c r="C755">
        <v>2</v>
      </c>
      <c r="D755" t="str">
        <f>VLOOKUP(source[[#This Row],[Приоритет]],тПриоритеты[],2,0)</f>
        <v>Значительное</v>
      </c>
      <c r="E755" t="str">
        <f>IF(ISBLANK(source[[#This Row],[Проверенные]]),IF(ISBLANK(source[[#This Row],[Завершенные]]),source[[#This Row],[Приоритет_]],"Завершено"),"Проверено")</f>
        <v>Проверено</v>
      </c>
      <c r="F755" t="s">
        <v>4423</v>
      </c>
      <c r="G755" t="s">
        <v>217</v>
      </c>
      <c r="H755" t="e">
        <f>VLOOKUP(source[[#This Row],[Отвественный]],тОтветственные[],2,0)</f>
        <v>#N/A</v>
      </c>
      <c r="I755" s="2">
        <v>43818</v>
      </c>
      <c r="J755" s="2">
        <v>43818</v>
      </c>
      <c r="S755" s="1">
        <v>43818.753310185188</v>
      </c>
      <c r="T755" s="1">
        <v>43818.756041666667</v>
      </c>
      <c r="U755" s="1">
        <v>43818.756041666667</v>
      </c>
      <c r="W755" s="1">
        <v>43818.756145833337</v>
      </c>
      <c r="X755" t="s">
        <v>191</v>
      </c>
      <c r="AH755" t="s">
        <v>6073</v>
      </c>
      <c r="AI755" t="s">
        <v>6074</v>
      </c>
      <c r="AJ755" t="s">
        <v>6075</v>
      </c>
      <c r="AK755" t="s">
        <v>6076</v>
      </c>
      <c r="AL755" t="s">
        <v>6077</v>
      </c>
      <c r="AM755" t="s">
        <v>6078</v>
      </c>
      <c r="AN755" t="s">
        <v>6079</v>
      </c>
      <c r="AO755" t="s">
        <v>6080</v>
      </c>
      <c r="AP755" t="s">
        <v>6081</v>
      </c>
      <c r="AQ755" t="s">
        <v>6082</v>
      </c>
      <c r="AR755" t="s">
        <v>6083</v>
      </c>
      <c r="AS755" t="s">
        <v>6084</v>
      </c>
      <c r="AT755" t="s">
        <v>6085</v>
      </c>
      <c r="AU755" t="s">
        <v>6086</v>
      </c>
      <c r="AV755" t="s">
        <v>6087</v>
      </c>
      <c r="AW755" t="s">
        <v>6088</v>
      </c>
      <c r="AX755" t="s">
        <v>6089</v>
      </c>
      <c r="AY755" t="s">
        <v>6090</v>
      </c>
      <c r="EC755" t="s">
        <v>6091</v>
      </c>
      <c r="ED755" t="s">
        <v>6092</v>
      </c>
      <c r="EE755" t="s">
        <v>218</v>
      </c>
      <c r="EF755" t="s">
        <v>1966</v>
      </c>
    </row>
    <row r="756" spans="1:139" ht="15" customHeight="1" x14ac:dyDescent="0.35">
      <c r="A756">
        <v>434</v>
      </c>
      <c r="B756" t="s">
        <v>6093</v>
      </c>
      <c r="C756">
        <v>2</v>
      </c>
      <c r="D756" t="str">
        <f>VLOOKUP(source[[#This Row],[Приоритет]],тПриоритеты[],2,0)</f>
        <v>Значительное</v>
      </c>
      <c r="E756" t="str">
        <f>IF(ISBLANK(source[[#This Row],[Проверенные]]),IF(ISBLANK(source[[#This Row],[Завершенные]]),source[[#This Row],[Приоритет_]],"Завершено"),"Проверено")</f>
        <v>Проверено</v>
      </c>
      <c r="F756" t="s">
        <v>4423</v>
      </c>
      <c r="G756" t="s">
        <v>217</v>
      </c>
      <c r="H756" t="e">
        <f>VLOOKUP(source[[#This Row],[Отвественный]],тОтветственные[],2,0)</f>
        <v>#N/A</v>
      </c>
      <c r="I756" s="2">
        <v>43795</v>
      </c>
      <c r="J756" s="2">
        <v>43795</v>
      </c>
      <c r="S756" s="1">
        <v>43795.262118055558</v>
      </c>
      <c r="T756" s="1">
        <v>43771.278819444444</v>
      </c>
      <c r="U756" s="1">
        <v>43811.905057870368</v>
      </c>
      <c r="W756" s="1">
        <v>43811.905069444445</v>
      </c>
      <c r="X756" t="s">
        <v>191</v>
      </c>
      <c r="AH756" t="s">
        <v>6094</v>
      </c>
      <c r="AI756" t="s">
        <v>6095</v>
      </c>
      <c r="AJ756" t="s">
        <v>6096</v>
      </c>
      <c r="AK756" t="s">
        <v>6097</v>
      </c>
      <c r="AL756" t="s">
        <v>6098</v>
      </c>
      <c r="AM756" t="s">
        <v>6099</v>
      </c>
      <c r="AN756" t="s">
        <v>6100</v>
      </c>
      <c r="AO756" t="s">
        <v>6101</v>
      </c>
      <c r="AP756" t="s">
        <v>6102</v>
      </c>
      <c r="AQ756" t="s">
        <v>6103</v>
      </c>
      <c r="AR756" t="s">
        <v>6104</v>
      </c>
      <c r="AS756" t="s">
        <v>6105</v>
      </c>
      <c r="AT756" t="s">
        <v>6106</v>
      </c>
      <c r="AU756" t="s">
        <v>6107</v>
      </c>
      <c r="AV756" t="s">
        <v>6108</v>
      </c>
      <c r="AW756" t="s">
        <v>6109</v>
      </c>
      <c r="AX756" t="s">
        <v>6110</v>
      </c>
      <c r="AY756" t="s">
        <v>6111</v>
      </c>
      <c r="EC756" t="s">
        <v>6112</v>
      </c>
      <c r="ED756" t="s">
        <v>6031</v>
      </c>
      <c r="EE756" t="s">
        <v>3298</v>
      </c>
      <c r="EF756" t="s">
        <v>6113</v>
      </c>
      <c r="EG756" t="s">
        <v>6114</v>
      </c>
      <c r="EH756" t="s">
        <v>6034</v>
      </c>
      <c r="EI756" t="s">
        <v>218</v>
      </c>
    </row>
    <row r="757" spans="1:139" ht="15" customHeight="1" x14ac:dyDescent="0.35">
      <c r="A757">
        <v>450</v>
      </c>
      <c r="B757" t="s">
        <v>6115</v>
      </c>
      <c r="C757">
        <v>2</v>
      </c>
      <c r="D757" t="str">
        <f>VLOOKUP(source[[#This Row],[Приоритет]],тПриоритеты[],2,0)</f>
        <v>Значительное</v>
      </c>
      <c r="E757" t="str">
        <f>IF(ISBLANK(source[[#This Row],[Проверенные]]),IF(ISBLANK(source[[#This Row],[Завершенные]]),source[[#This Row],[Приоритет_]],"Завершено"),"Проверено")</f>
        <v>Проверено</v>
      </c>
      <c r="F757" t="s">
        <v>4423</v>
      </c>
      <c r="G757" t="s">
        <v>217</v>
      </c>
      <c r="H757" t="e">
        <f>VLOOKUP(source[[#This Row],[Отвественный]],тОтветственные[],2,0)</f>
        <v>#N/A</v>
      </c>
      <c r="I757" s="2">
        <v>43796</v>
      </c>
      <c r="J757" s="2">
        <v>43796</v>
      </c>
      <c r="S757" s="1">
        <v>43796.268043981479</v>
      </c>
      <c r="T757" s="1">
        <v>43771.278819444444</v>
      </c>
      <c r="U757" s="1">
        <v>43811.905057870368</v>
      </c>
      <c r="W757" s="1">
        <v>43811.905081018522</v>
      </c>
      <c r="EC757" t="s">
        <v>6116</v>
      </c>
      <c r="ED757" t="s">
        <v>3298</v>
      </c>
      <c r="EE757" t="s">
        <v>6117</v>
      </c>
      <c r="EF757" t="s">
        <v>6118</v>
      </c>
      <c r="EG757" t="s">
        <v>6034</v>
      </c>
    </row>
    <row r="758" spans="1:139" ht="15" customHeight="1" x14ac:dyDescent="0.35">
      <c r="A758">
        <v>485</v>
      </c>
      <c r="B758" t="s">
        <v>6119</v>
      </c>
      <c r="C758">
        <v>2</v>
      </c>
      <c r="D758" t="str">
        <f>VLOOKUP(source[[#This Row],[Приоритет]],тПриоритеты[],2,0)</f>
        <v>Значительное</v>
      </c>
      <c r="E758" t="str">
        <f>IF(ISBLANK(source[[#This Row],[Проверенные]]),IF(ISBLANK(source[[#This Row],[Завершенные]]),source[[#This Row],[Приоритет_]],"Завершено"),"Проверено")</f>
        <v>Проверено</v>
      </c>
      <c r="F758" t="s">
        <v>4423</v>
      </c>
      <c r="G758" t="s">
        <v>217</v>
      </c>
      <c r="H758" t="e">
        <f>VLOOKUP(source[[#This Row],[Отвественный]],тОтветственные[],2,0)</f>
        <v>#N/A</v>
      </c>
      <c r="I758" s="2">
        <v>43798</v>
      </c>
      <c r="J758" s="2">
        <v>43798</v>
      </c>
      <c r="S758" s="1">
        <v>43798.763981481483</v>
      </c>
      <c r="T758" s="1">
        <v>43771.278819444444</v>
      </c>
      <c r="U758" s="1">
        <v>43811.905057870368</v>
      </c>
      <c r="W758" s="1">
        <v>43811.905081018522</v>
      </c>
      <c r="X758" t="s">
        <v>191</v>
      </c>
      <c r="AH758" t="s">
        <v>6120</v>
      </c>
      <c r="AI758" t="s">
        <v>6121</v>
      </c>
      <c r="AJ758" t="s">
        <v>6122</v>
      </c>
      <c r="AK758" t="s">
        <v>6123</v>
      </c>
      <c r="AL758" t="s">
        <v>6124</v>
      </c>
      <c r="AM758" t="s">
        <v>6125</v>
      </c>
      <c r="AN758" t="s">
        <v>6126</v>
      </c>
      <c r="AO758" t="s">
        <v>6127</v>
      </c>
      <c r="AP758" t="s">
        <v>6128</v>
      </c>
      <c r="AQ758" t="s">
        <v>6129</v>
      </c>
      <c r="AR758" t="s">
        <v>6130</v>
      </c>
      <c r="AS758" t="s">
        <v>6131</v>
      </c>
      <c r="AT758" t="s">
        <v>6132</v>
      </c>
      <c r="AU758" t="s">
        <v>6133</v>
      </c>
      <c r="AV758" t="s">
        <v>6134</v>
      </c>
      <c r="AW758" t="s">
        <v>6135</v>
      </c>
      <c r="AX758" t="s">
        <v>6136</v>
      </c>
      <c r="AY758" t="s">
        <v>6137</v>
      </c>
      <c r="EC758" t="s">
        <v>6138</v>
      </c>
      <c r="ED758" t="s">
        <v>6139</v>
      </c>
      <c r="EE758" t="s">
        <v>3298</v>
      </c>
      <c r="EF758" t="s">
        <v>6031</v>
      </c>
      <c r="EG758" t="s">
        <v>6140</v>
      </c>
      <c r="EH758" t="s">
        <v>6034</v>
      </c>
    </row>
    <row r="759" spans="1:139" ht="15" customHeight="1" x14ac:dyDescent="0.35">
      <c r="A759">
        <v>492</v>
      </c>
      <c r="B759" t="s">
        <v>6141</v>
      </c>
      <c r="C759">
        <v>2</v>
      </c>
      <c r="D759" t="str">
        <f>VLOOKUP(source[[#This Row],[Приоритет]],тПриоритеты[],2,0)</f>
        <v>Значительное</v>
      </c>
      <c r="E759" t="str">
        <f>IF(ISBLANK(source[[#This Row],[Проверенные]]),IF(ISBLANK(source[[#This Row],[Завершенные]]),source[[#This Row],[Приоритет_]],"Завершено"),"Проверено")</f>
        <v>Проверено</v>
      </c>
      <c r="F759" t="s">
        <v>4423</v>
      </c>
      <c r="G759" t="s">
        <v>217</v>
      </c>
      <c r="H759" t="e">
        <f>VLOOKUP(source[[#This Row],[Отвественный]],тОтветственные[],2,0)</f>
        <v>#N/A</v>
      </c>
      <c r="I759" s="2">
        <v>43799</v>
      </c>
      <c r="J759" s="2">
        <v>43799</v>
      </c>
      <c r="S759" s="1">
        <v>43799.762546296297</v>
      </c>
      <c r="T759" s="1">
        <v>43771.278819444444</v>
      </c>
      <c r="U759" s="1">
        <v>43811.905057870368</v>
      </c>
      <c r="W759" s="1">
        <v>43811.905081018522</v>
      </c>
      <c r="EC759" t="s">
        <v>6142</v>
      </c>
      <c r="ED759" t="s">
        <v>3298</v>
      </c>
      <c r="EE759" t="s">
        <v>2427</v>
      </c>
      <c r="EF759" t="s">
        <v>6031</v>
      </c>
      <c r="EG759" t="s">
        <v>6034</v>
      </c>
    </row>
    <row r="760" spans="1:139" ht="15" customHeight="1" x14ac:dyDescent="0.35">
      <c r="A760">
        <v>765</v>
      </c>
      <c r="B760" t="s">
        <v>6143</v>
      </c>
      <c r="C760">
        <v>2</v>
      </c>
      <c r="D760" t="str">
        <f>VLOOKUP(source[[#This Row],[Приоритет]],тПриоритеты[],2,0)</f>
        <v>Значительное</v>
      </c>
      <c r="E760" t="str">
        <f>IF(ISBLANK(source[[#This Row],[Проверенные]]),IF(ISBLANK(source[[#This Row],[Завершенные]]),source[[#This Row],[Приоритет_]],"Завершено"),"Проверено")</f>
        <v>Проверено</v>
      </c>
      <c r="F760" t="s">
        <v>4423</v>
      </c>
      <c r="G760" t="s">
        <v>217</v>
      </c>
      <c r="H760" t="e">
        <f>VLOOKUP(source[[#This Row],[Отвественный]],тОтветственные[],2,0)</f>
        <v>#N/A</v>
      </c>
      <c r="I760" s="2">
        <v>43823</v>
      </c>
      <c r="J760" s="2">
        <v>43823</v>
      </c>
      <c r="S760" s="1">
        <v>43823.719131944446</v>
      </c>
      <c r="T760" s="1">
        <v>43823.719837962963</v>
      </c>
      <c r="U760" s="1">
        <v>43823.719837962963</v>
      </c>
      <c r="W760" s="1">
        <v>43823.719918981478</v>
      </c>
      <c r="X760" t="s">
        <v>191</v>
      </c>
      <c r="AH760" t="s">
        <v>6144</v>
      </c>
      <c r="AI760" t="s">
        <v>6145</v>
      </c>
      <c r="AJ760" t="s">
        <v>6146</v>
      </c>
      <c r="AK760" t="s">
        <v>6147</v>
      </c>
      <c r="AL760" t="s">
        <v>6148</v>
      </c>
      <c r="AM760" t="s">
        <v>6149</v>
      </c>
      <c r="AN760" t="s">
        <v>6150</v>
      </c>
      <c r="AO760" t="s">
        <v>6151</v>
      </c>
      <c r="AP760" t="s">
        <v>6152</v>
      </c>
      <c r="AQ760" t="s">
        <v>6153</v>
      </c>
      <c r="AR760" t="s">
        <v>6154</v>
      </c>
      <c r="AS760" t="s">
        <v>6155</v>
      </c>
      <c r="AT760" t="s">
        <v>6156</v>
      </c>
      <c r="AU760" t="s">
        <v>6157</v>
      </c>
      <c r="AV760" t="s">
        <v>6158</v>
      </c>
      <c r="AW760" t="s">
        <v>6159</v>
      </c>
      <c r="AX760" t="s">
        <v>6160</v>
      </c>
      <c r="AY760" t="s">
        <v>6161</v>
      </c>
      <c r="EC760" t="s">
        <v>6162</v>
      </c>
      <c r="ED760" t="s">
        <v>218</v>
      </c>
      <c r="EE760" t="s">
        <v>3322</v>
      </c>
    </row>
    <row r="761" spans="1:139" ht="15" customHeight="1" x14ac:dyDescent="0.35">
      <c r="A761">
        <v>767</v>
      </c>
      <c r="B761" t="s">
        <v>6163</v>
      </c>
      <c r="C761">
        <v>2</v>
      </c>
      <c r="D761" t="str">
        <f>VLOOKUP(source[[#This Row],[Приоритет]],тПриоритеты[],2,0)</f>
        <v>Значительное</v>
      </c>
      <c r="E761" t="str">
        <f>IF(ISBLANK(source[[#This Row],[Проверенные]]),IF(ISBLANK(source[[#This Row],[Завершенные]]),source[[#This Row],[Приоритет_]],"Завершено"),"Проверено")</f>
        <v>Проверено</v>
      </c>
      <c r="F761" t="s">
        <v>4423</v>
      </c>
      <c r="G761" t="s">
        <v>217</v>
      </c>
      <c r="H761" t="e">
        <f>VLOOKUP(source[[#This Row],[Отвественный]],тОтветственные[],2,0)</f>
        <v>#N/A</v>
      </c>
      <c r="I761" s="2">
        <v>43823</v>
      </c>
      <c r="J761" s="2">
        <v>43823</v>
      </c>
      <c r="S761" s="1">
        <v>43823.721701388888</v>
      </c>
      <c r="T761" s="1">
        <v>43823.721979166665</v>
      </c>
      <c r="U761" s="1">
        <v>43823.721979166665</v>
      </c>
      <c r="W761" s="1">
        <v>43823.722453703704</v>
      </c>
      <c r="EC761" t="s">
        <v>6164</v>
      </c>
      <c r="ED761" t="s">
        <v>218</v>
      </c>
      <c r="EE761" t="s">
        <v>3322</v>
      </c>
      <c r="EF761" t="s">
        <v>6165</v>
      </c>
    </row>
    <row r="762" spans="1:139" ht="15" customHeight="1" x14ac:dyDescent="0.35">
      <c r="A762">
        <v>769</v>
      </c>
      <c r="B762" t="s">
        <v>6166</v>
      </c>
      <c r="C762">
        <v>2</v>
      </c>
      <c r="D762" t="str">
        <f>VLOOKUP(source[[#This Row],[Приоритет]],тПриоритеты[],2,0)</f>
        <v>Значительное</v>
      </c>
      <c r="E762" t="str">
        <f>IF(ISBLANK(source[[#This Row],[Проверенные]]),IF(ISBLANK(source[[#This Row],[Завершенные]]),source[[#This Row],[Приоритет_]],"Завершено"),"Проверено")</f>
        <v>Проверено</v>
      </c>
      <c r="F762" t="s">
        <v>4423</v>
      </c>
      <c r="G762" t="s">
        <v>217</v>
      </c>
      <c r="H762" t="e">
        <f>VLOOKUP(source[[#This Row],[Отвественный]],тОтветственные[],2,0)</f>
        <v>#N/A</v>
      </c>
      <c r="I762" s="2">
        <v>43823</v>
      </c>
      <c r="J762" s="2">
        <v>43823</v>
      </c>
      <c r="K762" t="s">
        <v>6167</v>
      </c>
      <c r="L762">
        <v>49.85</v>
      </c>
      <c r="M762">
        <v>42.47</v>
      </c>
      <c r="Q762" t="s">
        <v>797</v>
      </c>
      <c r="R762" t="str">
        <f>HYPERLINK("https://d28ji4sm1vmprj.cloudfront.net/b2c936eff0ca59aa6a95b064367c2c20/4cceeab916b402c0ecaafdbb4e18be49.jpeg", "Ссылка на план")</f>
        <v>Ссылка на план</v>
      </c>
      <c r="S762" s="1">
        <v>43823.78533564815</v>
      </c>
      <c r="T762" s="1">
        <v>43823.785532407404</v>
      </c>
      <c r="U762" s="1">
        <v>43823.785532407404</v>
      </c>
      <c r="W762" s="1">
        <v>43823.785983796297</v>
      </c>
      <c r="EC762" t="s">
        <v>218</v>
      </c>
      <c r="ED762" t="s">
        <v>6031</v>
      </c>
      <c r="EE762" t="s">
        <v>6168</v>
      </c>
      <c r="EF762" t="s">
        <v>6169</v>
      </c>
      <c r="EG762" t="str">
        <f>HYPERLINK("https://d33htgqikc2pj4.cloudfront.net/361c446f051a16d93035b079accf7bfb/9e8f228aba2f38ce4875035c434a97ca-file.jpeg", "Антон Федоров: Ссылка на изображение")</f>
        <v>Антон Федоров: Ссылка на изображение</v>
      </c>
    </row>
    <row r="763" spans="1:139" ht="15" customHeight="1" x14ac:dyDescent="0.35">
      <c r="A763">
        <v>1078</v>
      </c>
      <c r="B763" t="s">
        <v>6170</v>
      </c>
      <c r="C763">
        <v>2</v>
      </c>
      <c r="D763" t="str">
        <f>VLOOKUP(source[[#This Row],[Приоритет]],тПриоритеты[],2,0)</f>
        <v>Значительное</v>
      </c>
      <c r="E763" t="str">
        <f>IF(ISBLANK(source[[#This Row],[Проверенные]]),IF(ISBLANK(source[[#This Row],[Завершенные]]),source[[#This Row],[Приоритет_]],"Завершено"),"Проверено")</f>
        <v>Проверено</v>
      </c>
      <c r="F763" t="s">
        <v>4423</v>
      </c>
      <c r="G763" t="s">
        <v>217</v>
      </c>
      <c r="H763" t="e">
        <f>VLOOKUP(source[[#This Row],[Отвественный]],тОтветственные[],2,0)</f>
        <v>#N/A</v>
      </c>
      <c r="I763" s="2">
        <v>43858</v>
      </c>
      <c r="J763" s="2">
        <v>43858</v>
      </c>
      <c r="S763" s="1">
        <v>43858.802986111114</v>
      </c>
      <c r="T763" s="1">
        <v>43858.803101851852</v>
      </c>
      <c r="U763" s="1">
        <v>43858.803101851852</v>
      </c>
      <c r="W763" s="1">
        <v>43858.804745370369</v>
      </c>
      <c r="EC763" t="s">
        <v>218</v>
      </c>
      <c r="ED763" t="s">
        <v>6171</v>
      </c>
      <c r="EE763" t="s">
        <v>6172</v>
      </c>
    </row>
    <row r="764" spans="1:139" ht="15" customHeight="1" x14ac:dyDescent="0.35">
      <c r="A764">
        <v>525</v>
      </c>
      <c r="B764" t="s">
        <v>6173</v>
      </c>
      <c r="C764">
        <v>2</v>
      </c>
      <c r="D764" t="str">
        <f>VLOOKUP(source[[#This Row],[Приоритет]],тПриоритеты[],2,0)</f>
        <v>Значительное</v>
      </c>
      <c r="E764" t="str">
        <f>IF(ISBLANK(source[[#This Row],[Проверенные]]),IF(ISBLANK(source[[#This Row],[Завершенные]]),source[[#This Row],[Приоритет_]],"Завершено"),"Проверено")</f>
        <v>Проверено</v>
      </c>
      <c r="F764" t="s">
        <v>4423</v>
      </c>
      <c r="G764" t="s">
        <v>217</v>
      </c>
      <c r="H764" t="e">
        <f>VLOOKUP(source[[#This Row],[Отвественный]],тОтветственные[],2,0)</f>
        <v>#N/A</v>
      </c>
      <c r="I764" s="2">
        <v>43803</v>
      </c>
      <c r="J764" s="2">
        <v>43803</v>
      </c>
      <c r="S764" s="1">
        <v>43803.32539351852</v>
      </c>
      <c r="T764" s="1">
        <v>43771.278819444444</v>
      </c>
      <c r="U764" s="1">
        <v>43811.905057870368</v>
      </c>
      <c r="W764" s="1">
        <v>43811.905081018522</v>
      </c>
      <c r="X764" t="s">
        <v>2889</v>
      </c>
      <c r="AH764" t="s">
        <v>6174</v>
      </c>
      <c r="AI764" t="s">
        <v>6175</v>
      </c>
      <c r="AJ764" t="s">
        <v>6176</v>
      </c>
      <c r="AK764" t="s">
        <v>6177</v>
      </c>
      <c r="AL764" t="s">
        <v>6178</v>
      </c>
      <c r="AM764" t="s">
        <v>6179</v>
      </c>
      <c r="AN764" t="s">
        <v>6180</v>
      </c>
      <c r="AO764" t="s">
        <v>6181</v>
      </c>
      <c r="AP764" t="s">
        <v>6182</v>
      </c>
      <c r="AQ764" t="s">
        <v>6183</v>
      </c>
      <c r="AR764" t="s">
        <v>6184</v>
      </c>
      <c r="AS764" t="s">
        <v>6185</v>
      </c>
      <c r="AT764" t="s">
        <v>6186</v>
      </c>
      <c r="AU764" t="s">
        <v>6187</v>
      </c>
      <c r="AV764" t="s">
        <v>6188</v>
      </c>
      <c r="AW764" t="s">
        <v>6189</v>
      </c>
      <c r="EC764" t="s">
        <v>6190</v>
      </c>
      <c r="ED764" t="s">
        <v>218</v>
      </c>
      <c r="EE764" t="s">
        <v>3298</v>
      </c>
      <c r="EF764" t="s">
        <v>6191</v>
      </c>
      <c r="EG764" t="s">
        <v>6034</v>
      </c>
    </row>
    <row r="765" spans="1:139" ht="15" customHeight="1" x14ac:dyDescent="0.35">
      <c r="A765">
        <v>822</v>
      </c>
      <c r="B765" t="s">
        <v>6192</v>
      </c>
      <c r="C765">
        <v>2</v>
      </c>
      <c r="D765" t="str">
        <f>VLOOKUP(source[[#This Row],[Приоритет]],тПриоритеты[],2,0)</f>
        <v>Значительное</v>
      </c>
      <c r="E765" t="str">
        <f>IF(ISBLANK(source[[#This Row],[Проверенные]]),IF(ISBLANK(source[[#This Row],[Завершенные]]),source[[#This Row],[Приоритет_]],"Завершено"),"Проверено")</f>
        <v>Проверено</v>
      </c>
      <c r="F765" t="s">
        <v>4423</v>
      </c>
      <c r="G765" t="s">
        <v>217</v>
      </c>
      <c r="H765" t="e">
        <f>VLOOKUP(source[[#This Row],[Отвественный]],тОтветственные[],2,0)</f>
        <v>#N/A</v>
      </c>
      <c r="I765" s="2">
        <v>43827</v>
      </c>
      <c r="J765" s="2">
        <v>43827</v>
      </c>
      <c r="S765" s="1">
        <v>43827.977719907409</v>
      </c>
      <c r="T765" s="1">
        <v>43827.978622685187</v>
      </c>
      <c r="U765" s="1">
        <v>43827.978622685187</v>
      </c>
      <c r="W765" s="1">
        <v>43828.007523148146</v>
      </c>
      <c r="EC765" t="s">
        <v>6193</v>
      </c>
      <c r="ED765" t="s">
        <v>6194</v>
      </c>
      <c r="EE765" t="s">
        <v>218</v>
      </c>
      <c r="EF765" t="s">
        <v>6195</v>
      </c>
      <c r="EG765" t="s">
        <v>6196</v>
      </c>
      <c r="EH765" t="s">
        <v>6197</v>
      </c>
    </row>
    <row r="766" spans="1:139" ht="15" customHeight="1" x14ac:dyDescent="0.35">
      <c r="A766">
        <v>103</v>
      </c>
      <c r="B766" t="s">
        <v>6198</v>
      </c>
      <c r="C766">
        <v>2</v>
      </c>
      <c r="D766" t="str">
        <f>VLOOKUP(source[[#This Row],[Приоритет]],тПриоритеты[],2,0)</f>
        <v>Значительное</v>
      </c>
      <c r="E766" t="str">
        <f>IF(ISBLANK(source[[#This Row],[Проверенные]]),IF(ISBLANK(source[[#This Row],[Завершенные]]),source[[#This Row],[Приоритет_]],"Завершено"),"Проверено")</f>
        <v>Проверено</v>
      </c>
      <c r="F766" t="s">
        <v>4423</v>
      </c>
      <c r="G766" t="s">
        <v>217</v>
      </c>
      <c r="H766" t="e">
        <f>VLOOKUP(source[[#This Row],[Отвественный]],тОтветственные[],2,0)</f>
        <v>#N/A</v>
      </c>
      <c r="I766" s="2">
        <v>43771</v>
      </c>
      <c r="J766" s="2">
        <v>43771</v>
      </c>
      <c r="S766" s="1">
        <v>43771.278784722221</v>
      </c>
      <c r="T766" s="1">
        <v>43771.278819444444</v>
      </c>
      <c r="U766" s="1">
        <v>43811.905057870368</v>
      </c>
      <c r="W766" s="1">
        <v>43811.905069444445</v>
      </c>
      <c r="X766" t="s">
        <v>191</v>
      </c>
      <c r="AH766" t="s">
        <v>6199</v>
      </c>
      <c r="AI766" t="s">
        <v>6200</v>
      </c>
      <c r="AJ766" t="s">
        <v>6201</v>
      </c>
      <c r="AK766" t="s">
        <v>6202</v>
      </c>
      <c r="AL766" t="s">
        <v>6203</v>
      </c>
      <c r="AM766" t="s">
        <v>6204</v>
      </c>
      <c r="AN766" t="s">
        <v>6205</v>
      </c>
      <c r="AO766" t="s">
        <v>6206</v>
      </c>
      <c r="AP766" t="s">
        <v>6207</v>
      </c>
      <c r="AQ766" t="s">
        <v>6208</v>
      </c>
      <c r="AR766" t="s">
        <v>6209</v>
      </c>
      <c r="AS766" t="s">
        <v>6210</v>
      </c>
      <c r="AT766" t="s">
        <v>6211</v>
      </c>
      <c r="AU766" t="s">
        <v>6212</v>
      </c>
      <c r="AV766" t="s">
        <v>6213</v>
      </c>
      <c r="AW766" t="s">
        <v>6214</v>
      </c>
      <c r="AX766" t="s">
        <v>6215</v>
      </c>
      <c r="AY766" t="s">
        <v>6216</v>
      </c>
      <c r="EC766" t="s">
        <v>3298</v>
      </c>
      <c r="ED766" t="s">
        <v>6217</v>
      </c>
      <c r="EE766" t="s">
        <v>6218</v>
      </c>
      <c r="EF766" t="s">
        <v>218</v>
      </c>
      <c r="EG766" t="s">
        <v>218</v>
      </c>
      <c r="EH766" t="s">
        <v>218</v>
      </c>
    </row>
    <row r="767" spans="1:139" ht="15" customHeight="1" x14ac:dyDescent="0.35">
      <c r="A767">
        <v>101</v>
      </c>
      <c r="B767" t="s">
        <v>6219</v>
      </c>
      <c r="C767">
        <v>2</v>
      </c>
      <c r="D767" t="str">
        <f>VLOOKUP(source[[#This Row],[Приоритет]],тПриоритеты[],2,0)</f>
        <v>Значительное</v>
      </c>
      <c r="E767" t="str">
        <f>IF(ISBLANK(source[[#This Row],[Проверенные]]),IF(ISBLANK(source[[#This Row],[Завершенные]]),source[[#This Row],[Приоритет_]],"Завершено"),"Проверено")</f>
        <v>Проверено</v>
      </c>
      <c r="F767" t="s">
        <v>4423</v>
      </c>
      <c r="G767" t="s">
        <v>217</v>
      </c>
      <c r="H767" t="e">
        <f>VLOOKUP(source[[#This Row],[Отвественный]],тОтветственные[],2,0)</f>
        <v>#N/A</v>
      </c>
      <c r="I767" s="2">
        <v>43771</v>
      </c>
      <c r="J767" s="2">
        <v>43771</v>
      </c>
      <c r="P767">
        <v>0</v>
      </c>
      <c r="S767" s="1">
        <v>43771.273159722223</v>
      </c>
      <c r="T767" s="1">
        <v>43771.273240740738</v>
      </c>
      <c r="U767" s="1">
        <v>43811.750717592593</v>
      </c>
      <c r="W767" s="1">
        <v>43811.75072916667</v>
      </c>
      <c r="X767" t="s">
        <v>191</v>
      </c>
      <c r="AH767" t="s">
        <v>6199</v>
      </c>
      <c r="AI767" t="s">
        <v>6200</v>
      </c>
      <c r="AJ767" t="s">
        <v>6201</v>
      </c>
      <c r="AK767" t="s">
        <v>6202</v>
      </c>
      <c r="AL767" t="s">
        <v>6203</v>
      </c>
      <c r="AM767" t="s">
        <v>6204</v>
      </c>
      <c r="AN767" t="s">
        <v>6205</v>
      </c>
      <c r="AO767" t="s">
        <v>6206</v>
      </c>
      <c r="AP767" t="s">
        <v>6207</v>
      </c>
      <c r="AQ767" t="s">
        <v>6208</v>
      </c>
      <c r="AR767" t="s">
        <v>6209</v>
      </c>
      <c r="AS767" t="s">
        <v>6210</v>
      </c>
      <c r="AT767" t="s">
        <v>6211</v>
      </c>
      <c r="AU767" t="s">
        <v>6212</v>
      </c>
      <c r="AV767" t="s">
        <v>6213</v>
      </c>
      <c r="AW767" t="s">
        <v>6214</v>
      </c>
      <c r="AX767" t="s">
        <v>6215</v>
      </c>
      <c r="AY767" t="s">
        <v>6216</v>
      </c>
      <c r="EC767" t="s">
        <v>3298</v>
      </c>
      <c r="ED767" t="s">
        <v>6218</v>
      </c>
      <c r="EE767" t="s">
        <v>6027</v>
      </c>
      <c r="EF767" t="s">
        <v>6220</v>
      </c>
      <c r="EG767" t="s">
        <v>6221</v>
      </c>
      <c r="EH767" t="s">
        <v>794</v>
      </c>
    </row>
    <row r="768" spans="1:139" ht="15" customHeight="1" x14ac:dyDescent="0.35">
      <c r="A768">
        <v>814</v>
      </c>
      <c r="B768" t="s">
        <v>6222</v>
      </c>
      <c r="C768">
        <v>2</v>
      </c>
      <c r="D768" t="str">
        <f>VLOOKUP(source[[#This Row],[Приоритет]],тПриоритеты[],2,0)</f>
        <v>Значительное</v>
      </c>
      <c r="E768" t="str">
        <f>IF(ISBLANK(source[[#This Row],[Проверенные]]),IF(ISBLANK(source[[#This Row],[Завершенные]]),source[[#This Row],[Приоритет_]],"Завершено"),"Проверено")</f>
        <v>Проверено</v>
      </c>
      <c r="F768" t="s">
        <v>4423</v>
      </c>
      <c r="G768" t="s">
        <v>217</v>
      </c>
      <c r="H768" t="e">
        <f>VLOOKUP(source[[#This Row],[Отвественный]],тОтветственные[],2,0)</f>
        <v>#N/A</v>
      </c>
      <c r="I768" s="2">
        <v>43827</v>
      </c>
      <c r="J768" s="2">
        <v>43827</v>
      </c>
      <c r="S768" s="1">
        <v>43827.195</v>
      </c>
      <c r="T768" s="1">
        <v>43827.195023148146</v>
      </c>
      <c r="U768" s="1">
        <v>43827.195023148146</v>
      </c>
      <c r="W768" s="1">
        <v>43827.196122685185</v>
      </c>
      <c r="EC768" t="s">
        <v>218</v>
      </c>
      <c r="ED768" t="s">
        <v>6223</v>
      </c>
      <c r="EE768" t="s">
        <v>6224</v>
      </c>
      <c r="EF768" t="str">
        <f>HYPERLINK("https://d33htgqikc2pj4.cloudfront.net/a19bffa681b6d540406840a4797f9d71/111009a62f46c2ed862e1dd2b4bc7dba-file.jpeg", "Антон Федоров: Ссылка на изображение")</f>
        <v>Антон Федоров: Ссылка на изображение</v>
      </c>
      <c r="EG768" t="str">
        <f>HYPERLINK("https://d33htgqikc2pj4.cloudfront.net/8f0b9f18fcb12eb4cd14d68c046b6a58/d05e68bf42f98418fe66672b6cbbcc73-file.jpeg", "Антон Федоров: Ссылка на изображение")</f>
        <v>Антон Федоров: Ссылка на изображение</v>
      </c>
    </row>
    <row r="769" spans="1:141" ht="15" customHeight="1" x14ac:dyDescent="0.35">
      <c r="A769">
        <v>112</v>
      </c>
      <c r="B769" t="s">
        <v>6225</v>
      </c>
      <c r="C769">
        <v>1</v>
      </c>
      <c r="D769" t="str">
        <f>VLOOKUP(source[[#This Row],[Приоритет]],тПриоритеты[],2,0)</f>
        <v>КРИТИЧЕСКОЕ</v>
      </c>
      <c r="E769" t="str">
        <f>IF(ISBLANK(source[[#This Row],[Проверенные]]),IF(ISBLANK(source[[#This Row],[Завершенные]]),source[[#This Row],[Приоритет_]],"Завершено"),"Проверено")</f>
        <v>Проверено</v>
      </c>
      <c r="F769" t="s">
        <v>4423</v>
      </c>
      <c r="G769" t="s">
        <v>217</v>
      </c>
      <c r="H769" t="e">
        <f>VLOOKUP(source[[#This Row],[Отвественный]],тОтветственные[],2,0)</f>
        <v>#N/A</v>
      </c>
      <c r="I769" s="2">
        <v>43771</v>
      </c>
      <c r="J769" s="2">
        <v>43771</v>
      </c>
      <c r="S769" s="1">
        <v>43771.989259259259</v>
      </c>
      <c r="T769" s="1">
        <v>43771.278819444444</v>
      </c>
      <c r="U769" s="1">
        <v>43811.905057870368</v>
      </c>
      <c r="W769" s="1">
        <v>43811.905069444445</v>
      </c>
      <c r="X769" t="s">
        <v>191</v>
      </c>
      <c r="AH769" t="s">
        <v>6199</v>
      </c>
      <c r="AI769" t="s">
        <v>6200</v>
      </c>
      <c r="AJ769" t="s">
        <v>6226</v>
      </c>
      <c r="AK769" t="s">
        <v>6202</v>
      </c>
      <c r="AL769" t="s">
        <v>6203</v>
      </c>
      <c r="AM769" t="s">
        <v>6227</v>
      </c>
      <c r="AN769" t="s">
        <v>6205</v>
      </c>
      <c r="AO769" t="s">
        <v>6206</v>
      </c>
      <c r="AP769" t="s">
        <v>6207</v>
      </c>
      <c r="AQ769" t="s">
        <v>6208</v>
      </c>
      <c r="AR769" t="s">
        <v>6209</v>
      </c>
      <c r="AS769" t="s">
        <v>6228</v>
      </c>
      <c r="AT769" t="s">
        <v>6211</v>
      </c>
      <c r="AU769" t="s">
        <v>6229</v>
      </c>
      <c r="AV769" t="s">
        <v>6213</v>
      </c>
      <c r="AW769" t="s">
        <v>6214</v>
      </c>
      <c r="AX769" t="s">
        <v>6215</v>
      </c>
      <c r="AY769" t="s">
        <v>6216</v>
      </c>
      <c r="EC769" t="s">
        <v>6230</v>
      </c>
      <c r="ED769" t="s">
        <v>3298</v>
      </c>
      <c r="EE769" t="s">
        <v>6031</v>
      </c>
      <c r="EF769" t="s">
        <v>6218</v>
      </c>
      <c r="EG769" t="s">
        <v>6231</v>
      </c>
      <c r="EH769" t="s">
        <v>3298</v>
      </c>
      <c r="EI769" t="s">
        <v>6034</v>
      </c>
      <c r="EJ769" t="s">
        <v>218</v>
      </c>
      <c r="EK769" t="s">
        <v>218</v>
      </c>
    </row>
    <row r="770" spans="1:141" ht="15" customHeight="1" x14ac:dyDescent="0.35">
      <c r="A770">
        <v>113</v>
      </c>
      <c r="B770" t="s">
        <v>6232</v>
      </c>
      <c r="C770">
        <v>1</v>
      </c>
      <c r="D770" t="str">
        <f>VLOOKUP(source[[#This Row],[Приоритет]],тПриоритеты[],2,0)</f>
        <v>КРИТИЧЕСКОЕ</v>
      </c>
      <c r="E770" t="str">
        <f>IF(ISBLANK(source[[#This Row],[Проверенные]]),IF(ISBLANK(source[[#This Row],[Завершенные]]),source[[#This Row],[Приоритет_]],"Завершено"),"Проверено")</f>
        <v>Проверено</v>
      </c>
      <c r="F770" t="s">
        <v>4423</v>
      </c>
      <c r="G770" t="s">
        <v>217</v>
      </c>
      <c r="H770" t="e">
        <f>VLOOKUP(source[[#This Row],[Отвественный]],тОтветственные[],2,0)</f>
        <v>#N/A</v>
      </c>
      <c r="I770" s="2">
        <v>43771</v>
      </c>
      <c r="J770" s="2">
        <v>43771</v>
      </c>
      <c r="P770">
        <v>0</v>
      </c>
      <c r="S770" s="1">
        <v>43772.276539351849</v>
      </c>
      <c r="T770" s="1">
        <v>43793.789085648146</v>
      </c>
      <c r="U770" s="1">
        <v>43793.789085648146</v>
      </c>
      <c r="W770" s="1">
        <v>43793.789085648146</v>
      </c>
      <c r="X770" t="s">
        <v>2889</v>
      </c>
      <c r="Y770" t="s">
        <v>191</v>
      </c>
      <c r="AH770" t="s">
        <v>6233</v>
      </c>
      <c r="AI770" t="s">
        <v>6234</v>
      </c>
      <c r="AJ770" t="s">
        <v>6235</v>
      </c>
      <c r="AK770" t="s">
        <v>6236</v>
      </c>
      <c r="AL770" t="s">
        <v>6237</v>
      </c>
      <c r="AM770" t="s">
        <v>6238</v>
      </c>
      <c r="AN770" t="s">
        <v>6239</v>
      </c>
      <c r="AO770" t="s">
        <v>6240</v>
      </c>
      <c r="AP770" t="s">
        <v>6241</v>
      </c>
      <c r="AQ770" t="s">
        <v>6242</v>
      </c>
      <c r="AR770" t="s">
        <v>6243</v>
      </c>
      <c r="AS770" t="s">
        <v>6244</v>
      </c>
      <c r="AT770" t="s">
        <v>6245</v>
      </c>
      <c r="AU770" t="s">
        <v>6246</v>
      </c>
      <c r="AV770" t="s">
        <v>6247</v>
      </c>
      <c r="AW770" t="s">
        <v>6248</v>
      </c>
      <c r="AX770" t="s">
        <v>6249</v>
      </c>
      <c r="AY770" t="s">
        <v>6250</v>
      </c>
      <c r="EC770" t="s">
        <v>6251</v>
      </c>
      <c r="ED770" t="s">
        <v>3298</v>
      </c>
      <c r="EE770" t="s">
        <v>6031</v>
      </c>
      <c r="EF770" t="s">
        <v>6218</v>
      </c>
      <c r="EG770" t="s">
        <v>6027</v>
      </c>
      <c r="EH770" t="s">
        <v>6231</v>
      </c>
      <c r="EI770" t="s">
        <v>265</v>
      </c>
    </row>
    <row r="771" spans="1:141" ht="15" customHeight="1" x14ac:dyDescent="0.35">
      <c r="A771">
        <v>538</v>
      </c>
      <c r="B771" t="s">
        <v>6252</v>
      </c>
      <c r="C771">
        <v>2</v>
      </c>
      <c r="D771" t="str">
        <f>VLOOKUP(source[[#This Row],[Приоритет]],тПриоритеты[],2,0)</f>
        <v>Значительное</v>
      </c>
      <c r="E771" t="str">
        <f>IF(ISBLANK(source[[#This Row],[Проверенные]]),IF(ISBLANK(source[[#This Row],[Завершенные]]),source[[#This Row],[Приоритет_]],"Завершено"),"Проверено")</f>
        <v>Проверено</v>
      </c>
      <c r="F771" t="s">
        <v>4423</v>
      </c>
      <c r="G771" t="s">
        <v>217</v>
      </c>
      <c r="H771" t="e">
        <f>VLOOKUP(source[[#This Row],[Отвественный]],тОтветственные[],2,0)</f>
        <v>#N/A</v>
      </c>
      <c r="I771" s="2">
        <v>43804</v>
      </c>
      <c r="J771" s="2">
        <v>43804</v>
      </c>
      <c r="S771" s="1">
        <v>43804.247615740744</v>
      </c>
      <c r="T771" s="1">
        <v>43771.278819444444</v>
      </c>
      <c r="U771" s="1">
        <v>43811.905057870368</v>
      </c>
      <c r="W771" s="1">
        <v>43811.905081018522</v>
      </c>
      <c r="X771" t="s">
        <v>2889</v>
      </c>
      <c r="AH771" t="s">
        <v>6253</v>
      </c>
      <c r="AI771" t="s">
        <v>6254</v>
      </c>
      <c r="AJ771" t="s">
        <v>6255</v>
      </c>
      <c r="AK771" t="s">
        <v>6256</v>
      </c>
      <c r="AL771" t="s">
        <v>6257</v>
      </c>
      <c r="AM771" t="s">
        <v>6258</v>
      </c>
      <c r="AN771" t="s">
        <v>6259</v>
      </c>
      <c r="AO771" t="s">
        <v>6260</v>
      </c>
      <c r="AP771" t="s">
        <v>6261</v>
      </c>
      <c r="AQ771" t="s">
        <v>6262</v>
      </c>
      <c r="AR771" t="s">
        <v>6263</v>
      </c>
      <c r="AS771" t="s">
        <v>6264</v>
      </c>
      <c r="AT771" t="s">
        <v>6265</v>
      </c>
      <c r="AU771" t="s">
        <v>6266</v>
      </c>
      <c r="AV771" t="s">
        <v>6267</v>
      </c>
      <c r="AW771" t="s">
        <v>6268</v>
      </c>
      <c r="EC771" t="s">
        <v>6269</v>
      </c>
      <c r="ED771" t="s">
        <v>3298</v>
      </c>
      <c r="EE771" t="s">
        <v>6270</v>
      </c>
      <c r="EF771" t="s">
        <v>6034</v>
      </c>
    </row>
    <row r="772" spans="1:141" ht="15" customHeight="1" x14ac:dyDescent="0.35">
      <c r="A772">
        <v>539</v>
      </c>
      <c r="B772" t="s">
        <v>6271</v>
      </c>
      <c r="C772">
        <v>2</v>
      </c>
      <c r="D772" t="str">
        <f>VLOOKUP(source[[#This Row],[Приоритет]],тПриоритеты[],2,0)</f>
        <v>Значительное</v>
      </c>
      <c r="E772" t="str">
        <f>IF(ISBLANK(source[[#This Row],[Проверенные]]),IF(ISBLANK(source[[#This Row],[Завершенные]]),source[[#This Row],[Приоритет_]],"Завершено"),"Проверено")</f>
        <v>Проверено</v>
      </c>
      <c r="F772" t="s">
        <v>4423</v>
      </c>
      <c r="G772" t="s">
        <v>217</v>
      </c>
      <c r="H772" t="e">
        <f>VLOOKUP(source[[#This Row],[Отвественный]],тОтветственные[],2,0)</f>
        <v>#N/A</v>
      </c>
      <c r="I772" s="2">
        <v>43804</v>
      </c>
      <c r="J772" s="2">
        <v>43804</v>
      </c>
      <c r="S772" s="1">
        <v>43804.249513888892</v>
      </c>
      <c r="T772" s="1">
        <v>43771.278819444444</v>
      </c>
      <c r="U772" s="1">
        <v>43811.905057870368</v>
      </c>
      <c r="W772" s="1">
        <v>43811.905081018522</v>
      </c>
      <c r="EC772" t="s">
        <v>6272</v>
      </c>
      <c r="ED772" t="s">
        <v>3298</v>
      </c>
      <c r="EE772" t="s">
        <v>6270</v>
      </c>
      <c r="EF772" t="s">
        <v>6273</v>
      </c>
      <c r="EG772" t="s">
        <v>6034</v>
      </c>
    </row>
    <row r="773" spans="1:141" ht="15" customHeight="1" x14ac:dyDescent="0.35">
      <c r="A773">
        <v>823</v>
      </c>
      <c r="B773" t="s">
        <v>6274</v>
      </c>
      <c r="C773">
        <v>2</v>
      </c>
      <c r="D773" t="str">
        <f>VLOOKUP(source[[#This Row],[Приоритет]],тПриоритеты[],2,0)</f>
        <v>Значительное</v>
      </c>
      <c r="E773" t="str">
        <f>IF(ISBLANK(source[[#This Row],[Проверенные]]),IF(ISBLANK(source[[#This Row],[Завершенные]]),source[[#This Row],[Приоритет_]],"Завершено"),"Проверено")</f>
        <v>Проверено</v>
      </c>
      <c r="F773" t="s">
        <v>4423</v>
      </c>
      <c r="G773" t="s">
        <v>217</v>
      </c>
      <c r="H773" t="e">
        <f>VLOOKUP(source[[#This Row],[Отвественный]],тОтветственные[],2,0)</f>
        <v>#N/A</v>
      </c>
      <c r="I773" s="2">
        <v>43828</v>
      </c>
      <c r="J773" s="2">
        <v>43828</v>
      </c>
      <c r="S773" s="1">
        <v>43828.112199074072</v>
      </c>
      <c r="T773" s="1">
        <v>43828.113495370373</v>
      </c>
      <c r="U773" s="1">
        <v>43828.113495370373</v>
      </c>
      <c r="W773" s="1">
        <v>43828.113576388889</v>
      </c>
      <c r="EC773" t="s">
        <v>6275</v>
      </c>
      <c r="ED773" t="s">
        <v>218</v>
      </c>
      <c r="EE773" t="s">
        <v>6276</v>
      </c>
    </row>
    <row r="774" spans="1:141" ht="15" customHeight="1" x14ac:dyDescent="0.35">
      <c r="A774">
        <v>150</v>
      </c>
      <c r="B774" t="s">
        <v>6277</v>
      </c>
      <c r="C774">
        <v>2</v>
      </c>
      <c r="D774" t="str">
        <f>VLOOKUP(source[[#This Row],[Приоритет]],тПриоритеты[],2,0)</f>
        <v>Значительное</v>
      </c>
      <c r="E774" t="str">
        <f>IF(ISBLANK(source[[#This Row],[Проверенные]]),IF(ISBLANK(source[[#This Row],[Завершенные]]),source[[#This Row],[Приоритет_]],"Завершено"),"Проверено")</f>
        <v>Проверено</v>
      </c>
      <c r="F774" t="s">
        <v>4423</v>
      </c>
      <c r="G774" t="s">
        <v>217</v>
      </c>
      <c r="H774" t="e">
        <f>VLOOKUP(source[[#This Row],[Отвественный]],тОтветственные[],2,0)</f>
        <v>#N/A</v>
      </c>
      <c r="I774" s="2">
        <v>43775</v>
      </c>
      <c r="J774" s="2">
        <v>43775</v>
      </c>
      <c r="O774">
        <v>0</v>
      </c>
      <c r="S774" s="1">
        <v>43775.037222222221</v>
      </c>
      <c r="T774" s="1">
        <v>43775.037291666667</v>
      </c>
      <c r="U774" s="1">
        <v>43775.037291666667</v>
      </c>
      <c r="W774" s="1">
        <v>43775.038194444445</v>
      </c>
      <c r="X774" t="s">
        <v>5011</v>
      </c>
      <c r="AH774" t="s">
        <v>6278</v>
      </c>
      <c r="AI774" t="s">
        <v>6279</v>
      </c>
      <c r="AJ774" t="s">
        <v>6280</v>
      </c>
      <c r="AK774" t="s">
        <v>6281</v>
      </c>
      <c r="AL774" t="s">
        <v>6282</v>
      </c>
      <c r="EC774" t="s">
        <v>6031</v>
      </c>
      <c r="ED774" t="s">
        <v>218</v>
      </c>
      <c r="EE774" t="s">
        <v>6283</v>
      </c>
      <c r="EF774" t="s">
        <v>6284</v>
      </c>
      <c r="EG774" t="s">
        <v>6285</v>
      </c>
      <c r="EH774" t="s">
        <v>6286</v>
      </c>
    </row>
    <row r="775" spans="1:141" ht="15" customHeight="1" x14ac:dyDescent="0.35">
      <c r="A775">
        <v>561</v>
      </c>
      <c r="B775" t="s">
        <v>6287</v>
      </c>
      <c r="C775">
        <v>2</v>
      </c>
      <c r="D775" t="str">
        <f>VLOOKUP(source[[#This Row],[Приоритет]],тПриоритеты[],2,0)</f>
        <v>Значительное</v>
      </c>
      <c r="E775" t="str">
        <f>IF(ISBLANK(source[[#This Row],[Проверенные]]),IF(ISBLANK(source[[#This Row],[Завершенные]]),source[[#This Row],[Приоритет_]],"Завершено"),"Проверено")</f>
        <v>Проверено</v>
      </c>
      <c r="F775" t="s">
        <v>4423</v>
      </c>
      <c r="G775" t="s">
        <v>217</v>
      </c>
      <c r="H775" t="e">
        <f>VLOOKUP(source[[#This Row],[Отвественный]],тОтветственные[],2,0)</f>
        <v>#N/A</v>
      </c>
      <c r="I775" s="2">
        <v>43807</v>
      </c>
      <c r="J775" s="2">
        <v>43807</v>
      </c>
      <c r="O775">
        <v>0</v>
      </c>
      <c r="P775">
        <v>0</v>
      </c>
      <c r="S775" s="1">
        <v>43807.137094907404</v>
      </c>
      <c r="T775" s="1">
        <v>43807.137546296297</v>
      </c>
      <c r="U775" s="1">
        <v>43807.137546296297</v>
      </c>
      <c r="W775" s="1">
        <v>43807.138206018521</v>
      </c>
      <c r="X775" t="s">
        <v>2889</v>
      </c>
      <c r="AH775" t="s">
        <v>6288</v>
      </c>
      <c r="AI775" t="s">
        <v>6289</v>
      </c>
      <c r="AJ775" t="s">
        <v>6290</v>
      </c>
      <c r="AK775" t="s">
        <v>6291</v>
      </c>
      <c r="AL775" t="s">
        <v>6292</v>
      </c>
      <c r="AM775" t="s">
        <v>6293</v>
      </c>
      <c r="AN775" t="s">
        <v>6294</v>
      </c>
      <c r="AO775" t="s">
        <v>6295</v>
      </c>
      <c r="AP775" t="s">
        <v>6296</v>
      </c>
      <c r="AQ775" t="s">
        <v>6297</v>
      </c>
      <c r="AR775" t="s">
        <v>6298</v>
      </c>
      <c r="AS775" t="s">
        <v>6299</v>
      </c>
      <c r="AT775" t="s">
        <v>6300</v>
      </c>
      <c r="AU775" t="s">
        <v>6301</v>
      </c>
      <c r="AV775" t="s">
        <v>6302</v>
      </c>
      <c r="AW775" t="s">
        <v>6303</v>
      </c>
      <c r="EC775" t="s">
        <v>6304</v>
      </c>
      <c r="ED775" t="s">
        <v>218</v>
      </c>
      <c r="EE775" t="s">
        <v>6305</v>
      </c>
      <c r="EF775" t="s">
        <v>6027</v>
      </c>
      <c r="EG775" t="s">
        <v>6286</v>
      </c>
    </row>
    <row r="776" spans="1:141" ht="15" customHeight="1" x14ac:dyDescent="0.35">
      <c r="A776">
        <v>174</v>
      </c>
      <c r="B776" t="s">
        <v>6306</v>
      </c>
      <c r="C776">
        <v>2</v>
      </c>
      <c r="D776" t="str">
        <f>VLOOKUP(source[[#This Row],[Приоритет]],тПриоритеты[],2,0)</f>
        <v>Значительное</v>
      </c>
      <c r="E776" t="str">
        <f>IF(ISBLANK(source[[#This Row],[Проверенные]]),IF(ISBLANK(source[[#This Row],[Завершенные]]),source[[#This Row],[Приоритет_]],"Завершено"),"Проверено")</f>
        <v>Проверено</v>
      </c>
      <c r="F776" t="s">
        <v>4423</v>
      </c>
      <c r="G776" t="s">
        <v>217</v>
      </c>
      <c r="H776" t="e">
        <f>VLOOKUP(source[[#This Row],[Отвественный]],тОтветственные[],2,0)</f>
        <v>#N/A</v>
      </c>
      <c r="I776" s="2">
        <v>43776</v>
      </c>
      <c r="J776" s="2">
        <v>43776</v>
      </c>
      <c r="S776" s="1">
        <v>43776.158275462964</v>
      </c>
      <c r="T776" s="1">
        <v>43776.160312499997</v>
      </c>
      <c r="U776" s="1">
        <v>43776.160312499997</v>
      </c>
      <c r="W776" s="1">
        <v>43776.16034722222</v>
      </c>
      <c r="X776" t="s">
        <v>191</v>
      </c>
      <c r="AH776" t="s">
        <v>6307</v>
      </c>
      <c r="AI776" t="s">
        <v>6308</v>
      </c>
      <c r="AJ776" t="s">
        <v>6309</v>
      </c>
      <c r="AK776" t="s">
        <v>6310</v>
      </c>
      <c r="AL776" t="s">
        <v>6311</v>
      </c>
      <c r="AM776" t="s">
        <v>6312</v>
      </c>
      <c r="AN776" t="s">
        <v>6313</v>
      </c>
      <c r="AO776" t="s">
        <v>6314</v>
      </c>
      <c r="AP776" t="s">
        <v>6315</v>
      </c>
      <c r="AQ776" t="s">
        <v>6316</v>
      </c>
      <c r="AR776" t="s">
        <v>6317</v>
      </c>
      <c r="AS776" t="s">
        <v>6318</v>
      </c>
      <c r="AT776" t="s">
        <v>6319</v>
      </c>
      <c r="AU776" t="s">
        <v>6320</v>
      </c>
      <c r="AV776" t="s">
        <v>6321</v>
      </c>
      <c r="AW776" t="s">
        <v>6322</v>
      </c>
      <c r="AX776" t="s">
        <v>6323</v>
      </c>
      <c r="AY776" t="s">
        <v>6324</v>
      </c>
      <c r="EC776" t="s">
        <v>6325</v>
      </c>
      <c r="ED776" t="s">
        <v>6031</v>
      </c>
      <c r="EE776" t="s">
        <v>218</v>
      </c>
      <c r="EF776" t="s">
        <v>6326</v>
      </c>
    </row>
    <row r="777" spans="1:141" ht="15" customHeight="1" x14ac:dyDescent="0.35">
      <c r="A777">
        <v>175</v>
      </c>
      <c r="B777" t="s">
        <v>6327</v>
      </c>
      <c r="C777">
        <v>2</v>
      </c>
      <c r="D777" t="str">
        <f>VLOOKUP(source[[#This Row],[Приоритет]],тПриоритеты[],2,0)</f>
        <v>Значительное</v>
      </c>
      <c r="E777" t="str">
        <f>IF(ISBLANK(source[[#This Row],[Проверенные]]),IF(ISBLANK(source[[#This Row],[Завершенные]]),source[[#This Row],[Приоритет_]],"Завершено"),"Проверено")</f>
        <v>Проверено</v>
      </c>
      <c r="F777" t="s">
        <v>4423</v>
      </c>
      <c r="G777" t="s">
        <v>217</v>
      </c>
      <c r="H777" t="e">
        <f>VLOOKUP(source[[#This Row],[Отвественный]],тОтветственные[],2,0)</f>
        <v>#N/A</v>
      </c>
      <c r="I777" s="2">
        <v>43776</v>
      </c>
      <c r="J777" s="2">
        <v>43776</v>
      </c>
      <c r="S777" s="1">
        <v>43776.163587962961</v>
      </c>
      <c r="T777" s="1">
        <v>43776.164548611108</v>
      </c>
      <c r="U777" s="1">
        <v>43776.164548611108</v>
      </c>
      <c r="W777" s="1">
        <v>43776.164594907408</v>
      </c>
      <c r="X777" t="s">
        <v>3339</v>
      </c>
      <c r="AH777" t="s">
        <v>6328</v>
      </c>
      <c r="AI777" t="s">
        <v>6329</v>
      </c>
      <c r="AJ777" t="s">
        <v>6330</v>
      </c>
      <c r="AK777" t="s">
        <v>6331</v>
      </c>
      <c r="AL777" t="s">
        <v>6332</v>
      </c>
      <c r="AM777" t="s">
        <v>6333</v>
      </c>
      <c r="AN777" t="s">
        <v>6334</v>
      </c>
      <c r="EC777" t="s">
        <v>6335</v>
      </c>
      <c r="ED777" t="s">
        <v>218</v>
      </c>
      <c r="EE777" t="s">
        <v>6031</v>
      </c>
      <c r="EF777" t="s">
        <v>6326</v>
      </c>
    </row>
    <row r="778" spans="1:141" ht="15" customHeight="1" x14ac:dyDescent="0.35">
      <c r="A778">
        <v>565</v>
      </c>
      <c r="B778" t="s">
        <v>6336</v>
      </c>
      <c r="C778">
        <v>2</v>
      </c>
      <c r="D778" t="str">
        <f>VLOOKUP(source[[#This Row],[Приоритет]],тПриоритеты[],2,0)</f>
        <v>Значительное</v>
      </c>
      <c r="E778" t="str">
        <f>IF(ISBLANK(source[[#This Row],[Проверенные]]),IF(ISBLANK(source[[#This Row],[Завершенные]]),source[[#This Row],[Приоритет_]],"Завершено"),"Проверено")</f>
        <v>Проверено</v>
      </c>
      <c r="F778" t="s">
        <v>4423</v>
      </c>
      <c r="G778" t="s">
        <v>217</v>
      </c>
      <c r="H778" t="e">
        <f>VLOOKUP(source[[#This Row],[Отвественный]],тОтветственные[],2,0)</f>
        <v>#N/A</v>
      </c>
      <c r="I778" s="2">
        <v>43808</v>
      </c>
      <c r="J778" s="2">
        <v>43808</v>
      </c>
      <c r="K778" t="s">
        <v>6337</v>
      </c>
      <c r="L778">
        <v>51.55</v>
      </c>
      <c r="M778">
        <v>35.28</v>
      </c>
      <c r="Q778" t="s">
        <v>6338</v>
      </c>
      <c r="R778" t="str">
        <f>HYPERLINK("https://d28ji4sm1vmprj.cloudfront.net/d9bacfabef796202519003962eebd4f5/58c6be7f2844ece7232378539ec88265.jpeg", "Ссылка на план")</f>
        <v>Ссылка на план</v>
      </c>
      <c r="S778" s="1">
        <v>43808.101481481484</v>
      </c>
      <c r="T778" s="1">
        <v>43808.102372685185</v>
      </c>
      <c r="U778" s="1">
        <v>43808.102372685185</v>
      </c>
      <c r="W778" s="1">
        <v>43808.102476851855</v>
      </c>
      <c r="X778" t="s">
        <v>2889</v>
      </c>
      <c r="AH778" t="s">
        <v>6339</v>
      </c>
      <c r="AI778" t="s">
        <v>6340</v>
      </c>
      <c r="AJ778" t="s">
        <v>6341</v>
      </c>
      <c r="AK778" t="s">
        <v>6342</v>
      </c>
      <c r="AL778" t="s">
        <v>6343</v>
      </c>
      <c r="AM778" t="s">
        <v>6344</v>
      </c>
      <c r="AN778" t="s">
        <v>6345</v>
      </c>
      <c r="AO778" t="s">
        <v>6346</v>
      </c>
      <c r="AP778" t="s">
        <v>6347</v>
      </c>
      <c r="AQ778" t="s">
        <v>6348</v>
      </c>
      <c r="AR778" t="s">
        <v>6349</v>
      </c>
      <c r="AS778" t="s">
        <v>6350</v>
      </c>
      <c r="AT778" t="s">
        <v>6351</v>
      </c>
      <c r="AU778" t="s">
        <v>6352</v>
      </c>
      <c r="AV778" t="s">
        <v>6353</v>
      </c>
      <c r="AW778" t="s">
        <v>6354</v>
      </c>
      <c r="EC778" t="s">
        <v>6355</v>
      </c>
      <c r="ED778" t="s">
        <v>218</v>
      </c>
      <c r="EE778" t="s">
        <v>6356</v>
      </c>
    </row>
    <row r="779" spans="1:141" ht="15" customHeight="1" x14ac:dyDescent="0.35">
      <c r="A779">
        <v>829</v>
      </c>
      <c r="B779" t="s">
        <v>6357</v>
      </c>
      <c r="C779">
        <v>2</v>
      </c>
      <c r="D779" t="str">
        <f>VLOOKUP(source[[#This Row],[Приоритет]],тПриоритеты[],2,0)</f>
        <v>Значительное</v>
      </c>
      <c r="E779" t="str">
        <f>IF(ISBLANK(source[[#This Row],[Проверенные]]),IF(ISBLANK(source[[#This Row],[Завершенные]]),source[[#This Row],[Приоритет_]],"Завершено"),"Проверено")</f>
        <v>Проверено</v>
      </c>
      <c r="F779" t="s">
        <v>4423</v>
      </c>
      <c r="G779" t="s">
        <v>217</v>
      </c>
      <c r="H779" t="e">
        <f>VLOOKUP(source[[#This Row],[Отвественный]],тОтветственные[],2,0)</f>
        <v>#N/A</v>
      </c>
      <c r="I779" s="2">
        <v>43830</v>
      </c>
      <c r="J779" s="2">
        <v>43830</v>
      </c>
      <c r="S779" s="1">
        <v>43830.541759259257</v>
      </c>
      <c r="T779" s="1">
        <v>43830.54184027778</v>
      </c>
      <c r="U779" s="1">
        <v>43830.54184027778</v>
      </c>
      <c r="W779" s="1">
        <v>43830.542662037034</v>
      </c>
      <c r="EC779" t="s">
        <v>218</v>
      </c>
      <c r="ED779" t="s">
        <v>6358</v>
      </c>
      <c r="EE779" t="s">
        <v>6359</v>
      </c>
    </row>
    <row r="780" spans="1:141" ht="15" customHeight="1" x14ac:dyDescent="0.35">
      <c r="A780">
        <v>203</v>
      </c>
      <c r="B780" t="s">
        <v>6360</v>
      </c>
      <c r="C780">
        <v>2</v>
      </c>
      <c r="D780" t="str">
        <f>VLOOKUP(source[[#This Row],[Приоритет]],тПриоритеты[],2,0)</f>
        <v>Значительное</v>
      </c>
      <c r="E780" t="str">
        <f>IF(ISBLANK(source[[#This Row],[Проверенные]]),IF(ISBLANK(source[[#This Row],[Завершенные]]),source[[#This Row],[Приоритет_]],"Завершено"),"Проверено")</f>
        <v>Проверено</v>
      </c>
      <c r="F780" t="s">
        <v>4423</v>
      </c>
      <c r="G780" t="s">
        <v>217</v>
      </c>
      <c r="H780" t="e">
        <f>VLOOKUP(source[[#This Row],[Отвественный]],тОтветственные[],2,0)</f>
        <v>#N/A</v>
      </c>
      <c r="I780" s="2">
        <v>43778</v>
      </c>
      <c r="J780" s="2">
        <v>43778</v>
      </c>
      <c r="S780" s="1">
        <v>43778.733842592592</v>
      </c>
      <c r="T780" s="1">
        <v>43778.735601851855</v>
      </c>
      <c r="U780" s="1">
        <v>43778.735601851855</v>
      </c>
      <c r="W780" s="1">
        <v>43778.735659722224</v>
      </c>
      <c r="X780" t="s">
        <v>191</v>
      </c>
      <c r="AH780" t="s">
        <v>6361</v>
      </c>
      <c r="AI780" t="s">
        <v>6362</v>
      </c>
      <c r="AJ780" t="s">
        <v>6363</v>
      </c>
      <c r="AK780" t="s">
        <v>6364</v>
      </c>
      <c r="AL780" t="s">
        <v>6365</v>
      </c>
      <c r="AM780" t="s">
        <v>6366</v>
      </c>
      <c r="AN780" t="s">
        <v>6367</v>
      </c>
      <c r="AO780" t="s">
        <v>6368</v>
      </c>
      <c r="AP780" t="s">
        <v>6369</v>
      </c>
      <c r="AQ780" t="s">
        <v>6370</v>
      </c>
      <c r="AR780" t="s">
        <v>6371</v>
      </c>
      <c r="AS780" t="s">
        <v>6372</v>
      </c>
      <c r="AT780" t="s">
        <v>6373</v>
      </c>
      <c r="AU780" t="s">
        <v>6374</v>
      </c>
      <c r="AV780" t="s">
        <v>6375</v>
      </c>
      <c r="AW780" t="s">
        <v>6376</v>
      </c>
      <c r="AX780" t="s">
        <v>6377</v>
      </c>
      <c r="AY780" t="s">
        <v>6378</v>
      </c>
      <c r="EC780" t="s">
        <v>6379</v>
      </c>
      <c r="ED780" t="s">
        <v>218</v>
      </c>
      <c r="EE780" t="s">
        <v>6031</v>
      </c>
      <c r="EF780" t="s">
        <v>6380</v>
      </c>
    </row>
    <row r="781" spans="1:141" ht="15" customHeight="1" x14ac:dyDescent="0.35">
      <c r="A781">
        <v>202</v>
      </c>
      <c r="B781" t="s">
        <v>6381</v>
      </c>
      <c r="C781">
        <v>2</v>
      </c>
      <c r="D781" t="str">
        <f>VLOOKUP(source[[#This Row],[Приоритет]],тПриоритеты[],2,0)</f>
        <v>Значительное</v>
      </c>
      <c r="E781" t="str">
        <f>IF(ISBLANK(source[[#This Row],[Проверенные]]),IF(ISBLANK(source[[#This Row],[Завершенные]]),source[[#This Row],[Приоритет_]],"Завершено"),"Проверено")</f>
        <v>Проверено</v>
      </c>
      <c r="F781" t="s">
        <v>4423</v>
      </c>
      <c r="G781" t="s">
        <v>217</v>
      </c>
      <c r="H781" t="e">
        <f>VLOOKUP(source[[#This Row],[Отвественный]],тОтветственные[],2,0)</f>
        <v>#N/A</v>
      </c>
      <c r="I781" s="2">
        <v>43778</v>
      </c>
      <c r="J781" s="2">
        <v>43778</v>
      </c>
      <c r="S781" s="1">
        <v>43778.726493055554</v>
      </c>
      <c r="T781" s="1">
        <v>43778.726990740739</v>
      </c>
      <c r="U781" s="1">
        <v>43778.726990740739</v>
      </c>
      <c r="W781" s="1">
        <v>43778.730729166666</v>
      </c>
      <c r="EC781" t="s">
        <v>218</v>
      </c>
      <c r="ED781" t="s">
        <v>6031</v>
      </c>
      <c r="EE781" t="s">
        <v>6382</v>
      </c>
      <c r="EF781" t="s">
        <v>6380</v>
      </c>
    </row>
    <row r="782" spans="1:141" ht="15" customHeight="1" x14ac:dyDescent="0.35">
      <c r="A782">
        <v>204</v>
      </c>
      <c r="B782" t="s">
        <v>6383</v>
      </c>
      <c r="C782">
        <v>2</v>
      </c>
      <c r="D782" t="str">
        <f>VLOOKUP(source[[#This Row],[Приоритет]],тПриоритеты[],2,0)</f>
        <v>Значительное</v>
      </c>
      <c r="E782" t="str">
        <f>IF(ISBLANK(source[[#This Row],[Проверенные]]),IF(ISBLANK(source[[#This Row],[Завершенные]]),source[[#This Row],[Приоритет_]],"Завершено"),"Проверено")</f>
        <v>Проверено</v>
      </c>
      <c r="F782" t="s">
        <v>4423</v>
      </c>
      <c r="G782" t="s">
        <v>217</v>
      </c>
      <c r="H782" t="e">
        <f>VLOOKUP(source[[#This Row],[Отвественный]],тОтветственные[],2,0)</f>
        <v>#N/A</v>
      </c>
      <c r="I782" s="2">
        <v>43779</v>
      </c>
      <c r="J782" s="2">
        <v>43779</v>
      </c>
      <c r="S782" s="1">
        <v>43779.689745370371</v>
      </c>
      <c r="T782" s="1">
        <v>43779.690763888888</v>
      </c>
      <c r="U782" s="1">
        <v>43779.690763888888</v>
      </c>
      <c r="W782" s="1">
        <v>43779.690798611111</v>
      </c>
      <c r="EC782" t="s">
        <v>6384</v>
      </c>
      <c r="ED782" t="s">
        <v>218</v>
      </c>
      <c r="EE782" t="s">
        <v>6031</v>
      </c>
      <c r="EF782" t="s">
        <v>6385</v>
      </c>
    </row>
    <row r="783" spans="1:141" ht="15" customHeight="1" x14ac:dyDescent="0.35">
      <c r="A783">
        <v>970</v>
      </c>
      <c r="B783" t="s">
        <v>6386</v>
      </c>
      <c r="C783">
        <v>2</v>
      </c>
      <c r="D783" t="str">
        <f>VLOOKUP(source[[#This Row],[Приоритет]],тПриоритеты[],2,0)</f>
        <v>Значительное</v>
      </c>
      <c r="E783" t="str">
        <f>IF(ISBLANK(source[[#This Row],[Проверенные]]),IF(ISBLANK(source[[#This Row],[Завершенные]]),source[[#This Row],[Приоритет_]],"Завершено"),"Проверено")</f>
        <v>Проверено</v>
      </c>
      <c r="F783" t="s">
        <v>4423</v>
      </c>
      <c r="G783" t="s">
        <v>217</v>
      </c>
      <c r="H783" t="e">
        <f>VLOOKUP(source[[#This Row],[Отвественный]],тОтветственные[],2,0)</f>
        <v>#N/A</v>
      </c>
      <c r="I783" s="2">
        <v>43851</v>
      </c>
      <c r="J783" s="2">
        <v>43851</v>
      </c>
      <c r="S783" s="1">
        <v>43851.220648148148</v>
      </c>
      <c r="T783" s="1">
        <v>43851.220694444448</v>
      </c>
      <c r="U783" s="1">
        <v>43851.220694444448</v>
      </c>
      <c r="W783" s="1">
        <v>43851.22283564815</v>
      </c>
      <c r="X783" t="s">
        <v>3469</v>
      </c>
      <c r="AH783" t="s">
        <v>6387</v>
      </c>
      <c r="AI783" s="3" t="s">
        <v>6388</v>
      </c>
      <c r="AJ783" s="3" t="s">
        <v>6389</v>
      </c>
      <c r="AK783" t="s">
        <v>6390</v>
      </c>
      <c r="AL783" t="s">
        <v>6391</v>
      </c>
      <c r="AM783" t="s">
        <v>6392</v>
      </c>
      <c r="AN783" t="s">
        <v>6393</v>
      </c>
      <c r="AO783" t="s">
        <v>6394</v>
      </c>
      <c r="AP783" t="s">
        <v>6395</v>
      </c>
      <c r="AQ783" t="s">
        <v>6396</v>
      </c>
      <c r="AR783" t="s">
        <v>6397</v>
      </c>
      <c r="EC783" t="s">
        <v>218</v>
      </c>
      <c r="ED783" t="s">
        <v>6398</v>
      </c>
      <c r="EE783" t="s">
        <v>6399</v>
      </c>
      <c r="EF783" t="s">
        <v>6400</v>
      </c>
    </row>
    <row r="784" spans="1:141" ht="15" customHeight="1" x14ac:dyDescent="0.35">
      <c r="A784">
        <v>491</v>
      </c>
      <c r="B784" t="s">
        <v>6401</v>
      </c>
      <c r="C784">
        <v>2</v>
      </c>
      <c r="D784" t="str">
        <f>VLOOKUP(source[[#This Row],[Приоритет]],тПриоритеты[],2,0)</f>
        <v>Значительное</v>
      </c>
      <c r="E784" t="str">
        <f>IF(ISBLANK(source[[#This Row],[Проверенные]]),IF(ISBLANK(source[[#This Row],[Завершенные]]),source[[#This Row],[Приоритет_]],"Завершено"),"Проверено")</f>
        <v>Проверено</v>
      </c>
      <c r="F784" t="s">
        <v>4423</v>
      </c>
      <c r="G784" t="s">
        <v>217</v>
      </c>
      <c r="H784" t="e">
        <f>VLOOKUP(source[[#This Row],[Отвественный]],тОтветственные[],2,0)</f>
        <v>#N/A</v>
      </c>
      <c r="I784" s="2">
        <v>43799</v>
      </c>
      <c r="J784" s="2">
        <v>43799</v>
      </c>
      <c r="S784" s="1">
        <v>43799.758437500001</v>
      </c>
      <c r="T784" s="1">
        <v>43771.278819444444</v>
      </c>
      <c r="U784" s="1">
        <v>43811.905057870368</v>
      </c>
      <c r="W784" s="1">
        <v>43811.905081018522</v>
      </c>
      <c r="EC784" t="s">
        <v>6402</v>
      </c>
      <c r="ED784" t="s">
        <v>3298</v>
      </c>
      <c r="EE784" t="s">
        <v>6031</v>
      </c>
      <c r="EF784" t="s">
        <v>2427</v>
      </c>
      <c r="EG784" t="s">
        <v>6034</v>
      </c>
    </row>
    <row r="785" spans="1:142" ht="15" customHeight="1" x14ac:dyDescent="0.35">
      <c r="A785">
        <v>387</v>
      </c>
      <c r="B785" t="s">
        <v>6403</v>
      </c>
      <c r="C785">
        <v>2</v>
      </c>
      <c r="D785" t="str">
        <f>VLOOKUP(source[[#This Row],[Приоритет]],тПриоритеты[],2,0)</f>
        <v>Значительное</v>
      </c>
      <c r="E785" t="str">
        <f>IF(ISBLANK(source[[#This Row],[Проверенные]]),IF(ISBLANK(source[[#This Row],[Завершенные]]),source[[#This Row],[Приоритет_]],"Завершено"),"Проверено")</f>
        <v>Проверено</v>
      </c>
      <c r="F785" t="s">
        <v>4423</v>
      </c>
      <c r="G785" t="s">
        <v>217</v>
      </c>
      <c r="H785" t="e">
        <f>VLOOKUP(source[[#This Row],[Отвественный]],тОтветственные[],2,0)</f>
        <v>#N/A</v>
      </c>
      <c r="I785" s="2">
        <v>43790</v>
      </c>
      <c r="J785" s="2">
        <v>43790</v>
      </c>
      <c r="S785" s="1">
        <v>43790.765300925923</v>
      </c>
      <c r="T785" s="1">
        <v>43771.278819444444</v>
      </c>
      <c r="U785" s="1">
        <v>43811.905057870368</v>
      </c>
      <c r="W785" s="1">
        <v>43811.905069444445</v>
      </c>
      <c r="X785" t="s">
        <v>2889</v>
      </c>
      <c r="AH785" t="s">
        <v>6404</v>
      </c>
      <c r="AI785" t="s">
        <v>6008</v>
      </c>
      <c r="AJ785" t="s">
        <v>6009</v>
      </c>
      <c r="AK785" t="s">
        <v>6010</v>
      </c>
      <c r="AL785" t="s">
        <v>6011</v>
      </c>
      <c r="AM785" t="s">
        <v>6012</v>
      </c>
      <c r="AN785" t="s">
        <v>6013</v>
      </c>
      <c r="AO785" t="s">
        <v>6014</v>
      </c>
      <c r="AP785" t="s">
        <v>6405</v>
      </c>
      <c r="AQ785" t="s">
        <v>6016</v>
      </c>
      <c r="AR785" t="s">
        <v>6406</v>
      </c>
      <c r="AS785" t="s">
        <v>6407</v>
      </c>
      <c r="AT785" t="s">
        <v>6408</v>
      </c>
      <c r="AU785" t="s">
        <v>6409</v>
      </c>
      <c r="AV785" t="s">
        <v>6410</v>
      </c>
      <c r="AW785" t="s">
        <v>6411</v>
      </c>
      <c r="EC785" t="s">
        <v>6412</v>
      </c>
      <c r="ED785" t="s">
        <v>218</v>
      </c>
      <c r="EE785" t="s">
        <v>6026</v>
      </c>
      <c r="EF785" t="s">
        <v>3298</v>
      </c>
      <c r="EG785" t="s">
        <v>6034</v>
      </c>
      <c r="EH785" t="s">
        <v>218</v>
      </c>
    </row>
    <row r="786" spans="1:142" ht="15" customHeight="1" x14ac:dyDescent="0.35">
      <c r="A786">
        <v>614</v>
      </c>
      <c r="B786" t="s">
        <v>6413</v>
      </c>
      <c r="C786">
        <v>2</v>
      </c>
      <c r="D786" t="str">
        <f>VLOOKUP(source[[#This Row],[Приоритет]],тПриоритеты[],2,0)</f>
        <v>Значительное</v>
      </c>
      <c r="E786" t="str">
        <f>IF(ISBLANK(source[[#This Row],[Проверенные]]),IF(ISBLANK(source[[#This Row],[Завершенные]]),source[[#This Row],[Приоритет_]],"Завершено"),"Проверено")</f>
        <v>Проверено</v>
      </c>
      <c r="F786" t="s">
        <v>4423</v>
      </c>
      <c r="G786" t="s">
        <v>217</v>
      </c>
      <c r="H786" t="e">
        <f>VLOOKUP(source[[#This Row],[Отвественный]],тОтветственные[],2,0)</f>
        <v>#N/A</v>
      </c>
      <c r="I786" s="2">
        <v>43812</v>
      </c>
      <c r="J786" s="2">
        <v>43812</v>
      </c>
      <c r="S786" s="1">
        <v>43812.229618055557</v>
      </c>
      <c r="T786" s="1">
        <v>43812.230069444442</v>
      </c>
      <c r="U786" s="1">
        <v>43812.230069444442</v>
      </c>
      <c r="W786" s="1">
        <v>43812.230196759258</v>
      </c>
      <c r="X786" t="s">
        <v>2889</v>
      </c>
      <c r="AH786" t="s">
        <v>6414</v>
      </c>
      <c r="AI786" t="s">
        <v>6415</v>
      </c>
      <c r="AJ786" t="s">
        <v>6416</v>
      </c>
      <c r="AK786" t="s">
        <v>6417</v>
      </c>
      <c r="AL786" t="s">
        <v>6418</v>
      </c>
      <c r="AM786" t="s">
        <v>6419</v>
      </c>
      <c r="AN786" t="s">
        <v>6420</v>
      </c>
      <c r="AO786" t="s">
        <v>6421</v>
      </c>
      <c r="AP786" t="s">
        <v>6422</v>
      </c>
      <c r="AQ786" t="s">
        <v>6423</v>
      </c>
      <c r="AR786" t="s">
        <v>6424</v>
      </c>
      <c r="AS786" t="s">
        <v>6425</v>
      </c>
      <c r="AT786" t="s">
        <v>6426</v>
      </c>
      <c r="AU786" t="s">
        <v>6427</v>
      </c>
      <c r="AV786" t="s">
        <v>6428</v>
      </c>
      <c r="AW786" t="s">
        <v>6429</v>
      </c>
      <c r="EC786" t="s">
        <v>6430</v>
      </c>
      <c r="ED786" t="s">
        <v>218</v>
      </c>
      <c r="EE786" t="s">
        <v>6431</v>
      </c>
    </row>
    <row r="787" spans="1:142" ht="15" customHeight="1" x14ac:dyDescent="0.35">
      <c r="A787">
        <v>615</v>
      </c>
      <c r="B787" t="s">
        <v>6432</v>
      </c>
      <c r="C787">
        <v>2</v>
      </c>
      <c r="D787" t="str">
        <f>VLOOKUP(source[[#This Row],[Приоритет]],тПриоритеты[],2,0)</f>
        <v>Значительное</v>
      </c>
      <c r="E787" t="str">
        <f>IF(ISBLANK(source[[#This Row],[Проверенные]]),IF(ISBLANK(source[[#This Row],[Завершенные]]),source[[#This Row],[Приоритет_]],"Завершено"),"Проверено")</f>
        <v>Проверено</v>
      </c>
      <c r="F787" t="s">
        <v>4423</v>
      </c>
      <c r="G787" t="s">
        <v>217</v>
      </c>
      <c r="H787" t="e">
        <f>VLOOKUP(source[[#This Row],[Отвественный]],тОтветственные[],2,0)</f>
        <v>#N/A</v>
      </c>
      <c r="I787" s="2">
        <v>43812</v>
      </c>
      <c r="J787" s="2">
        <v>43812</v>
      </c>
      <c r="S787" s="1">
        <v>43812.266562500001</v>
      </c>
      <c r="T787" s="1">
        <v>43812.267106481479</v>
      </c>
      <c r="U787" s="1">
        <v>43812.267106481479</v>
      </c>
      <c r="W787" s="1">
        <v>43812.267129629632</v>
      </c>
      <c r="EC787" t="s">
        <v>6433</v>
      </c>
      <c r="ED787" t="s">
        <v>218</v>
      </c>
      <c r="EE787" t="s">
        <v>6431</v>
      </c>
    </row>
    <row r="788" spans="1:142" ht="15" customHeight="1" x14ac:dyDescent="0.35">
      <c r="A788">
        <v>261</v>
      </c>
      <c r="B788" t="s">
        <v>6434</v>
      </c>
      <c r="C788">
        <v>2</v>
      </c>
      <c r="D788" t="str">
        <f>VLOOKUP(source[[#This Row],[Приоритет]],тПриоритеты[],2,0)</f>
        <v>Значительное</v>
      </c>
      <c r="E788" t="str">
        <f>IF(ISBLANK(source[[#This Row],[Проверенные]]),IF(ISBLANK(source[[#This Row],[Завершенные]]),source[[#This Row],[Приоритет_]],"Завершено"),"Проверено")</f>
        <v>Проверено</v>
      </c>
      <c r="F788" t="s">
        <v>4423</v>
      </c>
      <c r="G788" t="s">
        <v>217</v>
      </c>
      <c r="H788" t="e">
        <f>VLOOKUP(source[[#This Row],[Отвественный]],тОтветственные[],2,0)</f>
        <v>#N/A</v>
      </c>
      <c r="I788" s="2">
        <v>43782</v>
      </c>
      <c r="J788" s="2">
        <v>43782</v>
      </c>
      <c r="S788" s="1">
        <v>43782.787546296298</v>
      </c>
      <c r="T788" s="1">
        <v>43782.789039351854</v>
      </c>
      <c r="U788" s="1">
        <v>43782.789039351854</v>
      </c>
      <c r="W788" s="1">
        <v>43782.789386574077</v>
      </c>
      <c r="X788" t="s">
        <v>191</v>
      </c>
      <c r="AH788" t="s">
        <v>6435</v>
      </c>
      <c r="AI788" t="s">
        <v>6436</v>
      </c>
      <c r="AJ788" t="s">
        <v>6437</v>
      </c>
      <c r="AK788" t="s">
        <v>6438</v>
      </c>
      <c r="AL788" t="s">
        <v>6439</v>
      </c>
      <c r="AM788" t="s">
        <v>6440</v>
      </c>
      <c r="AN788" t="s">
        <v>6441</v>
      </c>
      <c r="AO788" t="s">
        <v>6442</v>
      </c>
      <c r="AP788" t="s">
        <v>6443</v>
      </c>
      <c r="AQ788" t="s">
        <v>6444</v>
      </c>
      <c r="AR788" t="s">
        <v>6445</v>
      </c>
      <c r="AS788" t="s">
        <v>6446</v>
      </c>
      <c r="AT788" t="s">
        <v>6447</v>
      </c>
      <c r="AU788" t="s">
        <v>6448</v>
      </c>
      <c r="AV788" t="s">
        <v>6449</v>
      </c>
      <c r="AW788" t="s">
        <v>6450</v>
      </c>
      <c r="AX788" t="s">
        <v>6451</v>
      </c>
      <c r="AY788" t="s">
        <v>6452</v>
      </c>
      <c r="EC788" t="s">
        <v>6453</v>
      </c>
      <c r="ED788" t="s">
        <v>218</v>
      </c>
      <c r="EE788" t="s">
        <v>6031</v>
      </c>
      <c r="EF788" t="s">
        <v>6454</v>
      </c>
    </row>
    <row r="789" spans="1:142" ht="15" customHeight="1" x14ac:dyDescent="0.35">
      <c r="A789">
        <v>635</v>
      </c>
      <c r="B789" t="s">
        <v>6455</v>
      </c>
      <c r="C789">
        <v>2</v>
      </c>
      <c r="D789" t="str">
        <f>VLOOKUP(source[[#This Row],[Приоритет]],тПриоритеты[],2,0)</f>
        <v>Значительное</v>
      </c>
      <c r="E789" t="str">
        <f>IF(ISBLANK(source[[#This Row],[Проверенные]]),IF(ISBLANK(source[[#This Row],[Завершенные]]),source[[#This Row],[Приоритет_]],"Завершено"),"Проверено")</f>
        <v>Проверено</v>
      </c>
      <c r="F789" t="s">
        <v>4423</v>
      </c>
      <c r="G789" t="s">
        <v>217</v>
      </c>
      <c r="H789" t="e">
        <f>VLOOKUP(source[[#This Row],[Отвественный]],тОтветственные[],2,0)</f>
        <v>#N/A</v>
      </c>
      <c r="I789" s="2">
        <v>43815</v>
      </c>
      <c r="J789" s="2">
        <v>43815</v>
      </c>
      <c r="S789" s="1">
        <v>43815.721400462964</v>
      </c>
      <c r="T789" s="1">
        <v>43815.721435185187</v>
      </c>
      <c r="U789" s="1">
        <v>43815.721435185187</v>
      </c>
      <c r="W789" s="1">
        <v>43815.722430555557</v>
      </c>
      <c r="X789" t="s">
        <v>191</v>
      </c>
      <c r="AH789" t="s">
        <v>6456</v>
      </c>
      <c r="AI789" t="s">
        <v>6457</v>
      </c>
      <c r="AJ789" t="s">
        <v>6458</v>
      </c>
      <c r="AK789" t="s">
        <v>6459</v>
      </c>
      <c r="AL789" t="s">
        <v>6460</v>
      </c>
      <c r="AM789" t="s">
        <v>6461</v>
      </c>
      <c r="AN789" t="s">
        <v>6462</v>
      </c>
      <c r="AO789" t="s">
        <v>6463</v>
      </c>
      <c r="AP789" t="s">
        <v>6464</v>
      </c>
      <c r="AQ789" t="s">
        <v>6465</v>
      </c>
      <c r="AR789" t="s">
        <v>6466</v>
      </c>
      <c r="AS789" t="s">
        <v>6467</v>
      </c>
      <c r="AT789" t="s">
        <v>6468</v>
      </c>
      <c r="AU789" t="s">
        <v>6469</v>
      </c>
      <c r="AV789" t="s">
        <v>6470</v>
      </c>
      <c r="AW789" t="s">
        <v>6471</v>
      </c>
      <c r="AX789" t="s">
        <v>6472</v>
      </c>
      <c r="AY789" t="s">
        <v>6473</v>
      </c>
      <c r="EC789" t="s">
        <v>218</v>
      </c>
      <c r="ED789" t="s">
        <v>1987</v>
      </c>
      <c r="EE789" t="s">
        <v>6474</v>
      </c>
    </row>
    <row r="790" spans="1:142" ht="15" customHeight="1" x14ac:dyDescent="0.35">
      <c r="A790">
        <v>278</v>
      </c>
      <c r="B790" t="s">
        <v>6475</v>
      </c>
      <c r="C790">
        <v>2</v>
      </c>
      <c r="D790" t="str">
        <f>VLOOKUP(source[[#This Row],[Приоритет]],тПриоритеты[],2,0)</f>
        <v>Значительное</v>
      </c>
      <c r="E790" t="str">
        <f>IF(ISBLANK(source[[#This Row],[Проверенные]]),IF(ISBLANK(source[[#This Row],[Завершенные]]),source[[#This Row],[Приоритет_]],"Завершено"),"Проверено")</f>
        <v>Проверено</v>
      </c>
      <c r="F790" t="s">
        <v>4423</v>
      </c>
      <c r="G790" t="s">
        <v>217</v>
      </c>
      <c r="H790" t="e">
        <f>VLOOKUP(source[[#This Row],[Отвественный]],тОтветственные[],2,0)</f>
        <v>#N/A</v>
      </c>
      <c r="I790" s="2">
        <v>43783</v>
      </c>
      <c r="J790" s="2">
        <v>43783</v>
      </c>
      <c r="S790" s="1">
        <v>43783.75104166667</v>
      </c>
      <c r="T790" s="1">
        <v>43783.753101851849</v>
      </c>
      <c r="U790" s="1">
        <v>43783.753101851849</v>
      </c>
      <c r="W790" s="1">
        <v>43783.755844907406</v>
      </c>
      <c r="X790" t="s">
        <v>191</v>
      </c>
      <c r="AH790" t="s">
        <v>6476</v>
      </c>
      <c r="AI790" t="s">
        <v>6477</v>
      </c>
      <c r="AJ790" t="s">
        <v>6478</v>
      </c>
      <c r="AK790" t="s">
        <v>6479</v>
      </c>
      <c r="AL790" t="s">
        <v>6480</v>
      </c>
      <c r="AM790" t="s">
        <v>6481</v>
      </c>
      <c r="AN790" t="s">
        <v>6482</v>
      </c>
      <c r="AO790" t="s">
        <v>6483</v>
      </c>
      <c r="AP790" t="s">
        <v>6484</v>
      </c>
      <c r="AQ790" t="s">
        <v>6485</v>
      </c>
      <c r="AR790" t="s">
        <v>6486</v>
      </c>
      <c r="AS790" t="s">
        <v>6487</v>
      </c>
      <c r="AT790" t="s">
        <v>6488</v>
      </c>
      <c r="AU790" t="s">
        <v>6489</v>
      </c>
      <c r="AV790" t="s">
        <v>6490</v>
      </c>
      <c r="AW790" t="s">
        <v>6491</v>
      </c>
      <c r="AX790" t="s">
        <v>6492</v>
      </c>
      <c r="AY790" t="s">
        <v>6493</v>
      </c>
      <c r="EC790" t="s">
        <v>6494</v>
      </c>
      <c r="ED790" t="s">
        <v>218</v>
      </c>
      <c r="EE790" t="s">
        <v>6031</v>
      </c>
      <c r="EF790" t="s">
        <v>6495</v>
      </c>
      <c r="EG790" t="s">
        <v>6496</v>
      </c>
    </row>
    <row r="791" spans="1:142" ht="15" customHeight="1" x14ac:dyDescent="0.35">
      <c r="A791">
        <v>279</v>
      </c>
      <c r="B791" t="s">
        <v>6497</v>
      </c>
      <c r="C791">
        <v>2</v>
      </c>
      <c r="D791" t="str">
        <f>VLOOKUP(source[[#This Row],[Приоритет]],тПриоритеты[],2,0)</f>
        <v>Значительное</v>
      </c>
      <c r="E791" t="str">
        <f>IF(ISBLANK(source[[#This Row],[Проверенные]]),IF(ISBLANK(source[[#This Row],[Завершенные]]),source[[#This Row],[Приоритет_]],"Завершено"),"Проверено")</f>
        <v>Проверено</v>
      </c>
      <c r="F791" t="s">
        <v>4423</v>
      </c>
      <c r="G791" t="s">
        <v>217</v>
      </c>
      <c r="H791" t="e">
        <f>VLOOKUP(source[[#This Row],[Отвественный]],тОтветственные[],2,0)</f>
        <v>#N/A</v>
      </c>
      <c r="I791" s="2">
        <v>43783</v>
      </c>
      <c r="J791" s="2">
        <v>43783</v>
      </c>
      <c r="S791" s="1">
        <v>43783.753229166665</v>
      </c>
      <c r="T791" s="1">
        <v>43783.755104166667</v>
      </c>
      <c r="U791" s="1">
        <v>43783.755104166667</v>
      </c>
      <c r="W791" s="1">
        <v>43783.755636574075</v>
      </c>
      <c r="X791" t="s">
        <v>2889</v>
      </c>
      <c r="Y791" t="s">
        <v>191</v>
      </c>
      <c r="AH791" t="s">
        <v>6498</v>
      </c>
      <c r="AI791" t="s">
        <v>6499</v>
      </c>
      <c r="AJ791" t="s">
        <v>6500</v>
      </c>
      <c r="AK791" t="s">
        <v>6501</v>
      </c>
      <c r="AL791" t="s">
        <v>6502</v>
      </c>
      <c r="AM791" t="s">
        <v>6503</v>
      </c>
      <c r="AN791" t="s">
        <v>6504</v>
      </c>
      <c r="AO791" t="s">
        <v>6505</v>
      </c>
      <c r="AP791" t="s">
        <v>6506</v>
      </c>
      <c r="AQ791" t="s">
        <v>6507</v>
      </c>
      <c r="AR791" t="s">
        <v>6508</v>
      </c>
      <c r="AS791" t="s">
        <v>6509</v>
      </c>
      <c r="AT791" t="s">
        <v>6510</v>
      </c>
      <c r="AU791" t="s">
        <v>6511</v>
      </c>
      <c r="AV791" t="s">
        <v>6512</v>
      </c>
      <c r="AW791" t="s">
        <v>6513</v>
      </c>
      <c r="AX791" t="s">
        <v>6476</v>
      </c>
      <c r="AY791" t="s">
        <v>6477</v>
      </c>
      <c r="AZ791" t="s">
        <v>6478</v>
      </c>
      <c r="BA791" t="s">
        <v>6479</v>
      </c>
      <c r="BB791" t="s">
        <v>6480</v>
      </c>
      <c r="BC791" t="s">
        <v>6481</v>
      </c>
      <c r="BD791" t="s">
        <v>6514</v>
      </c>
      <c r="BE791" t="s">
        <v>6515</v>
      </c>
      <c r="BF791" t="s">
        <v>6484</v>
      </c>
      <c r="BG791" t="s">
        <v>6516</v>
      </c>
      <c r="BH791" t="s">
        <v>6486</v>
      </c>
      <c r="BI791" t="s">
        <v>6487</v>
      </c>
      <c r="BJ791" t="s">
        <v>6488</v>
      </c>
      <c r="BK791" t="s">
        <v>6489</v>
      </c>
      <c r="BL791" t="s">
        <v>6490</v>
      </c>
      <c r="BM791" t="s">
        <v>6491</v>
      </c>
      <c r="BN791" t="s">
        <v>6492</v>
      </c>
      <c r="BO791" t="s">
        <v>6493</v>
      </c>
      <c r="EC791" t="s">
        <v>6517</v>
      </c>
      <c r="ED791" t="s">
        <v>218</v>
      </c>
      <c r="EE791" t="s">
        <v>6031</v>
      </c>
      <c r="EF791" t="s">
        <v>6495</v>
      </c>
      <c r="EG791" t="s">
        <v>6518</v>
      </c>
    </row>
    <row r="792" spans="1:142" ht="15" customHeight="1" x14ac:dyDescent="0.35">
      <c r="A792">
        <v>277</v>
      </c>
      <c r="B792" t="s">
        <v>6519</v>
      </c>
      <c r="C792">
        <v>2</v>
      </c>
      <c r="D792" t="str">
        <f>VLOOKUP(source[[#This Row],[Приоритет]],тПриоритеты[],2,0)</f>
        <v>Значительное</v>
      </c>
      <c r="E792" t="str">
        <f>IF(ISBLANK(source[[#This Row],[Проверенные]]),IF(ISBLANK(source[[#This Row],[Завершенные]]),source[[#This Row],[Приоритет_]],"Завершено"),"Проверено")</f>
        <v>Проверено</v>
      </c>
      <c r="F792" t="s">
        <v>4423</v>
      </c>
      <c r="G792" t="s">
        <v>217</v>
      </c>
      <c r="H792" t="e">
        <f>VLOOKUP(source[[#This Row],[Отвественный]],тОтветственные[],2,0)</f>
        <v>#N/A</v>
      </c>
      <c r="I792" s="2">
        <v>43783</v>
      </c>
      <c r="J792" s="2">
        <v>43783</v>
      </c>
      <c r="S792" s="1">
        <v>43783.749618055554</v>
      </c>
      <c r="T792" s="1">
        <v>43783.750775462962</v>
      </c>
      <c r="U792" s="1">
        <v>43783.750775462962</v>
      </c>
      <c r="W792" s="1">
        <v>43783.750879629632</v>
      </c>
      <c r="X792" t="s">
        <v>191</v>
      </c>
      <c r="AH792" t="s">
        <v>6476</v>
      </c>
      <c r="AI792" t="s">
        <v>6477</v>
      </c>
      <c r="AJ792" t="s">
        <v>6478</v>
      </c>
      <c r="AK792" t="s">
        <v>6479</v>
      </c>
      <c r="AL792" t="s">
        <v>6480</v>
      </c>
      <c r="AM792" t="s">
        <v>6481</v>
      </c>
      <c r="AN792" t="s">
        <v>6482</v>
      </c>
      <c r="AO792" t="s">
        <v>6483</v>
      </c>
      <c r="AP792" t="s">
        <v>6484</v>
      </c>
      <c r="AQ792" t="s">
        <v>6485</v>
      </c>
      <c r="AR792" t="s">
        <v>6486</v>
      </c>
      <c r="AS792" t="s">
        <v>6487</v>
      </c>
      <c r="AT792" t="s">
        <v>6488</v>
      </c>
      <c r="AU792" t="s">
        <v>6489</v>
      </c>
      <c r="AV792" t="s">
        <v>6490</v>
      </c>
      <c r="AW792" t="s">
        <v>6491</v>
      </c>
      <c r="AX792" t="s">
        <v>6492</v>
      </c>
      <c r="AY792" t="s">
        <v>6493</v>
      </c>
      <c r="EC792" t="s">
        <v>6520</v>
      </c>
      <c r="ED792" t="s">
        <v>218</v>
      </c>
      <c r="EE792" t="s">
        <v>6031</v>
      </c>
      <c r="EF792" t="s">
        <v>6495</v>
      </c>
    </row>
    <row r="793" spans="1:142" ht="15" customHeight="1" x14ac:dyDescent="0.35">
      <c r="A793">
        <v>1152</v>
      </c>
      <c r="B793" t="s">
        <v>6521</v>
      </c>
      <c r="C793">
        <v>2</v>
      </c>
      <c r="D793" t="str">
        <f>VLOOKUP(source[[#This Row],[Приоритет]],тПриоритеты[],2,0)</f>
        <v>Значительное</v>
      </c>
      <c r="E793" t="str">
        <f>IF(ISBLANK(source[[#This Row],[Проверенные]]),IF(ISBLANK(source[[#This Row],[Завершенные]]),source[[#This Row],[Приоритет_]],"Завершено"),"Проверено")</f>
        <v>Проверено</v>
      </c>
      <c r="F793" t="s">
        <v>4423</v>
      </c>
      <c r="G793" t="s">
        <v>217</v>
      </c>
      <c r="H793" t="e">
        <f>VLOOKUP(source[[#This Row],[Отвественный]],тОтветственные[],2,0)</f>
        <v>#N/A</v>
      </c>
      <c r="I793" s="2">
        <v>43862</v>
      </c>
      <c r="J793" s="2">
        <v>43862</v>
      </c>
      <c r="S793" s="1">
        <v>43862.730196759258</v>
      </c>
      <c r="T793" s="1">
        <v>43862.730266203704</v>
      </c>
      <c r="U793" s="1">
        <v>43862.730266203704</v>
      </c>
      <c r="W793" s="1">
        <v>43862.731863425928</v>
      </c>
      <c r="EC793" t="s">
        <v>218</v>
      </c>
      <c r="ED793" t="s">
        <v>6522</v>
      </c>
      <c r="EE793" t="s">
        <v>6523</v>
      </c>
      <c r="EF793" t="s">
        <v>6524</v>
      </c>
      <c r="EG793" t="s">
        <v>6525</v>
      </c>
      <c r="EH793" t="s">
        <v>6526</v>
      </c>
      <c r="EI793" t="s">
        <v>6527</v>
      </c>
      <c r="EJ793" t="s">
        <v>6031</v>
      </c>
      <c r="EK793" t="s">
        <v>219</v>
      </c>
      <c r="EL793" t="s">
        <v>6528</v>
      </c>
    </row>
    <row r="794" spans="1:142" ht="15" customHeight="1" x14ac:dyDescent="0.35">
      <c r="A794">
        <v>843</v>
      </c>
      <c r="B794" t="s">
        <v>6529</v>
      </c>
      <c r="C794">
        <v>2</v>
      </c>
      <c r="D794" t="str">
        <f>VLOOKUP(source[[#This Row],[Приоритет]],тПриоритеты[],2,0)</f>
        <v>Значительное</v>
      </c>
      <c r="E794" t="str">
        <f>IF(ISBLANK(source[[#This Row],[Проверенные]]),IF(ISBLANK(source[[#This Row],[Завершенные]]),source[[#This Row],[Приоритет_]],"Завершено"),"Проверено")</f>
        <v>Проверено</v>
      </c>
      <c r="F794" t="s">
        <v>4423</v>
      </c>
      <c r="G794" t="s">
        <v>217</v>
      </c>
      <c r="H794" t="e">
        <f>VLOOKUP(source[[#This Row],[Отвественный]],тОтветственные[],2,0)</f>
        <v>#N/A</v>
      </c>
      <c r="I794" s="2">
        <v>43834</v>
      </c>
      <c r="J794" s="2">
        <v>43834</v>
      </c>
      <c r="S794" s="1">
        <v>43834.682256944441</v>
      </c>
      <c r="T794" s="1">
        <v>43834.682604166665</v>
      </c>
      <c r="U794" s="1">
        <v>43834.682604166665</v>
      </c>
      <c r="W794" s="1">
        <v>43834.682685185187</v>
      </c>
      <c r="EC794" t="s">
        <v>6530</v>
      </c>
      <c r="ED794" t="s">
        <v>218</v>
      </c>
      <c r="EE794" t="s">
        <v>6531</v>
      </c>
    </row>
    <row r="795" spans="1:142" ht="15" customHeight="1" x14ac:dyDescent="0.35">
      <c r="A795">
        <v>846</v>
      </c>
      <c r="B795" t="s">
        <v>6532</v>
      </c>
      <c r="C795">
        <v>2</v>
      </c>
      <c r="D795" t="str">
        <f>VLOOKUP(source[[#This Row],[Приоритет]],тПриоритеты[],2,0)</f>
        <v>Значительное</v>
      </c>
      <c r="E795" t="str">
        <f>IF(ISBLANK(source[[#This Row],[Проверенные]]),IF(ISBLANK(source[[#This Row],[Завершенные]]),source[[#This Row],[Приоритет_]],"Завершено"),"Проверено")</f>
        <v>Проверено</v>
      </c>
      <c r="F795" t="s">
        <v>4423</v>
      </c>
      <c r="G795" t="s">
        <v>217</v>
      </c>
      <c r="H795" t="e">
        <f>VLOOKUP(source[[#This Row],[Отвественный]],тОтветственные[],2,0)</f>
        <v>#N/A</v>
      </c>
      <c r="I795" s="2">
        <v>43835</v>
      </c>
      <c r="J795" s="2">
        <v>43835</v>
      </c>
      <c r="S795" s="1">
        <v>43835.583587962959</v>
      </c>
      <c r="T795" s="1">
        <v>43835.583692129629</v>
      </c>
      <c r="U795" s="1">
        <v>43835.583692129629</v>
      </c>
      <c r="W795" s="1">
        <v>43835.584606481483</v>
      </c>
      <c r="EC795" t="s">
        <v>6533</v>
      </c>
      <c r="ED795" t="s">
        <v>218</v>
      </c>
      <c r="EE795" t="s">
        <v>6534</v>
      </c>
      <c r="EF795" t="s">
        <v>6535</v>
      </c>
      <c r="EG795" t="s">
        <v>6536</v>
      </c>
    </row>
    <row r="796" spans="1:142" ht="15" customHeight="1" x14ac:dyDescent="0.35">
      <c r="A796">
        <v>844</v>
      </c>
      <c r="B796" t="s">
        <v>6537</v>
      </c>
      <c r="C796">
        <v>2</v>
      </c>
      <c r="D796" t="str">
        <f>VLOOKUP(source[[#This Row],[Приоритет]],тПриоритеты[],2,0)</f>
        <v>Значительное</v>
      </c>
      <c r="E796" t="str">
        <f>IF(ISBLANK(source[[#This Row],[Проверенные]]),IF(ISBLANK(source[[#This Row],[Завершенные]]),source[[#This Row],[Приоритет_]],"Завершено"),"Проверено")</f>
        <v>Проверено</v>
      </c>
      <c r="F796" t="s">
        <v>4423</v>
      </c>
      <c r="G796" t="s">
        <v>217</v>
      </c>
      <c r="H796" t="e">
        <f>VLOOKUP(source[[#This Row],[Отвественный]],тОтветственные[],2,0)</f>
        <v>#N/A</v>
      </c>
      <c r="I796" s="2">
        <v>43835</v>
      </c>
      <c r="J796" s="2">
        <v>43835</v>
      </c>
      <c r="S796" s="1">
        <v>43835.581388888888</v>
      </c>
      <c r="T796" s="1">
        <v>43835.582071759258</v>
      </c>
      <c r="U796" s="1">
        <v>43835.582071759258</v>
      </c>
      <c r="W796" s="1">
        <v>43835.582916666666</v>
      </c>
      <c r="EC796" t="s">
        <v>6538</v>
      </c>
      <c r="ED796" t="s">
        <v>6539</v>
      </c>
      <c r="EE796" t="s">
        <v>218</v>
      </c>
      <c r="EF796" t="s">
        <v>6540</v>
      </c>
      <c r="EG796" t="s">
        <v>6535</v>
      </c>
    </row>
    <row r="797" spans="1:142" ht="15" customHeight="1" x14ac:dyDescent="0.35">
      <c r="A797">
        <v>847</v>
      </c>
      <c r="B797" t="s">
        <v>6541</v>
      </c>
      <c r="C797">
        <v>2</v>
      </c>
      <c r="D797" t="str">
        <f>VLOOKUP(source[[#This Row],[Приоритет]],тПриоритеты[],2,0)</f>
        <v>Значительное</v>
      </c>
      <c r="E797" t="str">
        <f>IF(ISBLANK(source[[#This Row],[Проверенные]]),IF(ISBLANK(source[[#This Row],[Завершенные]]),source[[#This Row],[Приоритет_]],"Завершено"),"Проверено")</f>
        <v>Проверено</v>
      </c>
      <c r="F797" t="s">
        <v>4423</v>
      </c>
      <c r="G797" t="s">
        <v>217</v>
      </c>
      <c r="H797" t="e">
        <f>VLOOKUP(source[[#This Row],[Отвественный]],тОтветственные[],2,0)</f>
        <v>#N/A</v>
      </c>
      <c r="I797" s="2">
        <v>43835</v>
      </c>
      <c r="J797" s="2">
        <v>43835</v>
      </c>
      <c r="S797" s="1">
        <v>43835.586157407408</v>
      </c>
      <c r="T797" s="1">
        <v>43835.586527777778</v>
      </c>
      <c r="U797" s="1">
        <v>43835.586527777778</v>
      </c>
      <c r="W797" s="1">
        <v>43835.586574074077</v>
      </c>
      <c r="EC797" t="s">
        <v>6542</v>
      </c>
      <c r="ED797" t="s">
        <v>218</v>
      </c>
      <c r="EE797" t="s">
        <v>6535</v>
      </c>
    </row>
    <row r="798" spans="1:142" ht="15" customHeight="1" x14ac:dyDescent="0.35">
      <c r="A798">
        <v>848</v>
      </c>
      <c r="B798" t="s">
        <v>6543</v>
      </c>
      <c r="C798">
        <v>2</v>
      </c>
      <c r="D798" t="str">
        <f>VLOOKUP(source[[#This Row],[Приоритет]],тПриоритеты[],2,0)</f>
        <v>Значительное</v>
      </c>
      <c r="E798" t="str">
        <f>IF(ISBLANK(source[[#This Row],[Проверенные]]),IF(ISBLANK(source[[#This Row],[Завершенные]]),source[[#This Row],[Приоритет_]],"Завершено"),"Проверено")</f>
        <v>Проверено</v>
      </c>
      <c r="F798" t="s">
        <v>4423</v>
      </c>
      <c r="G798" t="s">
        <v>217</v>
      </c>
      <c r="H798" t="e">
        <f>VLOOKUP(source[[#This Row],[Отвественный]],тОтветственные[],2,0)</f>
        <v>#N/A</v>
      </c>
      <c r="I798" s="2">
        <v>43835</v>
      </c>
      <c r="J798" s="2">
        <v>43835</v>
      </c>
      <c r="S798" s="1">
        <v>43835.586770833332</v>
      </c>
      <c r="T798" s="1">
        <v>43835.587673611109</v>
      </c>
      <c r="U798" s="1">
        <v>43835.587673611109</v>
      </c>
      <c r="W798" s="1">
        <v>43835.589479166665</v>
      </c>
      <c r="EC798" t="s">
        <v>218</v>
      </c>
      <c r="ED798" t="s">
        <v>6535</v>
      </c>
      <c r="EE798" t="s">
        <v>6544</v>
      </c>
    </row>
    <row r="799" spans="1:142" ht="15" customHeight="1" x14ac:dyDescent="0.35">
      <c r="A799">
        <v>311</v>
      </c>
      <c r="B799" t="s">
        <v>6545</v>
      </c>
      <c r="C799">
        <v>2</v>
      </c>
      <c r="D799" t="str">
        <f>VLOOKUP(source[[#This Row],[Приоритет]],тПриоритеты[],2,0)</f>
        <v>Значительное</v>
      </c>
      <c r="E799" t="str">
        <f>IF(ISBLANK(source[[#This Row],[Проверенные]]),IF(ISBLANK(source[[#This Row],[Завершенные]]),source[[#This Row],[Приоритет_]],"Завершено"),"Проверено")</f>
        <v>Проверено</v>
      </c>
      <c r="F799" t="s">
        <v>4423</v>
      </c>
      <c r="G799" t="s">
        <v>217</v>
      </c>
      <c r="H799" t="e">
        <f>VLOOKUP(source[[#This Row],[Отвественный]],тОтветственные[],2,0)</f>
        <v>#N/A</v>
      </c>
      <c r="I799" s="2">
        <v>43786</v>
      </c>
      <c r="J799" s="2">
        <v>43786</v>
      </c>
      <c r="S799" s="1">
        <v>43786.692858796298</v>
      </c>
      <c r="T799" s="1">
        <v>43786.693749999999</v>
      </c>
      <c r="U799" s="1">
        <v>43786.693749999999</v>
      </c>
      <c r="W799" s="1">
        <v>43786.693842592591</v>
      </c>
      <c r="EC799" t="s">
        <v>6546</v>
      </c>
      <c r="ED799" t="s">
        <v>218</v>
      </c>
      <c r="EE799" t="s">
        <v>6031</v>
      </c>
      <c r="EF799" t="s">
        <v>6547</v>
      </c>
    </row>
    <row r="800" spans="1:142" ht="15" customHeight="1" x14ac:dyDescent="0.35">
      <c r="A800">
        <v>313</v>
      </c>
      <c r="B800" t="s">
        <v>6548</v>
      </c>
      <c r="C800">
        <v>2</v>
      </c>
      <c r="D800" t="str">
        <f>VLOOKUP(source[[#This Row],[Приоритет]],тПриоритеты[],2,0)</f>
        <v>Значительное</v>
      </c>
      <c r="E800" t="str">
        <f>IF(ISBLANK(source[[#This Row],[Проверенные]]),IF(ISBLANK(source[[#This Row],[Завершенные]]),source[[#This Row],[Приоритет_]],"Завершено"),"Проверено")</f>
        <v>Проверено</v>
      </c>
      <c r="F800" t="s">
        <v>4423</v>
      </c>
      <c r="G800" t="s">
        <v>217</v>
      </c>
      <c r="H800" t="e">
        <f>VLOOKUP(source[[#This Row],[Отвественный]],тОтветственные[],2,0)</f>
        <v>#N/A</v>
      </c>
      <c r="I800" s="2">
        <v>43786</v>
      </c>
      <c r="J800" s="2">
        <v>43786</v>
      </c>
      <c r="S800" s="1">
        <v>43786.710486111115</v>
      </c>
      <c r="T800" s="1">
        <v>43771.278819444444</v>
      </c>
      <c r="U800" s="1">
        <v>43811.905057870368</v>
      </c>
      <c r="W800" s="1">
        <v>43811.905069444445</v>
      </c>
      <c r="EC800" t="s">
        <v>6549</v>
      </c>
      <c r="ED800" t="s">
        <v>3298</v>
      </c>
      <c r="EE800" t="s">
        <v>6547</v>
      </c>
      <c r="EF800" t="s">
        <v>6034</v>
      </c>
      <c r="EG800" t="s">
        <v>218</v>
      </c>
    </row>
    <row r="801" spans="1:147" ht="15" customHeight="1" x14ac:dyDescent="0.35">
      <c r="A801">
        <v>312</v>
      </c>
      <c r="B801" t="s">
        <v>6550</v>
      </c>
      <c r="C801">
        <v>2</v>
      </c>
      <c r="D801" t="str">
        <f>VLOOKUP(source[[#This Row],[Приоритет]],тПриоритеты[],2,0)</f>
        <v>Значительное</v>
      </c>
      <c r="E801" t="str">
        <f>IF(ISBLANK(source[[#This Row],[Проверенные]]),IF(ISBLANK(source[[#This Row],[Завершенные]]),source[[#This Row],[Приоритет_]],"Завершено"),"Проверено")</f>
        <v>Проверено</v>
      </c>
      <c r="F801" t="s">
        <v>4423</v>
      </c>
      <c r="G801" t="s">
        <v>217</v>
      </c>
      <c r="H801" t="e">
        <f>VLOOKUP(source[[#This Row],[Отвественный]],тОтветственные[],2,0)</f>
        <v>#N/A</v>
      </c>
      <c r="I801" s="2">
        <v>43786</v>
      </c>
      <c r="J801" s="2">
        <v>43786</v>
      </c>
      <c r="S801" s="1">
        <v>43786.694953703707</v>
      </c>
      <c r="T801" s="1">
        <v>43771.278819444444</v>
      </c>
      <c r="U801" s="1">
        <v>43811.905057870368</v>
      </c>
      <c r="W801" s="1">
        <v>43811.905069444445</v>
      </c>
      <c r="EC801" t="s">
        <v>6551</v>
      </c>
      <c r="ED801" t="s">
        <v>3298</v>
      </c>
      <c r="EE801" t="s">
        <v>6547</v>
      </c>
      <c r="EF801" t="s">
        <v>6034</v>
      </c>
      <c r="EG801" t="s">
        <v>218</v>
      </c>
    </row>
    <row r="802" spans="1:147" ht="15" customHeight="1" x14ac:dyDescent="0.35">
      <c r="A802">
        <v>314</v>
      </c>
      <c r="B802" t="s">
        <v>6552</v>
      </c>
      <c r="C802">
        <v>2</v>
      </c>
      <c r="D802" t="str">
        <f>VLOOKUP(source[[#This Row],[Приоритет]],тПриоритеты[],2,0)</f>
        <v>Значительное</v>
      </c>
      <c r="E802" t="str">
        <f>IF(ISBLANK(source[[#This Row],[Проверенные]]),IF(ISBLANK(source[[#This Row],[Завершенные]]),source[[#This Row],[Приоритет_]],"Завершено"),"Проверено")</f>
        <v>Проверено</v>
      </c>
      <c r="F802" t="s">
        <v>4423</v>
      </c>
      <c r="G802" t="s">
        <v>217</v>
      </c>
      <c r="H802" t="e">
        <f>VLOOKUP(source[[#This Row],[Отвественный]],тОтветственные[],2,0)</f>
        <v>#N/A</v>
      </c>
      <c r="I802" s="2">
        <v>43786</v>
      </c>
      <c r="J802" s="2">
        <v>43786</v>
      </c>
      <c r="S802" s="1">
        <v>43786.71130787037</v>
      </c>
      <c r="T802" s="1">
        <v>43771.278819444444</v>
      </c>
      <c r="U802" s="1">
        <v>43811.905057870368</v>
      </c>
      <c r="W802" s="1">
        <v>43811.905069444445</v>
      </c>
      <c r="X802" t="s">
        <v>2889</v>
      </c>
      <c r="AH802" t="s">
        <v>6553</v>
      </c>
      <c r="AI802" t="s">
        <v>6554</v>
      </c>
      <c r="AJ802" t="s">
        <v>6555</v>
      </c>
      <c r="AK802" t="s">
        <v>6556</v>
      </c>
      <c r="AL802" t="s">
        <v>6557</v>
      </c>
      <c r="AM802" t="s">
        <v>6558</v>
      </c>
      <c r="AN802" t="s">
        <v>6559</v>
      </c>
      <c r="AO802" t="s">
        <v>6560</v>
      </c>
      <c r="AP802" t="s">
        <v>6561</v>
      </c>
      <c r="AQ802" t="s">
        <v>6562</v>
      </c>
      <c r="AR802" t="s">
        <v>6563</v>
      </c>
      <c r="AS802" t="s">
        <v>6564</v>
      </c>
      <c r="AT802" t="s">
        <v>6565</v>
      </c>
      <c r="AU802" t="s">
        <v>6566</v>
      </c>
      <c r="AV802" t="s">
        <v>6567</v>
      </c>
      <c r="AW802" t="s">
        <v>6568</v>
      </c>
      <c r="EC802" t="s">
        <v>6569</v>
      </c>
      <c r="ED802" t="s">
        <v>3298</v>
      </c>
      <c r="EE802" t="s">
        <v>6547</v>
      </c>
      <c r="EF802" t="s">
        <v>6034</v>
      </c>
      <c r="EG802" t="s">
        <v>218</v>
      </c>
    </row>
    <row r="803" spans="1:147" ht="15" customHeight="1" x14ac:dyDescent="0.35">
      <c r="A803">
        <v>333</v>
      </c>
      <c r="B803" t="s">
        <v>6570</v>
      </c>
      <c r="C803">
        <v>2</v>
      </c>
      <c r="D803" t="str">
        <f>VLOOKUP(source[[#This Row],[Приоритет]],тПриоритеты[],2,0)</f>
        <v>Значительное</v>
      </c>
      <c r="E803" t="str">
        <f>IF(ISBLANK(source[[#This Row],[Проверенные]]),IF(ISBLANK(source[[#This Row],[Завершенные]]),source[[#This Row],[Приоритет_]],"Завершено"),"Проверено")</f>
        <v>Проверено</v>
      </c>
      <c r="F803" t="s">
        <v>4423</v>
      </c>
      <c r="G803" t="s">
        <v>217</v>
      </c>
      <c r="H803" t="e">
        <f>VLOOKUP(source[[#This Row],[Отвественный]],тОтветственные[],2,0)</f>
        <v>#N/A</v>
      </c>
      <c r="I803" s="2">
        <v>43787</v>
      </c>
      <c r="J803" s="2">
        <v>43787</v>
      </c>
      <c r="S803" s="1">
        <v>43787.742719907408</v>
      </c>
      <c r="T803" s="1">
        <v>43771.278819444444</v>
      </c>
      <c r="U803" s="1">
        <v>43811.905057870368</v>
      </c>
      <c r="W803" s="1">
        <v>43811.905069444445</v>
      </c>
      <c r="EC803" t="s">
        <v>6571</v>
      </c>
      <c r="ED803" t="s">
        <v>3298</v>
      </c>
      <c r="EE803" t="s">
        <v>6572</v>
      </c>
      <c r="EF803" t="s">
        <v>6034</v>
      </c>
      <c r="EG803" t="s">
        <v>218</v>
      </c>
    </row>
    <row r="804" spans="1:147" ht="15" customHeight="1" x14ac:dyDescent="0.35">
      <c r="A804">
        <v>335</v>
      </c>
      <c r="B804" t="s">
        <v>6573</v>
      </c>
      <c r="C804">
        <v>2</v>
      </c>
      <c r="D804" t="str">
        <f>VLOOKUP(source[[#This Row],[Приоритет]],тПриоритеты[],2,0)</f>
        <v>Значительное</v>
      </c>
      <c r="E804" t="str">
        <f>IF(ISBLANK(source[[#This Row],[Проверенные]]),IF(ISBLANK(source[[#This Row],[Завершенные]]),source[[#This Row],[Приоритет_]],"Завершено"),"Проверено")</f>
        <v>Проверено</v>
      </c>
      <c r="F804" t="s">
        <v>4423</v>
      </c>
      <c r="G804" t="s">
        <v>217</v>
      </c>
      <c r="H804" t="e">
        <f>VLOOKUP(source[[#This Row],[Отвественный]],тОтветственные[],2,0)</f>
        <v>#N/A</v>
      </c>
      <c r="I804" s="2">
        <v>43787</v>
      </c>
      <c r="J804" s="2">
        <v>43787</v>
      </c>
      <c r="S804" s="1">
        <v>43787.746793981481</v>
      </c>
      <c r="T804" s="1">
        <v>43771.278819444444</v>
      </c>
      <c r="U804" s="1">
        <v>43811.905057870368</v>
      </c>
      <c r="W804" s="1">
        <v>43811.905069444445</v>
      </c>
      <c r="EC804" t="s">
        <v>6574</v>
      </c>
      <c r="ED804" t="s">
        <v>3298</v>
      </c>
      <c r="EE804" t="s">
        <v>6572</v>
      </c>
      <c r="EF804" t="s">
        <v>6034</v>
      </c>
      <c r="EG804" t="s">
        <v>218</v>
      </c>
    </row>
    <row r="805" spans="1:147" ht="15" customHeight="1" x14ac:dyDescent="0.35">
      <c r="A805">
        <v>334</v>
      </c>
      <c r="B805" t="s">
        <v>6575</v>
      </c>
      <c r="C805">
        <v>2</v>
      </c>
      <c r="D805" t="str">
        <f>VLOOKUP(source[[#This Row],[Приоритет]],тПриоритеты[],2,0)</f>
        <v>Значительное</v>
      </c>
      <c r="E805" t="str">
        <f>IF(ISBLANK(source[[#This Row],[Проверенные]]),IF(ISBLANK(source[[#This Row],[Завершенные]]),source[[#This Row],[Приоритет_]],"Завершено"),"Проверено")</f>
        <v>Проверено</v>
      </c>
      <c r="F805" t="s">
        <v>4423</v>
      </c>
      <c r="G805" t="s">
        <v>217</v>
      </c>
      <c r="H805" t="e">
        <f>VLOOKUP(source[[#This Row],[Отвественный]],тОтветственные[],2,0)</f>
        <v>#N/A</v>
      </c>
      <c r="I805" s="2">
        <v>43787</v>
      </c>
      <c r="J805" s="2">
        <v>43787</v>
      </c>
      <c r="S805" s="1">
        <v>43787.746238425927</v>
      </c>
      <c r="T805" s="1">
        <v>43771.278819444444</v>
      </c>
      <c r="U805" s="1">
        <v>43811.905057870368</v>
      </c>
      <c r="W805" s="1">
        <v>43811.905069444445</v>
      </c>
      <c r="EC805" t="s">
        <v>6576</v>
      </c>
      <c r="ED805" t="s">
        <v>3298</v>
      </c>
      <c r="EE805" t="s">
        <v>6572</v>
      </c>
      <c r="EF805" t="s">
        <v>6034</v>
      </c>
      <c r="EG805" t="s">
        <v>218</v>
      </c>
    </row>
    <row r="806" spans="1:147" ht="15" customHeight="1" x14ac:dyDescent="0.35">
      <c r="A806">
        <v>1206</v>
      </c>
      <c r="B806" t="s">
        <v>6577</v>
      </c>
      <c r="C806">
        <v>2</v>
      </c>
      <c r="D806" t="str">
        <f>VLOOKUP(source[[#This Row],[Приоритет]],тПриоритеты[],2,0)</f>
        <v>Значительное</v>
      </c>
      <c r="E806" t="str">
        <f>IF(ISBLANK(source[[#This Row],[Проверенные]]),IF(ISBLANK(source[[#This Row],[Завершенные]]),source[[#This Row],[Приоритет_]],"Завершено"),"Проверено")</f>
        <v>Проверено</v>
      </c>
      <c r="F806" t="s">
        <v>4423</v>
      </c>
      <c r="G806" t="s">
        <v>217</v>
      </c>
      <c r="H806" t="e">
        <f>VLOOKUP(source[[#This Row],[Отвественный]],тОтветственные[],2,0)</f>
        <v>#N/A</v>
      </c>
      <c r="I806" s="2">
        <v>43867</v>
      </c>
      <c r="J806" s="2">
        <v>43867</v>
      </c>
      <c r="S806" s="1">
        <v>43867.252060185187</v>
      </c>
      <c r="T806" s="1">
        <v>43867.25209490741</v>
      </c>
      <c r="U806" s="1">
        <v>43867.25209490741</v>
      </c>
      <c r="W806" s="1">
        <v>43867.254317129627</v>
      </c>
      <c r="EC806" t="s">
        <v>218</v>
      </c>
      <c r="ED806" t="s">
        <v>6578</v>
      </c>
      <c r="EE806" t="s">
        <v>6031</v>
      </c>
      <c r="EF806" t="s">
        <v>6579</v>
      </c>
      <c r="EG806" t="s">
        <v>6580</v>
      </c>
    </row>
    <row r="807" spans="1:147" ht="15" customHeight="1" x14ac:dyDescent="0.35">
      <c r="A807">
        <v>1205</v>
      </c>
      <c r="B807" t="s">
        <v>6581</v>
      </c>
      <c r="C807">
        <v>2</v>
      </c>
      <c r="D807" t="str">
        <f>VLOOKUP(source[[#This Row],[Приоритет]],тПриоритеты[],2,0)</f>
        <v>Значительное</v>
      </c>
      <c r="E807" t="str">
        <f>IF(ISBLANK(source[[#This Row],[Проверенные]]),IF(ISBLANK(source[[#This Row],[Завершенные]]),source[[#This Row],[Приоритет_]],"Завершено"),"Проверено")</f>
        <v>Проверено</v>
      </c>
      <c r="F807" t="s">
        <v>4423</v>
      </c>
      <c r="G807" t="s">
        <v>217</v>
      </c>
      <c r="H807" t="e">
        <f>VLOOKUP(source[[#This Row],[Отвественный]],тОтветственные[],2,0)</f>
        <v>#N/A</v>
      </c>
      <c r="I807" s="2">
        <v>43867</v>
      </c>
      <c r="J807" s="2">
        <v>43867</v>
      </c>
      <c r="S807" s="1">
        <v>43867.251446759263</v>
      </c>
      <c r="T807" s="1">
        <v>43867.251481481479</v>
      </c>
      <c r="U807" s="1">
        <v>43867.251481481479</v>
      </c>
      <c r="W807" s="1">
        <v>43867.252013888887</v>
      </c>
      <c r="EC807" t="s">
        <v>218</v>
      </c>
      <c r="ED807" t="s">
        <v>6578</v>
      </c>
      <c r="EE807" t="s">
        <v>6031</v>
      </c>
      <c r="EF807" t="s">
        <v>6582</v>
      </c>
    </row>
    <row r="808" spans="1:147" ht="15" customHeight="1" x14ac:dyDescent="0.35">
      <c r="A808">
        <v>898</v>
      </c>
      <c r="B808" t="s">
        <v>6583</v>
      </c>
      <c r="C808">
        <v>2</v>
      </c>
      <c r="D808" t="str">
        <f>VLOOKUP(source[[#This Row],[Приоритет]],тПриоритеты[],2,0)</f>
        <v>Значительное</v>
      </c>
      <c r="E808" t="str">
        <f>IF(ISBLANK(source[[#This Row],[Проверенные]]),IF(ISBLANK(source[[#This Row],[Завершенные]]),source[[#This Row],[Приоритет_]],"Завершено"),"Проверено")</f>
        <v>Проверено</v>
      </c>
      <c r="F808" t="s">
        <v>4423</v>
      </c>
      <c r="G808" t="s">
        <v>217</v>
      </c>
      <c r="H808" t="e">
        <f>VLOOKUP(source[[#This Row],[Отвественный]],тОтветственные[],2,0)</f>
        <v>#N/A</v>
      </c>
      <c r="I808" s="2">
        <v>43842</v>
      </c>
      <c r="J808" s="2">
        <v>43842</v>
      </c>
      <c r="S808" s="1">
        <v>43842.1249537037</v>
      </c>
      <c r="T808" s="1">
        <v>43842.1250462963</v>
      </c>
      <c r="U808" s="1">
        <v>43842.1250462963</v>
      </c>
      <c r="W808" s="1">
        <v>43842.125659722224</v>
      </c>
      <c r="EC808" t="s">
        <v>218</v>
      </c>
      <c r="ED808" t="s">
        <v>6036</v>
      </c>
      <c r="EE808" t="s">
        <v>6584</v>
      </c>
    </row>
    <row r="809" spans="1:147" ht="15" customHeight="1" x14ac:dyDescent="0.35">
      <c r="A809">
        <v>1224</v>
      </c>
      <c r="B809" t="s">
        <v>6585</v>
      </c>
      <c r="C809">
        <v>2</v>
      </c>
      <c r="D809" t="str">
        <f>VLOOKUP(source[[#This Row],[Приоритет]],тПриоритеты[],2,0)</f>
        <v>Значительное</v>
      </c>
      <c r="E809" t="str">
        <f>IF(ISBLANK(source[[#This Row],[Проверенные]]),IF(ISBLANK(source[[#This Row],[Завершенные]]),source[[#This Row],[Приоритет_]],"Завершено"),"Проверено")</f>
        <v>Проверено</v>
      </c>
      <c r="F809" t="s">
        <v>4423</v>
      </c>
      <c r="G809" t="s">
        <v>217</v>
      </c>
      <c r="H809" t="e">
        <f>VLOOKUP(source[[#This Row],[Отвественный]],тОтветственные[],2,0)</f>
        <v>#N/A</v>
      </c>
      <c r="I809" s="2">
        <v>43868</v>
      </c>
      <c r="J809" s="2">
        <v>43868</v>
      </c>
      <c r="S809" s="1">
        <v>43868.267268518517</v>
      </c>
      <c r="T809" s="1">
        <v>43868.267314814817</v>
      </c>
      <c r="U809" s="1">
        <v>43868.267314814817</v>
      </c>
      <c r="W809" s="1">
        <v>43868.268043981479</v>
      </c>
      <c r="EC809" t="s">
        <v>218</v>
      </c>
      <c r="ED809" t="s">
        <v>6586</v>
      </c>
      <c r="EE809" t="s">
        <v>6031</v>
      </c>
      <c r="EF809" t="s">
        <v>258</v>
      </c>
    </row>
    <row r="810" spans="1:147" ht="15" customHeight="1" x14ac:dyDescent="0.35">
      <c r="A810">
        <v>912</v>
      </c>
      <c r="B810" t="s">
        <v>6587</v>
      </c>
      <c r="C810">
        <v>2</v>
      </c>
      <c r="D810" t="str">
        <f>VLOOKUP(source[[#This Row],[Приоритет]],тПриоритеты[],2,0)</f>
        <v>Значительное</v>
      </c>
      <c r="E810" t="str">
        <f>IF(ISBLANK(source[[#This Row],[Проверенные]]),IF(ISBLANK(source[[#This Row],[Завершенные]]),source[[#This Row],[Приоритет_]],"Завершено"),"Проверено")</f>
        <v>Проверено</v>
      </c>
      <c r="F810" t="s">
        <v>4423</v>
      </c>
      <c r="G810" t="s">
        <v>217</v>
      </c>
      <c r="H810" t="e">
        <f>VLOOKUP(source[[#This Row],[Отвественный]],тОтветственные[],2,0)</f>
        <v>#N/A</v>
      </c>
      <c r="I810" s="2">
        <v>43844</v>
      </c>
      <c r="J810" s="2">
        <v>43844</v>
      </c>
      <c r="S810" s="1">
        <v>43844.785613425927</v>
      </c>
      <c r="T810" s="1">
        <v>43844.78564814815</v>
      </c>
      <c r="U810" s="1">
        <v>43844.78564814815</v>
      </c>
      <c r="W810" s="1">
        <v>43844.793912037036</v>
      </c>
      <c r="EC810" t="s">
        <v>218</v>
      </c>
      <c r="ED810" t="s">
        <v>6588</v>
      </c>
      <c r="EE810" t="s">
        <v>6589</v>
      </c>
      <c r="EF810" t="s">
        <v>6590</v>
      </c>
      <c r="EG810" t="s">
        <v>6591</v>
      </c>
    </row>
    <row r="811" spans="1:147" ht="15" customHeight="1" x14ac:dyDescent="0.35">
      <c r="A811">
        <v>923</v>
      </c>
      <c r="B811" t="s">
        <v>6592</v>
      </c>
      <c r="C811">
        <v>2</v>
      </c>
      <c r="D811" t="str">
        <f>VLOOKUP(source[[#This Row],[Приоритет]],тПриоритеты[],2,0)</f>
        <v>Значительное</v>
      </c>
      <c r="E811" t="str">
        <f>IF(ISBLANK(source[[#This Row],[Проверенные]]),IF(ISBLANK(source[[#This Row],[Завершенные]]),source[[#This Row],[Приоритет_]],"Завершено"),"Проверено")</f>
        <v>Проверено</v>
      </c>
      <c r="F811" t="s">
        <v>4423</v>
      </c>
      <c r="G811" t="s">
        <v>217</v>
      </c>
      <c r="H811" t="e">
        <f>VLOOKUP(source[[#This Row],[Отвественный]],тОтветственные[],2,0)</f>
        <v>#N/A</v>
      </c>
      <c r="I811" s="2">
        <v>43845</v>
      </c>
      <c r="J811" s="2">
        <v>43845</v>
      </c>
      <c r="S811" s="1">
        <v>43845.791828703703</v>
      </c>
      <c r="T811" s="1">
        <v>43845.791886574072</v>
      </c>
      <c r="U811" s="1">
        <v>43845.791886574072</v>
      </c>
      <c r="W811" s="1">
        <v>43845.795092592591</v>
      </c>
      <c r="EC811" t="s">
        <v>218</v>
      </c>
      <c r="ED811" t="s">
        <v>6593</v>
      </c>
      <c r="EE811" t="s">
        <v>6594</v>
      </c>
      <c r="EF811" t="s">
        <v>6595</v>
      </c>
      <c r="EG811" t="s">
        <v>6596</v>
      </c>
    </row>
    <row r="812" spans="1:147" ht="15" customHeight="1" x14ac:dyDescent="0.35">
      <c r="A812">
        <v>924</v>
      </c>
      <c r="B812" t="s">
        <v>6597</v>
      </c>
      <c r="C812">
        <v>2</v>
      </c>
      <c r="D812" t="str">
        <f>VLOOKUP(source[[#This Row],[Приоритет]],тПриоритеты[],2,0)</f>
        <v>Значительное</v>
      </c>
      <c r="E812" t="str">
        <f>IF(ISBLANK(source[[#This Row],[Проверенные]]),IF(ISBLANK(source[[#This Row],[Завершенные]]),source[[#This Row],[Приоритет_]],"Завершено"),"Проверено")</f>
        <v>Проверено</v>
      </c>
      <c r="F812" t="s">
        <v>4423</v>
      </c>
      <c r="G812" t="s">
        <v>217</v>
      </c>
      <c r="H812" t="e">
        <f>VLOOKUP(source[[#This Row],[Отвественный]],тОтветственные[],2,0)</f>
        <v>#N/A</v>
      </c>
      <c r="I812" s="2">
        <v>43845</v>
      </c>
      <c r="J812" s="2">
        <v>43845</v>
      </c>
      <c r="S812" s="1">
        <v>43845.795949074076</v>
      </c>
      <c r="T812" s="1">
        <v>43845.795983796299</v>
      </c>
      <c r="U812" s="1">
        <v>43845.795983796299</v>
      </c>
      <c r="W812" s="1">
        <v>43845.797314814816</v>
      </c>
      <c r="EC812" t="s">
        <v>218</v>
      </c>
      <c r="ED812" t="s">
        <v>6598</v>
      </c>
      <c r="EE812" t="s">
        <v>6593</v>
      </c>
      <c r="EF812" t="s">
        <v>6031</v>
      </c>
    </row>
    <row r="813" spans="1:147" ht="15" customHeight="1" x14ac:dyDescent="0.35">
      <c r="A813">
        <v>996</v>
      </c>
      <c r="B813" t="s">
        <v>6599</v>
      </c>
      <c r="C813">
        <v>2</v>
      </c>
      <c r="D813" t="str">
        <f>VLOOKUP(source[[#This Row],[Приоритет]],тПриоритеты[],2,0)</f>
        <v>Значительное</v>
      </c>
      <c r="E813" t="str">
        <f>IF(ISBLANK(source[[#This Row],[Проверенные]]),IF(ISBLANK(source[[#This Row],[Завершенные]]),source[[#This Row],[Приоритет_]],"Завершено"),"Проверено")</f>
        <v>Проверено</v>
      </c>
      <c r="F813" t="s">
        <v>4423</v>
      </c>
      <c r="G813" t="s">
        <v>217</v>
      </c>
      <c r="H813" t="e">
        <f>VLOOKUP(source[[#This Row],[Отвественный]],тОтветственные[],2,0)</f>
        <v>#N/A</v>
      </c>
      <c r="I813" s="2">
        <v>43852</v>
      </c>
      <c r="J813" s="2">
        <v>43852</v>
      </c>
      <c r="S813" s="1">
        <v>43852.256724537037</v>
      </c>
      <c r="T813" s="1">
        <v>43852.25675925926</v>
      </c>
      <c r="U813" s="1">
        <v>43852.25675925926</v>
      </c>
      <c r="W813" s="1">
        <v>43852.257361111115</v>
      </c>
      <c r="X813" t="s">
        <v>3469</v>
      </c>
      <c r="AH813" t="s">
        <v>6600</v>
      </c>
      <c r="AI813" s="3" t="s">
        <v>6601</v>
      </c>
      <c r="AJ813" s="3" t="s">
        <v>6602</v>
      </c>
      <c r="AK813" t="s">
        <v>6603</v>
      </c>
      <c r="AL813" t="s">
        <v>6604</v>
      </c>
      <c r="AM813" t="s">
        <v>6605</v>
      </c>
      <c r="AN813" t="s">
        <v>6606</v>
      </c>
      <c r="AO813" t="s">
        <v>6607</v>
      </c>
      <c r="AP813" t="s">
        <v>6608</v>
      </c>
      <c r="AQ813" t="s">
        <v>6609</v>
      </c>
      <c r="AR813" t="s">
        <v>6610</v>
      </c>
      <c r="EC813" t="s">
        <v>218</v>
      </c>
      <c r="ED813" t="s">
        <v>6611</v>
      </c>
      <c r="EE813" t="s">
        <v>6612</v>
      </c>
    </row>
    <row r="814" spans="1:147" ht="15" customHeight="1" x14ac:dyDescent="0.35">
      <c r="A814">
        <v>995</v>
      </c>
      <c r="B814" t="s">
        <v>6613</v>
      </c>
      <c r="C814">
        <v>2</v>
      </c>
      <c r="D814" t="str">
        <f>VLOOKUP(source[[#This Row],[Приоритет]],тПриоритеты[],2,0)</f>
        <v>Значительное</v>
      </c>
      <c r="E814" t="str">
        <f>IF(ISBLANK(source[[#This Row],[Проверенные]]),IF(ISBLANK(source[[#This Row],[Завершенные]]),source[[#This Row],[Приоритет_]],"Завершено"),"Проверено")</f>
        <v>Проверено</v>
      </c>
      <c r="F814" t="s">
        <v>4423</v>
      </c>
      <c r="G814" t="s">
        <v>217</v>
      </c>
      <c r="H814" t="e">
        <f>VLOOKUP(source[[#This Row],[Отвественный]],тОтветственные[],2,0)</f>
        <v>#N/A</v>
      </c>
      <c r="I814" s="2">
        <v>43852</v>
      </c>
      <c r="J814" s="2">
        <v>43852</v>
      </c>
      <c r="S814" s="1">
        <v>43852.246840277781</v>
      </c>
      <c r="T814" s="1">
        <v>43852.246886574074</v>
      </c>
      <c r="U814" s="1">
        <v>43852.246886574074</v>
      </c>
      <c r="W814" s="1">
        <v>43852.25644675926</v>
      </c>
      <c r="EC814" t="s">
        <v>218</v>
      </c>
      <c r="ED814" t="s">
        <v>6612</v>
      </c>
      <c r="EE814" t="s">
        <v>6614</v>
      </c>
      <c r="EF814" t="s">
        <v>6615</v>
      </c>
      <c r="EG814" t="s">
        <v>6616</v>
      </c>
    </row>
    <row r="815" spans="1:147" ht="15" customHeight="1" x14ac:dyDescent="0.35">
      <c r="A815">
        <v>682</v>
      </c>
      <c r="B815" t="s">
        <v>6617</v>
      </c>
      <c r="C815">
        <v>2</v>
      </c>
      <c r="D815" t="str">
        <f>VLOOKUP(source[[#This Row],[Приоритет]],тПриоритеты[],2,0)</f>
        <v>Значительное</v>
      </c>
      <c r="E815" t="str">
        <f>IF(ISBLANK(source[[#This Row],[Проверенные]]),IF(ISBLANK(source[[#This Row],[Завершенные]]),source[[#This Row],[Приоритет_]],"Завершено"),"Проверено")</f>
        <v>Проверено</v>
      </c>
      <c r="F815" t="s">
        <v>4423</v>
      </c>
      <c r="G815" t="s">
        <v>217</v>
      </c>
      <c r="H815" t="e">
        <f>VLOOKUP(source[[#This Row],[Отвественный]],тОтветственные[],2,0)</f>
        <v>#N/A</v>
      </c>
      <c r="I815" s="2">
        <v>43818</v>
      </c>
      <c r="J815" s="2">
        <v>43818</v>
      </c>
      <c r="K815" t="s">
        <v>6030</v>
      </c>
      <c r="L815">
        <v>46.17</v>
      </c>
      <c r="M815">
        <v>41.79</v>
      </c>
      <c r="Q815" t="s">
        <v>789</v>
      </c>
      <c r="R815" t="str">
        <f>HYPERLINK("https://d28ji4sm1vmprj.cloudfront.net/62a0111488a771339e40423b66a6c8c3/5c0d4475ad19338fae5e2e45da96413e.jpeg", "Ссылка на план")</f>
        <v>Ссылка на план</v>
      </c>
      <c r="S815" s="1">
        <v>43818.74894675926</v>
      </c>
      <c r="T815" s="1">
        <v>43818.749224537038</v>
      </c>
      <c r="U815" s="1">
        <v>43818.749224537038</v>
      </c>
      <c r="W815" s="1">
        <v>43852.576967592591</v>
      </c>
      <c r="EC815" t="s">
        <v>218</v>
      </c>
      <c r="ED815" t="s">
        <v>6618</v>
      </c>
      <c r="EE815" t="str">
        <f>HYPERLINK("https://d33htgqikc2pj4.cloudfront.net/fee58ee0fbff8eb1813a6ae708226401/5cc8ade1ea6b4e26dd6fcbc7286df29b-file.jpeg", "Антон Федоров: Ссылка на изображение")</f>
        <v>Антон Федоров: Ссылка на изображение</v>
      </c>
      <c r="EF815" t="str">
        <f>HYPERLINK("https://d33htgqikc2pj4.cloudfront.net/b015628a5b558cc980deaba3a7e1d893/9b1f2b931bee340d372c7e6c633fb4c6-file.jpeg", "Антон Федоров: Ссылка на изображение")</f>
        <v>Антон Федоров: Ссылка на изображение</v>
      </c>
      <c r="EG815" t="s">
        <v>2419</v>
      </c>
      <c r="EH815" t="s">
        <v>1966</v>
      </c>
      <c r="EI815" t="s">
        <v>5339</v>
      </c>
    </row>
    <row r="816" spans="1:147" ht="15" customHeight="1" x14ac:dyDescent="0.35">
      <c r="A816">
        <v>411</v>
      </c>
      <c r="B816" t="s">
        <v>6619</v>
      </c>
      <c r="C816">
        <v>2</v>
      </c>
      <c r="D816" t="str">
        <f>VLOOKUP(source[[#This Row],[Приоритет]],тПриоритеты[],2,0)</f>
        <v>Значительное</v>
      </c>
      <c r="E816" t="str">
        <f>IF(ISBLANK(source[[#This Row],[Проверенные]]),IF(ISBLANK(source[[#This Row],[Завершенные]]),source[[#This Row],[Приоритет_]],"Завершено"),"Проверено")</f>
        <v>Проверено</v>
      </c>
      <c r="F816" t="s">
        <v>4423</v>
      </c>
      <c r="G816" t="s">
        <v>260</v>
      </c>
      <c r="H816" t="e">
        <f>VLOOKUP(source[[#This Row],[Отвественный]],тОтветственные[],2,0)</f>
        <v>#N/A</v>
      </c>
      <c r="I816" s="2">
        <v>43792</v>
      </c>
      <c r="J816" s="2">
        <v>43793</v>
      </c>
      <c r="K816" t="s">
        <v>6620</v>
      </c>
      <c r="L816">
        <v>0</v>
      </c>
      <c r="M816">
        <v>0</v>
      </c>
      <c r="Q816" t="s">
        <v>858</v>
      </c>
      <c r="R816" t="str">
        <f>HYPERLINK("https://d28ji4sm1vmprj.cloudfront.net/3624dc41313843a46483389eb5dc2bee/cad34763e76449f5758b839407e6081e.jpeg", "Ссылка на план")</f>
        <v>Ссылка на план</v>
      </c>
      <c r="S816" s="1">
        <v>43792.550902777781</v>
      </c>
      <c r="T816" s="1">
        <v>43793.745625000003</v>
      </c>
      <c r="U816" s="1">
        <v>43809.648599537039</v>
      </c>
      <c r="W816" s="1">
        <v>43809.648599537039</v>
      </c>
      <c r="EC816" t="s">
        <v>6621</v>
      </c>
      <c r="ED816" t="s">
        <v>6622</v>
      </c>
      <c r="EE816" t="s">
        <v>3441</v>
      </c>
      <c r="EF816" t="s">
        <v>6623</v>
      </c>
      <c r="EG816" t="s">
        <v>6624</v>
      </c>
      <c r="EH816" t="s">
        <v>6625</v>
      </c>
      <c r="EI816" t="s">
        <v>6626</v>
      </c>
      <c r="EJ816" t="s">
        <v>800</v>
      </c>
      <c r="EK816" t="s">
        <v>6627</v>
      </c>
      <c r="EL816" t="s">
        <v>6628</v>
      </c>
      <c r="EM816" t="str">
        <f>HYPERLINK("https://d33htgqikc2pj4.cloudfront.net/qvHDimMUqxZcQnsj/6827570b-e34f-4351-8409-aef8d5a4d4f7.jpeg", "Вячеслав Сорокин: Ссылка на изображение")</f>
        <v>Вячеслав Сорокин: Ссылка на изображение</v>
      </c>
      <c r="EN816" t="str">
        <f>HYPERLINK("https://d33htgqikc2pj4.cloudfront.net/qvHDimMUqxZcQnsj/7b9170f8-1936-4fb4-9649-ea030ccaaa8e.jpeg", "Вячеслав Сорокин: Ссылка на изображение")</f>
        <v>Вячеслав Сорокин: Ссылка на изображение</v>
      </c>
      <c r="EO816" t="str">
        <f>HYPERLINK("https://d33htgqikc2pj4.cloudfront.net/qvHDimMUqxZcQnsj/b9c29414-d57f-45d5-b9a5-942075cb5810.jpeg", "Вячеслав Сорокин: Ссылка на изображение")</f>
        <v>Вячеслав Сорокин: Ссылка на изображение</v>
      </c>
      <c r="EP816" t="str">
        <f>HYPERLINK("https://d33htgqikc2pj4.cloudfront.net/qvHDimMUqxZcQnsj/a2c4b88b-d133-476e-b58a-75b0da93e3d5.jpeg", "Вячеслав Сорокин: Ссылка на изображение")</f>
        <v>Вячеслав Сорокин: Ссылка на изображение</v>
      </c>
      <c r="EQ816" t="s">
        <v>265</v>
      </c>
    </row>
    <row r="817" spans="1:158" ht="15" customHeight="1" x14ac:dyDescent="0.35">
      <c r="A817">
        <v>705</v>
      </c>
      <c r="B817" t="s">
        <v>6629</v>
      </c>
      <c r="C817">
        <v>2</v>
      </c>
      <c r="D817" t="str">
        <f>VLOOKUP(source[[#This Row],[Приоритет]],тПриоритеты[],2,0)</f>
        <v>Значительное</v>
      </c>
      <c r="E817" t="str">
        <f>IF(ISBLANK(source[[#This Row],[Проверенные]]),IF(ISBLANK(source[[#This Row],[Завершенные]]),source[[#This Row],[Приоритет_]],"Завершено"),"Проверено")</f>
        <v>Проверено</v>
      </c>
      <c r="F817" t="s">
        <v>4423</v>
      </c>
      <c r="G817" t="s">
        <v>260</v>
      </c>
      <c r="H817" t="e">
        <f>VLOOKUP(source[[#This Row],[Отвественный]],тОтветственные[],2,0)</f>
        <v>#N/A</v>
      </c>
      <c r="I817" s="2">
        <v>43820</v>
      </c>
      <c r="J817" s="2">
        <v>43820</v>
      </c>
      <c r="S817" s="1">
        <v>43820.818206018521</v>
      </c>
      <c r="T817" s="1">
        <v>43820.819513888891</v>
      </c>
      <c r="U817" s="1">
        <v>43820.819513888891</v>
      </c>
      <c r="W817" s="1">
        <v>43820.819525462961</v>
      </c>
      <c r="EC817" t="s">
        <v>6630</v>
      </c>
      <c r="ED817" t="s">
        <v>3441</v>
      </c>
      <c r="EE817" t="s">
        <v>6631</v>
      </c>
      <c r="EF817" t="str">
        <f>HYPERLINK("https://d33htgqikc2pj4.cloudfront.net/qvHDimMUqxZcQnsj/96bcdfaa-5c09-454e-a89a-cac9b73e3010.jpeg", "Вячеслав Сорокин: Ссылка на изображение")</f>
        <v>Вячеслав Сорокин: Ссылка на изображение</v>
      </c>
      <c r="EG817" t="s">
        <v>265</v>
      </c>
    </row>
    <row r="818" spans="1:158" ht="15" customHeight="1" x14ac:dyDescent="0.35">
      <c r="A818">
        <v>302</v>
      </c>
      <c r="B818" t="s">
        <v>6632</v>
      </c>
      <c r="C818">
        <v>2</v>
      </c>
      <c r="D818" t="str">
        <f>VLOOKUP(source[[#This Row],[Приоритет]],тПриоритеты[],2,0)</f>
        <v>Значительное</v>
      </c>
      <c r="E818" t="str">
        <f>IF(ISBLANK(source[[#This Row],[Проверенные]]),IF(ISBLANK(source[[#This Row],[Завершенные]]),source[[#This Row],[Приоритет_]],"Завершено"),"Проверено")</f>
        <v>Проверено</v>
      </c>
      <c r="F818" t="s">
        <v>4423</v>
      </c>
      <c r="G818" t="s">
        <v>260</v>
      </c>
      <c r="H818" t="e">
        <f>VLOOKUP(source[[#This Row],[Отвественный]],тОтветственные[],2,0)</f>
        <v>#N/A</v>
      </c>
      <c r="I818" s="2">
        <v>43784</v>
      </c>
      <c r="J818" s="2">
        <v>43784</v>
      </c>
      <c r="K818" t="s">
        <v>6633</v>
      </c>
      <c r="L818">
        <v>0</v>
      </c>
      <c r="M818">
        <v>0</v>
      </c>
      <c r="Q818" t="s">
        <v>6634</v>
      </c>
      <c r="R818" t="str">
        <f>HYPERLINK("https://d28ji4sm1vmprj.cloudfront.net/a9f358085c2758e6620f8faf2a69c999/1bd44cefee8e0b94fe9df4b52f4a0261.jpeg", "Ссылка на план")</f>
        <v>Ссылка на план</v>
      </c>
      <c r="S818" s="1">
        <v>43784.840266203704</v>
      </c>
      <c r="T818" s="1">
        <v>43785.74726851852</v>
      </c>
      <c r="U818" s="1">
        <v>43809.648518518516</v>
      </c>
      <c r="W818" s="1">
        <v>43809.648530092592</v>
      </c>
      <c r="EC818" t="s">
        <v>6635</v>
      </c>
      <c r="ED818" t="s">
        <v>6636</v>
      </c>
      <c r="EE818" t="s">
        <v>6637</v>
      </c>
      <c r="EF818" t="s">
        <v>6638</v>
      </c>
      <c r="EG818" t="str">
        <f>HYPERLINK("https://d33htgqikc2pj4.cloudfront.net/qvHDimMUqxZcQnsj/a0bdf2af-9d0a-4a01-8b10-0784b433005a.jpeg", "Вячеслав Сорокин: Ссылка на изображение")</f>
        <v>Вячеслав Сорокин: Ссылка на изображение</v>
      </c>
      <c r="EH818" t="str">
        <f>HYPERLINK("https://d33htgqikc2pj4.cloudfront.net/qvHDimMUqxZcQnsj/f4bfd1fc-07b8-4b9e-8d8a-9d3fdae9f76c.jpeg", "Вячеслав Сорокин: Ссылка на изображение")</f>
        <v>Вячеслав Сорокин: Ссылка на изображение</v>
      </c>
      <c r="EI818" t="str">
        <f>HYPERLINK("https://d33htgqikc2pj4.cloudfront.net/qvHDimMUqxZcQnsj/35362e44-d997-4ce3-8bd9-3ad0390a950e.jpeg", "Вячеслав Сорокин: Ссылка на изображение")</f>
        <v>Вячеслав Сорокин: Ссылка на изображение</v>
      </c>
      <c r="EJ818" t="str">
        <f>HYPERLINK("https://d33htgqikc2pj4.cloudfront.net/qvHDimMUqxZcQnsj/427e6885-75db-46b4-96b0-6cc88509714e.jpeg", "Вячеслав Сорокин: Ссылка на изображение")</f>
        <v>Вячеслав Сорокин: Ссылка на изображение</v>
      </c>
      <c r="EK818" t="s">
        <v>800</v>
      </c>
      <c r="EL818" t="s">
        <v>265</v>
      </c>
    </row>
    <row r="819" spans="1:158" ht="15" customHeight="1" x14ac:dyDescent="0.35">
      <c r="A819">
        <v>978</v>
      </c>
      <c r="B819" t="s">
        <v>6639</v>
      </c>
      <c r="C819">
        <v>2</v>
      </c>
      <c r="D819" t="str">
        <f>VLOOKUP(source[[#This Row],[Приоритет]],тПриоритеты[],2,0)</f>
        <v>Значительное</v>
      </c>
      <c r="E819" t="str">
        <f>IF(ISBLANK(source[[#This Row],[Проверенные]]),IF(ISBLANK(source[[#This Row],[Завершенные]]),source[[#This Row],[Приоритет_]],"Завершено"),"Проверено")</f>
        <v>Проверено</v>
      </c>
      <c r="F819" t="s">
        <v>4423</v>
      </c>
      <c r="G819" t="s">
        <v>260</v>
      </c>
      <c r="H819" t="e">
        <f>VLOOKUP(source[[#This Row],[Отвественный]],тОтветственные[],2,0)</f>
        <v>#N/A</v>
      </c>
      <c r="I819" s="2">
        <v>43851</v>
      </c>
      <c r="J819" s="2">
        <v>43851</v>
      </c>
      <c r="S819" s="1">
        <v>43851.472581018519</v>
      </c>
      <c r="T819" s="1">
        <v>43851.739837962959</v>
      </c>
      <c r="U819" s="1">
        <v>43851.739837962959</v>
      </c>
      <c r="W819" s="1">
        <v>43851.739930555559</v>
      </c>
      <c r="EC819" t="s">
        <v>270</v>
      </c>
      <c r="ED819" t="str">
        <f>HYPERLINK("https://d33htgqikc2pj4.cloudfront.net/qvHDimMUqxZcQnsj/029fe291-b996-49b3-968a-661eadc537f6.jpeg", "Вячеслав Сорокин: Ссылка на изображение")</f>
        <v>Вячеслав Сорокин: Ссылка на изображение</v>
      </c>
      <c r="EE819" t="str">
        <f>HYPERLINK("https://d33htgqikc2pj4.cloudfront.net/qvHDimMUqxZcQnsj/81ba58cc-20b8-471c-b351-dc436008741d.jpeg", "Вячеслав Сорокин: Ссылка на изображение")</f>
        <v>Вячеслав Сорокин: Ссылка на изображение</v>
      </c>
      <c r="EF819" t="str">
        <f>HYPERLINK("https://d33htgqikc2pj4.cloudfront.net/qvHDimMUqxZcQnsj/0b321a69-57e4-4cad-a93e-8a6618667e7e.jpeg", "Вячеслав Сорокин: Ссылка на изображение")</f>
        <v>Вячеслав Сорокин: Ссылка на изображение</v>
      </c>
      <c r="EG819" t="s">
        <v>6640</v>
      </c>
      <c r="EH819" t="s">
        <v>265</v>
      </c>
      <c r="EI819" t="s">
        <v>3441</v>
      </c>
      <c r="EJ819" t="s">
        <v>3407</v>
      </c>
    </row>
    <row r="820" spans="1:158" ht="15" customHeight="1" x14ac:dyDescent="0.35">
      <c r="A820">
        <v>1051</v>
      </c>
      <c r="B820" t="s">
        <v>6641</v>
      </c>
      <c r="C820">
        <v>2</v>
      </c>
      <c r="D820" t="str">
        <f>VLOOKUP(source[[#This Row],[Приоритет]],тПриоритеты[],2,0)</f>
        <v>Значительное</v>
      </c>
      <c r="E820" t="str">
        <f>IF(ISBLANK(source[[#This Row],[Проверенные]]),IF(ISBLANK(source[[#This Row],[Завершенные]]),source[[#This Row],[Приоритет_]],"Завершено"),"Проверено")</f>
        <v>Проверено</v>
      </c>
      <c r="F820" t="s">
        <v>4423</v>
      </c>
      <c r="G820" t="s">
        <v>1714</v>
      </c>
      <c r="H820" t="e">
        <f>VLOOKUP(source[[#This Row],[Отвественный]],тОтветственные[],2,0)</f>
        <v>#N/A</v>
      </c>
      <c r="I820" s="2">
        <v>43854</v>
      </c>
      <c r="J820" s="2">
        <v>43854</v>
      </c>
      <c r="K820" t="s">
        <v>1720</v>
      </c>
      <c r="L820">
        <v>6.42</v>
      </c>
      <c r="M820">
        <v>26.09</v>
      </c>
      <c r="Q820" t="s">
        <v>1721</v>
      </c>
      <c r="R820" t="str">
        <f>HYPERLINK("https://d28ji4sm1vmprj.cloudfront.net/c1c1b591ce77c82044efa6b5d6f7663a/cf818dc1bc24c008af413328cec2292d.jpeg", "Ссылка на план")</f>
        <v>Ссылка на план</v>
      </c>
      <c r="S820" s="1">
        <v>43854.69636574074</v>
      </c>
      <c r="T820" s="1">
        <v>43854.696886574071</v>
      </c>
      <c r="U820" s="1">
        <v>43854.696886574071</v>
      </c>
      <c r="W820" s="1">
        <v>43854.696898148148</v>
      </c>
      <c r="EC820" t="s">
        <v>6642</v>
      </c>
      <c r="ED820" t="s">
        <v>3434</v>
      </c>
      <c r="EE820" t="s">
        <v>6643</v>
      </c>
      <c r="EF820" t="s">
        <v>1717</v>
      </c>
      <c r="EG820" t="s">
        <v>3417</v>
      </c>
      <c r="EH820" t="s">
        <v>794</v>
      </c>
      <c r="EI820" t="str">
        <f>HYPERLINK("https://d33htgqikc2pj4.cloudfront.net/18327e62-d697-4269-80be-0128c1325c2e.jpeg", "Александр Светашов: Ссылка на изображение")</f>
        <v>Александр Светашов: Ссылка на изображение</v>
      </c>
      <c r="EJ820" t="str">
        <f>HYPERLINK("https://d33htgqikc2pj4.cloudfront.net/2532e4bd-b7e4-4d80-ae2e-8b0f9e2d0b5b.jpeg", "Александр Светашов: Ссылка на изображение")</f>
        <v>Александр Светашов: Ссылка на изображение</v>
      </c>
      <c r="EK820" t="str">
        <f>HYPERLINK("https://d33htgqikc2pj4.cloudfront.net/0287f6bb-135f-4e59-8918-0030cf40092c.jpeg", "Александр Светашов: Ссылка на изображение")</f>
        <v>Александр Светашов: Ссылка на изображение</v>
      </c>
      <c r="EL820" t="str">
        <f>HYPERLINK("https://d33htgqikc2pj4.cloudfront.net/d47eb32e-7468-4700-b13e-80952403ccb7.jpeg", "Александр Светашов: Ссылка на изображение")</f>
        <v>Александр Светашов: Ссылка на изображение</v>
      </c>
      <c r="EM820" t="str">
        <f>HYPERLINK("https://d33htgqikc2pj4.cloudfront.net/169b6d55-db15-46d7-9b23-dfbf691b981f.jpeg", "Александр Светашов: Ссылка на изображение")</f>
        <v>Александр Светашов: Ссылка на изображение</v>
      </c>
      <c r="EN820" t="str">
        <f>HYPERLINK("https://d33htgqikc2pj4.cloudfront.net/f8d9009a-80e4-4f7f-82ba-22e38727a202.jpeg", "Александр Светашов: Ссылка на изображение")</f>
        <v>Александр Светашов: Ссылка на изображение</v>
      </c>
      <c r="EO820" t="str">
        <f>HYPERLINK("https://d33htgqikc2pj4.cloudfront.net/a0f0a3b3-98fc-4089-9a0f-8f440f29a1fb.jpeg", "Александр Светашов: Ссылка на изображение")</f>
        <v>Александр Светашов: Ссылка на изображение</v>
      </c>
      <c r="EP820" t="str">
        <f>HYPERLINK("https://d33htgqikc2pj4.cloudfront.net/8fc33739-189a-494b-9c0a-cd64d54384f3.jpeg", "Александр Светашов: Ссылка на изображение")</f>
        <v>Александр Светашов: Ссылка на изображение</v>
      </c>
      <c r="EQ820" t="str">
        <f>HYPERLINK("https://d33htgqikc2pj4.cloudfront.net/7a9f800e-b105-457c-94fd-eda309d24328.jpeg", "Александр Светашов: Ссылка на изображение")</f>
        <v>Александр Светашов: Ссылка на изображение</v>
      </c>
      <c r="ER820" t="str">
        <f>HYPERLINK("https://d33htgqikc2pj4.cloudfront.net/3597bee5-a90f-4e9f-af38-f5e57d72cc65.jpeg", "Александр Светашов: Ссылка на изображение")</f>
        <v>Александр Светашов: Ссылка на изображение</v>
      </c>
      <c r="ES820" t="str">
        <f>HYPERLINK("https://d33htgqikc2pj4.cloudfront.net/55a829b2-a48f-4b46-af7a-f910e506e7cb.jpeg", "Александр Светашов: Ссылка на изображение")</f>
        <v>Александр Светашов: Ссылка на изображение</v>
      </c>
      <c r="ET820" t="str">
        <f>HYPERLINK("https://d33htgqikc2pj4.cloudfront.net/a368a96d-48fb-46e7-ac28-c6e183b85d72.jpeg", "Александр Светашов: Ссылка на изображение")</f>
        <v>Александр Светашов: Ссылка на изображение</v>
      </c>
      <c r="EU820" t="str">
        <f>HYPERLINK("https://d33htgqikc2pj4.cloudfront.net/7247c436-972e-4a3d-aa11-e9fe3a0f073b.jpeg", "Александр Светашов: Ссылка на изображение")</f>
        <v>Александр Светашов: Ссылка на изображение</v>
      </c>
      <c r="EV820" t="str">
        <f>HYPERLINK("https://d33htgqikc2pj4.cloudfront.net/0a97018a-0929-469f-bae2-ec10fd691e7c.jpeg", "Александр Светашов: Ссылка на изображение")</f>
        <v>Александр Светашов: Ссылка на изображение</v>
      </c>
      <c r="EW820" t="str">
        <f>HYPERLINK("https://d33htgqikc2pj4.cloudfront.net/af81a425-d7a2-44f9-b6d6-c942794bd859.jpeg", "Александр Светашов: Ссылка на изображение")</f>
        <v>Александр Светашов: Ссылка на изображение</v>
      </c>
      <c r="EX820" t="str">
        <f>HYPERLINK("https://d33htgqikc2pj4.cloudfront.net/174c07c1-b3a1-42ad-bff3-ae485c1a085f.jpeg", "Александр Светашов: Ссылка на изображение")</f>
        <v>Александр Светашов: Ссылка на изображение</v>
      </c>
      <c r="EY820" t="str">
        <f>HYPERLINK("https://d33htgqikc2pj4.cloudfront.net/bcb85ef3-b973-480a-99ff-d00d14304fd5.jpeg", "Александр Светашов: Ссылка на изображение")</f>
        <v>Александр Светашов: Ссылка на изображение</v>
      </c>
      <c r="EZ820" t="str">
        <f>HYPERLINK("https://d33htgqikc2pj4.cloudfront.net/e1903d16-85c9-4a02-9696-2439d1caa323.jpeg", "Александр Светашов: Ссылка на изображение")</f>
        <v>Александр Светашов: Ссылка на изображение</v>
      </c>
    </row>
    <row r="821" spans="1:158" ht="15" customHeight="1" x14ac:dyDescent="0.35">
      <c r="A821">
        <v>643</v>
      </c>
      <c r="B821" t="s">
        <v>6644</v>
      </c>
      <c r="C821">
        <v>2</v>
      </c>
      <c r="D821" t="str">
        <f>VLOOKUP(source[[#This Row],[Приоритет]],тПриоритеты[],2,0)</f>
        <v>Значительное</v>
      </c>
      <c r="E821" t="str">
        <f>IF(ISBLANK(source[[#This Row],[Проверенные]]),IF(ISBLANK(source[[#This Row],[Завершенные]]),source[[#This Row],[Приоритет_]],"Завершено"),"Проверено")</f>
        <v>Проверено</v>
      </c>
      <c r="F821" t="s">
        <v>4423</v>
      </c>
      <c r="G821" t="s">
        <v>1714</v>
      </c>
      <c r="H821" t="e">
        <f>VLOOKUP(source[[#This Row],[Отвественный]],тОтветственные[],2,0)</f>
        <v>#N/A</v>
      </c>
      <c r="I821" s="2">
        <v>43816</v>
      </c>
      <c r="J821" s="2">
        <v>43816</v>
      </c>
      <c r="K821" t="s">
        <v>1720</v>
      </c>
      <c r="L821">
        <v>7.69</v>
      </c>
      <c r="M821">
        <v>15.09</v>
      </c>
      <c r="Q821" t="s">
        <v>1721</v>
      </c>
      <c r="R821" t="str">
        <f>HYPERLINK("https://d28ji4sm1vmprj.cloudfront.net/c1c1b591ce77c82044efa6b5d6f7663a/cf818dc1bc24c008af413328cec2292d.jpeg", "Ссылка на план")</f>
        <v>Ссылка на план</v>
      </c>
      <c r="S821" s="1">
        <v>43816.437291666669</v>
      </c>
      <c r="T821" s="1">
        <v>43816.474907407406</v>
      </c>
      <c r="U821" s="1">
        <v>43816.474907407406</v>
      </c>
      <c r="W821" s="1">
        <v>43816.474976851852</v>
      </c>
      <c r="EC821" t="str">
        <f>HYPERLINK("https://d33htgqikc2pj4.cloudfront.net/e64934d6-1e79-4362-bbb5-dc7999afb4a8.jpeg", "Александр Светашов: Ссылка на изображение")</f>
        <v>Александр Светашов: Ссылка на изображение</v>
      </c>
      <c r="ED821" t="str">
        <f>HYPERLINK("https://d33htgqikc2pj4.cloudfront.net/2e137dd1-b6ca-42d8-8bcf-13637aafe8f7.jpeg", "Александр Светашов: Ссылка на изображение")</f>
        <v>Александр Светашов: Ссылка на изображение</v>
      </c>
      <c r="EE821" t="str">
        <f>HYPERLINK("https://d33htgqikc2pj4.cloudfront.net/b3d580b0-f5b1-4f3e-9c46-b873d09e9306.jpeg", "Александр Светашов: Ссылка на изображение")</f>
        <v>Александр Светашов: Ссылка на изображение</v>
      </c>
      <c r="EF821" t="str">
        <f>HYPERLINK("https://d33htgqikc2pj4.cloudfront.net/c08e7a5f-b03a-4643-b3d7-eb35990632ed.jpeg", "Александр Светашов: Ссылка на изображение")</f>
        <v>Александр Светашов: Ссылка на изображение</v>
      </c>
      <c r="EG821" t="str">
        <f>HYPERLINK("https://d33htgqikc2pj4.cloudfront.net/4adcd56c-716e-47da-a5f7-36903371139e.jpeg", "Александр Светашов: Ссылка на изображение")</f>
        <v>Александр Светашов: Ссылка на изображение</v>
      </c>
      <c r="EH821" t="str">
        <f>HYPERLINK("https://d33htgqikc2pj4.cloudfront.net/2f9ffd83-c502-4581-8cd0-c60776292fbc.jpeg", "Александр Светашов: Ссылка на изображение")</f>
        <v>Александр Светашов: Ссылка на изображение</v>
      </c>
      <c r="EI821" t="s">
        <v>6645</v>
      </c>
      <c r="EJ821" t="s">
        <v>3434</v>
      </c>
      <c r="EK821" t="s">
        <v>1717</v>
      </c>
      <c r="EL821" t="s">
        <v>3382</v>
      </c>
      <c r="EM821" t="s">
        <v>794</v>
      </c>
    </row>
    <row r="822" spans="1:158" ht="15" customHeight="1" x14ac:dyDescent="0.35">
      <c r="A822">
        <v>702</v>
      </c>
      <c r="B822" t="s">
        <v>6646</v>
      </c>
      <c r="C822">
        <v>2</v>
      </c>
      <c r="D822" t="str">
        <f>VLOOKUP(source[[#This Row],[Приоритет]],тПриоритеты[],2,0)</f>
        <v>Значительное</v>
      </c>
      <c r="E822" t="str">
        <f>IF(ISBLANK(source[[#This Row],[Проверенные]]),IF(ISBLANK(source[[#This Row],[Завершенные]]),source[[#This Row],[Приоритет_]],"Завершено"),"Проверено")</f>
        <v>Проверено</v>
      </c>
      <c r="F822" t="s">
        <v>4423</v>
      </c>
      <c r="G822" t="s">
        <v>1714</v>
      </c>
      <c r="H822" t="e">
        <f>VLOOKUP(source[[#This Row],[Отвественный]],тОтветственные[],2,0)</f>
        <v>#N/A</v>
      </c>
      <c r="I822" s="2">
        <v>43820</v>
      </c>
      <c r="J822" s="2">
        <v>43820</v>
      </c>
      <c r="S822" s="1">
        <v>43820.813634259262</v>
      </c>
      <c r="T822" s="1">
        <v>43820.820219907408</v>
      </c>
      <c r="U822" s="1">
        <v>43820.820219907408</v>
      </c>
      <c r="W822" s="1">
        <v>43820.8202662037</v>
      </c>
      <c r="EC822" t="s">
        <v>6647</v>
      </c>
      <c r="ED822" t="s">
        <v>6648</v>
      </c>
      <c r="EE822" t="s">
        <v>3441</v>
      </c>
      <c r="EF822" t="s">
        <v>6631</v>
      </c>
      <c r="EG822" t="str">
        <f>HYPERLINK("https://d33htgqikc2pj4.cloudfront.net/qvHDimMUqxZcQnsj/66c4c7ef-63bc-465e-80f8-bffde1a8c3d5.jpeg", "Вячеслав Сорокин: Ссылка на изображение")</f>
        <v>Вячеслав Сорокин: Ссылка на изображение</v>
      </c>
      <c r="EH822" t="s">
        <v>265</v>
      </c>
    </row>
    <row r="823" spans="1:158" ht="15" customHeight="1" x14ac:dyDescent="0.35">
      <c r="A823">
        <v>703</v>
      </c>
      <c r="B823" t="s">
        <v>6649</v>
      </c>
      <c r="C823">
        <v>2</v>
      </c>
      <c r="D823" t="str">
        <f>VLOOKUP(source[[#This Row],[Приоритет]],тПриоритеты[],2,0)</f>
        <v>Значительное</v>
      </c>
      <c r="E823" t="str">
        <f>IF(ISBLANK(source[[#This Row],[Проверенные]]),IF(ISBLANK(source[[#This Row],[Завершенные]]),source[[#This Row],[Приоритет_]],"Завершено"),"Проверено")</f>
        <v>Проверено</v>
      </c>
      <c r="F823" t="s">
        <v>4423</v>
      </c>
      <c r="G823" t="s">
        <v>1714</v>
      </c>
      <c r="H823" t="e">
        <f>VLOOKUP(source[[#This Row],[Отвественный]],тОтветственные[],2,0)</f>
        <v>#N/A</v>
      </c>
      <c r="I823" s="2">
        <v>43820</v>
      </c>
      <c r="J823" s="2">
        <v>43820</v>
      </c>
      <c r="S823" s="1">
        <v>43820.815821759257</v>
      </c>
      <c r="T823" s="1">
        <v>43820.820428240739</v>
      </c>
      <c r="U823" s="1">
        <v>43820.820428240739</v>
      </c>
      <c r="W823" s="1">
        <v>43820.820439814815</v>
      </c>
      <c r="EC823" t="s">
        <v>6650</v>
      </c>
      <c r="ED823" t="s">
        <v>3441</v>
      </c>
      <c r="EE823" t="s">
        <v>6648</v>
      </c>
      <c r="EF823" t="s">
        <v>6631</v>
      </c>
      <c r="EG823" t="str">
        <f>HYPERLINK("https://d33htgqikc2pj4.cloudfront.net/qvHDimMUqxZcQnsj/ee4bf6af-4d5c-41bf-9946-21b69c935831.jpeg", "Вячеслав Сорокин: Ссылка на изображение")</f>
        <v>Вячеслав Сорокин: Ссылка на изображение</v>
      </c>
      <c r="EH823" t="s">
        <v>265</v>
      </c>
    </row>
    <row r="824" spans="1:158" ht="15" customHeight="1" x14ac:dyDescent="0.35">
      <c r="A824">
        <v>704</v>
      </c>
      <c r="B824" t="s">
        <v>6651</v>
      </c>
      <c r="C824">
        <v>2</v>
      </c>
      <c r="D824" t="str">
        <f>VLOOKUP(source[[#This Row],[Приоритет]],тПриоритеты[],2,0)</f>
        <v>Значительное</v>
      </c>
      <c r="E824" t="str">
        <f>IF(ISBLANK(source[[#This Row],[Проверенные]]),IF(ISBLANK(source[[#This Row],[Завершенные]]),source[[#This Row],[Приоритет_]],"Завершено"),"Проверено")</f>
        <v>Проверено</v>
      </c>
      <c r="F824" t="s">
        <v>4423</v>
      </c>
      <c r="G824" t="s">
        <v>1714</v>
      </c>
      <c r="H824" t="e">
        <f>VLOOKUP(source[[#This Row],[Отвественный]],тОтветственные[],2,0)</f>
        <v>#N/A</v>
      </c>
      <c r="I824" s="2">
        <v>43820</v>
      </c>
      <c r="J824" s="2">
        <v>43820</v>
      </c>
      <c r="S824" s="1">
        <v>43820.817152777781</v>
      </c>
      <c r="T824" s="1">
        <v>43820.817881944444</v>
      </c>
      <c r="U824" s="1">
        <v>43820.817881944444</v>
      </c>
      <c r="W824" s="1">
        <v>43820.818101851852</v>
      </c>
      <c r="EC824" t="s">
        <v>6652</v>
      </c>
      <c r="ED824" t="s">
        <v>265</v>
      </c>
      <c r="EE824" t="s">
        <v>3441</v>
      </c>
      <c r="EF824" t="s">
        <v>6648</v>
      </c>
      <c r="EG824" t="s">
        <v>6631</v>
      </c>
    </row>
    <row r="825" spans="1:158" ht="15" customHeight="1" x14ac:dyDescent="0.35">
      <c r="A825">
        <v>468</v>
      </c>
      <c r="B825" t="s">
        <v>1903</v>
      </c>
      <c r="C825">
        <v>2</v>
      </c>
      <c r="D825" t="str">
        <f>VLOOKUP(source[[#This Row],[Приоритет]],тПриоритеты[],2,0)</f>
        <v>Значительное</v>
      </c>
      <c r="E825" t="str">
        <f>IF(ISBLANK(source[[#This Row],[Проверенные]]),IF(ISBLANK(source[[#This Row],[Завершенные]]),source[[#This Row],[Приоритет_]],"Завершено"),"Проверено")</f>
        <v>Проверено</v>
      </c>
      <c r="F825" t="s">
        <v>4423</v>
      </c>
      <c r="G825" t="s">
        <v>1714</v>
      </c>
      <c r="H825" t="e">
        <f>VLOOKUP(source[[#This Row],[Отвественный]],тОтветственные[],2,0)</f>
        <v>#N/A</v>
      </c>
      <c r="I825" s="2">
        <v>43797</v>
      </c>
      <c r="J825" s="2">
        <v>43797</v>
      </c>
      <c r="K825" t="s">
        <v>1720</v>
      </c>
      <c r="L825">
        <v>34.25</v>
      </c>
      <c r="M825">
        <v>15.96</v>
      </c>
      <c r="Q825" t="s">
        <v>1721</v>
      </c>
      <c r="R825" t="str">
        <f>HYPERLINK("https://d28ji4sm1vmprj.cloudfront.net/c1c1b591ce77c82044efa6b5d6f7663a/cf818dc1bc24c008af413328cec2292d.jpeg", "Ссылка на план")</f>
        <v>Ссылка на план</v>
      </c>
      <c r="S825" s="1">
        <v>43797.833622685182</v>
      </c>
      <c r="T825" s="1">
        <v>43798.635636574072</v>
      </c>
      <c r="U825" s="1">
        <v>43809.424780092595</v>
      </c>
      <c r="W825" s="1">
        <v>43809.424803240741</v>
      </c>
      <c r="AH825" t="s">
        <v>6653</v>
      </c>
      <c r="EC825" t="s">
        <v>1906</v>
      </c>
      <c r="ED825" t="str">
        <f>HYPERLINK("https://d33htgqikc2pj4.cloudfront.net/7f9edbed-ea7e-4122-bad1-f5350e9268e4.jpeg", "Александр Светашов: Ссылка на изображение")</f>
        <v>Александр Светашов: Ссылка на изображение</v>
      </c>
      <c r="EE825" t="str">
        <f>HYPERLINK("https://d33htgqikc2pj4.cloudfront.net/48efd968-7853-44ce-866d-11c816dba189.jpeg", "Александр Светашов: Ссылка на изображение")</f>
        <v>Александр Светашов: Ссылка на изображение</v>
      </c>
      <c r="EF825" t="str">
        <f>HYPERLINK("https://d33htgqikc2pj4.cloudfront.net/92915d61-34f2-45f5-a674-0fdf0c3e21c9.jpeg", "Александр Светашов: Ссылка на изображение")</f>
        <v>Александр Светашов: Ссылка на изображение</v>
      </c>
      <c r="EG825" t="s">
        <v>2215</v>
      </c>
      <c r="EH825" t="s">
        <v>3434</v>
      </c>
      <c r="EI825" t="s">
        <v>1767</v>
      </c>
      <c r="EJ825" t="s">
        <v>1703</v>
      </c>
      <c r="EK825" t="s">
        <v>836</v>
      </c>
    </row>
    <row r="826" spans="1:158" ht="15" customHeight="1" x14ac:dyDescent="0.35">
      <c r="A826">
        <v>469</v>
      </c>
      <c r="B826" t="s">
        <v>1743</v>
      </c>
      <c r="C826">
        <v>2</v>
      </c>
      <c r="D826" t="str">
        <f>VLOOKUP(source[[#This Row],[Приоритет]],тПриоритеты[],2,0)</f>
        <v>Значительное</v>
      </c>
      <c r="E826" t="str">
        <f>IF(ISBLANK(source[[#This Row],[Проверенные]]),IF(ISBLANK(source[[#This Row],[Завершенные]]),source[[#This Row],[Приоритет_]],"Завершено"),"Проверено")</f>
        <v>Проверено</v>
      </c>
      <c r="F826" t="s">
        <v>4423</v>
      </c>
      <c r="G826" t="s">
        <v>1714</v>
      </c>
      <c r="H826" t="e">
        <f>VLOOKUP(source[[#This Row],[Отвественный]],тОтветственные[],2,0)</f>
        <v>#N/A</v>
      </c>
      <c r="I826" s="2">
        <v>43797</v>
      </c>
      <c r="J826" s="2">
        <v>43797</v>
      </c>
      <c r="K826" t="s">
        <v>1720</v>
      </c>
      <c r="L826">
        <v>48.95</v>
      </c>
      <c r="M826">
        <v>20.99</v>
      </c>
      <c r="Q826" t="s">
        <v>1721</v>
      </c>
      <c r="R826" t="str">
        <f>HYPERLINK("https://d28ji4sm1vmprj.cloudfront.net/c1c1b591ce77c82044efa6b5d6f7663a/cf818dc1bc24c008af413328cec2292d.jpeg", "Ссылка на план")</f>
        <v>Ссылка на план</v>
      </c>
      <c r="S826" s="1">
        <v>43797.833645833336</v>
      </c>
      <c r="T826" s="1">
        <v>43798.63553240741</v>
      </c>
      <c r="U826" s="1">
        <v>43809.424780092595</v>
      </c>
      <c r="W826" s="1">
        <v>43809.424803240741</v>
      </c>
      <c r="AH826" t="s">
        <v>6654</v>
      </c>
      <c r="EC826" t="s">
        <v>1746</v>
      </c>
      <c r="ED826" t="str">
        <f>HYPERLINK("https://d33htgqikc2pj4.cloudfront.net/f716f430-8a5c-4caf-87bc-6638c5fca432.jpeg", "Александр Светашов: Ссылка на изображение")</f>
        <v>Александр Светашов: Ссылка на изображение</v>
      </c>
      <c r="EE826" t="str">
        <f>HYPERLINK("https://d33htgqikc2pj4.cloudfront.net/e35aa0cf-b6e6-4d04-a44d-c115ac5580a9.jpeg", "Александр Светашов: Ссылка на изображение")</f>
        <v>Александр Светашов: Ссылка на изображение</v>
      </c>
      <c r="EF826" t="str">
        <f>HYPERLINK("https://d33htgqikc2pj4.cloudfront.net/da1193e4-1a7d-4b7a-baef-2c085b6ec108.jpeg", "Александр Светашов: Ссылка на изображение")</f>
        <v>Александр Светашов: Ссылка на изображение</v>
      </c>
      <c r="EG826" t="str">
        <f>HYPERLINK("https://d33htgqikc2pj4.cloudfront.net/822cc25a-2efb-4fd6-ab6d-16111407b469.jpeg", "Александр Светашов: Ссылка на изображение")</f>
        <v>Александр Светашов: Ссылка на изображение</v>
      </c>
      <c r="EH826" t="str">
        <f>HYPERLINK("https://d33htgqikc2pj4.cloudfront.net/edbec0d3-6e53-496f-a157-ba857b1e52f6.jpeg", "Александр Светашов: Ссылка на изображение")</f>
        <v>Александр Светашов: Ссылка на изображение</v>
      </c>
      <c r="EI826" t="str">
        <f>HYPERLINK("https://d33htgqikc2pj4.cloudfront.net/8e47241e-d2f1-40c3-9de0-03283d7ee2a4.jpeg", "Александр Светашов: Ссылка на изображение")</f>
        <v>Александр Светашов: Ссылка на изображение</v>
      </c>
      <c r="EJ826" t="str">
        <f>HYPERLINK("https://d33htgqikc2pj4.cloudfront.net/5b4e2c55-9f45-4431-a2bf-5cc383596dde.jpeg", "Александр Светашов: Ссылка на изображение")</f>
        <v>Александр Светашов: Ссылка на изображение</v>
      </c>
      <c r="EK826" t="str">
        <f>HYPERLINK("https://d33htgqikc2pj4.cloudfront.net/3875e124-2251-45ed-b727-ab038ee227dc.jpeg", "Александр Светашов: Ссылка на изображение")</f>
        <v>Александр Светашов: Ссылка на изображение</v>
      </c>
      <c r="EL826" t="str">
        <f>HYPERLINK("https://d33htgqikc2pj4.cloudfront.net/7dbb3e5f-ef08-4b35-b41b-f0ffbf2a63ae.jpeg", "Александр Светашов: Ссылка на изображение")</f>
        <v>Александр Светашов: Ссылка на изображение</v>
      </c>
      <c r="EM826" t="str">
        <f>HYPERLINK("https://d33htgqikc2pj4.cloudfront.net/e15281b4-cab7-4c5a-9737-20a31cc47cd3.jpeg", "Александр Светашов: Ссылка на изображение")</f>
        <v>Александр Светашов: Ссылка на изображение</v>
      </c>
      <c r="EN826" t="str">
        <f>HYPERLINK("https://d33htgqikc2pj4.cloudfront.net/63b7be76-4cf4-4935-9bcd-eca8a0e95e50.jpeg", "Александр Светашов: Ссылка на изображение")</f>
        <v>Александр Светашов: Ссылка на изображение</v>
      </c>
      <c r="EO826" t="str">
        <f>HYPERLINK("https://d33htgqikc2pj4.cloudfront.net/2cc7ba1d-25ba-406f-a25f-8e0407d46b2f.jpeg", "Александр Светашов: Ссылка на изображение")</f>
        <v>Александр Светашов: Ссылка на изображение</v>
      </c>
      <c r="EP826" t="str">
        <f>HYPERLINK("https://d33htgqikc2pj4.cloudfront.net/877d21ad-0619-4b0b-9c3c-54f2a650bd31.jpeg", "Александр Светашов: Ссылка на изображение")</f>
        <v>Александр Светашов: Ссылка на изображение</v>
      </c>
      <c r="EQ826" t="str">
        <f>HYPERLINK("https://d33htgqikc2pj4.cloudfront.net/e0d4637e-d556-4b4d-ba5d-5585f42cb197.jpeg", "Александр Светашов: Ссылка на изображение")</f>
        <v>Александр Светашов: Ссылка на изображение</v>
      </c>
      <c r="ER826" t="str">
        <f>HYPERLINK("https://d33htgqikc2pj4.cloudfront.net/bb773af5-d813-4c01-bb23-95dad7a149b1.jpeg", "Александр Светашов: Ссылка на изображение")</f>
        <v>Александр Светашов: Ссылка на изображение</v>
      </c>
      <c r="ES826" t="str">
        <f>HYPERLINK("https://d33htgqikc2pj4.cloudfront.net/edb9759a-074e-47cd-ab0f-d24661b59695.jpeg", "Александр Светашов: Ссылка на изображение")</f>
        <v>Александр Светашов: Ссылка на изображение</v>
      </c>
      <c r="ET826" t="str">
        <f>HYPERLINK("https://d33htgqikc2pj4.cloudfront.net/d2a92ead-3336-4f6f-8403-2225bb77cf86.jpeg", "Александр Светашов: Ссылка на изображение")</f>
        <v>Александр Светашов: Ссылка на изображение</v>
      </c>
      <c r="EU826" t="str">
        <f>HYPERLINK("https://d33htgqikc2pj4.cloudfront.net/c0db0403-c191-4fb7-b086-5480d7681950.jpeg", "Александр Светашов: Ссылка на изображение")</f>
        <v>Александр Светашов: Ссылка на изображение</v>
      </c>
      <c r="EV826" t="str">
        <f>HYPERLINK("https://d33htgqikc2pj4.cloudfront.net/f786ad1a-6afa-4f20-acbe-66e08ed6bf6e.jpeg", "Александр Светашов: Ссылка на изображение")</f>
        <v>Александр Светашов: Ссылка на изображение</v>
      </c>
      <c r="EW826" t="str">
        <f>HYPERLINK("https://d33htgqikc2pj4.cloudfront.net/dc0e0ba1-e16c-4920-920c-5563341f23c5.jpeg", "Александр Светашов: Ссылка на изображение")</f>
        <v>Александр Светашов: Ссылка на изображение</v>
      </c>
      <c r="EX826" t="s">
        <v>1767</v>
      </c>
      <c r="EY826" t="s">
        <v>2215</v>
      </c>
      <c r="EZ826" t="s">
        <v>3434</v>
      </c>
      <c r="FA826" t="s">
        <v>1703</v>
      </c>
      <c r="FB826" t="s">
        <v>836</v>
      </c>
    </row>
    <row r="827" spans="1:158" ht="15" customHeight="1" x14ac:dyDescent="0.35">
      <c r="A827">
        <v>545</v>
      </c>
      <c r="B827" t="s">
        <v>1903</v>
      </c>
      <c r="C827">
        <v>2</v>
      </c>
      <c r="D827" t="str">
        <f>VLOOKUP(source[[#This Row],[Приоритет]],тПриоритеты[],2,0)</f>
        <v>Значительное</v>
      </c>
      <c r="E827" t="str">
        <f>IF(ISBLANK(source[[#This Row],[Проверенные]]),IF(ISBLANK(source[[#This Row],[Завершенные]]),source[[#This Row],[Приоритет_]],"Завершено"),"Проверено")</f>
        <v>Проверено</v>
      </c>
      <c r="F827" t="s">
        <v>4423</v>
      </c>
      <c r="G827" t="s">
        <v>1714</v>
      </c>
      <c r="H827" t="e">
        <f>VLOOKUP(source[[#This Row],[Отвественный]],тОтветственные[],2,0)</f>
        <v>#N/A</v>
      </c>
      <c r="I827" s="2">
        <v>43805</v>
      </c>
      <c r="J827" s="2">
        <v>43805</v>
      </c>
      <c r="K827" t="s">
        <v>1720</v>
      </c>
      <c r="L827">
        <v>47.65</v>
      </c>
      <c r="M827">
        <v>34.26</v>
      </c>
      <c r="Q827" t="s">
        <v>1721</v>
      </c>
      <c r="R827" t="str">
        <f>HYPERLINK("https://d28ji4sm1vmprj.cloudfront.net/c1c1b591ce77c82044efa6b5d6f7663a/cf818dc1bc24c008af413328cec2292d.jpeg", "Ссылка на план")</f>
        <v>Ссылка на план</v>
      </c>
      <c r="S827" s="1">
        <v>43805.430219907408</v>
      </c>
      <c r="T827" s="1">
        <v>43805.67800925926</v>
      </c>
      <c r="U827" s="1">
        <v>43809.424780092595</v>
      </c>
      <c r="W827" s="1">
        <v>43809.424814814818</v>
      </c>
      <c r="AH827" t="s">
        <v>6655</v>
      </c>
      <c r="EC827" t="s">
        <v>1906</v>
      </c>
      <c r="ED827" t="s">
        <v>6656</v>
      </c>
      <c r="EE827" t="s">
        <v>1717</v>
      </c>
      <c r="EF827" t="s">
        <v>3434</v>
      </c>
      <c r="EG827" t="str">
        <f>HYPERLINK("https://d33htgqikc2pj4.cloudfront.net/b7700a51-21f6-4511-af94-83e9aab27adf.jpeg", "Александр Светашов: Ссылка на изображение")</f>
        <v>Александр Светашов: Ссылка на изображение</v>
      </c>
      <c r="EH827" t="str">
        <f>HYPERLINK("https://d33htgqikc2pj4.cloudfront.net/edb4214a-2c13-4c5b-bd14-a77f39ffe07b.jpeg", "Александр Светашов: Ссылка на изображение")</f>
        <v>Александр Светашов: Ссылка на изображение</v>
      </c>
      <c r="EI827" t="str">
        <f>HYPERLINK("https://d33htgqikc2pj4.cloudfront.net/c6f68e50-04f1-4e4f-a7da-240ee05d7f8e.jpeg", "Александр Светашов: Ссылка на изображение")</f>
        <v>Александр Светашов: Ссылка на изображение</v>
      </c>
      <c r="EJ827" t="str">
        <f>HYPERLINK("https://d33htgqikc2pj4.cloudfront.net/769f94ce-121f-4c77-ade2-be09fc561a67.jpeg", "Александр Светашов: Ссылка на изображение")</f>
        <v>Александр Светашов: Ссылка на изображение</v>
      </c>
      <c r="EK827" t="str">
        <f>HYPERLINK("https://d33htgqikc2pj4.cloudfront.net/f7144e16-69b4-40f0-a5e5-4e492398b594.jpeg", "Александр Светашов: Ссылка на изображение")</f>
        <v>Александр Светашов: Ссылка на изображение</v>
      </c>
      <c r="EL827" t="str">
        <f>HYPERLINK("https://d33htgqikc2pj4.cloudfront.net/cf8f3b4f-a242-4347-a1af-a42b4ad415aa.jpeg", "Александр Светашов: Ссылка на изображение")</f>
        <v>Александр Светашов: Ссылка на изображение</v>
      </c>
      <c r="EM827" t="str">
        <f>HYPERLINK("https://d33htgqikc2pj4.cloudfront.net/6c7afab4-e002-4f8c-a3f0-a291fcad341e.jpeg", "Александр Светашов: Ссылка на изображение")</f>
        <v>Александр Светашов: Ссылка на изображение</v>
      </c>
      <c r="EN827" t="str">
        <f>HYPERLINK("https://d33htgqikc2pj4.cloudfront.net/fda87580-def3-472b-8004-187144d97d61.jpeg", "Александр Светашов: Ссылка на изображение")</f>
        <v>Александр Светашов: Ссылка на изображение</v>
      </c>
      <c r="EO827" t="str">
        <f>HYPERLINK("https://d33htgqikc2pj4.cloudfront.net/fe208582-dfbd-4c71-97ff-b9a433e1ffcd.jpeg", "Александр Светашов: Ссылка на изображение")</f>
        <v>Александр Светашов: Ссылка на изображение</v>
      </c>
      <c r="EP827" t="str">
        <f>HYPERLINK("https://d33htgqikc2pj4.cloudfront.net/814f0312-cca1-4578-a171-91a384c2d99c.jpeg", "Александр Светашов: Ссылка на изображение")</f>
        <v>Александр Светашов: Ссылка на изображение</v>
      </c>
      <c r="EQ827" t="str">
        <f>HYPERLINK("https://d33htgqikc2pj4.cloudfront.net/589ea227-0264-4e4e-b011-b56f94f2a22c.jpeg", "Александр Светашов: Ссылка на изображение")</f>
        <v>Александр Светашов: Ссылка на изображение</v>
      </c>
      <c r="ER827" t="str">
        <f>HYPERLINK("https://d33htgqikc2pj4.cloudfront.net/da0eaee2-67b7-43f5-9c39-5e3cfad26281.jpeg", "Александр Светашов: Ссылка на изображение")</f>
        <v>Александр Светашов: Ссылка на изображение</v>
      </c>
      <c r="ES827" t="str">
        <f>HYPERLINK("https://d33htgqikc2pj4.cloudfront.net/119d280c-7e97-4b47-995a-a4bf920265c9.jpeg", "Александр Светашов: Ссылка на изображение")</f>
        <v>Александр Светашов: Ссылка на изображение</v>
      </c>
      <c r="ET827" t="str">
        <f>HYPERLINK("https://d33htgqikc2pj4.cloudfront.net/93b7132b-ddd7-4d70-a096-51284363b110.jpeg", "Александр Светашов: Ссылка на изображение")</f>
        <v>Александр Светашов: Ссылка на изображение</v>
      </c>
      <c r="EU827" t="s">
        <v>1742</v>
      </c>
      <c r="EV827" t="s">
        <v>836</v>
      </c>
    </row>
    <row r="828" spans="1:158" ht="15" customHeight="1" x14ac:dyDescent="0.35">
      <c r="A828">
        <v>573</v>
      </c>
      <c r="B828" t="s">
        <v>6657</v>
      </c>
      <c r="C828">
        <v>2</v>
      </c>
      <c r="D828" t="str">
        <f>VLOOKUP(source[[#This Row],[Приоритет]],тПриоритеты[],2,0)</f>
        <v>Значительное</v>
      </c>
      <c r="E828" t="str">
        <f>IF(ISBLANK(source[[#This Row],[Проверенные]]),IF(ISBLANK(source[[#This Row],[Завершенные]]),source[[#This Row],[Приоритет_]],"Завершено"),"Проверено")</f>
        <v>Проверено</v>
      </c>
      <c r="F828" t="s">
        <v>4423</v>
      </c>
      <c r="G828" t="s">
        <v>1714</v>
      </c>
      <c r="H828" t="e">
        <f>VLOOKUP(source[[#This Row],[Отвественный]],тОтветственные[],2,0)</f>
        <v>#N/A</v>
      </c>
      <c r="I828" s="2">
        <v>43808</v>
      </c>
      <c r="J828" s="2">
        <v>43808</v>
      </c>
      <c r="S828" s="1">
        <v>43808.74827546296</v>
      </c>
      <c r="T828" s="1">
        <v>43808.752592592595</v>
      </c>
      <c r="U828" s="1">
        <v>43808.752592592595</v>
      </c>
      <c r="W828" s="1">
        <v>43808.752592592595</v>
      </c>
      <c r="EC828" t="s">
        <v>6658</v>
      </c>
      <c r="ED828" t="s">
        <v>3441</v>
      </c>
      <c r="EE828" t="s">
        <v>6659</v>
      </c>
      <c r="EF828" t="s">
        <v>6660</v>
      </c>
      <c r="EG828" t="str">
        <f>HYPERLINK("https://d33htgqikc2pj4.cloudfront.net/qvHDimMUqxZcQnsj/5d8c1b71-eafa-42a5-9734-39502a9a38cb.jpeg", "Вячеслав Сорокин: Ссылка на изображение")</f>
        <v>Вячеслав Сорокин: Ссылка на изображение</v>
      </c>
      <c r="EH828" t="str">
        <f>HYPERLINK("https://d33htgqikc2pj4.cloudfront.net/qvHDimMUqxZcQnsj/e157bada-202a-4e37-9e51-b1a7634ef5f3.jpeg", "Вячеслав Сорокин: Ссылка на изображение")</f>
        <v>Вячеслав Сорокин: Ссылка на изображение</v>
      </c>
      <c r="EI828" t="s">
        <v>6658</v>
      </c>
      <c r="EJ828" t="s">
        <v>265</v>
      </c>
    </row>
    <row r="829" spans="1:158" ht="15" customHeight="1" x14ac:dyDescent="0.35">
      <c r="A829">
        <v>569</v>
      </c>
      <c r="B829" t="s">
        <v>6661</v>
      </c>
      <c r="C829">
        <v>2</v>
      </c>
      <c r="D829" t="str">
        <f>VLOOKUP(source[[#This Row],[Приоритет]],тПриоритеты[],2,0)</f>
        <v>Значительное</v>
      </c>
      <c r="E829" t="str">
        <f>IF(ISBLANK(source[[#This Row],[Проверенные]]),IF(ISBLANK(source[[#This Row],[Завершенные]]),source[[#This Row],[Приоритет_]],"Завершено"),"Проверено")</f>
        <v>Проверено</v>
      </c>
      <c r="F829" t="s">
        <v>4423</v>
      </c>
      <c r="G829" t="s">
        <v>1714</v>
      </c>
      <c r="H829" t="e">
        <f>VLOOKUP(source[[#This Row],[Отвественный]],тОтветственные[],2,0)</f>
        <v>#N/A</v>
      </c>
      <c r="I829" s="2">
        <v>43808</v>
      </c>
      <c r="J829" s="2">
        <v>43808</v>
      </c>
      <c r="S829" s="1">
        <v>43808.736840277779</v>
      </c>
      <c r="T829" s="1">
        <v>43808.744108796294</v>
      </c>
      <c r="U829" s="1">
        <v>43809.424780092595</v>
      </c>
      <c r="W829" s="1">
        <v>43809.424814814818</v>
      </c>
      <c r="X829" t="s">
        <v>3339</v>
      </c>
      <c r="AH829" t="s">
        <v>6662</v>
      </c>
      <c r="AI829" t="s">
        <v>6663</v>
      </c>
      <c r="AJ829" t="s">
        <v>6664</v>
      </c>
      <c r="AK829" t="s">
        <v>6665</v>
      </c>
      <c r="AL829" t="s">
        <v>6666</v>
      </c>
      <c r="AM829" t="s">
        <v>6667</v>
      </c>
      <c r="AN829" t="s">
        <v>6668</v>
      </c>
      <c r="EC829" t="s">
        <v>6669</v>
      </c>
      <c r="ED829" t="str">
        <f>HYPERLINK("https://d33htgqikc2pj4.cloudfront.net/qvHDimMUqxZcQnsj/3cbb4104-e876-4a18-8c56-21cff3627dcf.jpeg", "Вячеслав Сорокин: Ссылка на изображение")</f>
        <v>Вячеслав Сорокин: Ссылка на изображение</v>
      </c>
      <c r="EE829" t="str">
        <f>HYPERLINK("https://d33htgqikc2pj4.cloudfront.net/qvHDimMUqxZcQnsj/b654e916-94cc-436c-b7d6-2c43d9d7338a.jpeg", "Вячеслав Сорокин: Ссылка на изображение")</f>
        <v>Вячеслав Сорокин: Ссылка на изображение</v>
      </c>
      <c r="EF829" t="s">
        <v>6670</v>
      </c>
      <c r="EG829" t="s">
        <v>800</v>
      </c>
      <c r="EH829" t="s">
        <v>3441</v>
      </c>
      <c r="EI829" t="s">
        <v>6648</v>
      </c>
      <c r="EJ829" t="s">
        <v>6671</v>
      </c>
      <c r="EK829" t="s">
        <v>6669</v>
      </c>
      <c r="EL829" t="s">
        <v>836</v>
      </c>
    </row>
    <row r="830" spans="1:158" ht="15" customHeight="1" x14ac:dyDescent="0.35">
      <c r="A830">
        <v>393</v>
      </c>
      <c r="B830" t="s">
        <v>4747</v>
      </c>
      <c r="C830">
        <v>1</v>
      </c>
      <c r="D830" t="str">
        <f>VLOOKUP(source[[#This Row],[Приоритет]],тПриоритеты[],2,0)</f>
        <v>КРИТИЧЕСКОЕ</v>
      </c>
      <c r="E830" t="str">
        <f>IF(ISBLANK(source[[#This Row],[Проверенные]]),IF(ISBLANK(source[[#This Row],[Завершенные]]),source[[#This Row],[Приоритет_]],"Завершено"),"Проверено")</f>
        <v>Проверено</v>
      </c>
      <c r="F830" t="s">
        <v>4423</v>
      </c>
      <c r="G830" t="s">
        <v>1714</v>
      </c>
      <c r="H830" t="e">
        <f>VLOOKUP(source[[#This Row],[Отвественный]],тОтветственные[],2,0)</f>
        <v>#N/A</v>
      </c>
      <c r="S830" s="1">
        <v>43791.159282407411</v>
      </c>
      <c r="T830" s="1">
        <v>43792.2502662037</v>
      </c>
      <c r="U830" s="1">
        <v>43809.424780092595</v>
      </c>
      <c r="W830" s="1">
        <v>43809.424803240741</v>
      </c>
      <c r="X830" t="s">
        <v>2606</v>
      </c>
      <c r="AA830" t="s">
        <v>4746</v>
      </c>
      <c r="AH830" t="s">
        <v>6672</v>
      </c>
      <c r="AI830" t="s">
        <v>6673</v>
      </c>
      <c r="AJ830" t="s">
        <v>6674</v>
      </c>
      <c r="AK830" t="s">
        <v>6675</v>
      </c>
      <c r="AL830" t="s">
        <v>6676</v>
      </c>
      <c r="AM830" t="s">
        <v>6677</v>
      </c>
      <c r="AN830" t="s">
        <v>6678</v>
      </c>
      <c r="AO830" t="s">
        <v>6679</v>
      </c>
      <c r="EC830" t="s">
        <v>6680</v>
      </c>
      <c r="ED830" t="s">
        <v>4837</v>
      </c>
      <c r="EE830" t="str">
        <f>HYPERLINK("https://d33htgqikc2pj4.cloudfront.net/6d318372-9c76-47bb-a441-ca8c39b328a8.jpeg", "Алексей Бирюков: Ссылка на изображение")</f>
        <v>Алексей Бирюков: Ссылка на изображение</v>
      </c>
      <c r="EF830" t="str">
        <f>HYPERLINK("https://d33htgqikc2pj4.cloudfront.net/9c646b7c-c6f2-4be3-bb92-d9aaa0d8faaf.jpeg", "Алексей Бирюков: Ссылка на изображение")</f>
        <v>Алексей Бирюков: Ссылка на изображение</v>
      </c>
      <c r="EG830" t="str">
        <f>HYPERLINK("https://d33htgqikc2pj4.cloudfront.net/e6193777-83de-4819-a14d-98e469cb2905.jpeg", "Алексей Бирюков: Ссылка на изображение")</f>
        <v>Алексей Бирюков: Ссылка на изображение</v>
      </c>
      <c r="EH830" t="str">
        <f>HYPERLINK("https://d33htgqikc2pj4.cloudfront.net/35c8e2d2-c0dd-425e-8edc-326507941cee.jpeg", "Алексей Бирюков: Ссылка на изображение")</f>
        <v>Алексей Бирюков: Ссылка на изображение</v>
      </c>
      <c r="EI830" t="str">
        <f>HYPERLINK("https://d33htgqikc2pj4.cloudfront.net/2e2df488-11f3-4694-a2c5-4d7a2c05a6f2.jpeg", "Алексей Бирюков: Ссылка на изображение")</f>
        <v>Алексей Бирюков: Ссылка на изображение</v>
      </c>
      <c r="EJ830" t="s">
        <v>2617</v>
      </c>
      <c r="EK830" t="str">
        <f>HYPERLINK("https://d33htgqikc2pj4.cloudfront.net/10e1de45-f605-4da4-a2e0-72f7609f33d7.jpeg", "Алексей Бирюков: Ссылка на изображение")</f>
        <v>Алексей Бирюков: Ссылка на изображение</v>
      </c>
      <c r="EL830" t="s">
        <v>6681</v>
      </c>
      <c r="EM830" t="s">
        <v>1900</v>
      </c>
      <c r="EN830" t="s">
        <v>6682</v>
      </c>
      <c r="EO830" t="s">
        <v>1902</v>
      </c>
      <c r="EP830" t="s">
        <v>836</v>
      </c>
    </row>
    <row r="831" spans="1:158" ht="15" customHeight="1" x14ac:dyDescent="0.35">
      <c r="A831">
        <v>383</v>
      </c>
      <c r="B831" t="s">
        <v>6683</v>
      </c>
      <c r="C831">
        <v>2</v>
      </c>
      <c r="D831" t="str">
        <f>VLOOKUP(source[[#This Row],[Приоритет]],тПриоритеты[],2,0)</f>
        <v>Значительное</v>
      </c>
      <c r="E831" t="str">
        <f>IF(ISBLANK(source[[#This Row],[Проверенные]]),IF(ISBLANK(source[[#This Row],[Завершенные]]),source[[#This Row],[Приоритет_]],"Завершено"),"Проверено")</f>
        <v>Проверено</v>
      </c>
      <c r="F831" t="s">
        <v>4423</v>
      </c>
      <c r="G831" t="s">
        <v>1714</v>
      </c>
      <c r="H831" t="e">
        <f>VLOOKUP(source[[#This Row],[Отвественный]],тОтветственные[],2,0)</f>
        <v>#N/A</v>
      </c>
      <c r="I831" s="2">
        <v>43790</v>
      </c>
      <c r="J831" s="2">
        <v>43790</v>
      </c>
      <c r="K831" t="s">
        <v>1720</v>
      </c>
      <c r="L831">
        <v>46.41</v>
      </c>
      <c r="M831">
        <v>19.899999999999999</v>
      </c>
      <c r="Q831" t="s">
        <v>1721</v>
      </c>
      <c r="R831" t="str">
        <f>HYPERLINK("https://d28ji4sm1vmprj.cloudfront.net/c1c1b591ce77c82044efa6b5d6f7663a/cf818dc1bc24c008af413328cec2292d.jpeg", "Ссылка на план")</f>
        <v>Ссылка на план</v>
      </c>
      <c r="S831" s="1">
        <v>43790.463078703702</v>
      </c>
      <c r="T831" s="1">
        <v>43790.732951388891</v>
      </c>
      <c r="U831" s="1">
        <v>43809.424780092595</v>
      </c>
      <c r="W831" s="1">
        <v>43809.424791666665</v>
      </c>
      <c r="EC831" t="s">
        <v>6684</v>
      </c>
      <c r="ED831" t="str">
        <f>HYPERLINK("https://d33htgqikc2pj4.cloudfront.net/a56adb72-d243-40ce-a3e3-40d91a94af7b.jpeg", "Александр Светашов: Ссылка на изображение")</f>
        <v>Александр Светашов: Ссылка на изображение</v>
      </c>
      <c r="EE831" t="str">
        <f>HYPERLINK("https://d33htgqikc2pj4.cloudfront.net/b4f74190-be0a-4b85-9d13-db3ab1f1daa1.jpeg", "Александр Светашов: Ссылка на изображение")</f>
        <v>Александр Светашов: Ссылка на изображение</v>
      </c>
      <c r="EF831" t="str">
        <f>HYPERLINK("https://d33htgqikc2pj4.cloudfront.net/ee2bdb25-292a-4a03-872a-e1204f5f9ae7.jpeg", "Александр Светашов: Ссылка на изображение")</f>
        <v>Александр Светашов: Ссылка на изображение</v>
      </c>
      <c r="EG831" t="str">
        <f>HYPERLINK("https://d33htgqikc2pj4.cloudfront.net/dc99ab3a-c15a-49d1-969b-2bbc0a8e1467.jpeg", "Александр Светашов: Ссылка на изображение")</f>
        <v>Александр Светашов: Ссылка на изображение</v>
      </c>
      <c r="EH831" t="str">
        <f>HYPERLINK("https://d33htgqikc2pj4.cloudfront.net/4df532bd-fa58-4039-a72c-899844feac11.jpeg", "Александр Светашов: Ссылка на изображение")</f>
        <v>Александр Светашов: Ссылка на изображение</v>
      </c>
      <c r="EI831" t="str">
        <f>HYPERLINK("https://d33htgqikc2pj4.cloudfront.net/876a1fe7-4e85-4fda-bbb3-7c0d55ca62d5.jpeg", "Александр Светашов: Ссылка на изображение")</f>
        <v>Александр Светашов: Ссылка на изображение</v>
      </c>
      <c r="EJ831" t="str">
        <f>HYPERLINK("https://d33htgqikc2pj4.cloudfront.net/9f902d98-ce89-46f5-9619-b19a291743a2.jpeg", "Александр Светашов: Ссылка на изображение")</f>
        <v>Александр Светашов: Ссылка на изображение</v>
      </c>
      <c r="EK831" t="str">
        <f>HYPERLINK("https://d33htgqikc2pj4.cloudfront.net/21f1ef49-46c6-419b-9821-c6099fb52cba.jpeg", "Александр Светашов: Ссылка на изображение")</f>
        <v>Александр Светашов: Ссылка на изображение</v>
      </c>
      <c r="EL831" t="str">
        <f>HYPERLINK("https://d33htgqikc2pj4.cloudfront.net/d0441b08-0600-4e73-b7ca-a983df1eac38.jpeg", "Александр Светашов: Ссылка на изображение")</f>
        <v>Александр Светашов: Ссылка на изображение</v>
      </c>
      <c r="EM831" t="str">
        <f>HYPERLINK("https://d33htgqikc2pj4.cloudfront.net/ec6279fb-ac98-4b97-aaf7-fc7a1ac8b4de.jpeg", "Александр Светашов: Ссылка на изображение")</f>
        <v>Александр Светашов: Ссылка на изображение</v>
      </c>
      <c r="EN831" t="str">
        <f>HYPERLINK("https://d33htgqikc2pj4.cloudfront.net/8eebf8d0-8c1d-4355-8336-9e33f78da41b.jpeg", "Александр Светашов: Ссылка на изображение")</f>
        <v>Александр Светашов: Ссылка на изображение</v>
      </c>
      <c r="EO831" t="str">
        <f>HYPERLINK("https://d33htgqikc2pj4.cloudfront.net/edd1a13a-980e-4554-af6c-be4374b382b4.jpeg", "Александр Светашов: Ссылка на изображение")</f>
        <v>Александр Светашов: Ссылка на изображение</v>
      </c>
      <c r="EP831" t="str">
        <f>HYPERLINK("https://d33htgqikc2pj4.cloudfront.net/e4064c73-4853-4caa-bd58-38fed0465ff5.jpeg", "Александр Светашов: Ссылка на изображение")</f>
        <v>Александр Светашов: Ссылка на изображение</v>
      </c>
      <c r="EQ831" t="s">
        <v>1673</v>
      </c>
      <c r="ER831" t="s">
        <v>1767</v>
      </c>
      <c r="ES831" t="s">
        <v>3434</v>
      </c>
      <c r="ET831" t="s">
        <v>6685</v>
      </c>
      <c r="EU831" t="s">
        <v>1703</v>
      </c>
      <c r="EV831" t="s">
        <v>836</v>
      </c>
    </row>
    <row r="832" spans="1:158" ht="15" customHeight="1" x14ac:dyDescent="0.35">
      <c r="A832">
        <v>582</v>
      </c>
      <c r="B832" t="s">
        <v>6686</v>
      </c>
      <c r="C832">
        <v>2</v>
      </c>
      <c r="D832" t="str">
        <f>VLOOKUP(source[[#This Row],[Приоритет]],тПриоритеты[],2,0)</f>
        <v>Значительное</v>
      </c>
      <c r="E832" t="str">
        <f>IF(ISBLANK(source[[#This Row],[Проверенные]]),IF(ISBLANK(source[[#This Row],[Завершенные]]),source[[#This Row],[Приоритет_]],"Завершено"),"Проверено")</f>
        <v>Проверено</v>
      </c>
      <c r="F832" t="s">
        <v>4423</v>
      </c>
      <c r="G832" t="s">
        <v>1714</v>
      </c>
      <c r="H832" t="e">
        <f>VLOOKUP(source[[#This Row],[Отвественный]],тОтветственные[],2,0)</f>
        <v>#N/A</v>
      </c>
      <c r="I832" s="2">
        <v>43809</v>
      </c>
      <c r="J832" s="2">
        <v>43809</v>
      </c>
      <c r="K832" t="s">
        <v>1695</v>
      </c>
      <c r="L832">
        <v>7.08</v>
      </c>
      <c r="M832">
        <v>16.84</v>
      </c>
      <c r="Q832" t="s">
        <v>1696</v>
      </c>
      <c r="R832" t="str">
        <f>HYPERLINK("https://d28ji4sm1vmprj.cloudfront.net/ae1b9da1b8d7f5336d12f9bd78b659a4/35f68b92eee726bc006589ba1c51b72c.jpeg", "Ссылка на план")</f>
        <v>Ссылка на план</v>
      </c>
      <c r="S832" s="1">
        <v>43809.621215277781</v>
      </c>
      <c r="T832" s="1">
        <v>43811.363680555558</v>
      </c>
      <c r="U832" s="1">
        <v>43811.379594907405</v>
      </c>
      <c r="W832" s="1">
        <v>43811.379606481481</v>
      </c>
      <c r="AH832" t="s">
        <v>6687</v>
      </c>
      <c r="AI832" t="s">
        <v>6688</v>
      </c>
      <c r="EC832" t="s">
        <v>6689</v>
      </c>
      <c r="ED832" t="str">
        <f>HYPERLINK("https://d33htgqikc2pj4.cloudfront.net/15f05578-96e7-4c8c-90c7-a9d8fb78e5d4.jpeg", "Александр Светашов: Ссылка на изображение")</f>
        <v>Александр Светашов: Ссылка на изображение</v>
      </c>
      <c r="EE832" t="str">
        <f>HYPERLINK("https://d33htgqikc2pj4.cloudfront.net/2260f276-a033-4f55-a1d5-35adf3a917c1.jpeg", "Александр Светашов: Ссылка на изображение")</f>
        <v>Александр Светашов: Ссылка на изображение</v>
      </c>
      <c r="EF832" t="str">
        <f>HYPERLINK("https://d33htgqikc2pj4.cloudfront.net/53a0ad9d-2b72-4fe6-bfba-7bf9631f9ad3.jpeg", "Александр Светашов: Ссылка на изображение")</f>
        <v>Александр Светашов: Ссылка на изображение</v>
      </c>
      <c r="EG832" t="str">
        <f>HYPERLINK("https://d33htgqikc2pj4.cloudfront.net/5366f693-3cbd-4594-8167-f831acf7d49c.jpeg", "Александр Светашов: Ссылка на изображение")</f>
        <v>Александр Светашов: Ссылка на изображение</v>
      </c>
      <c r="EH832" t="str">
        <f>HYPERLINK("https://d33htgqikc2pj4.cloudfront.net/b6f61427-421b-456e-abdc-37327595fff2.jpeg", "Александр Светашов: Ссылка на изображение")</f>
        <v>Александр Светашов: Ссылка на изображение</v>
      </c>
      <c r="EI832" t="str">
        <f>HYPERLINK("https://d33htgqikc2pj4.cloudfront.net/1b102a6e-fd7e-4600-8b71-b23c8274c193.jpeg", "Александр Светашов: Ссылка на изображение")</f>
        <v>Александр Светашов: Ссылка на изображение</v>
      </c>
      <c r="EJ832" t="s">
        <v>1717</v>
      </c>
      <c r="EK832" t="s">
        <v>2309</v>
      </c>
      <c r="EL832" t="s">
        <v>3434</v>
      </c>
      <c r="EM832" t="s">
        <v>6690</v>
      </c>
      <c r="EN832" t="s">
        <v>6691</v>
      </c>
      <c r="EO832" t="s">
        <v>1742</v>
      </c>
      <c r="EP832" t="s">
        <v>794</v>
      </c>
    </row>
    <row r="833" spans="1:150" ht="15" customHeight="1" x14ac:dyDescent="0.35">
      <c r="A833">
        <v>836</v>
      </c>
      <c r="B833" t="s">
        <v>6692</v>
      </c>
      <c r="C833">
        <v>2</v>
      </c>
      <c r="D833" t="str">
        <f>VLOOKUP(source[[#This Row],[Приоритет]],тПриоритеты[],2,0)</f>
        <v>Значительное</v>
      </c>
      <c r="E833" t="str">
        <f>IF(ISBLANK(source[[#This Row],[Проверенные]]),IF(ISBLANK(source[[#This Row],[Завершенные]]),source[[#This Row],[Приоритет_]],"Завершено"),"Проверено")</f>
        <v>Проверено</v>
      </c>
      <c r="F833" t="s">
        <v>4423</v>
      </c>
      <c r="G833" t="s">
        <v>1714</v>
      </c>
      <c r="H833" t="e">
        <f>VLOOKUP(source[[#This Row],[Отвественный]],тОтветственные[],2,0)</f>
        <v>#N/A</v>
      </c>
      <c r="I833" s="2">
        <v>43833</v>
      </c>
      <c r="J833" s="2">
        <v>43833</v>
      </c>
      <c r="S833" s="1">
        <v>43833.711469907408</v>
      </c>
      <c r="T833" s="1">
        <v>43833.783310185187</v>
      </c>
      <c r="U833" s="1">
        <v>43833.783310185187</v>
      </c>
      <c r="W833" s="1">
        <v>43833.783495370371</v>
      </c>
      <c r="X833" t="s">
        <v>3339</v>
      </c>
      <c r="AH833" t="s">
        <v>6693</v>
      </c>
      <c r="AI833" t="s">
        <v>6694</v>
      </c>
      <c r="AJ833" t="s">
        <v>6695</v>
      </c>
      <c r="AK833" t="s">
        <v>6696</v>
      </c>
      <c r="AL833" t="s">
        <v>6697</v>
      </c>
      <c r="AM833" t="s">
        <v>6698</v>
      </c>
      <c r="AN833" t="s">
        <v>6699</v>
      </c>
      <c r="EC833" t="s">
        <v>6700</v>
      </c>
      <c r="ED833" t="str">
        <f>HYPERLINK("https://d33htgqikc2pj4.cloudfront.net/qvHDimMUqxZcQnsj/ab5ede7e-851f-4692-a621-35c6ca85ca7a.jpeg", "Вячеслав Сорокин: Ссылка на изображение")</f>
        <v>Вячеслав Сорокин: Ссылка на изображение</v>
      </c>
      <c r="EE833" t="s">
        <v>6701</v>
      </c>
      <c r="EF833" t="s">
        <v>6702</v>
      </c>
      <c r="EG833" t="s">
        <v>265</v>
      </c>
      <c r="EH833" t="s">
        <v>3441</v>
      </c>
      <c r="EI833" t="s">
        <v>6648</v>
      </c>
      <c r="EJ833" t="s">
        <v>6703</v>
      </c>
    </row>
    <row r="834" spans="1:150" ht="15" customHeight="1" x14ac:dyDescent="0.35">
      <c r="A834">
        <v>835</v>
      </c>
      <c r="B834" t="s">
        <v>6704</v>
      </c>
      <c r="C834">
        <v>2</v>
      </c>
      <c r="D834" t="str">
        <f>VLOOKUP(source[[#This Row],[Приоритет]],тПриоритеты[],2,0)</f>
        <v>Значительное</v>
      </c>
      <c r="E834" t="str">
        <f>IF(ISBLANK(source[[#This Row],[Проверенные]]),IF(ISBLANK(source[[#This Row],[Завершенные]]),source[[#This Row],[Приоритет_]],"Завершено"),"Проверено")</f>
        <v>Проверено</v>
      </c>
      <c r="F834" t="s">
        <v>4423</v>
      </c>
      <c r="G834" t="s">
        <v>1714</v>
      </c>
      <c r="H834" t="e">
        <f>VLOOKUP(source[[#This Row],[Отвественный]],тОтветственные[],2,0)</f>
        <v>#N/A</v>
      </c>
      <c r="I834" s="2">
        <v>43833</v>
      </c>
      <c r="J834" s="2">
        <v>43833</v>
      </c>
      <c r="S834" s="1">
        <v>43833.711469907408</v>
      </c>
      <c r="T834" s="1">
        <v>43833.778796296298</v>
      </c>
      <c r="U834" s="1">
        <v>43833.778796296298</v>
      </c>
      <c r="W834" s="1">
        <v>43833.77915509259</v>
      </c>
      <c r="EC834" t="s">
        <v>6705</v>
      </c>
      <c r="ED834" t="str">
        <f>HYPERLINK("https://d33htgqikc2pj4.cloudfront.net/qvHDimMUqxZcQnsj/f2392886-2ccc-4d22-b854-d580ee18d367.jpeg", "Вячеслав Сорокин: Ссылка на изображение")</f>
        <v>Вячеслав Сорокин: Ссылка на изображение</v>
      </c>
      <c r="EE834" t="s">
        <v>6706</v>
      </c>
      <c r="EF834" t="s">
        <v>6707</v>
      </c>
      <c r="EG834" t="s">
        <v>265</v>
      </c>
      <c r="EH834" t="s">
        <v>3441</v>
      </c>
      <c r="EI834" t="s">
        <v>6648</v>
      </c>
      <c r="EJ834" t="s">
        <v>6703</v>
      </c>
    </row>
    <row r="835" spans="1:150" ht="15" customHeight="1" x14ac:dyDescent="0.35">
      <c r="A835">
        <v>357</v>
      </c>
      <c r="B835" t="s">
        <v>6708</v>
      </c>
      <c r="C835">
        <v>2</v>
      </c>
      <c r="D835" t="str">
        <f>VLOOKUP(source[[#This Row],[Приоритет]],тПриоритеты[],2,0)</f>
        <v>Значительное</v>
      </c>
      <c r="E835" t="str">
        <f>IF(ISBLANK(source[[#This Row],[Проверенные]]),IF(ISBLANK(source[[#This Row],[Завершенные]]),source[[#This Row],[Приоритет_]],"Завершено"),"Проверено")</f>
        <v>Проверено</v>
      </c>
      <c r="F835" t="s">
        <v>4423</v>
      </c>
      <c r="G835" t="s">
        <v>1714</v>
      </c>
      <c r="H835" t="e">
        <f>VLOOKUP(source[[#This Row],[Отвественный]],тОтветственные[],2,0)</f>
        <v>#N/A</v>
      </c>
      <c r="I835" s="2">
        <v>43788</v>
      </c>
      <c r="J835" s="2">
        <v>43788</v>
      </c>
      <c r="K835" t="s">
        <v>1720</v>
      </c>
      <c r="L835">
        <v>6.7</v>
      </c>
      <c r="M835">
        <v>31.78</v>
      </c>
      <c r="Q835" t="s">
        <v>1721</v>
      </c>
      <c r="R835" t="str">
        <f>HYPERLINK("https://d28ji4sm1vmprj.cloudfront.net/c1c1b591ce77c82044efa6b5d6f7663a/cf818dc1bc24c008af413328cec2292d.jpeg", "Ссылка на план")</f>
        <v>Ссылка на план</v>
      </c>
      <c r="S835" s="1">
        <v>43788.704155092593</v>
      </c>
      <c r="T835" s="1">
        <v>43788.718912037039</v>
      </c>
      <c r="U835" s="1">
        <v>43809.424780092595</v>
      </c>
      <c r="W835" s="1">
        <v>43809.424791666665</v>
      </c>
      <c r="X835" t="s">
        <v>461</v>
      </c>
      <c r="AH835" t="s">
        <v>6709</v>
      </c>
      <c r="AI835" t="s">
        <v>6710</v>
      </c>
      <c r="EC835" t="s">
        <v>6711</v>
      </c>
      <c r="ED835" t="str">
        <f>HYPERLINK("https://d33htgqikc2pj4.cloudfront.net/84ff20a4-21fe-4041-bd47-845082bccea8.jpeg", "Александр Светашов: Ссылка на изображение")</f>
        <v>Александр Светашов: Ссылка на изображение</v>
      </c>
      <c r="EE835" t="str">
        <f>HYPERLINK("https://d33htgqikc2pj4.cloudfront.net/82511776-432c-4aa4-9bcf-1139b2915f12.jpeg", "Александр Светашов: Ссылка на изображение")</f>
        <v>Александр Светашов: Ссылка на изображение</v>
      </c>
      <c r="EF835" t="str">
        <f>HYPERLINK("https://d33htgqikc2pj4.cloudfront.net/8e06d0dc-c50f-444e-9958-1f1080d94825.jpeg", "Александр Светашов: Ссылка на изображение")</f>
        <v>Александр Светашов: Ссылка на изображение</v>
      </c>
      <c r="EG835" t="str">
        <f>HYPERLINK("https://d33htgqikc2pj4.cloudfront.net/66ccf464-2121-4fdd-ac04-98924ecc0e0d.jpeg", "Александр Светашов: Ссылка на изображение")</f>
        <v>Александр Светашов: Ссылка на изображение</v>
      </c>
      <c r="EH835" t="str">
        <f>HYPERLINK("https://d33htgqikc2pj4.cloudfront.net/8193f770-8c01-40c7-9f75-4206d0a1c8e8.jpeg", "Александр Светашов: Ссылка на изображение")</f>
        <v>Александр Светашов: Ссылка на изображение</v>
      </c>
      <c r="EI835" t="str">
        <f>HYPERLINK("https://d33htgqikc2pj4.cloudfront.net/b85f18d8-9245-49f5-8527-9ee148fd735f.jpeg", "Александр Светашов: Ссылка на изображение")</f>
        <v>Александр Светашов: Ссылка на изображение</v>
      </c>
      <c r="EJ835" t="s">
        <v>1767</v>
      </c>
      <c r="EK835" t="s">
        <v>2923</v>
      </c>
      <c r="EL835" t="s">
        <v>3434</v>
      </c>
      <c r="EM835" t="s">
        <v>6712</v>
      </c>
      <c r="EN835" t="s">
        <v>1703</v>
      </c>
      <c r="EO835" t="s">
        <v>836</v>
      </c>
      <c r="EP835" t="s">
        <v>6713</v>
      </c>
    </row>
    <row r="836" spans="1:150" ht="15" customHeight="1" x14ac:dyDescent="0.35">
      <c r="A836">
        <v>356</v>
      </c>
      <c r="B836" t="s">
        <v>6708</v>
      </c>
      <c r="C836">
        <v>2</v>
      </c>
      <c r="D836" t="str">
        <f>VLOOKUP(source[[#This Row],[Приоритет]],тПриоритеты[],2,0)</f>
        <v>Значительное</v>
      </c>
      <c r="E836" t="str">
        <f>IF(ISBLANK(source[[#This Row],[Проверенные]]),IF(ISBLANK(source[[#This Row],[Завершенные]]),source[[#This Row],[Приоритет_]],"Завершено"),"Проверено")</f>
        <v>Проверено</v>
      </c>
      <c r="F836" t="s">
        <v>4423</v>
      </c>
      <c r="G836" t="s">
        <v>1714</v>
      </c>
      <c r="H836" t="e">
        <f>VLOOKUP(source[[#This Row],[Отвественный]],тОтветственные[],2,0)</f>
        <v>#N/A</v>
      </c>
      <c r="I836" s="2">
        <v>43788</v>
      </c>
      <c r="J836" s="2">
        <v>43788</v>
      </c>
      <c r="K836" t="s">
        <v>1720</v>
      </c>
      <c r="L836">
        <v>6.73</v>
      </c>
      <c r="M836">
        <v>23.62</v>
      </c>
      <c r="Q836" t="s">
        <v>1721</v>
      </c>
      <c r="R836" t="str">
        <f>HYPERLINK("https://d28ji4sm1vmprj.cloudfront.net/c1c1b591ce77c82044efa6b5d6f7663a/cf818dc1bc24c008af413328cec2292d.jpeg", "Ссылка на план")</f>
        <v>Ссылка на план</v>
      </c>
      <c r="S836" s="1">
        <v>43788.700624999998</v>
      </c>
      <c r="T836" s="1">
        <v>43788.718888888892</v>
      </c>
      <c r="U836" s="1">
        <v>43809.424780092595</v>
      </c>
      <c r="W836" s="1">
        <v>43809.424791666665</v>
      </c>
      <c r="X836" t="s">
        <v>461</v>
      </c>
      <c r="AH836" t="s">
        <v>6714</v>
      </c>
      <c r="EC836" t="s">
        <v>6711</v>
      </c>
      <c r="ED836" t="str">
        <f>HYPERLINK("https://d33htgqikc2pj4.cloudfront.net/7b7a22fe-b6e4-4872-abac-ec762f7b53ce.jpeg", "Александр Светашов: Ссылка на изображение")</f>
        <v>Александр Светашов: Ссылка на изображение</v>
      </c>
      <c r="EE836" t="str">
        <f>HYPERLINK("https://d33htgqikc2pj4.cloudfront.net/a30a64fb-dece-4fd7-b434-15a73ae52224.jpeg", "Александр Светашов: Ссылка на изображение")</f>
        <v>Александр Светашов: Ссылка на изображение</v>
      </c>
      <c r="EF836" t="str">
        <f>HYPERLINK("https://d33htgqikc2pj4.cloudfront.net/8455d770-e110-479a-810e-129b2d9432b2.jpeg", "Александр Светашов: Ссылка на изображение")</f>
        <v>Александр Светашов: Ссылка на изображение</v>
      </c>
      <c r="EG836" t="str">
        <f>HYPERLINK("https://d33htgqikc2pj4.cloudfront.net/fbd9257e-6ae3-49a2-ae87-9380e562e718.jpeg", "Александр Светашов: Ссылка на изображение")</f>
        <v>Александр Светашов: Ссылка на изображение</v>
      </c>
      <c r="EH836" t="str">
        <f>HYPERLINK("https://d33htgqikc2pj4.cloudfront.net/f0efae7f-7f9b-4546-948c-30ff499ad3ab.jpeg", "Александр Светашов: Ссылка на изображение")</f>
        <v>Александр Светашов: Ссылка на изображение</v>
      </c>
      <c r="EI836" t="s">
        <v>1767</v>
      </c>
      <c r="EJ836" t="s">
        <v>2923</v>
      </c>
      <c r="EK836" t="s">
        <v>3434</v>
      </c>
      <c r="EL836" t="s">
        <v>6712</v>
      </c>
      <c r="EM836" t="s">
        <v>1703</v>
      </c>
      <c r="EN836" t="s">
        <v>836</v>
      </c>
    </row>
    <row r="837" spans="1:150" ht="15" customHeight="1" x14ac:dyDescent="0.35">
      <c r="A837">
        <v>975</v>
      </c>
      <c r="B837" t="s">
        <v>6715</v>
      </c>
      <c r="C837">
        <v>2</v>
      </c>
      <c r="D837" t="str">
        <f>VLOOKUP(source[[#This Row],[Приоритет]],тПриоритеты[],2,0)</f>
        <v>Значительное</v>
      </c>
      <c r="E837" t="str">
        <f>IF(ISBLANK(source[[#This Row],[Проверенные]]),IF(ISBLANK(source[[#This Row],[Завершенные]]),source[[#This Row],[Приоритет_]],"Завершено"),"Проверено")</f>
        <v>Проверено</v>
      </c>
      <c r="F837" t="s">
        <v>4423</v>
      </c>
      <c r="G837" t="s">
        <v>1714</v>
      </c>
      <c r="H837" t="e">
        <f>VLOOKUP(source[[#This Row],[Отвественный]],тОтветственные[],2,0)</f>
        <v>#N/A</v>
      </c>
      <c r="I837" s="2">
        <v>43851</v>
      </c>
      <c r="J837" s="2">
        <v>43851</v>
      </c>
      <c r="K837" t="s">
        <v>1720</v>
      </c>
      <c r="L837">
        <v>46.07</v>
      </c>
      <c r="M837">
        <v>48.25</v>
      </c>
      <c r="Q837" t="s">
        <v>1721</v>
      </c>
      <c r="R837" t="str">
        <f>HYPERLINK("https://d28ji4sm1vmprj.cloudfront.net/c1c1b591ce77c82044efa6b5d6f7663a/cf818dc1bc24c008af413328cec2292d.jpeg", "Ссылка на план")</f>
        <v>Ссылка на план</v>
      </c>
      <c r="S837" s="1">
        <v>43851.436469907407</v>
      </c>
      <c r="T837" s="1">
        <v>43851.437418981484</v>
      </c>
      <c r="U837" s="1">
        <v>43851.437418981484</v>
      </c>
      <c r="W837" s="1">
        <v>43851.437430555554</v>
      </c>
      <c r="EC837" t="s">
        <v>6716</v>
      </c>
      <c r="ED837" t="str">
        <f>HYPERLINK("https://d33htgqikc2pj4.cloudfront.net/3fbbfc27-4536-4c86-a0f6-9ab6252a6512.jpeg", "Александр Светашов: Ссылка на изображение")</f>
        <v>Александр Светашов: Ссылка на изображение</v>
      </c>
      <c r="EE837" t="str">
        <f>HYPERLINK("https://d33htgqikc2pj4.cloudfront.net/4cc0086d-66f3-4c38-b076-a353ebad7a5d.jpeg", "Александр Светашов: Ссылка на изображение")</f>
        <v>Александр Светашов: Ссылка на изображение</v>
      </c>
      <c r="EF837" t="str">
        <f>HYPERLINK("https://d33htgqikc2pj4.cloudfront.net/dc3f94b7-14fc-4903-b999-eae51a6c938c.jpeg", "Александр Светашов: Ссылка на изображение")</f>
        <v>Александр Светашов: Ссылка на изображение</v>
      </c>
      <c r="EG837" t="str">
        <f>HYPERLINK("https://d33htgqikc2pj4.cloudfront.net/2c57b119-7e5a-48f5-89e3-4dd35d60e1f3.jpeg", "Александр Светашов: Ссылка на изображение")</f>
        <v>Александр Светашов: Ссылка на изображение</v>
      </c>
      <c r="EH837" t="s">
        <v>2163</v>
      </c>
      <c r="EI837" t="s">
        <v>3434</v>
      </c>
      <c r="EJ837" t="s">
        <v>1717</v>
      </c>
      <c r="EK837" t="s">
        <v>794</v>
      </c>
    </row>
    <row r="838" spans="1:150" ht="15" customHeight="1" x14ac:dyDescent="0.35">
      <c r="A838">
        <v>1216</v>
      </c>
      <c r="B838" t="s">
        <v>6717</v>
      </c>
      <c r="C838">
        <v>2</v>
      </c>
      <c r="D838" t="str">
        <f>VLOOKUP(source[[#This Row],[Приоритет]],тПриоритеты[],2,0)</f>
        <v>Значительное</v>
      </c>
      <c r="E838" t="str">
        <f>IF(ISBLANK(source[[#This Row],[Проверенные]]),IF(ISBLANK(source[[#This Row],[Завершенные]]),source[[#This Row],[Приоритет_]],"Завершено"),"Проверено")</f>
        <v>Завершено</v>
      </c>
      <c r="F838" t="s">
        <v>4423</v>
      </c>
      <c r="G838" t="s">
        <v>269</v>
      </c>
      <c r="H838" t="e">
        <f>VLOOKUP(source[[#This Row],[Отвественный]],тОтветственные[],2,0)</f>
        <v>#N/A</v>
      </c>
      <c r="I838" s="2">
        <v>43867</v>
      </c>
      <c r="J838" s="2">
        <v>43868</v>
      </c>
      <c r="S838" s="1">
        <v>43867.577581018515</v>
      </c>
      <c r="T838" s="1">
        <v>43871.398784722223</v>
      </c>
      <c r="W838" s="1">
        <v>43871.398796296293</v>
      </c>
      <c r="EC838" t="str">
        <f>HYPERLINK("https://d33htgqikc2pj4.cloudfront.net/38e6b89f-6763-49d3-9d53-3cea2446e66b.jpeg", "Вячеслав Сорокин: Ссылка на изображение")</f>
        <v>Вячеслав Сорокин: Ссылка на изображение</v>
      </c>
      <c r="ED838" t="str">
        <f>HYPERLINK("https://d33htgqikc2pj4.cloudfront.net/7bef7cf3-779f-4bc1-8d64-8310330aade8.jpeg", "Вячеслав Сорокин: Ссылка на изображение")</f>
        <v>Вячеслав Сорокин: Ссылка на изображение</v>
      </c>
      <c r="EE838" t="str">
        <f>HYPERLINK("https://d33htgqikc2pj4.cloudfront.net/53136e84-53ae-40f1-af29-2f9b6baac459.jpeg", "Вячеслав Сорокин: Ссылка на изображение")</f>
        <v>Вячеслав Сорокин: Ссылка на изображение</v>
      </c>
      <c r="EF838" t="s">
        <v>6718</v>
      </c>
      <c r="EG838" t="s">
        <v>3401</v>
      </c>
      <c r="EH838" t="s">
        <v>3441</v>
      </c>
      <c r="EI838" t="s">
        <v>3402</v>
      </c>
      <c r="EJ838" t="s">
        <v>6719</v>
      </c>
      <c r="EK838" t="s">
        <v>6720</v>
      </c>
      <c r="EL838" t="s">
        <v>275</v>
      </c>
    </row>
    <row r="839" spans="1:150" ht="15" customHeight="1" x14ac:dyDescent="0.35">
      <c r="A839">
        <v>689</v>
      </c>
      <c r="B839" t="s">
        <v>6721</v>
      </c>
      <c r="C839">
        <v>2</v>
      </c>
      <c r="D839" t="str">
        <f>VLOOKUP(source[[#This Row],[Приоритет]],тПриоритеты[],2,0)</f>
        <v>Значительное</v>
      </c>
      <c r="E839" t="str">
        <f>IF(ISBLANK(source[[#This Row],[Проверенные]]),IF(ISBLANK(source[[#This Row],[Завершенные]]),source[[#This Row],[Приоритет_]],"Завершено"),"Проверено")</f>
        <v>Проверено</v>
      </c>
      <c r="F839" t="s">
        <v>4423</v>
      </c>
      <c r="G839" t="s">
        <v>269</v>
      </c>
      <c r="H839" t="e">
        <f>VLOOKUP(source[[#This Row],[Отвественный]],тОтветственные[],2,0)</f>
        <v>#N/A</v>
      </c>
      <c r="I839" s="2">
        <v>43819</v>
      </c>
      <c r="J839" s="2">
        <v>43819</v>
      </c>
      <c r="K839" t="s">
        <v>788</v>
      </c>
      <c r="L839">
        <v>41.26</v>
      </c>
      <c r="M839">
        <v>39.799999999999997</v>
      </c>
      <c r="Q839" t="s">
        <v>789</v>
      </c>
      <c r="R839" t="str">
        <f>HYPERLINK("https://d28ji4sm1vmprj.cloudfront.net/26de85bafe7c23f70cb88c56be016d87/3e17f1a1b4b7b77b7e9e8d2d30fe0863.jpeg", "Ссылка на план")</f>
        <v>Ссылка на план</v>
      </c>
      <c r="S839" s="1">
        <v>43819.453344907408</v>
      </c>
      <c r="T839" s="1">
        <v>43821.75953703704</v>
      </c>
      <c r="U839" s="1">
        <v>43821.75953703704</v>
      </c>
      <c r="W839" s="1">
        <v>43821.759560185186</v>
      </c>
      <c r="EC839" t="s">
        <v>6722</v>
      </c>
      <c r="ED839" t="str">
        <f>HYPERLINK("https://d33htgqikc2pj4.cloudfront.net/ad89b102-8f40-4f7e-8866-38e91ee679a7.jpeg", "Александр Светашов: Ссылка на изображение")</f>
        <v>Александр Светашов: Ссылка на изображение</v>
      </c>
      <c r="EE839" t="str">
        <f>HYPERLINK("https://d33htgqikc2pj4.cloudfront.net/c180a542-3c52-481d-ac4a-6031c3b806c4.jpeg", "Александр Светашов: Ссылка на изображение")</f>
        <v>Александр Светашов: Ссылка на изображение</v>
      </c>
      <c r="EF839" t="str">
        <f>HYPERLINK("https://d33htgqikc2pj4.cloudfront.net/1e10eab9-b2bd-4c48-a767-78b2e1489eac.jpeg", "Александр Светашов: Ссылка на изображение")</f>
        <v>Александр Светашов: Ссылка на изображение</v>
      </c>
      <c r="EG839" t="str">
        <f>HYPERLINK("https://d33htgqikc2pj4.cloudfront.net/c5b3dda9-c81d-402f-9043-328b012e7124.jpeg", "Александр Светашов: Ссылка на изображение")</f>
        <v>Александр Светашов: Ссылка на изображение</v>
      </c>
      <c r="EH839" t="str">
        <f>HYPERLINK("https://d33htgqikc2pj4.cloudfront.net/ee71dab0-c73a-46d7-80cc-7927f6d08415.jpeg", "Александр Светашов: Ссылка на изображение")</f>
        <v>Александр Светашов: Ссылка на изображение</v>
      </c>
      <c r="EI839" t="str">
        <f>HYPERLINK("https://d33htgqikc2pj4.cloudfront.net/fe493094-5520-4cbe-bf04-866e9af053d1.jpeg", "Александр Светашов: Ссылка на изображение")</f>
        <v>Александр Светашов: Ссылка на изображение</v>
      </c>
      <c r="EJ839" t="str">
        <f>HYPERLINK("https://d33htgqikc2pj4.cloudfront.net/9675e81e-929a-495a-8613-e5e0af4b4040.jpeg", "Александр Светашов: Ссылка на изображение")</f>
        <v>Александр Светашов: Ссылка на изображение</v>
      </c>
      <c r="EK839" t="str">
        <f>HYPERLINK("https://d33htgqikc2pj4.cloudfront.net/68917326-d6e2-4e56-912f-04497b019529.jpeg", "Александр Светашов: Ссылка на изображение")</f>
        <v>Александр Светашов: Ссылка на изображение</v>
      </c>
      <c r="EL839" t="str">
        <f>HYPERLINK("https://d33htgqikc2pj4.cloudfront.net/5d3f1f11-e9b0-4d90-9f6b-3f0673e505e4.jpeg", "Александр Светашов: Ссылка на изображение")</f>
        <v>Александр Светашов: Ссылка на изображение</v>
      </c>
      <c r="EM839" t="s">
        <v>1673</v>
      </c>
      <c r="EN839" t="s">
        <v>3434</v>
      </c>
      <c r="EO839" t="s">
        <v>793</v>
      </c>
      <c r="EP839" t="s">
        <v>794</v>
      </c>
    </row>
    <row r="840" spans="1:150" ht="15" customHeight="1" x14ac:dyDescent="0.35">
      <c r="A840">
        <v>695</v>
      </c>
      <c r="B840" t="s">
        <v>6723</v>
      </c>
      <c r="C840">
        <v>2</v>
      </c>
      <c r="D840" t="str">
        <f>VLOOKUP(source[[#This Row],[Приоритет]],тПриоритеты[],2,0)</f>
        <v>Значительное</v>
      </c>
      <c r="E840" t="str">
        <f>IF(ISBLANK(source[[#This Row],[Проверенные]]),IF(ISBLANK(source[[#This Row],[Завершенные]]),source[[#This Row],[Приоритет_]],"Завершено"),"Проверено")</f>
        <v>Проверено</v>
      </c>
      <c r="F840" t="s">
        <v>4423</v>
      </c>
      <c r="G840" t="s">
        <v>269</v>
      </c>
      <c r="H840" t="e">
        <f>VLOOKUP(source[[#This Row],[Отвественный]],тОтветственные[],2,0)</f>
        <v>#N/A</v>
      </c>
      <c r="I840" s="2">
        <v>43819</v>
      </c>
      <c r="J840" s="2">
        <v>43819</v>
      </c>
      <c r="S840" s="1">
        <v>43819.766550925924</v>
      </c>
      <c r="T840" s="1">
        <v>43819.767280092594</v>
      </c>
      <c r="U840" s="1">
        <v>43819.767280092594</v>
      </c>
      <c r="W840" s="1">
        <v>43819.767546296294</v>
      </c>
      <c r="X840" t="s">
        <v>191</v>
      </c>
      <c r="AH840" t="s">
        <v>6724</v>
      </c>
      <c r="AI840" t="s">
        <v>6725</v>
      </c>
      <c r="AJ840" t="s">
        <v>6726</v>
      </c>
      <c r="AK840" t="s">
        <v>6727</v>
      </c>
      <c r="AL840" t="s">
        <v>6728</v>
      </c>
      <c r="AM840" t="s">
        <v>6729</v>
      </c>
      <c r="AN840" t="s">
        <v>6730</v>
      </c>
      <c r="AO840" t="s">
        <v>6731</v>
      </c>
      <c r="AP840" t="s">
        <v>6732</v>
      </c>
      <c r="AQ840" t="s">
        <v>6733</v>
      </c>
      <c r="AR840" t="s">
        <v>6734</v>
      </c>
      <c r="AS840" t="s">
        <v>6735</v>
      </c>
      <c r="AT840" t="s">
        <v>6736</v>
      </c>
      <c r="AU840" t="s">
        <v>6737</v>
      </c>
      <c r="AV840" t="s">
        <v>6738</v>
      </c>
      <c r="AW840" t="s">
        <v>6739</v>
      </c>
      <c r="AX840" t="s">
        <v>6740</v>
      </c>
      <c r="AY840" t="s">
        <v>6741</v>
      </c>
      <c r="EC840" t="s">
        <v>6742</v>
      </c>
      <c r="ED840" t="s">
        <v>218</v>
      </c>
      <c r="EE840" t="s">
        <v>6743</v>
      </c>
      <c r="EF840" t="s">
        <v>1969</v>
      </c>
    </row>
    <row r="841" spans="1:150" ht="15" customHeight="1" x14ac:dyDescent="0.35">
      <c r="A841">
        <v>694</v>
      </c>
      <c r="B841" t="s">
        <v>6744</v>
      </c>
      <c r="C841">
        <v>2</v>
      </c>
      <c r="D841" t="str">
        <f>VLOOKUP(source[[#This Row],[Приоритет]],тПриоритеты[],2,0)</f>
        <v>Значительное</v>
      </c>
      <c r="E841" t="str">
        <f>IF(ISBLANK(source[[#This Row],[Проверенные]]),IF(ISBLANK(source[[#This Row],[Завершенные]]),source[[#This Row],[Приоритет_]],"Завершено"),"Проверено")</f>
        <v>Проверено</v>
      </c>
      <c r="F841" t="s">
        <v>4423</v>
      </c>
      <c r="G841" t="s">
        <v>269</v>
      </c>
      <c r="H841" t="e">
        <f>VLOOKUP(source[[#This Row],[Отвественный]],тОтветственные[],2,0)</f>
        <v>#N/A</v>
      </c>
      <c r="I841" s="2">
        <v>43819</v>
      </c>
      <c r="J841" s="2">
        <v>43819</v>
      </c>
      <c r="S841" s="1">
        <v>43819.764930555553</v>
      </c>
      <c r="T841" s="1">
        <v>43819.765520833331</v>
      </c>
      <c r="U841" s="1">
        <v>43819.765520833331</v>
      </c>
      <c r="W841" s="1">
        <v>43819.76902777778</v>
      </c>
      <c r="EC841" t="s">
        <v>6745</v>
      </c>
      <c r="ED841" t="s">
        <v>218</v>
      </c>
      <c r="EE841" t="s">
        <v>6743</v>
      </c>
      <c r="EF841" t="s">
        <v>6746</v>
      </c>
      <c r="EG841" t="s">
        <v>1969</v>
      </c>
    </row>
    <row r="842" spans="1:150" ht="15" customHeight="1" x14ac:dyDescent="0.35">
      <c r="A842">
        <v>454</v>
      </c>
      <c r="B842" t="s">
        <v>6747</v>
      </c>
      <c r="C842">
        <v>2</v>
      </c>
      <c r="D842" t="str">
        <f>VLOOKUP(source[[#This Row],[Приоритет]],тПриоритеты[],2,0)</f>
        <v>Значительное</v>
      </c>
      <c r="E842" t="str">
        <f>IF(ISBLANK(source[[#This Row],[Проверенные]]),IF(ISBLANK(source[[#This Row],[Завершенные]]),source[[#This Row],[Приоритет_]],"Завершено"),"Проверено")</f>
        <v>Проверено</v>
      </c>
      <c r="F842" t="s">
        <v>4423</v>
      </c>
      <c r="G842" t="s">
        <v>269</v>
      </c>
      <c r="H842" t="e">
        <f>VLOOKUP(source[[#This Row],[Отвественный]],тОтветственные[],2,0)</f>
        <v>#N/A</v>
      </c>
      <c r="I842" s="2">
        <v>43796</v>
      </c>
      <c r="J842" s="2">
        <v>43797</v>
      </c>
      <c r="K842" t="s">
        <v>6337</v>
      </c>
      <c r="L842">
        <v>0</v>
      </c>
      <c r="M842">
        <v>0</v>
      </c>
      <c r="Q842" t="s">
        <v>6338</v>
      </c>
      <c r="R842" t="str">
        <f>HYPERLINK("https://d28ji4sm1vmprj.cloudfront.net/d9bacfabef796202519003962eebd4f5/58c6be7f2844ece7232378539ec88265.jpeg", "Ссылка на план")</f>
        <v>Ссылка на план</v>
      </c>
      <c r="S842" s="1">
        <v>43796.761944444443</v>
      </c>
      <c r="T842" s="1">
        <v>43797.744189814817</v>
      </c>
      <c r="U842" s="1">
        <v>43812.624641203707</v>
      </c>
      <c r="W842" s="1">
        <v>43812.624675925923</v>
      </c>
      <c r="X842" t="s">
        <v>191</v>
      </c>
      <c r="AH842" t="s">
        <v>6748</v>
      </c>
      <c r="AI842" t="s">
        <v>6749</v>
      </c>
      <c r="AJ842" t="s">
        <v>6750</v>
      </c>
      <c r="AK842" t="s">
        <v>6751</v>
      </c>
      <c r="AL842" t="s">
        <v>6752</v>
      </c>
      <c r="AM842" t="s">
        <v>6753</v>
      </c>
      <c r="AN842" t="s">
        <v>6754</v>
      </c>
      <c r="AO842" t="s">
        <v>6755</v>
      </c>
      <c r="AP842" t="s">
        <v>6756</v>
      </c>
      <c r="AQ842" t="s">
        <v>6757</v>
      </c>
      <c r="AR842" t="s">
        <v>6758</v>
      </c>
      <c r="AS842" t="s">
        <v>6759</v>
      </c>
      <c r="AT842" t="s">
        <v>6760</v>
      </c>
      <c r="AU842" t="s">
        <v>6761</v>
      </c>
      <c r="AV842" t="s">
        <v>6762</v>
      </c>
      <c r="AW842" t="s">
        <v>6763</v>
      </c>
      <c r="AX842" t="s">
        <v>6764</v>
      </c>
      <c r="AY842" t="s">
        <v>6765</v>
      </c>
      <c r="EC842" t="s">
        <v>6766</v>
      </c>
      <c r="ED842" t="str">
        <f>HYPERLINK("https://d33htgqikc2pj4.cloudfront.net/qvHDimMUqxZcQnsj/8c97c204-edae-46b2-a595-876576769e2a.jpeg", "Вячеслав Сорокин: Ссылка на изображение")</f>
        <v>Вячеслав Сорокин: Ссылка на изображение</v>
      </c>
      <c r="EE842" t="str">
        <f>HYPERLINK("https://d33htgqikc2pj4.cloudfront.net/qvHDimMUqxZcQnsj/9e1a4e47-5bf6-46a3-be45-073f876feb58.jpeg", "Вячеслав Сорокин: Ссылка на изображение")</f>
        <v>Вячеслав Сорокин: Ссылка на изображение</v>
      </c>
      <c r="EF842" t="str">
        <f>HYPERLINK("https://d33htgqikc2pj4.cloudfront.net/qvHDimMUqxZcQnsj/945b09f6-f33f-400e-84a2-1bde93c2009f.jpeg", "Вячеслав Сорокин: Ссылка на изображение")</f>
        <v>Вячеслав Сорокин: Ссылка на изображение</v>
      </c>
      <c r="EG842" t="s">
        <v>6767</v>
      </c>
      <c r="EH842" t="s">
        <v>6768</v>
      </c>
      <c r="EI842" t="s">
        <v>6769</v>
      </c>
      <c r="EJ842" t="s">
        <v>803</v>
      </c>
      <c r="EK842" t="s">
        <v>3441</v>
      </c>
      <c r="EL842" t="str">
        <f>HYPERLINK("https://d33htgqikc2pj4.cloudfront.net/qvHDimMUqxZcQnsj/3ee5ac25-2f9e-46dc-80e3-86432c0eeaef.jpeg", "Вячеслав Сорокин: Ссылка на изображение")</f>
        <v>Вячеслав Сорокин: Ссылка на изображение</v>
      </c>
      <c r="EM842" t="str">
        <f>HYPERLINK("https://d33htgqikc2pj4.cloudfront.net/qvHDimMUqxZcQnsj/af828a09-348e-4511-b6a5-1651df18885a.jpeg", "Вячеслав Сорокин: Ссылка на изображение")</f>
        <v>Вячеслав Сорокин: Ссылка на изображение</v>
      </c>
      <c r="EN842" t="str">
        <f>HYPERLINK("https://d33htgqikc2pj4.cloudfront.net/qvHDimMUqxZcQnsj/14fce8b7-fd1a-4303-8078-794d93b50554.jpeg", "Вячеслав Сорокин: Ссылка на изображение")</f>
        <v>Вячеслав Сорокин: Ссылка на изображение</v>
      </c>
      <c r="EO842" t="str">
        <f>HYPERLINK("https://d33htgqikc2pj4.cloudfront.net/qvHDimMUqxZcQnsj/9f42670c-22c5-4fb3-b437-6a64895f6ed5.jpeg", "Вячеслав Сорокин: Ссылка на изображение")</f>
        <v>Вячеслав Сорокин: Ссылка на изображение</v>
      </c>
      <c r="EP842" t="str">
        <f>HYPERLINK("https://d33htgqikc2pj4.cloudfront.net/qvHDimMUqxZcQnsj/cae93add-f030-4b07-a50a-38460b4b8379.jpeg", "Вячеслав Сорокин: Ссылка на изображение")</f>
        <v>Вячеслав Сорокин: Ссылка на изображение</v>
      </c>
      <c r="EQ842" t="str">
        <f>HYPERLINK("https://d33htgqikc2pj4.cloudfront.net/qvHDimMUqxZcQnsj/18d68232-35af-4c96-912a-30f6d00e4082.jpeg", "Вячеслав Сорокин: Ссылка на изображение")</f>
        <v>Вячеслав Сорокин: Ссылка на изображение</v>
      </c>
      <c r="ER842" t="s">
        <v>6770</v>
      </c>
      <c r="ES842" t="s">
        <v>800</v>
      </c>
      <c r="ET842" t="s">
        <v>836</v>
      </c>
    </row>
    <row r="843" spans="1:150" ht="15" customHeight="1" x14ac:dyDescent="0.35">
      <c r="A843">
        <v>455</v>
      </c>
      <c r="B843" t="s">
        <v>6771</v>
      </c>
      <c r="C843">
        <v>2</v>
      </c>
      <c r="D843" t="str">
        <f>VLOOKUP(source[[#This Row],[Приоритет]],тПриоритеты[],2,0)</f>
        <v>Значительное</v>
      </c>
      <c r="E843" t="str">
        <f>IF(ISBLANK(source[[#This Row],[Проверенные]]),IF(ISBLANK(source[[#This Row],[Завершенные]]),source[[#This Row],[Приоритет_]],"Завершено"),"Проверено")</f>
        <v>Проверено</v>
      </c>
      <c r="F843" t="s">
        <v>4423</v>
      </c>
      <c r="G843" t="s">
        <v>269</v>
      </c>
      <c r="H843" t="e">
        <f>VLOOKUP(source[[#This Row],[Отвественный]],тОтветственные[],2,0)</f>
        <v>#N/A</v>
      </c>
      <c r="I843" s="2">
        <v>43796</v>
      </c>
      <c r="J843" s="2">
        <v>43797</v>
      </c>
      <c r="K843" t="s">
        <v>6772</v>
      </c>
      <c r="L843">
        <v>0</v>
      </c>
      <c r="M843">
        <v>0</v>
      </c>
      <c r="Q843" t="s">
        <v>6773</v>
      </c>
      <c r="R843" t="str">
        <f>HYPERLINK("https://d28ji4sm1vmprj.cloudfront.net/841b2018369edeae3dc601acb9965e51/37fc8ac173cda9edb3af7d8456d26512.jpeg", "Ссылка на план")</f>
        <v>Ссылка на план</v>
      </c>
      <c r="S843" s="1">
        <v>43796.805787037039</v>
      </c>
      <c r="T843" s="1">
        <v>43797.734756944446</v>
      </c>
      <c r="U843" s="1">
        <v>43812.624641203707</v>
      </c>
      <c r="W843" s="1">
        <v>43812.624675925923</v>
      </c>
      <c r="X843" t="s">
        <v>191</v>
      </c>
      <c r="AH843" t="s">
        <v>6748</v>
      </c>
      <c r="AI843" t="s">
        <v>6749</v>
      </c>
      <c r="AJ843" t="s">
        <v>6750</v>
      </c>
      <c r="AK843" t="s">
        <v>6751</v>
      </c>
      <c r="AL843" t="s">
        <v>6774</v>
      </c>
      <c r="AM843" t="s">
        <v>6753</v>
      </c>
      <c r="AN843" t="s">
        <v>6754</v>
      </c>
      <c r="AO843" t="s">
        <v>6755</v>
      </c>
      <c r="AP843" t="s">
        <v>6756</v>
      </c>
      <c r="AQ843" t="s">
        <v>6757</v>
      </c>
      <c r="AR843" t="s">
        <v>6758</v>
      </c>
      <c r="AS843" t="s">
        <v>6759</v>
      </c>
      <c r="AT843" t="s">
        <v>6775</v>
      </c>
      <c r="AU843" t="s">
        <v>6761</v>
      </c>
      <c r="AV843" t="s">
        <v>6762</v>
      </c>
      <c r="AW843" t="s">
        <v>6763</v>
      </c>
      <c r="AX843" t="s">
        <v>6764</v>
      </c>
      <c r="AY843" t="s">
        <v>6776</v>
      </c>
      <c r="EC843" t="s">
        <v>803</v>
      </c>
      <c r="ED843" t="s">
        <v>6777</v>
      </c>
      <c r="EE843" t="s">
        <v>2858</v>
      </c>
      <c r="EF843" t="s">
        <v>3441</v>
      </c>
      <c r="EG843" t="s">
        <v>6767</v>
      </c>
      <c r="EH843" t="s">
        <v>6768</v>
      </c>
      <c r="EI843" t="s">
        <v>6778</v>
      </c>
      <c r="EJ843" t="s">
        <v>800</v>
      </c>
      <c r="EK843" t="s">
        <v>836</v>
      </c>
    </row>
    <row r="844" spans="1:150" ht="15" customHeight="1" x14ac:dyDescent="0.35">
      <c r="A844">
        <v>456</v>
      </c>
      <c r="B844" t="s">
        <v>6779</v>
      </c>
      <c r="C844">
        <v>2</v>
      </c>
      <c r="D844" t="str">
        <f>VLOOKUP(source[[#This Row],[Приоритет]],тПриоритеты[],2,0)</f>
        <v>Значительное</v>
      </c>
      <c r="E844" t="str">
        <f>IF(ISBLANK(source[[#This Row],[Проверенные]]),IF(ISBLANK(source[[#This Row],[Завершенные]]),source[[#This Row],[Приоритет_]],"Завершено"),"Проверено")</f>
        <v>Проверено</v>
      </c>
      <c r="F844" t="s">
        <v>4423</v>
      </c>
      <c r="G844" t="s">
        <v>269</v>
      </c>
      <c r="H844" t="e">
        <f>VLOOKUP(source[[#This Row],[Отвественный]],тОтветственные[],2,0)</f>
        <v>#N/A</v>
      </c>
      <c r="I844" s="2">
        <v>43796</v>
      </c>
      <c r="J844" s="2">
        <v>43796</v>
      </c>
      <c r="K844" t="s">
        <v>6780</v>
      </c>
      <c r="L844">
        <v>49.98</v>
      </c>
      <c r="M844">
        <v>50</v>
      </c>
      <c r="P844">
        <v>0</v>
      </c>
      <c r="Q844" t="s">
        <v>797</v>
      </c>
      <c r="R844" t="str">
        <f>HYPERLINK("https://d28ji4sm1vmprj.cloudfront.net/e796b9b9e781094a044dedca110dfd14/c36a2751765b3115e714801ae0896ecf.jpeg", "Ссылка на план")</f>
        <v>Ссылка на план</v>
      </c>
      <c r="S844" s="1">
        <v>43796.839745370373</v>
      </c>
      <c r="T844" s="1">
        <v>43796.846342592595</v>
      </c>
      <c r="U844" s="1">
        <v>43812.624641203707</v>
      </c>
      <c r="W844" s="1">
        <v>43812.624675925923</v>
      </c>
      <c r="AA844" t="s">
        <v>6781</v>
      </c>
      <c r="EC844" t="s">
        <v>6782</v>
      </c>
      <c r="ED844" t="s">
        <v>3441</v>
      </c>
      <c r="EE844" t="s">
        <v>803</v>
      </c>
      <c r="EF844" t="s">
        <v>6783</v>
      </c>
      <c r="EG844" t="s">
        <v>6767</v>
      </c>
      <c r="EH844" t="s">
        <v>6784</v>
      </c>
      <c r="EI844" t="s">
        <v>800</v>
      </c>
      <c r="EJ844" t="s">
        <v>836</v>
      </c>
    </row>
    <row r="845" spans="1:150" ht="15" customHeight="1" x14ac:dyDescent="0.35">
      <c r="A845">
        <v>466</v>
      </c>
      <c r="B845" t="s">
        <v>6785</v>
      </c>
      <c r="C845">
        <v>2</v>
      </c>
      <c r="D845" t="str">
        <f>VLOOKUP(source[[#This Row],[Приоритет]],тПриоритеты[],2,0)</f>
        <v>Значительное</v>
      </c>
      <c r="E845" t="str">
        <f>IF(ISBLANK(source[[#This Row],[Проверенные]]),IF(ISBLANK(source[[#This Row],[Завершенные]]),source[[#This Row],[Приоритет_]],"Завершено"),"Проверено")</f>
        <v>Проверено</v>
      </c>
      <c r="F845" t="s">
        <v>4423</v>
      </c>
      <c r="G845" t="s">
        <v>269</v>
      </c>
      <c r="H845" t="e">
        <f>VLOOKUP(source[[#This Row],[Отвественный]],тОтветственные[],2,0)</f>
        <v>#N/A</v>
      </c>
      <c r="I845" s="2">
        <v>43797</v>
      </c>
      <c r="J845" s="2">
        <v>43797</v>
      </c>
      <c r="K845" t="s">
        <v>6786</v>
      </c>
      <c r="L845">
        <v>0</v>
      </c>
      <c r="M845">
        <v>0</v>
      </c>
      <c r="Q845" t="s">
        <v>4635</v>
      </c>
      <c r="R845" t="str">
        <f>HYPERLINK("https://d28ji4sm1vmprj.cloudfront.net/b301681cf20f4a332976b114c49be099/74517e2e58cb82e46bfe7ced6d974699.jpeg", "Ссылка на план")</f>
        <v>Ссылка на план</v>
      </c>
      <c r="S845" s="1">
        <v>43797.764131944445</v>
      </c>
      <c r="T845" s="1">
        <v>43797.769803240742</v>
      </c>
      <c r="U845" s="1">
        <v>43812.624641203707</v>
      </c>
      <c r="W845" s="1">
        <v>43812.624675925923</v>
      </c>
      <c r="EC845" t="s">
        <v>6787</v>
      </c>
      <c r="ED845" t="s">
        <v>803</v>
      </c>
      <c r="EE845" t="s">
        <v>2862</v>
      </c>
      <c r="EF845" t="s">
        <v>3441</v>
      </c>
      <c r="EG845" t="str">
        <f>HYPERLINK("https://d33htgqikc2pj4.cloudfront.net/qvHDimMUqxZcQnsj/9d2268f8-b777-43f7-a607-9daf7ad211bb.jpeg", "Вячеслав Сорокин: Ссылка на изображение")</f>
        <v>Вячеслав Сорокин: Ссылка на изображение</v>
      </c>
      <c r="EH845" t="s">
        <v>800</v>
      </c>
      <c r="EI845" t="s">
        <v>836</v>
      </c>
    </row>
    <row r="846" spans="1:150" ht="15" customHeight="1" x14ac:dyDescent="0.35">
      <c r="A846">
        <v>768</v>
      </c>
      <c r="B846" t="s">
        <v>6788</v>
      </c>
      <c r="C846">
        <v>3</v>
      </c>
      <c r="D846" t="str">
        <f>VLOOKUP(source[[#This Row],[Приоритет]],тПриоритеты[],2,0)</f>
        <v>Малозначительное</v>
      </c>
      <c r="E846" t="str">
        <f>IF(ISBLANK(source[[#This Row],[Проверенные]]),IF(ISBLANK(source[[#This Row],[Завершенные]]),source[[#This Row],[Приоритет_]],"Завершено"),"Проверено")</f>
        <v>Проверено</v>
      </c>
      <c r="F846" t="s">
        <v>4423</v>
      </c>
      <c r="G846" t="s">
        <v>269</v>
      </c>
      <c r="H846" t="e">
        <f>VLOOKUP(source[[#This Row],[Отвественный]],тОтветственные[],2,0)</f>
        <v>#N/A</v>
      </c>
      <c r="I846" s="2">
        <v>43823</v>
      </c>
      <c r="J846" s="2">
        <v>43830</v>
      </c>
      <c r="K846" t="s">
        <v>6789</v>
      </c>
      <c r="L846">
        <v>40.75</v>
      </c>
      <c r="M846">
        <v>16.07</v>
      </c>
      <c r="Q846" t="s">
        <v>1976</v>
      </c>
      <c r="R846" t="str">
        <f>HYPERLINK("https://d28ji4sm1vmprj.cloudfront.net/9a653fba01194092b1fcb0c4ead2744d/29f76680871cf04224ff77fe9110ae19.jpeg", "Ссылка на план")</f>
        <v>Ссылка на план</v>
      </c>
      <c r="S846" s="1">
        <v>43823.739004629628</v>
      </c>
      <c r="T846" s="1">
        <v>43850.733043981483</v>
      </c>
      <c r="U846" s="1">
        <v>43850.733043981483</v>
      </c>
      <c r="W846" s="1">
        <v>43850.733055555553</v>
      </c>
      <c r="AH846" t="s">
        <v>6790</v>
      </c>
      <c r="EC846" t="s">
        <v>1959</v>
      </c>
      <c r="ED846" t="s">
        <v>6791</v>
      </c>
      <c r="EE846" t="s">
        <v>6792</v>
      </c>
      <c r="EF846" t="s">
        <v>3322</v>
      </c>
      <c r="EG846" t="s">
        <v>6793</v>
      </c>
      <c r="EH846" t="s">
        <v>1969</v>
      </c>
      <c r="EI846" s="3" t="s">
        <v>6794</v>
      </c>
      <c r="EJ846" t="str">
        <f>HYPERLINK("https://d33htgqikc2pj4.cloudfront.net/d1a682b28c15fa96db93221f5ddaa35b/e2bd301499c9eb5034ea53b089afee9b-file.jpeg", "Антон Федоров: Ссылка на изображение")</f>
        <v>Антон Федоров: Ссылка на изображение</v>
      </c>
      <c r="EK846" t="str">
        <f>HYPERLINK("https://d33htgqikc2pj4.cloudfront.net/3c603a946e13dad87e00531c20511c22/58174f1244a087a3d3ecb725b8876829-file.jpeg", "Антон Федоров: Ссылка на изображение")</f>
        <v>Антон Федоров: Ссылка на изображение</v>
      </c>
      <c r="EL846" t="str">
        <f>HYPERLINK("https://d33htgqikc2pj4.cloudfront.net/244f86f2405fb9a06340e823c9022c68/2733c8817636cfe48ed22b2477aa78d4-file.jpeg", "Антон Федоров: Ссылка на изображение")</f>
        <v>Антон Федоров: Ссылка на изображение</v>
      </c>
      <c r="EM846" t="str">
        <f>HYPERLINK("https://d33htgqikc2pj4.cloudfront.net/17840f9cd44bea6435a99bb0825e11a2/d829c0d459818262d9fbb4adf54ca858-file.jpeg", "Антон Федоров: Ссылка на изображение")</f>
        <v>Антон Федоров: Ссылка на изображение</v>
      </c>
      <c r="EN846" t="str">
        <f>HYPERLINK("https://d33htgqikc2pj4.cloudfront.net/79c2b42e1551f8a128c1701c00b741d7/be6d1d700d251cbb35a7bb134677063d-file.jpeg", "Антон Федоров: Ссылка на изображение")</f>
        <v>Антон Федоров: Ссылка на изображение</v>
      </c>
      <c r="EO846" t="s">
        <v>6795</v>
      </c>
      <c r="EP846" t="s">
        <v>275</v>
      </c>
      <c r="EQ846" t="s">
        <v>1910</v>
      </c>
      <c r="ER846" t="s">
        <v>794</v>
      </c>
    </row>
    <row r="847" spans="1:150" ht="15" customHeight="1" x14ac:dyDescent="0.35">
      <c r="A847">
        <v>453</v>
      </c>
      <c r="B847" t="s">
        <v>6796</v>
      </c>
      <c r="C847">
        <v>2</v>
      </c>
      <c r="D847" t="str">
        <f>VLOOKUP(source[[#This Row],[Приоритет]],тПриоритеты[],2,0)</f>
        <v>Значительное</v>
      </c>
      <c r="E847" t="str">
        <f>IF(ISBLANK(source[[#This Row],[Проверенные]]),IF(ISBLANK(source[[#This Row],[Завершенные]]),source[[#This Row],[Приоритет_]],"Завершено"),"Проверено")</f>
        <v>Проверено</v>
      </c>
      <c r="F847" t="s">
        <v>4423</v>
      </c>
      <c r="G847" t="s">
        <v>269</v>
      </c>
      <c r="H847" t="e">
        <f>VLOOKUP(source[[#This Row],[Отвественный]],тОтветственные[],2,0)</f>
        <v>#N/A</v>
      </c>
      <c r="I847" s="2">
        <v>43796</v>
      </c>
      <c r="J847" s="2">
        <v>43796</v>
      </c>
      <c r="K847" t="s">
        <v>6797</v>
      </c>
      <c r="L847">
        <v>0</v>
      </c>
      <c r="M847">
        <v>0</v>
      </c>
      <c r="Q847" t="s">
        <v>6773</v>
      </c>
      <c r="R847" t="str">
        <f>HYPERLINK("https://d28ji4sm1vmprj.cloudfront.net/0350b22eddea376e2d2564314335abc6/6ca61a4a15b991feed46c3032bcd60a8.jpeg", "Ссылка на план")</f>
        <v>Ссылка на план</v>
      </c>
      <c r="S847" s="1">
        <v>43796.761944444443</v>
      </c>
      <c r="T847" s="1">
        <v>43796.772789351853</v>
      </c>
      <c r="U847" s="1">
        <v>43812.624641203707</v>
      </c>
      <c r="W847" s="1">
        <v>43812.624675925923</v>
      </c>
      <c r="EC847" t="str">
        <f>HYPERLINK("https://d33htgqikc2pj4.cloudfront.net/qvHDimMUqxZcQnsj/a77a8f39-f312-45c5-86e8-0ad535624b95.jpeg", "Вячеслав Сорокин: Ссылка на изображение")</f>
        <v>Вячеслав Сорокин: Ссылка на изображение</v>
      </c>
      <c r="ED847" t="str">
        <f>HYPERLINK("https://d33htgqikc2pj4.cloudfront.net/qvHDimMUqxZcQnsj/ed02cf04-0dce-4740-8dff-5b7131ca4739.jpeg", "Вячеслав Сорокин: Ссылка на изображение")</f>
        <v>Вячеслав Сорокин: Ссылка на изображение</v>
      </c>
      <c r="EE847" t="s">
        <v>2856</v>
      </c>
      <c r="EF847" t="s">
        <v>800</v>
      </c>
      <c r="EG847" t="s">
        <v>3441</v>
      </c>
      <c r="EH847" t="s">
        <v>803</v>
      </c>
      <c r="EI847" t="s">
        <v>6767</v>
      </c>
      <c r="EJ847" t="s">
        <v>6798</v>
      </c>
      <c r="EK847" t="str">
        <f>HYPERLINK("https://d33htgqikc2pj4.cloudfront.net/qvHDimMUqxZcQnsj/b4823d78-82c8-4d5f-92dd-456d07ad7ca9.jpeg", "Вячеслав Сорокин: Ссылка на изображение")</f>
        <v>Вячеслав Сорокин: Ссылка на изображение</v>
      </c>
      <c r="EL847" t="s">
        <v>836</v>
      </c>
    </row>
    <row r="848" spans="1:150" ht="15" customHeight="1" x14ac:dyDescent="0.35">
      <c r="A848">
        <v>366</v>
      </c>
      <c r="B848" t="s">
        <v>6799</v>
      </c>
      <c r="C848">
        <v>2</v>
      </c>
      <c r="D848" t="str">
        <f>VLOOKUP(source[[#This Row],[Приоритет]],тПриоритеты[],2,0)</f>
        <v>Значительное</v>
      </c>
      <c r="E848" t="str">
        <f>IF(ISBLANK(source[[#This Row],[Проверенные]]),IF(ISBLANK(source[[#This Row],[Завершенные]]),source[[#This Row],[Приоритет_]],"Завершено"),"Проверено")</f>
        <v>Проверено</v>
      </c>
      <c r="F848" t="s">
        <v>4423</v>
      </c>
      <c r="G848" t="s">
        <v>269</v>
      </c>
      <c r="H848" t="e">
        <f>VLOOKUP(source[[#This Row],[Отвественный]],тОтветственные[],2,0)</f>
        <v>#N/A</v>
      </c>
      <c r="I848" s="2">
        <v>43788</v>
      </c>
      <c r="J848" s="2">
        <v>43789</v>
      </c>
      <c r="K848" t="s">
        <v>6797</v>
      </c>
      <c r="L848">
        <v>0</v>
      </c>
      <c r="M848">
        <v>0</v>
      </c>
      <c r="Q848" t="s">
        <v>6773</v>
      </c>
      <c r="R848" t="str">
        <f>HYPERLINK("https://d28ji4sm1vmprj.cloudfront.net/0350b22eddea376e2d2564314335abc6/6ca61a4a15b991feed46c3032bcd60a8.jpeg", "Ссылка на план")</f>
        <v>Ссылка на план</v>
      </c>
      <c r="S848" s="1">
        <v>43789.471099537041</v>
      </c>
      <c r="T848" s="1">
        <v>43789.712199074071</v>
      </c>
      <c r="U848" s="1">
        <v>43812.624641203707</v>
      </c>
      <c r="W848" s="1">
        <v>43812.624652777777</v>
      </c>
      <c r="X848" t="s">
        <v>4760</v>
      </c>
      <c r="AH848" t="s">
        <v>6800</v>
      </c>
      <c r="AI848" t="s">
        <v>6801</v>
      </c>
      <c r="AJ848" t="s">
        <v>6802</v>
      </c>
      <c r="AK848" t="s">
        <v>6803</v>
      </c>
      <c r="AL848" t="s">
        <v>6804</v>
      </c>
      <c r="AM848" t="s">
        <v>6805</v>
      </c>
      <c r="AN848" t="s">
        <v>6806</v>
      </c>
      <c r="AO848" t="s">
        <v>6807</v>
      </c>
      <c r="AP848" t="s">
        <v>6808</v>
      </c>
      <c r="AQ848" t="s">
        <v>6809</v>
      </c>
      <c r="AR848" t="s">
        <v>6810</v>
      </c>
      <c r="AS848" t="s">
        <v>6811</v>
      </c>
      <c r="AT848" t="s">
        <v>6812</v>
      </c>
      <c r="AU848" t="s">
        <v>6813</v>
      </c>
      <c r="AV848" t="s">
        <v>6814</v>
      </c>
      <c r="AW848" t="s">
        <v>6815</v>
      </c>
      <c r="AX848" t="s">
        <v>6816</v>
      </c>
      <c r="EC848" t="s">
        <v>6817</v>
      </c>
      <c r="ED848" t="s">
        <v>3441</v>
      </c>
      <c r="EE848" t="s">
        <v>803</v>
      </c>
      <c r="EF848" t="s">
        <v>799</v>
      </c>
      <c r="EG848" t="s">
        <v>6818</v>
      </c>
      <c r="EH848" t="str">
        <f>HYPERLINK("https://d33htgqikc2pj4.cloudfront.net/qvHDimMUqxZcQnsj/192de7e6-be85-4af3-accb-fc8d232389a7.jpeg", "Вячеслав Сорокин: Ссылка на изображение")</f>
        <v>Вячеслав Сорокин: Ссылка на изображение</v>
      </c>
      <c r="EI848" t="str">
        <f>HYPERLINK("https://d33htgqikc2pj4.cloudfront.net/qvHDimMUqxZcQnsj/9e18bf57-9282-4afe-9105-eea9be786174.jpeg", "Вячеслав Сорокин: Ссылка на изображение")</f>
        <v>Вячеслав Сорокин: Ссылка на изображение</v>
      </c>
      <c r="EJ848" t="str">
        <f>HYPERLINK("https://d33htgqikc2pj4.cloudfront.net/qvHDimMUqxZcQnsj/bcddad85-31dd-4bbc-abeb-c7102963843c.jpeg", "Вячеслав Сорокин: Ссылка на изображение")</f>
        <v>Вячеслав Сорокин: Ссылка на изображение</v>
      </c>
      <c r="EK848" t="s">
        <v>800</v>
      </c>
      <c r="EL848" t="s">
        <v>836</v>
      </c>
    </row>
    <row r="849" spans="1:147" ht="15" customHeight="1" x14ac:dyDescent="0.35">
      <c r="A849">
        <v>233</v>
      </c>
      <c r="B849" t="s">
        <v>6819</v>
      </c>
      <c r="C849">
        <v>2</v>
      </c>
      <c r="D849" t="str">
        <f>VLOOKUP(source[[#This Row],[Приоритет]],тПриоритеты[],2,0)</f>
        <v>Значительное</v>
      </c>
      <c r="E849" t="str">
        <f>IF(ISBLANK(source[[#This Row],[Проверенные]]),IF(ISBLANK(source[[#This Row],[Завершенные]]),source[[#This Row],[Приоритет_]],"Завершено"),"Проверено")</f>
        <v>Проверено</v>
      </c>
      <c r="F849" t="s">
        <v>4423</v>
      </c>
      <c r="G849" t="s">
        <v>269</v>
      </c>
      <c r="H849" t="e">
        <f>VLOOKUP(source[[#This Row],[Отвественный]],тОтветственные[],2,0)</f>
        <v>#N/A</v>
      </c>
      <c r="I849" s="2">
        <v>43781</v>
      </c>
      <c r="J849" s="2">
        <v>43781</v>
      </c>
      <c r="K849" t="s">
        <v>4634</v>
      </c>
      <c r="L849">
        <v>50</v>
      </c>
      <c r="M849">
        <v>49.98</v>
      </c>
      <c r="N849" t="s">
        <v>6820</v>
      </c>
      <c r="Q849" t="s">
        <v>4635</v>
      </c>
      <c r="R849" t="str">
        <f>HYPERLINK("https://d28ji4sm1vmprj.cloudfront.net/f8b75dec246d810c2448d45e413415b2/8dff12abaa71e5e3e1dc4abc8d584ddf.jpeg", "Ссылка на план")</f>
        <v>Ссылка на план</v>
      </c>
      <c r="S849" s="1">
        <v>43781.843946759262</v>
      </c>
      <c r="T849" s="1">
        <v>43781.851481481484</v>
      </c>
      <c r="U849" s="1">
        <v>43781.851481481484</v>
      </c>
      <c r="W849" s="1">
        <v>43781.851574074077</v>
      </c>
      <c r="EC849" t="s">
        <v>271</v>
      </c>
      <c r="ED849" t="s">
        <v>3441</v>
      </c>
      <c r="EE849" t="s">
        <v>6821</v>
      </c>
      <c r="EF849" t="s">
        <v>800</v>
      </c>
      <c r="EG849" t="s">
        <v>6822</v>
      </c>
      <c r="EH849" t="str">
        <f>HYPERLINK("https://d33htgqikc2pj4.cloudfront.net/qvHDimMUqxZcQnsj/abe82aab-a5bd-4de2-ab91-2ac6a2cd5bfe.jpeg", "Вячеслав Сорокин: Ссылка на изображение")</f>
        <v>Вячеслав Сорокин: Ссылка на изображение</v>
      </c>
      <c r="EI849" t="str">
        <f>HYPERLINK("https://d33htgqikc2pj4.cloudfront.net/qvHDimMUqxZcQnsj/4ef4e11f-3c60-42da-bd2e-ead64d560d9a.jpeg", "Вячеслав Сорокин: Ссылка на изображение")</f>
        <v>Вячеслав Сорокин: Ссылка на изображение</v>
      </c>
      <c r="EJ849" t="s">
        <v>265</v>
      </c>
    </row>
    <row r="850" spans="1:147" ht="15" customHeight="1" x14ac:dyDescent="0.35">
      <c r="A850">
        <v>367</v>
      </c>
      <c r="B850" t="s">
        <v>6781</v>
      </c>
      <c r="C850">
        <v>2</v>
      </c>
      <c r="D850" t="str">
        <f>VLOOKUP(source[[#This Row],[Приоритет]],тПриоритеты[],2,0)</f>
        <v>Значительное</v>
      </c>
      <c r="E850" t="str">
        <f>IF(ISBLANK(source[[#This Row],[Проверенные]]),IF(ISBLANK(source[[#This Row],[Завершенные]]),source[[#This Row],[Приоритет_]],"Завершено"),"Проверено")</f>
        <v>Проверено</v>
      </c>
      <c r="F850" t="s">
        <v>4423</v>
      </c>
      <c r="G850" t="s">
        <v>269</v>
      </c>
      <c r="H850" t="e">
        <f>VLOOKUP(source[[#This Row],[Отвественный]],тОтветственные[],2,0)</f>
        <v>#N/A</v>
      </c>
      <c r="I850" s="2">
        <v>43789</v>
      </c>
      <c r="J850" s="2">
        <v>43789</v>
      </c>
      <c r="K850" t="s">
        <v>6780</v>
      </c>
      <c r="L850">
        <v>0</v>
      </c>
      <c r="M850">
        <v>0</v>
      </c>
      <c r="Q850" t="s">
        <v>797</v>
      </c>
      <c r="R850" t="str">
        <f>HYPERLINK("https://d28ji4sm1vmprj.cloudfront.net/e796b9b9e781094a044dedca110dfd14/c36a2751765b3115e714801ae0896ecf.jpeg", "Ссылка на план")</f>
        <v>Ссылка на план</v>
      </c>
      <c r="S850" s="1">
        <v>43789.707766203705</v>
      </c>
      <c r="T850" s="1">
        <v>43789.762395833335</v>
      </c>
      <c r="U850" s="1">
        <v>43812.624641203707</v>
      </c>
      <c r="W850" s="1">
        <v>43812.624675925923</v>
      </c>
      <c r="AA850" t="s">
        <v>6779</v>
      </c>
      <c r="EC850" t="s">
        <v>6823</v>
      </c>
      <c r="ED850" t="s">
        <v>271</v>
      </c>
      <c r="EE850" t="s">
        <v>3441</v>
      </c>
      <c r="EF850" t="s">
        <v>6824</v>
      </c>
      <c r="EG850" t="str">
        <f>HYPERLINK("https://d33htgqikc2pj4.cloudfront.net/qvHDimMUqxZcQnsj/983b89b0-2053-46b7-b6f7-14d8665d81c5.jpeg", "Вячеслав Сорокин: Ссылка на изображение")</f>
        <v>Вячеслав Сорокин: Ссылка на изображение</v>
      </c>
      <c r="EH850" t="str">
        <f>HYPERLINK("https://d33htgqikc2pj4.cloudfront.net/qvHDimMUqxZcQnsj/7a518a65-eafe-4e71-8da7-bee66fe21f29.jpeg", "Вячеслав Сорокин: Ссылка на изображение")</f>
        <v>Вячеслав Сорокин: Ссылка на изображение</v>
      </c>
      <c r="EI850" t="str">
        <f>HYPERLINK("https://d33htgqikc2pj4.cloudfront.net/qvHDimMUqxZcQnsj/c7a906e9-9347-46d2-abfb-c1893ddba208.jpeg", "Вячеслав Сорокин: Ссылка на изображение")</f>
        <v>Вячеслав Сорокин: Ссылка на изображение</v>
      </c>
      <c r="EJ850" t="str">
        <f>HYPERLINK("https://d33htgqikc2pj4.cloudfront.net/qvHDimMUqxZcQnsj/eb271372-fa04-4b06-9750-29793ece4f17.jpeg", "Вячеслав Сорокин: Ссылка на изображение")</f>
        <v>Вячеслав Сорокин: Ссылка на изображение</v>
      </c>
      <c r="EK850" t="s">
        <v>6783</v>
      </c>
      <c r="EL850" t="s">
        <v>800</v>
      </c>
      <c r="EM850" t="s">
        <v>6825</v>
      </c>
      <c r="EN850" t="s">
        <v>836</v>
      </c>
    </row>
    <row r="851" spans="1:147" ht="15" customHeight="1" x14ac:dyDescent="0.35">
      <c r="A851">
        <v>368</v>
      </c>
      <c r="B851" t="s">
        <v>6826</v>
      </c>
      <c r="C851">
        <v>2</v>
      </c>
      <c r="D851" t="str">
        <f>VLOOKUP(source[[#This Row],[Приоритет]],тПриоритеты[],2,0)</f>
        <v>Значительное</v>
      </c>
      <c r="E851" t="str">
        <f>IF(ISBLANK(source[[#This Row],[Проверенные]]),IF(ISBLANK(source[[#This Row],[Завершенные]]),source[[#This Row],[Приоритет_]],"Завершено"),"Проверено")</f>
        <v>Проверено</v>
      </c>
      <c r="F851" t="s">
        <v>4423</v>
      </c>
      <c r="G851" t="s">
        <v>269</v>
      </c>
      <c r="H851" t="e">
        <f>VLOOKUP(source[[#This Row],[Отвественный]],тОтветственные[],2,0)</f>
        <v>#N/A</v>
      </c>
      <c r="I851" s="2">
        <v>43789</v>
      </c>
      <c r="J851" s="2">
        <v>43789</v>
      </c>
      <c r="K851" t="s">
        <v>6337</v>
      </c>
      <c r="L851">
        <v>0</v>
      </c>
      <c r="M851">
        <v>0</v>
      </c>
      <c r="Q851" t="s">
        <v>6338</v>
      </c>
      <c r="R851" t="str">
        <f>HYPERLINK("https://d28ji4sm1vmprj.cloudfront.net/d9bacfabef796202519003962eebd4f5/58c6be7f2844ece7232378539ec88265.jpeg", "Ссылка на план")</f>
        <v>Ссылка на план</v>
      </c>
      <c r="S851" s="1">
        <v>43789.707766203705</v>
      </c>
      <c r="T851" s="1">
        <v>43789.788252314815</v>
      </c>
      <c r="U851" s="1">
        <v>43812.624641203707</v>
      </c>
      <c r="W851" s="1">
        <v>43812.624722222223</v>
      </c>
      <c r="X851" t="s">
        <v>191</v>
      </c>
      <c r="AH851" t="s">
        <v>6802</v>
      </c>
      <c r="AI851" t="s">
        <v>6804</v>
      </c>
      <c r="AJ851" t="s">
        <v>6805</v>
      </c>
      <c r="AK851" t="s">
        <v>6806</v>
      </c>
      <c r="AL851" t="s">
        <v>6807</v>
      </c>
      <c r="AM851" t="s">
        <v>6808</v>
      </c>
      <c r="AN851" t="s">
        <v>6809</v>
      </c>
      <c r="AO851" t="s">
        <v>6810</v>
      </c>
      <c r="AP851" t="s">
        <v>6827</v>
      </c>
      <c r="AQ851" t="s">
        <v>6812</v>
      </c>
      <c r="AR851" t="s">
        <v>6813</v>
      </c>
      <c r="AS851" t="s">
        <v>6814</v>
      </c>
      <c r="AT851" t="s">
        <v>6815</v>
      </c>
      <c r="AU851" t="s">
        <v>6828</v>
      </c>
      <c r="EC851" t="s">
        <v>6829</v>
      </c>
      <c r="ED851" t="s">
        <v>271</v>
      </c>
      <c r="EE851" t="s">
        <v>3441</v>
      </c>
      <c r="EF851" t="s">
        <v>6824</v>
      </c>
      <c r="EG851" t="str">
        <f>HYPERLINK("https://d33htgqikc2pj4.cloudfront.net/qvHDimMUqxZcQnsj/bfbe32df-7149-4fb4-b19b-8951b615d4b8.jpeg", "Вячеслав Сорокин: Ссылка на изображение")</f>
        <v>Вячеслав Сорокин: Ссылка на изображение</v>
      </c>
      <c r="EH851" t="str">
        <f>HYPERLINK("https://d33htgqikc2pj4.cloudfront.net/qvHDimMUqxZcQnsj/a20dbe29-f3a8-4f90-83a2-cce5d01ae11b.jpeg", "Вячеслав Сорокин: Ссылка на изображение")</f>
        <v>Вячеслав Сорокин: Ссылка на изображение</v>
      </c>
      <c r="EI851" t="str">
        <f>HYPERLINK("https://d33htgqikc2pj4.cloudfront.net/qvHDimMUqxZcQnsj/a67d73a6-2c60-4a7e-8a25-aef4d5aeb98d.jpeg", "Вячеслав Сорокин: Ссылка на изображение")</f>
        <v>Вячеслав Сорокин: Ссылка на изображение</v>
      </c>
      <c r="EJ851" t="s">
        <v>6830</v>
      </c>
      <c r="EK851" t="s">
        <v>6831</v>
      </c>
      <c r="EL851" t="s">
        <v>6832</v>
      </c>
      <c r="EM851" t="s">
        <v>6770</v>
      </c>
      <c r="EN851" t="s">
        <v>800</v>
      </c>
      <c r="EO851" t="s">
        <v>836</v>
      </c>
    </row>
    <row r="852" spans="1:147" ht="15" customHeight="1" x14ac:dyDescent="0.35">
      <c r="A852">
        <v>370</v>
      </c>
      <c r="B852" t="s">
        <v>6833</v>
      </c>
      <c r="C852">
        <v>2</v>
      </c>
      <c r="D852" t="str">
        <f>VLOOKUP(source[[#This Row],[Приоритет]],тПриоритеты[],2,0)</f>
        <v>Значительное</v>
      </c>
      <c r="E852" t="str">
        <f>IF(ISBLANK(source[[#This Row],[Проверенные]]),IF(ISBLANK(source[[#This Row],[Завершенные]]),source[[#This Row],[Приоритет_]],"Завершено"),"Проверено")</f>
        <v>Проверено</v>
      </c>
      <c r="F852" t="s">
        <v>4423</v>
      </c>
      <c r="G852" t="s">
        <v>269</v>
      </c>
      <c r="H852" t="e">
        <f>VLOOKUP(source[[#This Row],[Отвественный]],тОтветственные[],2,0)</f>
        <v>#N/A</v>
      </c>
      <c r="I852" s="2">
        <v>43789</v>
      </c>
      <c r="J852" s="2">
        <v>43789</v>
      </c>
      <c r="K852" t="s">
        <v>4634</v>
      </c>
      <c r="L852">
        <v>0</v>
      </c>
      <c r="M852">
        <v>0</v>
      </c>
      <c r="Q852" t="s">
        <v>4635</v>
      </c>
      <c r="R852" t="str">
        <f>HYPERLINK("https://d28ji4sm1vmprj.cloudfront.net/f8b75dec246d810c2448d45e413415b2/8dff12abaa71e5e3e1dc4abc8d584ddf.jpeg", "Ссылка на план")</f>
        <v>Ссылка на план</v>
      </c>
      <c r="S852" s="1">
        <v>43789.707766203705</v>
      </c>
      <c r="T852" s="1">
        <v>43789.805335648147</v>
      </c>
      <c r="U852" s="1">
        <v>43812.624641203707</v>
      </c>
      <c r="W852" s="1">
        <v>43812.624675925923</v>
      </c>
      <c r="X852" t="s">
        <v>191</v>
      </c>
      <c r="AH852" t="s">
        <v>6800</v>
      </c>
      <c r="AI852" t="s">
        <v>6801</v>
      </c>
      <c r="AJ852" t="s">
        <v>6834</v>
      </c>
      <c r="AK852" t="s">
        <v>6802</v>
      </c>
      <c r="AL852" t="s">
        <v>6803</v>
      </c>
      <c r="AM852" t="s">
        <v>6804</v>
      </c>
      <c r="AN852" t="s">
        <v>6805</v>
      </c>
      <c r="AO852" t="s">
        <v>6806</v>
      </c>
      <c r="AP852" t="s">
        <v>6807</v>
      </c>
      <c r="AQ852" t="s">
        <v>6808</v>
      </c>
      <c r="AR852" t="s">
        <v>6809</v>
      </c>
      <c r="AS852" t="s">
        <v>6810</v>
      </c>
      <c r="AT852" t="s">
        <v>6835</v>
      </c>
      <c r="AU852" t="s">
        <v>6812</v>
      </c>
      <c r="AV852" t="s">
        <v>6813</v>
      </c>
      <c r="AW852" t="s">
        <v>6814</v>
      </c>
      <c r="AX852" t="s">
        <v>6815</v>
      </c>
      <c r="AY852" t="s">
        <v>6836</v>
      </c>
      <c r="EC852" t="s">
        <v>271</v>
      </c>
      <c r="ED852" t="s">
        <v>3441</v>
      </c>
      <c r="EE852" t="s">
        <v>6837</v>
      </c>
      <c r="EF852" t="str">
        <f>HYPERLINK("https://d33htgqikc2pj4.cloudfront.net/qvHDimMUqxZcQnsj/1ca81e45-0192-48f0-b490-5aa738bef1d3.jpeg", "Вячеслав Сорокин: Ссылка на изображение")</f>
        <v>Вячеслав Сорокин: Ссылка на изображение</v>
      </c>
      <c r="EG852" t="str">
        <f>HYPERLINK("https://d33htgqikc2pj4.cloudfront.net/qvHDimMUqxZcQnsj/34eee34a-d2a2-4014-8d78-953e64b98dc7.jpeg", "Вячеслав Сорокин: Ссылка на изображение")</f>
        <v>Вячеслав Сорокин: Ссылка на изображение</v>
      </c>
      <c r="EH852" t="str">
        <f>HYPERLINK("https://d33htgqikc2pj4.cloudfront.net/qvHDimMUqxZcQnsj/d8f4fb46-e9bf-4b97-8917-3e78e32f1614.jpeg", "Вячеслав Сорокин: Ссылка на изображение")</f>
        <v>Вячеслав Сорокин: Ссылка на изображение</v>
      </c>
      <c r="EI852" t="s">
        <v>6838</v>
      </c>
      <c r="EJ852" t="s">
        <v>6839</v>
      </c>
      <c r="EK852" t="s">
        <v>800</v>
      </c>
      <c r="EL852" t="s">
        <v>6840</v>
      </c>
      <c r="EM852" t="s">
        <v>836</v>
      </c>
    </row>
    <row r="853" spans="1:147" ht="15" customHeight="1" x14ac:dyDescent="0.35">
      <c r="A853">
        <v>369</v>
      </c>
      <c r="B853" t="s">
        <v>6841</v>
      </c>
      <c r="C853">
        <v>2</v>
      </c>
      <c r="D853" t="str">
        <f>VLOOKUP(source[[#This Row],[Приоритет]],тПриоритеты[],2,0)</f>
        <v>Значительное</v>
      </c>
      <c r="E853" t="str">
        <f>IF(ISBLANK(source[[#This Row],[Проверенные]]),IF(ISBLANK(source[[#This Row],[Завершенные]]),source[[#This Row],[Приоритет_]],"Завершено"),"Проверено")</f>
        <v>Проверено</v>
      </c>
      <c r="F853" t="s">
        <v>4423</v>
      </c>
      <c r="G853" t="s">
        <v>269</v>
      </c>
      <c r="H853" t="e">
        <f>VLOOKUP(source[[#This Row],[Отвественный]],тОтветственные[],2,0)</f>
        <v>#N/A</v>
      </c>
      <c r="I853" s="2">
        <v>43789</v>
      </c>
      <c r="J853" s="2">
        <v>43789</v>
      </c>
      <c r="K853" t="s">
        <v>6842</v>
      </c>
      <c r="L853">
        <v>0</v>
      </c>
      <c r="M853">
        <v>0</v>
      </c>
      <c r="Q853" t="s">
        <v>4635</v>
      </c>
      <c r="R853" t="str">
        <f>HYPERLINK("https://d28ji4sm1vmprj.cloudfront.net/63b568033d69c8b6749820beef264ade/1ea865f348e403fa8b8eb1826be88d98.jpeg", "Ссылка на план")</f>
        <v>Ссылка на план</v>
      </c>
      <c r="S853" s="1">
        <v>43789.707766203705</v>
      </c>
      <c r="T853" s="1">
        <v>43789.796296296299</v>
      </c>
      <c r="U853" s="1">
        <v>43812.624641203707</v>
      </c>
      <c r="W853" s="1">
        <v>43812.624675925923</v>
      </c>
      <c r="X853" t="s">
        <v>191</v>
      </c>
      <c r="AH853" t="s">
        <v>6800</v>
      </c>
      <c r="AI853" t="s">
        <v>6801</v>
      </c>
      <c r="AJ853" t="s">
        <v>6802</v>
      </c>
      <c r="AK853" t="s">
        <v>6803</v>
      </c>
      <c r="AL853" t="s">
        <v>6804</v>
      </c>
      <c r="AM853" t="s">
        <v>6805</v>
      </c>
      <c r="AN853" t="s">
        <v>6806</v>
      </c>
      <c r="AO853" t="s">
        <v>6807</v>
      </c>
      <c r="AP853" t="s">
        <v>6808</v>
      </c>
      <c r="AQ853" t="s">
        <v>6809</v>
      </c>
      <c r="AR853" t="s">
        <v>6810</v>
      </c>
      <c r="AS853" t="s">
        <v>6835</v>
      </c>
      <c r="AT853" t="s">
        <v>6812</v>
      </c>
      <c r="AU853" t="s">
        <v>6843</v>
      </c>
      <c r="AV853" t="s">
        <v>6844</v>
      </c>
      <c r="AW853" t="s">
        <v>6815</v>
      </c>
      <c r="AX853" t="s">
        <v>6836</v>
      </c>
      <c r="EC853" t="s">
        <v>6845</v>
      </c>
      <c r="ED853" t="s">
        <v>271</v>
      </c>
      <c r="EE853" t="s">
        <v>3441</v>
      </c>
      <c r="EF853" t="s">
        <v>6824</v>
      </c>
      <c r="EG853" t="str">
        <f>HYPERLINK("https://d33htgqikc2pj4.cloudfront.net/qvHDimMUqxZcQnsj/93606921-9a68-4c85-8663-219d2f8ed5c6.jpeg", "Вячеслав Сорокин: Ссылка на изображение")</f>
        <v>Вячеслав Сорокин: Ссылка на изображение</v>
      </c>
      <c r="EH853" t="s">
        <v>6846</v>
      </c>
      <c r="EI853" t="str">
        <f>HYPERLINK("https://d33htgqikc2pj4.cloudfront.net/qvHDimMUqxZcQnsj/eb932e39-6370-4a2a-8747-e43d8c1bd94c.jpeg", "Вячеслав Сорокин: Ссылка на изображение")</f>
        <v>Вячеслав Сорокин: Ссылка на изображение</v>
      </c>
      <c r="EJ853" t="str">
        <f>HYPERLINK("https://d33htgqikc2pj4.cloudfront.net/qvHDimMUqxZcQnsj/31075659-a870-40c7-9f64-e29701b3df05.jpeg", "Вячеслав Сорокин: Ссылка на изображение")</f>
        <v>Вячеслав Сорокин: Ссылка на изображение</v>
      </c>
      <c r="EK853" t="s">
        <v>6847</v>
      </c>
      <c r="EL853" t="s">
        <v>6848</v>
      </c>
      <c r="EM853" t="s">
        <v>800</v>
      </c>
      <c r="EN853" t="s">
        <v>836</v>
      </c>
    </row>
    <row r="854" spans="1:147" ht="15" customHeight="1" x14ac:dyDescent="0.35">
      <c r="A854">
        <v>301</v>
      </c>
      <c r="B854" t="s">
        <v>6849</v>
      </c>
      <c r="C854">
        <v>2</v>
      </c>
      <c r="D854" t="str">
        <f>VLOOKUP(source[[#This Row],[Приоритет]],тПриоритеты[],2,0)</f>
        <v>Значительное</v>
      </c>
      <c r="E854" t="str">
        <f>IF(ISBLANK(source[[#This Row],[Проверенные]]),IF(ISBLANK(source[[#This Row],[Завершенные]]),source[[#This Row],[Приоритет_]],"Завершено"),"Проверено")</f>
        <v>Проверено</v>
      </c>
      <c r="F854" t="s">
        <v>4423</v>
      </c>
      <c r="G854" t="s">
        <v>269</v>
      </c>
      <c r="H854" t="e">
        <f>VLOOKUP(source[[#This Row],[Отвественный]],тОтветственные[],2,0)</f>
        <v>#N/A</v>
      </c>
      <c r="I854" s="2">
        <v>43784</v>
      </c>
      <c r="J854" s="2">
        <v>43784</v>
      </c>
      <c r="K854" t="s">
        <v>4634</v>
      </c>
      <c r="L854">
        <v>69.760000000000005</v>
      </c>
      <c r="M854">
        <v>42.11</v>
      </c>
      <c r="Q854" t="s">
        <v>4635</v>
      </c>
      <c r="R854" t="str">
        <f>HYPERLINK("https://d28ji4sm1vmprj.cloudfront.net/f8b75dec246d810c2448d45e413415b2/8dff12abaa71e5e3e1dc4abc8d584ddf.jpeg", "Ссылка на план")</f>
        <v>Ссылка на план</v>
      </c>
      <c r="S854" s="1">
        <v>43784.804409722223</v>
      </c>
      <c r="T854" s="1">
        <v>43785.752129629633</v>
      </c>
      <c r="U854" s="1">
        <v>43785.752129629633</v>
      </c>
      <c r="W854" s="1">
        <v>43785.752129629633</v>
      </c>
      <c r="EC854" t="s">
        <v>3441</v>
      </c>
      <c r="ED854" t="s">
        <v>803</v>
      </c>
      <c r="EE854" t="s">
        <v>6638</v>
      </c>
      <c r="EF854" t="s">
        <v>6850</v>
      </c>
      <c r="EG854" t="str">
        <f>HYPERLINK("https://d33htgqikc2pj4.cloudfront.net/qvHDimMUqxZcQnsj/dbd646a8-195a-4988-80bf-3819fcf8ece2.jpeg", "Вячеслав Сорокин: Ссылка на изображение")</f>
        <v>Вячеслав Сорокин: Ссылка на изображение</v>
      </c>
      <c r="EH854" t="s">
        <v>265</v>
      </c>
    </row>
    <row r="855" spans="1:147" ht="15" customHeight="1" x14ac:dyDescent="0.35">
      <c r="A855">
        <v>305</v>
      </c>
      <c r="B855" t="s">
        <v>6851</v>
      </c>
      <c r="C855">
        <v>2</v>
      </c>
      <c r="D855" t="str">
        <f>VLOOKUP(source[[#This Row],[Приоритет]],тПриоритеты[],2,0)</f>
        <v>Значительное</v>
      </c>
      <c r="E855" t="str">
        <f>IF(ISBLANK(source[[#This Row],[Проверенные]]),IF(ISBLANK(source[[#This Row],[Завершенные]]),source[[#This Row],[Приоритет_]],"Завершено"),"Проверено")</f>
        <v>Проверено</v>
      </c>
      <c r="F855" t="s">
        <v>4423</v>
      </c>
      <c r="G855" t="s">
        <v>269</v>
      </c>
      <c r="H855" t="e">
        <f>VLOOKUP(source[[#This Row],[Отвественный]],тОтветственные[],2,0)</f>
        <v>#N/A</v>
      </c>
      <c r="I855" s="2">
        <v>43785</v>
      </c>
      <c r="J855" s="2">
        <v>43785</v>
      </c>
      <c r="S855" s="1">
        <v>43785.74790509259</v>
      </c>
      <c r="T855" s="1">
        <v>43785.757395833331</v>
      </c>
      <c r="U855" s="1">
        <v>43811.739120370374</v>
      </c>
      <c r="W855" s="1">
        <v>43811.739131944443</v>
      </c>
      <c r="EC855" t="s">
        <v>6852</v>
      </c>
      <c r="ED855" t="s">
        <v>800</v>
      </c>
      <c r="EE855" t="s">
        <v>804</v>
      </c>
      <c r="EF855" t="s">
        <v>3441</v>
      </c>
      <c r="EG855" t="s">
        <v>803</v>
      </c>
      <c r="EH855" t="s">
        <v>6853</v>
      </c>
      <c r="EI855" t="str">
        <f>HYPERLINK("https://d33htgqikc2pj4.cloudfront.net/7a9949a0-bfb2-4267-8a4d-6598f9b42a68.jpeg", "Вячеслав Сорокин: Ссылка на изображение")</f>
        <v>Вячеслав Сорокин: Ссылка на изображение</v>
      </c>
      <c r="EJ855" t="str">
        <f>HYPERLINK("https://d33htgqikc2pj4.cloudfront.net/aef3e1a2-20ee-411e-918f-9cab451e3503.jpeg", "Вячеслав Сорокин: Ссылка на изображение")</f>
        <v>Вячеслав Сорокин: Ссылка на изображение</v>
      </c>
      <c r="EK855" t="str">
        <f>HYPERLINK("https://d33htgqikc2pj4.cloudfront.net/ee162cbe-a425-4d58-b93e-e7b098230777.jpeg", "Вячеслав Сорокин: Ссылка на изображение")</f>
        <v>Вячеслав Сорокин: Ссылка на изображение</v>
      </c>
      <c r="EL855" t="str">
        <f>HYPERLINK("https://d33htgqikc2pj4.cloudfront.net/82073075-4c25-4ade-be0e-e106ef267864.jpeg", "Вячеслав Сорокин: Ссылка на изображение")</f>
        <v>Вячеслав Сорокин: Ссылка на изображение</v>
      </c>
      <c r="EM855" t="str">
        <f>HYPERLINK("https://d33htgqikc2pj4.cloudfront.net/ebb544ca-6d69-4960-bacd-4784859a0bbc.jpeg", "Вячеслав Сорокин: Ссылка на изображение")</f>
        <v>Вячеслав Сорокин: Ссылка на изображение</v>
      </c>
      <c r="EN855" t="str">
        <f>HYPERLINK("https://d33htgqikc2pj4.cloudfront.net/92380bdb-ef9f-43f7-a240-28a9f1ddb38a.jpeg", "Вячеслав Сорокин: Ссылка на изображение")</f>
        <v>Вячеслав Сорокин: Ссылка на изображение</v>
      </c>
      <c r="EO855" t="str">
        <f>HYPERLINK("https://d33htgqikc2pj4.cloudfront.net/15fbd553-7792-4fc2-a66a-77a6dc39efe2.jpeg", "Вячеслав Сорокин: Ссылка на изображение")</f>
        <v>Вячеслав Сорокин: Ссылка на изображение</v>
      </c>
      <c r="EP855" t="s">
        <v>800</v>
      </c>
      <c r="EQ855" t="s">
        <v>836</v>
      </c>
    </row>
    <row r="856" spans="1:147" ht="15" customHeight="1" x14ac:dyDescent="0.35">
      <c r="A856">
        <v>353</v>
      </c>
      <c r="B856" t="s">
        <v>6854</v>
      </c>
      <c r="C856">
        <v>2</v>
      </c>
      <c r="D856" t="str">
        <f>VLOOKUP(source[[#This Row],[Приоритет]],тПриоритеты[],2,0)</f>
        <v>Значительное</v>
      </c>
      <c r="E856" t="str">
        <f>IF(ISBLANK(source[[#This Row],[Проверенные]]),IF(ISBLANK(source[[#This Row],[Завершенные]]),source[[#This Row],[Приоритет_]],"Завершено"),"Проверено")</f>
        <v>Проверено</v>
      </c>
      <c r="F856" t="s">
        <v>4423</v>
      </c>
      <c r="G856" t="s">
        <v>269</v>
      </c>
      <c r="H856" t="e">
        <f>VLOOKUP(source[[#This Row],[Отвественный]],тОтветственные[],2,0)</f>
        <v>#N/A</v>
      </c>
      <c r="I856" s="2">
        <v>43788</v>
      </c>
      <c r="J856" s="2">
        <v>43789</v>
      </c>
      <c r="K856" t="s">
        <v>6855</v>
      </c>
      <c r="L856">
        <v>0</v>
      </c>
      <c r="M856">
        <v>0</v>
      </c>
      <c r="Q856" t="s">
        <v>6856</v>
      </c>
      <c r="R856" t="str">
        <f>HYPERLINK("https://d28ji4sm1vmprj.cloudfront.net/b53d9d5952daeb4d1de74dbdc67767d6/2a42ec00129ef1e19c587688e8c7d817.jpeg", "Ссылка на план")</f>
        <v>Ссылка на план</v>
      </c>
      <c r="S856" s="1">
        <v>43788.56753472222</v>
      </c>
      <c r="T856" s="1">
        <v>43789.711423611108</v>
      </c>
      <c r="U856" s="1">
        <v>43812.624641203707</v>
      </c>
      <c r="W856" s="1">
        <v>43812.624652777777</v>
      </c>
      <c r="EC856" t="s">
        <v>6857</v>
      </c>
      <c r="ED856" t="s">
        <v>6858</v>
      </c>
      <c r="EE856" t="s">
        <v>3441</v>
      </c>
      <c r="EF856" t="s">
        <v>803</v>
      </c>
      <c r="EG856" t="s">
        <v>799</v>
      </c>
      <c r="EH856" t="s">
        <v>6818</v>
      </c>
      <c r="EI856" t="s">
        <v>6859</v>
      </c>
      <c r="EJ856" t="str">
        <f>HYPERLINK("https://d33htgqikc2pj4.cloudfront.net/qvHDimMUqxZcQnsj/8a81fd60-52c5-441b-acad-beaa02363d38.jpeg", "Вячеслав Сорокин: Ссылка на изображение")</f>
        <v>Вячеслав Сорокин: Ссылка на изображение</v>
      </c>
      <c r="EK856" t="str">
        <f>HYPERLINK("https://d33htgqikc2pj4.cloudfront.net/qvHDimMUqxZcQnsj/ecedd42b-625d-43a1-a3ab-ad5addb3146d.jpeg", "Вячеслав Сорокин: Ссылка на изображение")</f>
        <v>Вячеслав Сорокин: Ссылка на изображение</v>
      </c>
      <c r="EL856" t="str">
        <f>HYPERLINK("https://d33htgqikc2pj4.cloudfront.net/qvHDimMUqxZcQnsj/a7fd64a9-b19c-444f-a517-a4a266eb61cb.jpeg", "Вячеслав Сорокин: Ссылка на изображение")</f>
        <v>Вячеслав Сорокин: Ссылка на изображение</v>
      </c>
      <c r="EM856" t="str">
        <f>HYPERLINK("https://d33htgqikc2pj4.cloudfront.net/qvHDimMUqxZcQnsj/e76324d9-6200-42ed-885b-02c7b55eed6f.jpeg", "Вячеслав Сорокин: Ссылка на изображение")</f>
        <v>Вячеслав Сорокин: Ссылка на изображение</v>
      </c>
      <c r="EN856" t="str">
        <f>HYPERLINK("https://d33htgqikc2pj4.cloudfront.net/qvHDimMUqxZcQnsj/eef4305c-4c21-49ce-bab0-c1757fa5ae53.jpeg", "Вячеслав Сорокин: Ссылка на изображение")</f>
        <v>Вячеслав Сорокин: Ссылка на изображение</v>
      </c>
      <c r="EO856" t="s">
        <v>800</v>
      </c>
      <c r="EP856" t="s">
        <v>836</v>
      </c>
    </row>
    <row r="857" spans="1:147" ht="15" customHeight="1" x14ac:dyDescent="0.35">
      <c r="A857">
        <v>359</v>
      </c>
      <c r="B857" t="s">
        <v>6860</v>
      </c>
      <c r="C857">
        <v>2</v>
      </c>
      <c r="D857" t="str">
        <f>VLOOKUP(source[[#This Row],[Приоритет]],тПриоритеты[],2,0)</f>
        <v>Значительное</v>
      </c>
      <c r="E857" t="str">
        <f>IF(ISBLANK(source[[#This Row],[Проверенные]]),IF(ISBLANK(source[[#This Row],[Завершенные]]),source[[#This Row],[Приоритет_]],"Завершено"),"Проверено")</f>
        <v>Проверено</v>
      </c>
      <c r="F857" t="s">
        <v>4423</v>
      </c>
      <c r="G857" t="s">
        <v>269</v>
      </c>
      <c r="H857" t="e">
        <f>VLOOKUP(source[[#This Row],[Отвественный]],тОтветственные[],2,0)</f>
        <v>#N/A</v>
      </c>
      <c r="I857" s="2">
        <v>43788</v>
      </c>
      <c r="J857" s="2">
        <v>43788</v>
      </c>
      <c r="K857" t="s">
        <v>4634</v>
      </c>
      <c r="L857">
        <v>0</v>
      </c>
      <c r="M857">
        <v>0</v>
      </c>
      <c r="Q857" t="s">
        <v>4635</v>
      </c>
      <c r="R857" t="str">
        <f>HYPERLINK("https://d28ji4sm1vmprj.cloudfront.net/f8b75dec246d810c2448d45e413415b2/8dff12abaa71e5e3e1dc4abc8d584ddf.jpeg", "Ссылка на план")</f>
        <v>Ссылка на план</v>
      </c>
      <c r="S857" s="1">
        <v>43788.79892361111</v>
      </c>
      <c r="T857" s="1">
        <v>43788.799050925925</v>
      </c>
      <c r="U857" s="1">
        <v>43812.624641203707</v>
      </c>
      <c r="W857" s="1">
        <v>43812.624652777777</v>
      </c>
      <c r="X857" t="s">
        <v>191</v>
      </c>
      <c r="AH857" t="s">
        <v>6861</v>
      </c>
      <c r="AI857" t="s">
        <v>6862</v>
      </c>
      <c r="AJ857" t="s">
        <v>6863</v>
      </c>
      <c r="AK857" t="s">
        <v>6864</v>
      </c>
      <c r="AL857" t="s">
        <v>6865</v>
      </c>
      <c r="AM857" t="s">
        <v>6866</v>
      </c>
      <c r="AN857" t="s">
        <v>6867</v>
      </c>
      <c r="AO857" t="s">
        <v>6868</v>
      </c>
      <c r="AP857" t="s">
        <v>6869</v>
      </c>
      <c r="AQ857" t="s">
        <v>6870</v>
      </c>
      <c r="AR857" t="s">
        <v>6871</v>
      </c>
      <c r="EC857" t="s">
        <v>800</v>
      </c>
      <c r="ED857" t="s">
        <v>803</v>
      </c>
      <c r="EE857" t="s">
        <v>799</v>
      </c>
      <c r="EF857" t="s">
        <v>6848</v>
      </c>
      <c r="EG857" t="s">
        <v>6839</v>
      </c>
      <c r="EH857" t="s">
        <v>6872</v>
      </c>
      <c r="EI857" t="s">
        <v>3441</v>
      </c>
      <c r="EJ857" t="s">
        <v>836</v>
      </c>
    </row>
    <row r="858" spans="1:147" ht="15" customHeight="1" x14ac:dyDescent="0.35">
      <c r="A858">
        <v>362</v>
      </c>
      <c r="B858" t="s">
        <v>6873</v>
      </c>
      <c r="C858">
        <v>2</v>
      </c>
      <c r="D858" t="str">
        <f>VLOOKUP(source[[#This Row],[Приоритет]],тПриоритеты[],2,0)</f>
        <v>Значительное</v>
      </c>
      <c r="E858" t="str">
        <f>IF(ISBLANK(source[[#This Row],[Проверенные]]),IF(ISBLANK(source[[#This Row],[Завершенные]]),source[[#This Row],[Приоритет_]],"Завершено"),"Проверено")</f>
        <v>Проверено</v>
      </c>
      <c r="F858" t="s">
        <v>4423</v>
      </c>
      <c r="G858" t="s">
        <v>269</v>
      </c>
      <c r="H858" t="e">
        <f>VLOOKUP(source[[#This Row],[Отвественный]],тОтветственные[],2,0)</f>
        <v>#N/A</v>
      </c>
      <c r="I858" s="2">
        <v>43788</v>
      </c>
      <c r="J858" s="2">
        <v>43788</v>
      </c>
      <c r="K858" t="s">
        <v>6842</v>
      </c>
      <c r="L858">
        <v>0</v>
      </c>
      <c r="M858">
        <v>0</v>
      </c>
      <c r="Q858" t="s">
        <v>4635</v>
      </c>
      <c r="R858" t="str">
        <f>HYPERLINK("https://d28ji4sm1vmprj.cloudfront.net/63b568033d69c8b6749820beef264ade/1ea865f348e403fa8b8eb1826be88d98.jpeg", "Ссылка на план")</f>
        <v>Ссылка на план</v>
      </c>
      <c r="S858" s="1">
        <v>43788.815462962964</v>
      </c>
      <c r="T858" s="1">
        <v>43788.815532407411</v>
      </c>
      <c r="U858" s="1">
        <v>43812.624641203707</v>
      </c>
      <c r="W858" s="1">
        <v>43812.624652777777</v>
      </c>
      <c r="EC858" t="s">
        <v>800</v>
      </c>
      <c r="ED858" t="s">
        <v>3441</v>
      </c>
      <c r="EE858" t="s">
        <v>6874</v>
      </c>
      <c r="EF858" t="s">
        <v>803</v>
      </c>
      <c r="EG858" t="s">
        <v>799</v>
      </c>
      <c r="EH858" t="s">
        <v>836</v>
      </c>
    </row>
    <row r="859" spans="1:147" ht="15" customHeight="1" x14ac:dyDescent="0.35">
      <c r="A859">
        <v>873</v>
      </c>
      <c r="B859" t="s">
        <v>6875</v>
      </c>
      <c r="C859">
        <v>2</v>
      </c>
      <c r="D859" t="str">
        <f>VLOOKUP(source[[#This Row],[Приоритет]],тПриоритеты[],2,0)</f>
        <v>Значительное</v>
      </c>
      <c r="E859" t="str">
        <f>IF(ISBLANK(source[[#This Row],[Проверенные]]),IF(ISBLANK(source[[#This Row],[Завершенные]]),source[[#This Row],[Приоритет_]],"Завершено"),"Проверено")</f>
        <v>Проверено</v>
      </c>
      <c r="F859" t="s">
        <v>4423</v>
      </c>
      <c r="G859" t="s">
        <v>269</v>
      </c>
      <c r="H859" t="e">
        <f>VLOOKUP(source[[#This Row],[Отвественный]],тОтветственные[],2,0)</f>
        <v>#N/A</v>
      </c>
      <c r="I859" s="2">
        <v>43839</v>
      </c>
      <c r="J859" s="2">
        <v>43839</v>
      </c>
      <c r="S859" s="1">
        <v>43839.782442129632</v>
      </c>
      <c r="T859" s="1">
        <v>43839.786157407405</v>
      </c>
      <c r="U859" s="1">
        <v>43839.786157407405</v>
      </c>
      <c r="W859" s="1">
        <v>43839.786168981482</v>
      </c>
      <c r="EC859" t="s">
        <v>6876</v>
      </c>
      <c r="ED859" t="s">
        <v>271</v>
      </c>
      <c r="EE859" t="s">
        <v>3441</v>
      </c>
      <c r="EF859" t="s">
        <v>6877</v>
      </c>
      <c r="EG859" t="str">
        <f>HYPERLINK("https://d33htgqikc2pj4.cloudfront.net/qvHDimMUqxZcQnsj/299a52e7-a893-439e-a196-17718e98779a.jpeg", "Вячеслав Сорокин: Ссылка на изображение")</f>
        <v>Вячеслав Сорокин: Ссылка на изображение</v>
      </c>
      <c r="EH859" t="s">
        <v>265</v>
      </c>
    </row>
    <row r="860" spans="1:147" ht="15" customHeight="1" x14ac:dyDescent="0.35">
      <c r="A860">
        <v>1197</v>
      </c>
      <c r="B860" t="s">
        <v>6878</v>
      </c>
      <c r="C860">
        <v>2</v>
      </c>
      <c r="D860" t="str">
        <f>VLOOKUP(source[[#This Row],[Приоритет]],тПриоритеты[],2,0)</f>
        <v>Значительное</v>
      </c>
      <c r="E860" t="str">
        <f>IF(ISBLANK(source[[#This Row],[Проверенные]]),IF(ISBLANK(source[[#This Row],[Завершенные]]),source[[#This Row],[Приоритет_]],"Завершено"),"Проверено")</f>
        <v>Проверено</v>
      </c>
      <c r="F860" t="s">
        <v>4423</v>
      </c>
      <c r="G860" t="s">
        <v>269</v>
      </c>
      <c r="H860" t="e">
        <f>VLOOKUP(source[[#This Row],[Отвественный]],тОтветственные[],2,0)</f>
        <v>#N/A</v>
      </c>
      <c r="I860" s="2">
        <v>43867</v>
      </c>
      <c r="J860" s="2">
        <v>43868</v>
      </c>
      <c r="S860" s="1">
        <v>43866.662870370368</v>
      </c>
      <c r="T860" s="1">
        <v>43868.685706018521</v>
      </c>
      <c r="U860" s="1">
        <v>43868.685706018521</v>
      </c>
      <c r="W860" s="1">
        <v>43868.691064814811</v>
      </c>
      <c r="EC860" t="s">
        <v>6879</v>
      </c>
      <c r="ED860" t="str">
        <f>HYPERLINK("https://d33htgqikc2pj4.cloudfront.net/qvHDimMUqxZcQnsj/c3573c4a-4b5b-4261-9716-42e9a12b0a7f.jpeg", "Вячеслав Сорокин: Ссылка на изображение")</f>
        <v>Вячеслав Сорокин: Ссылка на изображение</v>
      </c>
      <c r="EE860" t="s">
        <v>265</v>
      </c>
      <c r="EF860" t="s">
        <v>3441</v>
      </c>
      <c r="EG860" t="s">
        <v>803</v>
      </c>
      <c r="EH860" t="s">
        <v>6880</v>
      </c>
      <c r="EI860" t="s">
        <v>6881</v>
      </c>
      <c r="EJ860" t="s">
        <v>6882</v>
      </c>
    </row>
    <row r="861" spans="1:147" ht="15" customHeight="1" x14ac:dyDescent="0.35">
      <c r="A861">
        <v>1217</v>
      </c>
      <c r="B861" t="s">
        <v>6883</v>
      </c>
      <c r="C861">
        <v>2</v>
      </c>
      <c r="D861" t="str">
        <f>VLOOKUP(source[[#This Row],[Приоритет]],тПриоритеты[],2,0)</f>
        <v>Значительное</v>
      </c>
      <c r="E861" t="str">
        <f>IF(ISBLANK(source[[#This Row],[Проверенные]]),IF(ISBLANK(source[[#This Row],[Завершенные]]),source[[#This Row],[Приоритет_]],"Завершено"),"Проверено")</f>
        <v>Проверено</v>
      </c>
      <c r="F861" t="s">
        <v>4423</v>
      </c>
      <c r="G861" t="s">
        <v>269</v>
      </c>
      <c r="H861" t="e">
        <f>VLOOKUP(source[[#This Row],[Отвественный]],тОтветственные[],2,0)</f>
        <v>#N/A</v>
      </c>
      <c r="I861" s="2">
        <v>43868</v>
      </c>
      <c r="J861" s="2">
        <v>43868</v>
      </c>
      <c r="S861" s="1">
        <v>43867.646956018521</v>
      </c>
      <c r="T861" s="1">
        <v>43868.694918981484</v>
      </c>
      <c r="U861" s="1">
        <v>43868.694918981484</v>
      </c>
      <c r="W861" s="1">
        <v>43868.695138888892</v>
      </c>
      <c r="EC861" t="s">
        <v>6884</v>
      </c>
      <c r="ED861" t="str">
        <f>HYPERLINK("https://d33htgqikc2pj4.cloudfront.net/84b17440-20a9-45dd-98f1-88e122ce24c8.jpeg", "Вячеслав Сорокин: Ссылка на изображение")</f>
        <v>Вячеслав Сорокин: Ссылка на изображение</v>
      </c>
      <c r="EE861" t="str">
        <f>HYPERLINK("https://d33htgqikc2pj4.cloudfront.net/0b0ccec1-38ce-479b-8a29-dc511a98fc2b.jpeg", "Вячеслав Сорокин: Ссылка на изображение")</f>
        <v>Вячеслав Сорокин: Ссылка на изображение</v>
      </c>
      <c r="EF861" t="str">
        <f>HYPERLINK("https://d33htgqikc2pj4.cloudfront.net/47f03dd4-c264-4275-a05e-de2bbce4aeb1.jpeg", "Вячеслав Сорокин: Ссылка на изображение")</f>
        <v>Вячеслав Сорокин: Ссылка на изображение</v>
      </c>
      <c r="EG861" t="s">
        <v>6885</v>
      </c>
      <c r="EH861" t="s">
        <v>6886</v>
      </c>
      <c r="EI861" t="s">
        <v>265</v>
      </c>
      <c r="EJ861" t="s">
        <v>3441</v>
      </c>
      <c r="EK861" t="s">
        <v>803</v>
      </c>
      <c r="EL861" t="s">
        <v>1921</v>
      </c>
    </row>
    <row r="862" spans="1:147" ht="15" customHeight="1" x14ac:dyDescent="0.35">
      <c r="A862">
        <v>976</v>
      </c>
      <c r="B862" t="s">
        <v>6887</v>
      </c>
      <c r="C862">
        <v>2</v>
      </c>
      <c r="D862" t="str">
        <f>VLOOKUP(source[[#This Row],[Приоритет]],тПриоритеты[],2,0)</f>
        <v>Значительное</v>
      </c>
      <c r="E862" t="str">
        <f>IF(ISBLANK(source[[#This Row],[Проверенные]]),IF(ISBLANK(source[[#This Row],[Завершенные]]),source[[#This Row],[Приоритет_]],"Завершено"),"Проверено")</f>
        <v>Проверено</v>
      </c>
      <c r="F862" t="s">
        <v>4423</v>
      </c>
      <c r="G862" t="s">
        <v>269</v>
      </c>
      <c r="H862" t="e">
        <f>VLOOKUP(source[[#This Row],[Отвественный]],тОтветственные[],2,0)</f>
        <v>#N/A</v>
      </c>
      <c r="I862" s="2">
        <v>43851</v>
      </c>
      <c r="J862" s="2">
        <v>43851</v>
      </c>
      <c r="S862" s="1">
        <v>43851.472581018519</v>
      </c>
      <c r="T862" s="1">
        <v>43851.733981481484</v>
      </c>
      <c r="U862" s="1">
        <v>43851.733981481484</v>
      </c>
      <c r="W862" s="1">
        <v>43851.735162037039</v>
      </c>
      <c r="EC862" t="s">
        <v>6888</v>
      </c>
      <c r="ED862" t="str">
        <f>HYPERLINK("https://d33htgqikc2pj4.cloudfront.net/qvHDimMUqxZcQnsj/78d638ee-0543-4d5d-8e07-6d6b6be2d171.jpeg", "Вячеслав Сорокин: Ссылка на изображение")</f>
        <v>Вячеслав Сорокин: Ссылка на изображение</v>
      </c>
      <c r="EE862" t="str">
        <f>HYPERLINK("https://d33htgqikc2pj4.cloudfront.net/qvHDimMUqxZcQnsj/486675a3-c3ae-412d-89c9-617320ade326.jpeg", "Вячеслав Сорокин: Ссылка на изображение")</f>
        <v>Вячеслав Сорокин: Ссылка на изображение</v>
      </c>
      <c r="EF862" t="s">
        <v>265</v>
      </c>
      <c r="EG862" t="s">
        <v>3441</v>
      </c>
      <c r="EH862" t="s">
        <v>803</v>
      </c>
      <c r="EI862" t="s">
        <v>3407</v>
      </c>
      <c r="EJ862" t="s">
        <v>6889</v>
      </c>
    </row>
    <row r="863" spans="1:147" ht="15" customHeight="1" x14ac:dyDescent="0.35">
      <c r="A863">
        <v>983</v>
      </c>
      <c r="B863" t="s">
        <v>6890</v>
      </c>
      <c r="C863">
        <v>1</v>
      </c>
      <c r="D863" t="str">
        <f>VLOOKUP(source[[#This Row],[Приоритет]],тПриоритеты[],2,0)</f>
        <v>КРИТИЧЕСКОЕ</v>
      </c>
      <c r="E863" t="str">
        <f>IF(ISBLANK(source[[#This Row],[Проверенные]]),IF(ISBLANK(source[[#This Row],[Завершенные]]),source[[#This Row],[Приоритет_]],"Завершено"),"Проверено")</f>
        <v>Проверено</v>
      </c>
      <c r="F863" t="s">
        <v>4423</v>
      </c>
      <c r="G863" t="s">
        <v>269</v>
      </c>
      <c r="H863" t="e">
        <f>VLOOKUP(source[[#This Row],[Отвественный]],тОтветственные[],2,0)</f>
        <v>#N/A</v>
      </c>
      <c r="I863" s="2">
        <v>43851</v>
      </c>
      <c r="J863" s="2">
        <v>43851</v>
      </c>
      <c r="S863" s="1">
        <v>43851.623229166667</v>
      </c>
      <c r="T863" s="1">
        <v>43860.406759259262</v>
      </c>
      <c r="U863" s="1">
        <v>43860.406759259262</v>
      </c>
      <c r="W863" s="1">
        <v>43860.406770833331</v>
      </c>
      <c r="EC863" t="s">
        <v>6891</v>
      </c>
      <c r="ED863" t="str">
        <f>HYPERLINK("https://d33htgqikc2pj4.cloudfront.net/qvHDimMUqxZcQnsj/fd66f80f-df39-4528-86ad-df8aeb002fb6.jpeg", "Вячеслав Сорокин: Ссылка на изображение")</f>
        <v>Вячеслав Сорокин: Ссылка на изображение</v>
      </c>
      <c r="EE863" t="str">
        <f>HYPERLINK("https://d33htgqikc2pj4.cloudfront.net/qvHDimMUqxZcQnsj/74a93d2d-1ecc-4252-97e5-1dbfaefda2eb.jpeg", "Вячеслав Сорокин: Ссылка на изображение")</f>
        <v>Вячеслав Сорокин: Ссылка на изображение</v>
      </c>
      <c r="EF863" t="str">
        <f>HYPERLINK("https://d33htgqikc2pj4.cloudfront.net/qvHDimMUqxZcQnsj/628243ef-6464-4766-a398-c8dc52a9bda9.jpeg", "Вячеслав Сорокин: Ссылка на изображение")</f>
        <v>Вячеслав Сорокин: Ссылка на изображение</v>
      </c>
      <c r="EG863" t="str">
        <f>HYPERLINK("https://d33htgqikc2pj4.cloudfront.net/qvHDimMUqxZcQnsj/ac5b2c56-f124-4585-a227-922a02b2358f.jpeg", "Вячеслав Сорокин: Ссылка на изображение")</f>
        <v>Вячеслав Сорокин: Ссылка на изображение</v>
      </c>
      <c r="EH863" t="s">
        <v>6892</v>
      </c>
      <c r="EI863" t="s">
        <v>265</v>
      </c>
      <c r="EJ863" t="s">
        <v>3441</v>
      </c>
      <c r="EK863" t="s">
        <v>803</v>
      </c>
      <c r="EL863" t="s">
        <v>3407</v>
      </c>
      <c r="EM863" t="s">
        <v>6893</v>
      </c>
      <c r="EN863" t="s">
        <v>1924</v>
      </c>
      <c r="EO863" t="s">
        <v>794</v>
      </c>
    </row>
    <row r="864" spans="1:147" ht="15" customHeight="1" x14ac:dyDescent="0.35">
      <c r="A864">
        <v>979</v>
      </c>
      <c r="B864" t="s">
        <v>6894</v>
      </c>
      <c r="C864">
        <v>2</v>
      </c>
      <c r="D864" t="str">
        <f>VLOOKUP(source[[#This Row],[Приоритет]],тПриоритеты[],2,0)</f>
        <v>Значительное</v>
      </c>
      <c r="E864" t="str">
        <f>IF(ISBLANK(source[[#This Row],[Проверенные]]),IF(ISBLANK(source[[#This Row],[Завершенные]]),source[[#This Row],[Приоритет_]],"Завершено"),"Проверено")</f>
        <v>Проверено</v>
      </c>
      <c r="F864" t="s">
        <v>4423</v>
      </c>
      <c r="G864" t="s">
        <v>269</v>
      </c>
      <c r="H864" t="e">
        <f>VLOOKUP(source[[#This Row],[Отвественный]],тОтветственные[],2,0)</f>
        <v>#N/A</v>
      </c>
      <c r="I864" s="2">
        <v>43851</v>
      </c>
      <c r="J864" s="2">
        <v>43851</v>
      </c>
      <c r="S864" s="1">
        <v>43851.472592592596</v>
      </c>
      <c r="T864" s="1">
        <v>43851.742928240739</v>
      </c>
      <c r="U864" s="1">
        <v>43851.742928240739</v>
      </c>
      <c r="W864" s="1">
        <v>43851.743078703701</v>
      </c>
      <c r="EC864" t="s">
        <v>6895</v>
      </c>
      <c r="ED864" t="str">
        <f>HYPERLINK("https://d33htgqikc2pj4.cloudfront.net/qvHDimMUqxZcQnsj/4077bcd0-2ae8-40ed-8a06-1c74cd6b7b5f.jpeg", "Вячеслав Сорокин: Ссылка на изображение")</f>
        <v>Вячеслав Сорокин: Ссылка на изображение</v>
      </c>
      <c r="EE864" t="str">
        <f>HYPERLINK("https://d33htgqikc2pj4.cloudfront.net/qvHDimMUqxZcQnsj/56c10d06-a461-4a0d-a570-34f1a259356b.jpeg", "Вячеслав Сорокин: Ссылка на изображение")</f>
        <v>Вячеслав Сорокин: Ссылка на изображение</v>
      </c>
      <c r="EF864" t="str">
        <f>HYPERLINK("https://d33htgqikc2pj4.cloudfront.net/qvHDimMUqxZcQnsj/3e38043a-d05e-4fc7-8172-edae02355dfe.jpeg", "Вячеслав Сорокин: Ссылка на изображение")</f>
        <v>Вячеслав Сорокин: Ссылка на изображение</v>
      </c>
      <c r="EG864" t="str">
        <f>HYPERLINK("https://d33htgqikc2pj4.cloudfront.net/qvHDimMUqxZcQnsj/b32df567-a9e0-4918-aee2-5e21764f0d15.jpeg", "Вячеслав Сорокин: Ссылка на изображение")</f>
        <v>Вячеслав Сорокин: Ссылка на изображение</v>
      </c>
      <c r="EH864" t="s">
        <v>6896</v>
      </c>
      <c r="EI864" t="s">
        <v>6897</v>
      </c>
      <c r="EJ864" t="s">
        <v>265</v>
      </c>
      <c r="EK864" t="s">
        <v>3441</v>
      </c>
      <c r="EL864" t="s">
        <v>803</v>
      </c>
      <c r="EM864" t="s">
        <v>3407</v>
      </c>
    </row>
    <row r="865" spans="1:140" ht="15" customHeight="1" x14ac:dyDescent="0.35">
      <c r="A865">
        <v>1014</v>
      </c>
      <c r="B865" t="s">
        <v>6898</v>
      </c>
      <c r="C865">
        <v>2</v>
      </c>
      <c r="D865" t="str">
        <f>VLOOKUP(source[[#This Row],[Приоритет]],тПриоритеты[],2,0)</f>
        <v>Значительное</v>
      </c>
      <c r="E865" t="str">
        <f>IF(ISBLANK(source[[#This Row],[Проверенные]]),IF(ISBLANK(source[[#This Row],[Завершенные]]),source[[#This Row],[Приоритет_]],"Завершено"),"Проверено")</f>
        <v>Проверено</v>
      </c>
      <c r="F865" t="s">
        <v>4423</v>
      </c>
      <c r="G865" t="s">
        <v>269</v>
      </c>
      <c r="H865" t="e">
        <f>VLOOKUP(source[[#This Row],[Отвественный]],тОтветственные[],2,0)</f>
        <v>#N/A</v>
      </c>
      <c r="I865" s="2">
        <v>43852</v>
      </c>
      <c r="J865" s="2">
        <v>43852</v>
      </c>
      <c r="S865" s="1">
        <v>43852.748113425929</v>
      </c>
      <c r="T865" s="1">
        <v>43852.747534722221</v>
      </c>
      <c r="U865" s="1">
        <v>43852.747534722221</v>
      </c>
      <c r="W865" s="1">
        <v>43853.466585648152</v>
      </c>
      <c r="EC865" t="s">
        <v>6899</v>
      </c>
      <c r="ED865" t="str">
        <f>HYPERLINK("https://d33htgqikc2pj4.cloudfront.net/qvHDimMUqxZcQnsj/63dcf32e-55f5-4656-ae2e-2c48fecf6419.jpeg", "Вячеслав Сорокин: Ссылка на изображение")</f>
        <v>Вячеслав Сорокин: Ссылка на изображение</v>
      </c>
      <c r="EE865" t="s">
        <v>6900</v>
      </c>
      <c r="EF865" t="s">
        <v>3441</v>
      </c>
      <c r="EG865" t="s">
        <v>6901</v>
      </c>
      <c r="EH865" t="str">
        <f>HYPERLINK("https://d33htgqikc2pj4.cloudfront.net/qvHDimMUqxZcQnsj/1b23b425-a6b5-4005-a49c-fbb52fe75e22.jpeg", "Вячеслав Сорокин: Ссылка на изображение")</f>
        <v>Вячеслав Сорокин: Ссылка на изображение</v>
      </c>
      <c r="EI865" t="s">
        <v>265</v>
      </c>
      <c r="EJ865" t="s">
        <v>271</v>
      </c>
    </row>
    <row r="866" spans="1:140" ht="15" customHeight="1" x14ac:dyDescent="0.35">
      <c r="A866">
        <v>1036</v>
      </c>
      <c r="B866" t="s">
        <v>6902</v>
      </c>
      <c r="C866">
        <v>2</v>
      </c>
      <c r="D866" t="str">
        <f>VLOOKUP(source[[#This Row],[Приоритет]],тПриоритеты[],2,0)</f>
        <v>Значительное</v>
      </c>
      <c r="E866" t="str">
        <f>IF(ISBLANK(source[[#This Row],[Проверенные]]),IF(ISBLANK(source[[#This Row],[Завершенные]]),source[[#This Row],[Приоритет_]],"Завершено"),"Проверено")</f>
        <v>Значительное</v>
      </c>
      <c r="F866" t="s">
        <v>4423</v>
      </c>
      <c r="G866" t="s">
        <v>277</v>
      </c>
      <c r="H866" t="e">
        <f>VLOOKUP(source[[#This Row],[Отвественный]],тОтветственные[],2,0)</f>
        <v>#N/A</v>
      </c>
      <c r="I866" s="2">
        <v>43860</v>
      </c>
      <c r="J866" s="2">
        <v>43861</v>
      </c>
      <c r="S866" s="1">
        <v>43854.411041666666</v>
      </c>
      <c r="W866" s="1">
        <v>43854.412754629629</v>
      </c>
      <c r="X866" t="s">
        <v>6903</v>
      </c>
      <c r="AH866" t="s">
        <v>6904</v>
      </c>
      <c r="AI866" t="s">
        <v>6905</v>
      </c>
      <c r="AJ866" t="s">
        <v>6906</v>
      </c>
      <c r="AK866" t="s">
        <v>6907</v>
      </c>
      <c r="AL866" t="s">
        <v>6908</v>
      </c>
      <c r="AM866" t="s">
        <v>6909</v>
      </c>
      <c r="AN866" t="s">
        <v>6910</v>
      </c>
      <c r="AO866" t="s">
        <v>6911</v>
      </c>
      <c r="EC866" t="s">
        <v>6912</v>
      </c>
      <c r="ED866" t="s">
        <v>6913</v>
      </c>
      <c r="EE866" t="s">
        <v>1650</v>
      </c>
      <c r="EF866" t="s">
        <v>6914</v>
      </c>
      <c r="EG866" t="s">
        <v>1536</v>
      </c>
    </row>
    <row r="867" spans="1:140" ht="15" customHeight="1" x14ac:dyDescent="0.35">
      <c r="A867">
        <v>1192</v>
      </c>
      <c r="B867" t="s">
        <v>1250</v>
      </c>
      <c r="C867">
        <v>2</v>
      </c>
      <c r="D867" t="str">
        <f>VLOOKUP(source[[#This Row],[Приоритет]],тПриоритеты[],2,0)</f>
        <v>Значительное</v>
      </c>
      <c r="E867" t="str">
        <f>IF(ISBLANK(source[[#This Row],[Проверенные]]),IF(ISBLANK(source[[#This Row],[Завершенные]]),source[[#This Row],[Приоритет_]],"Завершено"),"Проверено")</f>
        <v>Значительное</v>
      </c>
      <c r="F867" t="s">
        <v>4423</v>
      </c>
      <c r="G867" t="s">
        <v>277</v>
      </c>
      <c r="H867" t="e">
        <f>VLOOKUP(source[[#This Row],[Отвественный]],тОтветственные[],2,0)</f>
        <v>#N/A</v>
      </c>
      <c r="I867" s="2">
        <v>43866</v>
      </c>
      <c r="J867" s="2">
        <v>43868</v>
      </c>
      <c r="K867" t="s">
        <v>1249</v>
      </c>
      <c r="L867">
        <v>23.74</v>
      </c>
      <c r="M867">
        <v>34.76</v>
      </c>
      <c r="Q867" t="s">
        <v>397</v>
      </c>
      <c r="R867" t="str">
        <f>HYPERLINK("https://d28ji4sm1vmprj.cloudfront.net/8b81ef2b0a30062978386134f36f4f7f/dac1af1f5ebb16f1fef2aabf7a8bd274.jpeg", "Ссылка на план")</f>
        <v>Ссылка на план</v>
      </c>
      <c r="S867" s="1">
        <v>43866.640347222223</v>
      </c>
      <c r="W867" s="1">
        <v>43866.817997685182</v>
      </c>
      <c r="X867" t="s">
        <v>399</v>
      </c>
      <c r="AA867" t="s">
        <v>1248</v>
      </c>
      <c r="AH867" t="s">
        <v>6915</v>
      </c>
      <c r="AI867" t="s">
        <v>6916</v>
      </c>
      <c r="AJ867" t="s">
        <v>6917</v>
      </c>
      <c r="AK867" t="s">
        <v>6918</v>
      </c>
      <c r="AL867" t="s">
        <v>6919</v>
      </c>
      <c r="AM867" t="s">
        <v>6920</v>
      </c>
      <c r="AN867" t="s">
        <v>6921</v>
      </c>
      <c r="EC867" t="s">
        <v>6922</v>
      </c>
      <c r="ED867" t="s">
        <v>6923</v>
      </c>
      <c r="EE867" t="str">
        <f>HYPERLINK("https://d33htgqikc2pj4.cloudfront.net/a17516c7-2832-41ef-936b-c227b6b5a6bd.jpeg", "Кирилл Васенков: Ссылка на изображение")</f>
        <v>Кирилл Васенков: Ссылка на изображение</v>
      </c>
      <c r="EF867" t="str">
        <f>HYPERLINK("https://d33htgqikc2pj4.cloudfront.net/f6fb07a3-0f7d-40c9-bd12-8f9659a5f577.jpeg", "Кирилл Васенков: Ссылка на изображение")</f>
        <v>Кирилл Васенков: Ссылка на изображение</v>
      </c>
      <c r="EG867" t="s">
        <v>1253</v>
      </c>
      <c r="EH867" t="s">
        <v>1079</v>
      </c>
      <c r="EI867" t="s">
        <v>1650</v>
      </c>
      <c r="EJ867" t="s">
        <v>6924</v>
      </c>
    </row>
    <row r="868" spans="1:140" ht="15" customHeight="1" x14ac:dyDescent="0.35">
      <c r="A868">
        <v>906</v>
      </c>
      <c r="B868" t="s">
        <v>6925</v>
      </c>
      <c r="C868">
        <v>2</v>
      </c>
      <c r="D868" t="str">
        <f>VLOOKUP(source[[#This Row],[Приоритет]],тПриоритеты[],2,0)</f>
        <v>Значительное</v>
      </c>
      <c r="E868" t="str">
        <f>IF(ISBLANK(source[[#This Row],[Проверенные]]),IF(ISBLANK(source[[#This Row],[Завершенные]]),source[[#This Row],[Приоритет_]],"Завершено"),"Проверено")</f>
        <v>Значительное</v>
      </c>
      <c r="F868" t="s">
        <v>4423</v>
      </c>
      <c r="G868" t="s">
        <v>277</v>
      </c>
      <c r="H868" t="e">
        <f>VLOOKUP(source[[#This Row],[Отвественный]],тОтветственные[],2,0)</f>
        <v>#N/A</v>
      </c>
      <c r="S868" s="1">
        <v>43844.484502314815</v>
      </c>
      <c r="W868" s="1">
        <v>43844.48847222222</v>
      </c>
      <c r="AH868" t="s">
        <v>6926</v>
      </c>
      <c r="AI868" t="s">
        <v>6927</v>
      </c>
      <c r="AJ868" t="s">
        <v>6928</v>
      </c>
      <c r="AK868" t="s">
        <v>6929</v>
      </c>
      <c r="AL868" t="s">
        <v>6930</v>
      </c>
      <c r="EC868" t="s">
        <v>6931</v>
      </c>
      <c r="ED868" t="s">
        <v>1650</v>
      </c>
    </row>
    <row r="869" spans="1:140" ht="15" customHeight="1" x14ac:dyDescent="0.35">
      <c r="A869">
        <v>1029</v>
      </c>
      <c r="B869" t="s">
        <v>6932</v>
      </c>
      <c r="C869">
        <v>2</v>
      </c>
      <c r="D869" t="str">
        <f>VLOOKUP(source[[#This Row],[Приоритет]],тПриоритеты[],2,0)</f>
        <v>Значительное</v>
      </c>
      <c r="E869" t="str">
        <f>IF(ISBLANK(source[[#This Row],[Проверенные]]),IF(ISBLANK(source[[#This Row],[Завершенные]]),source[[#This Row],[Приоритет_]],"Завершено"),"Проверено")</f>
        <v>Проверено</v>
      </c>
      <c r="F869" t="s">
        <v>4423</v>
      </c>
      <c r="G869" t="s">
        <v>277</v>
      </c>
      <c r="H869" t="e">
        <f>VLOOKUP(source[[#This Row],[Отвественный]],тОтветственные[],2,0)</f>
        <v>#N/A</v>
      </c>
      <c r="I869" s="2">
        <v>43853</v>
      </c>
      <c r="J869" s="2">
        <v>43853</v>
      </c>
      <c r="S869" s="1">
        <v>43854.395844907405</v>
      </c>
      <c r="T869" s="1">
        <v>43854.397106481483</v>
      </c>
      <c r="U869" s="1">
        <v>43854.397106481483</v>
      </c>
      <c r="W869" s="1">
        <v>43854.405497685184</v>
      </c>
      <c r="X869" t="s">
        <v>385</v>
      </c>
      <c r="AH869" t="s">
        <v>6933</v>
      </c>
      <c r="AI869" t="s">
        <v>6934</v>
      </c>
      <c r="AJ869" t="s">
        <v>6935</v>
      </c>
      <c r="AK869" t="s">
        <v>6936</v>
      </c>
      <c r="EC869" t="s">
        <v>6937</v>
      </c>
      <c r="ED869" t="s">
        <v>394</v>
      </c>
      <c r="EE869" t="s">
        <v>1650</v>
      </c>
      <c r="EF869" t="s">
        <v>6938</v>
      </c>
      <c r="EG869" t="s">
        <v>6914</v>
      </c>
    </row>
    <row r="870" spans="1:140" ht="15" customHeight="1" x14ac:dyDescent="0.35">
      <c r="A870">
        <v>1032</v>
      </c>
      <c r="B870" t="s">
        <v>6939</v>
      </c>
      <c r="C870">
        <v>2</v>
      </c>
      <c r="D870" t="str">
        <f>VLOOKUP(source[[#This Row],[Приоритет]],тПриоритеты[],2,0)</f>
        <v>Значительное</v>
      </c>
      <c r="E870" t="str">
        <f>IF(ISBLANK(source[[#This Row],[Проверенные]]),IF(ISBLANK(source[[#This Row],[Завершенные]]),source[[#This Row],[Приоритет_]],"Завершено"),"Проверено")</f>
        <v>Проверено</v>
      </c>
      <c r="F870" t="s">
        <v>4423</v>
      </c>
      <c r="G870" t="s">
        <v>277</v>
      </c>
      <c r="H870" t="e">
        <f>VLOOKUP(source[[#This Row],[Отвественный]],тОтветственные[],2,0)</f>
        <v>#N/A</v>
      </c>
      <c r="I870" s="2">
        <v>43853</v>
      </c>
      <c r="J870" s="2">
        <v>43853</v>
      </c>
      <c r="S870" s="1">
        <v>43854.399236111109</v>
      </c>
      <c r="T870" s="1">
        <v>43854.400000000001</v>
      </c>
      <c r="U870" s="1">
        <v>43854.400000000001</v>
      </c>
      <c r="W870" s="1">
        <v>43854.405497685184</v>
      </c>
      <c r="X870" t="s">
        <v>385</v>
      </c>
      <c r="AH870" t="s">
        <v>6933</v>
      </c>
      <c r="AI870" t="s">
        <v>6934</v>
      </c>
      <c r="AJ870" t="s">
        <v>6935</v>
      </c>
      <c r="AK870" t="s">
        <v>6936</v>
      </c>
      <c r="EC870" t="s">
        <v>6940</v>
      </c>
      <c r="ED870" t="s">
        <v>394</v>
      </c>
      <c r="EE870" t="s">
        <v>1650</v>
      </c>
      <c r="EF870" t="s">
        <v>6914</v>
      </c>
    </row>
    <row r="871" spans="1:140" ht="15" customHeight="1" x14ac:dyDescent="0.35">
      <c r="A871">
        <v>1034</v>
      </c>
      <c r="B871" t="s">
        <v>6941</v>
      </c>
      <c r="C871">
        <v>2</v>
      </c>
      <c r="D871" t="str">
        <f>VLOOKUP(source[[#This Row],[Приоритет]],тПриоритеты[],2,0)</f>
        <v>Значительное</v>
      </c>
      <c r="E871" t="str">
        <f>IF(ISBLANK(source[[#This Row],[Проверенные]]),IF(ISBLANK(source[[#This Row],[Завершенные]]),source[[#This Row],[Приоритет_]],"Завершено"),"Проверено")</f>
        <v>Проверено</v>
      </c>
      <c r="F871" t="s">
        <v>4423</v>
      </c>
      <c r="G871" t="s">
        <v>277</v>
      </c>
      <c r="H871" t="e">
        <f>VLOOKUP(source[[#This Row],[Отвественный]],тОтветственные[],2,0)</f>
        <v>#N/A</v>
      </c>
      <c r="I871" s="2">
        <v>43853</v>
      </c>
      <c r="J871" s="2">
        <v>43853</v>
      </c>
      <c r="S871" s="1">
        <v>43854.401446759257</v>
      </c>
      <c r="T871" s="1">
        <v>43854.404120370367</v>
      </c>
      <c r="U871" s="1">
        <v>43854.404120370367</v>
      </c>
      <c r="W871" s="1">
        <v>43854.405497685184</v>
      </c>
      <c r="X871" t="s">
        <v>385</v>
      </c>
      <c r="AH871" t="s">
        <v>6933</v>
      </c>
      <c r="AI871" t="s">
        <v>6934</v>
      </c>
      <c r="AJ871" t="s">
        <v>6935</v>
      </c>
      <c r="AK871" t="s">
        <v>6936</v>
      </c>
      <c r="EC871" t="s">
        <v>6942</v>
      </c>
      <c r="ED871" t="s">
        <v>6943</v>
      </c>
      <c r="EE871" t="s">
        <v>394</v>
      </c>
      <c r="EF871" t="s">
        <v>1650</v>
      </c>
      <c r="EG871" t="s">
        <v>6914</v>
      </c>
    </row>
    <row r="872" spans="1:140" ht="15" customHeight="1" x14ac:dyDescent="0.35">
      <c r="A872">
        <v>1035</v>
      </c>
      <c r="B872" t="s">
        <v>6944</v>
      </c>
      <c r="C872">
        <v>2</v>
      </c>
      <c r="D872" t="str">
        <f>VLOOKUP(source[[#This Row],[Приоритет]],тПриоритеты[],2,0)</f>
        <v>Значительное</v>
      </c>
      <c r="E872" t="str">
        <f>IF(ISBLANK(source[[#This Row],[Проверенные]]),IF(ISBLANK(source[[#This Row],[Завершенные]]),source[[#This Row],[Приоритет_]],"Завершено"),"Проверено")</f>
        <v>Проверено</v>
      </c>
      <c r="F872" t="s">
        <v>4423</v>
      </c>
      <c r="G872" t="s">
        <v>277</v>
      </c>
      <c r="H872" t="e">
        <f>VLOOKUP(source[[#This Row],[Отвественный]],тОтветственные[],2,0)</f>
        <v>#N/A</v>
      </c>
      <c r="I872" s="2">
        <v>43853</v>
      </c>
      <c r="J872" s="2">
        <v>43853</v>
      </c>
      <c r="S872" s="1">
        <v>43854.407731481479</v>
      </c>
      <c r="T872" s="1">
        <v>43854.409108796295</v>
      </c>
      <c r="U872" s="1">
        <v>43854.409108796295</v>
      </c>
      <c r="W872" s="1">
        <v>43854.410243055558</v>
      </c>
      <c r="X872" t="s">
        <v>6903</v>
      </c>
      <c r="AH872" t="s">
        <v>6904</v>
      </c>
      <c r="AI872" t="s">
        <v>6945</v>
      </c>
      <c r="AJ872" t="s">
        <v>6906</v>
      </c>
      <c r="AK872" t="s">
        <v>6907</v>
      </c>
      <c r="AL872" t="s">
        <v>6908</v>
      </c>
      <c r="AM872" t="s">
        <v>6909</v>
      </c>
      <c r="AN872" t="s">
        <v>6910</v>
      </c>
      <c r="AO872" t="s">
        <v>6911</v>
      </c>
      <c r="EC872" t="s">
        <v>6946</v>
      </c>
      <c r="ED872" t="s">
        <v>6912</v>
      </c>
      <c r="EE872" t="s">
        <v>6914</v>
      </c>
      <c r="EF872" t="s">
        <v>394</v>
      </c>
      <c r="EG872" t="s">
        <v>1650</v>
      </c>
      <c r="EH872" t="s">
        <v>6947</v>
      </c>
    </row>
    <row r="873" spans="1:140" ht="15" customHeight="1" x14ac:dyDescent="0.35">
      <c r="A873">
        <v>1037</v>
      </c>
      <c r="B873" t="s">
        <v>6948</v>
      </c>
      <c r="C873">
        <v>2</v>
      </c>
      <c r="D873" t="str">
        <f>VLOOKUP(source[[#This Row],[Приоритет]],тПриоритеты[],2,0)</f>
        <v>Значительное</v>
      </c>
      <c r="E873" t="str">
        <f>IF(ISBLANK(source[[#This Row],[Проверенные]]),IF(ISBLANK(source[[#This Row],[Завершенные]]),source[[#This Row],[Приоритет_]],"Завершено"),"Проверено")</f>
        <v>Проверено</v>
      </c>
      <c r="F873" t="s">
        <v>4423</v>
      </c>
      <c r="G873" t="s">
        <v>277</v>
      </c>
      <c r="H873" t="e">
        <f>VLOOKUP(source[[#This Row],[Отвественный]],тОтветственные[],2,0)</f>
        <v>#N/A</v>
      </c>
      <c r="I873" s="2">
        <v>43854</v>
      </c>
      <c r="J873" s="2">
        <v>43854</v>
      </c>
      <c r="S873" s="1">
        <v>43854.485324074078</v>
      </c>
      <c r="T873" s="1">
        <v>43854.486331018517</v>
      </c>
      <c r="U873" s="1">
        <v>43854.486331018517</v>
      </c>
      <c r="W873" s="1">
        <v>43854.486446759256</v>
      </c>
      <c r="X873" t="s">
        <v>398</v>
      </c>
      <c r="Y873" t="s">
        <v>399</v>
      </c>
      <c r="Z873" t="s">
        <v>400</v>
      </c>
      <c r="AA873" t="s">
        <v>6949</v>
      </c>
      <c r="EC873" t="s">
        <v>6950</v>
      </c>
      <c r="ED873" t="s">
        <v>394</v>
      </c>
      <c r="EE873" t="s">
        <v>1650</v>
      </c>
      <c r="EF873" t="s">
        <v>1581</v>
      </c>
      <c r="EG873" t="s">
        <v>6951</v>
      </c>
    </row>
    <row r="874" spans="1:140" ht="15" customHeight="1" x14ac:dyDescent="0.35">
      <c r="A874">
        <v>1041</v>
      </c>
      <c r="B874" t="s">
        <v>6952</v>
      </c>
      <c r="C874">
        <v>2</v>
      </c>
      <c r="D874" t="str">
        <f>VLOOKUP(source[[#This Row],[Приоритет]],тПриоритеты[],2,0)</f>
        <v>Значительное</v>
      </c>
      <c r="E874" t="str">
        <f>IF(ISBLANK(source[[#This Row],[Проверенные]]),IF(ISBLANK(source[[#This Row],[Завершенные]]),source[[#This Row],[Приоритет_]],"Завершено"),"Проверено")</f>
        <v>Проверено</v>
      </c>
      <c r="F874" t="s">
        <v>4423</v>
      </c>
      <c r="G874" t="s">
        <v>277</v>
      </c>
      <c r="H874" t="e">
        <f>VLOOKUP(source[[#This Row],[Отвественный]],тОтветственные[],2,0)</f>
        <v>#N/A</v>
      </c>
      <c r="I874" s="2">
        <v>43854</v>
      </c>
      <c r="J874" s="2">
        <v>43854</v>
      </c>
      <c r="S874" s="1">
        <v>43854.581655092596</v>
      </c>
      <c r="T874" s="1">
        <v>43854.582789351851</v>
      </c>
      <c r="U874" s="1">
        <v>43854.582789351851</v>
      </c>
      <c r="W874" s="1">
        <v>43854.583067129628</v>
      </c>
      <c r="X874" t="s">
        <v>6953</v>
      </c>
      <c r="AH874" t="s">
        <v>6954</v>
      </c>
      <c r="EC874" t="s">
        <v>6955</v>
      </c>
      <c r="ED874" t="s">
        <v>394</v>
      </c>
      <c r="EE874" t="s">
        <v>1650</v>
      </c>
      <c r="EF874" t="s">
        <v>1581</v>
      </c>
    </row>
    <row r="875" spans="1:140" ht="15" customHeight="1" x14ac:dyDescent="0.35">
      <c r="A875">
        <v>1044</v>
      </c>
      <c r="B875" t="s">
        <v>6956</v>
      </c>
      <c r="C875">
        <v>2</v>
      </c>
      <c r="D875" t="str">
        <f>VLOOKUP(source[[#This Row],[Приоритет]],тПриоритеты[],2,0)</f>
        <v>Значительное</v>
      </c>
      <c r="E875" t="str">
        <f>IF(ISBLANK(source[[#This Row],[Проверенные]]),IF(ISBLANK(source[[#This Row],[Завершенные]]),source[[#This Row],[Приоритет_]],"Завершено"),"Проверено")</f>
        <v>Проверено</v>
      </c>
      <c r="F875" t="s">
        <v>4423</v>
      </c>
      <c r="G875" t="s">
        <v>277</v>
      </c>
      <c r="H875" t="e">
        <f>VLOOKUP(source[[#This Row],[Отвественный]],тОтветственные[],2,0)</f>
        <v>#N/A</v>
      </c>
      <c r="I875" s="2">
        <v>43854</v>
      </c>
      <c r="J875" s="2">
        <v>43854</v>
      </c>
      <c r="K875" t="s">
        <v>6957</v>
      </c>
      <c r="L875">
        <v>38.68</v>
      </c>
      <c r="M875">
        <v>32.26</v>
      </c>
      <c r="Q875" t="s">
        <v>397</v>
      </c>
      <c r="R875" t="str">
        <f>HYPERLINK("https://d28ji4sm1vmprj.cloudfront.net/7898edb4a754bc921bf158e7b1b0bd7c/fd438980cceb702ef68e3a4044f322a2.jpeg", "Ссылка на план")</f>
        <v>Ссылка на план</v>
      </c>
      <c r="S875" s="1">
        <v>43854.660567129627</v>
      </c>
      <c r="T875" s="1">
        <v>43854.661215277774</v>
      </c>
      <c r="U875" s="1">
        <v>43854.661215277774</v>
      </c>
      <c r="W875" s="1">
        <v>43854.661354166667</v>
      </c>
      <c r="X875" t="s">
        <v>398</v>
      </c>
      <c r="Y875" t="s">
        <v>399</v>
      </c>
      <c r="AA875" t="s">
        <v>6958</v>
      </c>
      <c r="AH875" t="s">
        <v>6959</v>
      </c>
      <c r="AI875" t="s">
        <v>6960</v>
      </c>
      <c r="AJ875" t="s">
        <v>6961</v>
      </c>
      <c r="AK875" t="s">
        <v>6962</v>
      </c>
      <c r="AL875" t="s">
        <v>6963</v>
      </c>
      <c r="AM875" t="s">
        <v>6964</v>
      </c>
      <c r="AN875" t="s">
        <v>6965</v>
      </c>
      <c r="EC875" t="s">
        <v>6966</v>
      </c>
      <c r="ED875" t="s">
        <v>394</v>
      </c>
      <c r="EE875" t="s">
        <v>1650</v>
      </c>
      <c r="EF875" t="s">
        <v>1581</v>
      </c>
    </row>
    <row r="876" spans="1:140" ht="15" customHeight="1" x14ac:dyDescent="0.35">
      <c r="A876">
        <v>676</v>
      </c>
      <c r="B876" t="s">
        <v>6967</v>
      </c>
      <c r="C876">
        <v>2</v>
      </c>
      <c r="D876" t="str">
        <f>VLOOKUP(source[[#This Row],[Приоритет]],тПриоритеты[],2,0)</f>
        <v>Значительное</v>
      </c>
      <c r="E876" t="str">
        <f>IF(ISBLANK(source[[#This Row],[Проверенные]]),IF(ISBLANK(source[[#This Row],[Завершенные]]),source[[#This Row],[Приоритет_]],"Завершено"),"Проверено")</f>
        <v>Проверено</v>
      </c>
      <c r="F876" t="s">
        <v>4423</v>
      </c>
      <c r="G876" t="s">
        <v>277</v>
      </c>
      <c r="H876" t="e">
        <f>VLOOKUP(source[[#This Row],[Отвественный]],тОтветственные[],2,0)</f>
        <v>#N/A</v>
      </c>
      <c r="I876" s="2">
        <v>43818</v>
      </c>
      <c r="J876" s="2">
        <v>43818</v>
      </c>
      <c r="P876">
        <v>0</v>
      </c>
      <c r="S876" s="1">
        <v>43818.577349537038</v>
      </c>
      <c r="T876" s="1">
        <v>43818.580648148149</v>
      </c>
      <c r="U876" s="1">
        <v>43818.580648148149</v>
      </c>
      <c r="W876" s="1">
        <v>43858.526898148149</v>
      </c>
      <c r="X876" t="s">
        <v>385</v>
      </c>
      <c r="AH876" t="s">
        <v>6968</v>
      </c>
      <c r="AI876" t="s">
        <v>6969</v>
      </c>
      <c r="AJ876" t="s">
        <v>388</v>
      </c>
      <c r="AK876" t="s">
        <v>389</v>
      </c>
      <c r="EC876" t="s">
        <v>6970</v>
      </c>
      <c r="ED876" t="s">
        <v>394</v>
      </c>
      <c r="EE876" t="s">
        <v>6971</v>
      </c>
      <c r="EF876" t="s">
        <v>6972</v>
      </c>
    </row>
    <row r="877" spans="1:140" ht="15" customHeight="1" x14ac:dyDescent="0.35">
      <c r="A877">
        <v>1074</v>
      </c>
      <c r="B877" t="s">
        <v>6973</v>
      </c>
      <c r="C877">
        <v>2</v>
      </c>
      <c r="D877" t="str">
        <f>VLOOKUP(source[[#This Row],[Приоритет]],тПриоритеты[],2,0)</f>
        <v>Значительное</v>
      </c>
      <c r="E877" t="str">
        <f>IF(ISBLANK(source[[#This Row],[Проверенные]]),IF(ISBLANK(source[[#This Row],[Завершенные]]),source[[#This Row],[Приоритет_]],"Завершено"),"Проверено")</f>
        <v>Проверено</v>
      </c>
      <c r="F877" t="s">
        <v>4423</v>
      </c>
      <c r="G877" t="s">
        <v>277</v>
      </c>
      <c r="H877" t="e">
        <f>VLOOKUP(source[[#This Row],[Отвественный]],тОтветственные[],2,0)</f>
        <v>#N/A</v>
      </c>
      <c r="I877" s="2">
        <v>43858</v>
      </c>
      <c r="J877" s="2">
        <v>43858</v>
      </c>
      <c r="S877" s="1">
        <v>43858.504803240743</v>
      </c>
      <c r="T877" s="1">
        <v>43858.508032407408</v>
      </c>
      <c r="U877" s="1">
        <v>43858.508032407408</v>
      </c>
      <c r="W877" s="1">
        <v>43858.508113425924</v>
      </c>
      <c r="X877" t="s">
        <v>385</v>
      </c>
      <c r="AH877" t="s">
        <v>6974</v>
      </c>
      <c r="AI877" t="s">
        <v>6975</v>
      </c>
      <c r="AJ877" t="s">
        <v>6976</v>
      </c>
      <c r="AK877" t="s">
        <v>6977</v>
      </c>
      <c r="EC877" t="s">
        <v>6978</v>
      </c>
      <c r="ED877" t="s">
        <v>394</v>
      </c>
      <c r="EE877" t="s">
        <v>6979</v>
      </c>
      <c r="EF877" t="s">
        <v>6980</v>
      </c>
    </row>
    <row r="878" spans="1:140" ht="15" customHeight="1" x14ac:dyDescent="0.35">
      <c r="A878">
        <v>1076</v>
      </c>
      <c r="B878" t="s">
        <v>6981</v>
      </c>
      <c r="C878">
        <v>2</v>
      </c>
      <c r="D878" t="str">
        <f>VLOOKUP(source[[#This Row],[Приоритет]],тПриоритеты[],2,0)</f>
        <v>Значительное</v>
      </c>
      <c r="E878" t="str">
        <f>IF(ISBLANK(source[[#This Row],[Проверенные]]),IF(ISBLANK(source[[#This Row],[Завершенные]]),source[[#This Row],[Приоритет_]],"Завершено"),"Проверено")</f>
        <v>Проверено</v>
      </c>
      <c r="F878" t="s">
        <v>4423</v>
      </c>
      <c r="G878" t="s">
        <v>277</v>
      </c>
      <c r="H878" t="e">
        <f>VLOOKUP(source[[#This Row],[Отвественный]],тОтветственные[],2,0)</f>
        <v>#N/A</v>
      </c>
      <c r="I878" s="2">
        <v>43826</v>
      </c>
      <c r="J878" s="2">
        <v>43826</v>
      </c>
      <c r="S878" s="1">
        <v>43858.524375000001</v>
      </c>
      <c r="T878" s="1">
        <v>43858.524976851855</v>
      </c>
      <c r="U878" s="1">
        <v>43858.524976851855</v>
      </c>
      <c r="W878" s="1">
        <v>43858.525138888886</v>
      </c>
      <c r="X878" t="s">
        <v>385</v>
      </c>
      <c r="AH878" t="s">
        <v>6974</v>
      </c>
      <c r="AI878" t="s">
        <v>6975</v>
      </c>
      <c r="AJ878" t="s">
        <v>6976</v>
      </c>
      <c r="AK878" t="s">
        <v>6977</v>
      </c>
      <c r="EC878" t="s">
        <v>6982</v>
      </c>
      <c r="ED878" t="s">
        <v>394</v>
      </c>
      <c r="EE878" t="s">
        <v>1650</v>
      </c>
      <c r="EF878" t="s">
        <v>6983</v>
      </c>
    </row>
    <row r="879" spans="1:140" ht="15" customHeight="1" x14ac:dyDescent="0.35">
      <c r="A879">
        <v>1075</v>
      </c>
      <c r="B879" t="s">
        <v>6984</v>
      </c>
      <c r="C879">
        <v>2</v>
      </c>
      <c r="D879" t="str">
        <f>VLOOKUP(source[[#This Row],[Приоритет]],тПриоритеты[],2,0)</f>
        <v>Значительное</v>
      </c>
      <c r="E879" t="str">
        <f>IF(ISBLANK(source[[#This Row],[Проверенные]]),IF(ISBLANK(source[[#This Row],[Завершенные]]),source[[#This Row],[Приоритет_]],"Завершено"),"Проверено")</f>
        <v>Проверено</v>
      </c>
      <c r="F879" t="s">
        <v>4423</v>
      </c>
      <c r="G879" t="s">
        <v>277</v>
      </c>
      <c r="H879" t="e">
        <f>VLOOKUP(source[[#This Row],[Отвественный]],тОтветственные[],2,0)</f>
        <v>#N/A</v>
      </c>
      <c r="I879" s="2">
        <v>43858</v>
      </c>
      <c r="J879" s="2">
        <v>43858</v>
      </c>
      <c r="S879" s="1">
        <v>43858.509837962964</v>
      </c>
      <c r="T879" s="1">
        <v>43858.511261574073</v>
      </c>
      <c r="U879" s="1">
        <v>43858.511261574073</v>
      </c>
      <c r="W879" s="1">
        <v>43858.511261574073</v>
      </c>
      <c r="X879" t="s">
        <v>385</v>
      </c>
      <c r="AH879" t="s">
        <v>6974</v>
      </c>
      <c r="AI879" t="s">
        <v>6975</v>
      </c>
      <c r="AJ879" t="s">
        <v>6976</v>
      </c>
      <c r="AK879" t="s">
        <v>6977</v>
      </c>
      <c r="EC879" t="s">
        <v>6985</v>
      </c>
      <c r="ED879" t="s">
        <v>1650</v>
      </c>
      <c r="EE879" t="s">
        <v>6979</v>
      </c>
      <c r="EF879" t="s">
        <v>394</v>
      </c>
    </row>
    <row r="880" spans="1:140" ht="15" customHeight="1" x14ac:dyDescent="0.35">
      <c r="A880">
        <v>1077</v>
      </c>
      <c r="B880" t="s">
        <v>6986</v>
      </c>
      <c r="C880">
        <v>2</v>
      </c>
      <c r="D880" t="str">
        <f>VLOOKUP(source[[#This Row],[Приоритет]],тПриоритеты[],2,0)</f>
        <v>Значительное</v>
      </c>
      <c r="E880" t="str">
        <f>IF(ISBLANK(source[[#This Row],[Проверенные]]),IF(ISBLANK(source[[#This Row],[Завершенные]]),source[[#This Row],[Приоритет_]],"Завершено"),"Проверено")</f>
        <v>Проверено</v>
      </c>
      <c r="F880" t="s">
        <v>4423</v>
      </c>
      <c r="G880" t="s">
        <v>277</v>
      </c>
      <c r="H880" t="e">
        <f>VLOOKUP(source[[#This Row],[Отвественный]],тОтветственные[],2,0)</f>
        <v>#N/A</v>
      </c>
      <c r="I880" s="2">
        <v>43826</v>
      </c>
      <c r="J880" s="2">
        <v>43826</v>
      </c>
      <c r="S880" s="1">
        <v>43858.525694444441</v>
      </c>
      <c r="T880" s="1">
        <v>43858.52621527778</v>
      </c>
      <c r="U880" s="1">
        <v>43858.52621527778</v>
      </c>
      <c r="W880" s="1">
        <v>43858.526354166665</v>
      </c>
      <c r="X880" t="s">
        <v>385</v>
      </c>
      <c r="Y880" t="s">
        <v>6987</v>
      </c>
      <c r="AH880" t="s">
        <v>6974</v>
      </c>
      <c r="AI880" t="s">
        <v>6975</v>
      </c>
      <c r="AJ880" t="s">
        <v>6976</v>
      </c>
      <c r="AK880" t="s">
        <v>6977</v>
      </c>
      <c r="EC880" t="s">
        <v>6988</v>
      </c>
      <c r="ED880" t="s">
        <v>394</v>
      </c>
      <c r="EE880" t="s">
        <v>1650</v>
      </c>
      <c r="EF880" t="s">
        <v>6983</v>
      </c>
    </row>
    <row r="881" spans="1:140" ht="15" customHeight="1" x14ac:dyDescent="0.35">
      <c r="A881">
        <v>1033</v>
      </c>
      <c r="B881" t="s">
        <v>6989</v>
      </c>
      <c r="C881">
        <v>2</v>
      </c>
      <c r="D881" t="str">
        <f>VLOOKUP(source[[#This Row],[Приоритет]],тПриоритеты[],2,0)</f>
        <v>Значительное</v>
      </c>
      <c r="E881" t="str">
        <f>IF(ISBLANK(source[[#This Row],[Проверенные]]),IF(ISBLANK(source[[#This Row],[Завершенные]]),source[[#This Row],[Приоритет_]],"Завершено"),"Проверено")</f>
        <v>Проверено</v>
      </c>
      <c r="F881" t="s">
        <v>4423</v>
      </c>
      <c r="G881" t="s">
        <v>277</v>
      </c>
      <c r="H881" t="e">
        <f>VLOOKUP(source[[#This Row],[Отвественный]],тОтветственные[],2,0)</f>
        <v>#N/A</v>
      </c>
      <c r="I881" s="2">
        <v>43853</v>
      </c>
      <c r="J881" s="2">
        <v>43853</v>
      </c>
      <c r="O881">
        <v>0</v>
      </c>
      <c r="P881">
        <v>0</v>
      </c>
      <c r="S881" s="1">
        <v>43854.400185185186</v>
      </c>
      <c r="T881" s="1">
        <v>43854.401030092595</v>
      </c>
      <c r="U881" s="1">
        <v>43854.401030092595</v>
      </c>
      <c r="W881" s="1">
        <v>43858.528900462959</v>
      </c>
      <c r="X881" t="s">
        <v>385</v>
      </c>
      <c r="AH881" t="s">
        <v>6933</v>
      </c>
      <c r="AI881" t="s">
        <v>6934</v>
      </c>
      <c r="AJ881" t="s">
        <v>6935</v>
      </c>
      <c r="AK881" t="s">
        <v>6936</v>
      </c>
      <c r="EC881" t="s">
        <v>6990</v>
      </c>
      <c r="ED881" t="s">
        <v>394</v>
      </c>
      <c r="EE881" t="s">
        <v>1650</v>
      </c>
      <c r="EF881" t="s">
        <v>6914</v>
      </c>
      <c r="EG881" t="s">
        <v>6991</v>
      </c>
      <c r="EH881" t="s">
        <v>6972</v>
      </c>
    </row>
    <row r="882" spans="1:140" ht="15" customHeight="1" x14ac:dyDescent="0.35">
      <c r="A882">
        <v>1030</v>
      </c>
      <c r="B882" t="s">
        <v>6992</v>
      </c>
      <c r="C882">
        <v>2</v>
      </c>
      <c r="D882" t="str">
        <f>VLOOKUP(source[[#This Row],[Приоритет]],тПриоритеты[],2,0)</f>
        <v>Значительное</v>
      </c>
      <c r="E882" t="str">
        <f>IF(ISBLANK(source[[#This Row],[Проверенные]]),IF(ISBLANK(source[[#This Row],[Завершенные]]),source[[#This Row],[Приоритет_]],"Завершено"),"Проверено")</f>
        <v>Проверено</v>
      </c>
      <c r="F882" t="s">
        <v>4423</v>
      </c>
      <c r="G882" t="s">
        <v>277</v>
      </c>
      <c r="H882" t="e">
        <f>VLOOKUP(source[[#This Row],[Отвественный]],тОтветственные[],2,0)</f>
        <v>#N/A</v>
      </c>
      <c r="I882" s="2">
        <v>43853</v>
      </c>
      <c r="J882" s="2">
        <v>43853</v>
      </c>
      <c r="P882">
        <v>0</v>
      </c>
      <c r="S882" s="1">
        <v>43854.397685185184</v>
      </c>
      <c r="T882" s="1">
        <v>43854.398530092592</v>
      </c>
      <c r="U882" s="1">
        <v>43854.398530092592</v>
      </c>
      <c r="W882" s="1">
        <v>43858.527731481481</v>
      </c>
      <c r="X882" t="s">
        <v>385</v>
      </c>
      <c r="AH882" t="s">
        <v>6933</v>
      </c>
      <c r="AI882" t="s">
        <v>6934</v>
      </c>
      <c r="AJ882" t="s">
        <v>6935</v>
      </c>
      <c r="AK882" t="s">
        <v>6936</v>
      </c>
      <c r="EC882" t="s">
        <v>6993</v>
      </c>
      <c r="ED882" t="s">
        <v>394</v>
      </c>
      <c r="EE882" t="s">
        <v>1650</v>
      </c>
      <c r="EF882" t="s">
        <v>6914</v>
      </c>
      <c r="EG882" t="s">
        <v>6972</v>
      </c>
    </row>
    <row r="883" spans="1:140" ht="15" customHeight="1" x14ac:dyDescent="0.35">
      <c r="A883">
        <v>1107</v>
      </c>
      <c r="B883" t="s">
        <v>1076</v>
      </c>
      <c r="C883">
        <v>2</v>
      </c>
      <c r="D883" t="str">
        <f>VLOOKUP(source[[#This Row],[Приоритет]],тПриоритеты[],2,0)</f>
        <v>Значительное</v>
      </c>
      <c r="E883" t="str">
        <f>IF(ISBLANK(source[[#This Row],[Проверенные]]),IF(ISBLANK(source[[#This Row],[Завершенные]]),source[[#This Row],[Приоритет_]],"Завершено"),"Проверено")</f>
        <v>Проверено</v>
      </c>
      <c r="F883" t="s">
        <v>4423</v>
      </c>
      <c r="G883" t="s">
        <v>277</v>
      </c>
      <c r="H883" t="e">
        <f>VLOOKUP(source[[#This Row],[Отвественный]],тОтветственные[],2,0)</f>
        <v>#N/A</v>
      </c>
      <c r="I883" s="2">
        <v>43859</v>
      </c>
      <c r="J883" s="2">
        <v>43864</v>
      </c>
      <c r="S883" s="1">
        <v>43859.735393518517</v>
      </c>
      <c r="T883" s="1">
        <v>43864.690509259257</v>
      </c>
      <c r="U883" s="1">
        <v>43864.690509259257</v>
      </c>
      <c r="W883" s="1">
        <v>43866.866053240738</v>
      </c>
      <c r="X883" t="s">
        <v>1001</v>
      </c>
      <c r="AA883" t="s">
        <v>1073</v>
      </c>
      <c r="AH883" t="s">
        <v>6994</v>
      </c>
      <c r="AI883" t="s">
        <v>6995</v>
      </c>
      <c r="AJ883" t="s">
        <v>6996</v>
      </c>
      <c r="AK883" t="s">
        <v>6997</v>
      </c>
      <c r="AL883" t="s">
        <v>6998</v>
      </c>
      <c r="AM883" t="s">
        <v>6999</v>
      </c>
      <c r="EC883" t="s">
        <v>7000</v>
      </c>
      <c r="ED883" t="s">
        <v>1078</v>
      </c>
      <c r="EE883" t="s">
        <v>1079</v>
      </c>
      <c r="EF883" t="s">
        <v>1650</v>
      </c>
      <c r="EG883" t="s">
        <v>394</v>
      </c>
      <c r="EH883" t="s">
        <v>7001</v>
      </c>
    </row>
    <row r="884" spans="1:140" ht="15" customHeight="1" x14ac:dyDescent="0.35">
      <c r="A884">
        <v>1004</v>
      </c>
      <c r="B884" t="s">
        <v>7002</v>
      </c>
      <c r="C884">
        <v>2</v>
      </c>
      <c r="D884" t="str">
        <f>VLOOKUP(source[[#This Row],[Приоритет]],тПриоритеты[],2,0)</f>
        <v>Значительное</v>
      </c>
      <c r="E884" t="str">
        <f>IF(ISBLANK(source[[#This Row],[Проверенные]]),IF(ISBLANK(source[[#This Row],[Завершенные]]),source[[#This Row],[Приоритет_]],"Завершено"),"Проверено")</f>
        <v>Проверено</v>
      </c>
      <c r="F884" t="s">
        <v>4423</v>
      </c>
      <c r="G884" t="s">
        <v>277</v>
      </c>
      <c r="H884" t="e">
        <f>VLOOKUP(source[[#This Row],[Отвественный]],тОтветственные[],2,0)</f>
        <v>#N/A</v>
      </c>
      <c r="I884" s="2">
        <v>43826</v>
      </c>
      <c r="J884" s="2">
        <v>43826</v>
      </c>
      <c r="S884" s="1">
        <v>43852.661064814813</v>
      </c>
      <c r="T884" s="1">
        <v>43852.662280092591</v>
      </c>
      <c r="U884" s="1">
        <v>43852.662280092591</v>
      </c>
      <c r="W884" s="1">
        <v>43858.522488425922</v>
      </c>
      <c r="X884" t="s">
        <v>385</v>
      </c>
      <c r="AH884" t="s">
        <v>388</v>
      </c>
      <c r="AI884" t="s">
        <v>389</v>
      </c>
      <c r="AJ884" t="s">
        <v>413</v>
      </c>
      <c r="AK884" t="s">
        <v>414</v>
      </c>
      <c r="EC884" t="s">
        <v>7003</v>
      </c>
      <c r="ED884" t="s">
        <v>411</v>
      </c>
      <c r="EE884" t="s">
        <v>1650</v>
      </c>
      <c r="EF884" t="s">
        <v>394</v>
      </c>
      <c r="EG884" t="s">
        <v>7004</v>
      </c>
      <c r="EH884" t="s">
        <v>6983</v>
      </c>
      <c r="EI884" t="s">
        <v>7005</v>
      </c>
    </row>
    <row r="885" spans="1:140" ht="15" customHeight="1" x14ac:dyDescent="0.35">
      <c r="A885">
        <v>871</v>
      </c>
      <c r="B885" t="s">
        <v>6949</v>
      </c>
      <c r="C885">
        <v>2</v>
      </c>
      <c r="D885" t="str">
        <f>VLOOKUP(source[[#This Row],[Приоритет]],тПриоритеты[],2,0)</f>
        <v>Значительное</v>
      </c>
      <c r="E885" t="str">
        <f>IF(ISBLANK(source[[#This Row],[Проверенные]]),IF(ISBLANK(source[[#This Row],[Завершенные]]),source[[#This Row],[Приоритет_]],"Завершено"),"Проверено")</f>
        <v>Проверено</v>
      </c>
      <c r="F885" t="s">
        <v>4423</v>
      </c>
      <c r="G885" t="s">
        <v>277</v>
      </c>
      <c r="H885" t="e">
        <f>VLOOKUP(source[[#This Row],[Отвественный]],тОтветственные[],2,0)</f>
        <v>#N/A</v>
      </c>
      <c r="I885" s="2">
        <v>43847</v>
      </c>
      <c r="J885" s="2">
        <v>43847</v>
      </c>
      <c r="K885" t="s">
        <v>7006</v>
      </c>
      <c r="L885">
        <v>66.819999999999993</v>
      </c>
      <c r="M885">
        <v>59.7</v>
      </c>
      <c r="Q885" t="s">
        <v>1590</v>
      </c>
      <c r="R885" t="str">
        <f>HYPERLINK("https://d28ji4sm1vmprj.cloudfront.net/105ae89a7ffbdbcb6c874a5a33f0b100/1a76983d822afbd96dc4dabc9f86bda3.jpeg", "Ссылка на план")</f>
        <v>Ссылка на план</v>
      </c>
      <c r="S885" s="1">
        <v>43839.76189814815</v>
      </c>
      <c r="T885" s="1">
        <v>43847.727280092593</v>
      </c>
      <c r="U885" s="1">
        <v>43847.727280092593</v>
      </c>
      <c r="W885" s="1">
        <v>43852.655532407407</v>
      </c>
      <c r="X885" t="s">
        <v>398</v>
      </c>
      <c r="Y885" t="s">
        <v>399</v>
      </c>
      <c r="AA885" t="s">
        <v>6948</v>
      </c>
      <c r="AH885" t="s">
        <v>7007</v>
      </c>
      <c r="AI885" t="s">
        <v>7008</v>
      </c>
      <c r="AJ885" t="s">
        <v>7009</v>
      </c>
      <c r="AK885" t="s">
        <v>7010</v>
      </c>
      <c r="AL885" t="s">
        <v>7011</v>
      </c>
      <c r="EC885" t="s">
        <v>7012</v>
      </c>
      <c r="ED885" t="s">
        <v>7013</v>
      </c>
      <c r="EE885" t="s">
        <v>1650</v>
      </c>
      <c r="EF885" t="s">
        <v>7014</v>
      </c>
      <c r="EG885" t="s">
        <v>394</v>
      </c>
      <c r="EH885" t="s">
        <v>7015</v>
      </c>
    </row>
    <row r="886" spans="1:140" ht="15" customHeight="1" x14ac:dyDescent="0.35">
      <c r="A886">
        <v>1187</v>
      </c>
      <c r="B886" t="s">
        <v>7016</v>
      </c>
      <c r="C886">
        <v>2</v>
      </c>
      <c r="D886" t="str">
        <f>VLOOKUP(source[[#This Row],[Приоритет]],тПриоритеты[],2,0)</f>
        <v>Значительное</v>
      </c>
      <c r="E886" t="str">
        <f>IF(ISBLANK(source[[#This Row],[Проверенные]]),IF(ISBLANK(source[[#This Row],[Завершенные]]),source[[#This Row],[Приоритет_]],"Завершено"),"Проверено")</f>
        <v>Проверено</v>
      </c>
      <c r="F886" t="s">
        <v>4423</v>
      </c>
      <c r="G886" t="s">
        <v>277</v>
      </c>
      <c r="H886" t="e">
        <f>VLOOKUP(source[[#This Row],[Отвественный]],тОтветственные[],2,0)</f>
        <v>#N/A</v>
      </c>
      <c r="I886" s="2">
        <v>43866</v>
      </c>
      <c r="J886" s="2">
        <v>43866</v>
      </c>
      <c r="K886" t="s">
        <v>1659</v>
      </c>
      <c r="L886">
        <v>0</v>
      </c>
      <c r="M886">
        <v>0</v>
      </c>
      <c r="Q886" t="s">
        <v>397</v>
      </c>
      <c r="R886" t="str">
        <f>HYPERLINK("https://d28ji4sm1vmprj.cloudfront.net/cf89f4528b868a244f78c915b9ee6675/e5c93f0a2f12089e613dc7fe1226f0f2.jpeg", "Ссылка на план")</f>
        <v>Ссылка на план</v>
      </c>
      <c r="S886" s="1">
        <v>43866.471377314818</v>
      </c>
      <c r="T886" s="1">
        <v>43866.482754629629</v>
      </c>
      <c r="U886" s="1">
        <v>43866.482754629629</v>
      </c>
      <c r="W886" s="1">
        <v>43866.851550925923</v>
      </c>
      <c r="X886" t="s">
        <v>398</v>
      </c>
      <c r="Y886" t="s">
        <v>399</v>
      </c>
      <c r="AA886" t="s">
        <v>1660</v>
      </c>
      <c r="EC886" t="s">
        <v>7017</v>
      </c>
      <c r="ED886" t="s">
        <v>1650</v>
      </c>
      <c r="EE886" t="s">
        <v>7018</v>
      </c>
      <c r="EF886" t="str">
        <f>HYPERLINK("https://d33htgqikc2pj4.cloudfront.net/8e0fc2ba-f19d-4463-b3c7-8ddb4177cac4.jpeg", "Кирилл Васенков: Ссылка на изображение")</f>
        <v>Кирилл Васенков: Ссылка на изображение</v>
      </c>
      <c r="EG886" t="s">
        <v>394</v>
      </c>
      <c r="EH886" t="s">
        <v>1253</v>
      </c>
      <c r="EI886" t="s">
        <v>7019</v>
      </c>
    </row>
    <row r="887" spans="1:140" ht="15" customHeight="1" x14ac:dyDescent="0.35">
      <c r="A887">
        <v>1185</v>
      </c>
      <c r="B887" t="s">
        <v>7020</v>
      </c>
      <c r="C887">
        <v>2</v>
      </c>
      <c r="D887" t="str">
        <f>VLOOKUP(source[[#This Row],[Приоритет]],тПриоритеты[],2,0)</f>
        <v>Значительное</v>
      </c>
      <c r="E887" t="str">
        <f>IF(ISBLANK(source[[#This Row],[Проверенные]]),IF(ISBLANK(source[[#This Row],[Завершенные]]),source[[#This Row],[Приоритет_]],"Завершено"),"Проверено")</f>
        <v>Проверено</v>
      </c>
      <c r="F887" t="s">
        <v>4423</v>
      </c>
      <c r="G887" t="s">
        <v>277</v>
      </c>
      <c r="H887" t="e">
        <f>VLOOKUP(source[[#This Row],[Отвественный]],тОтветственные[],2,0)</f>
        <v>#N/A</v>
      </c>
      <c r="I887" s="2">
        <v>43865</v>
      </c>
      <c r="J887" s="2">
        <v>43865</v>
      </c>
      <c r="S887" s="1">
        <v>43866.407893518517</v>
      </c>
      <c r="T887" s="1">
        <v>43866.410902777781</v>
      </c>
      <c r="U887" s="1">
        <v>43866.410902777781</v>
      </c>
      <c r="W887" s="1">
        <v>43866.411319444444</v>
      </c>
      <c r="X887" t="s">
        <v>6903</v>
      </c>
      <c r="AH887" t="s">
        <v>7021</v>
      </c>
      <c r="AI887" t="s">
        <v>7022</v>
      </c>
      <c r="AJ887" t="s">
        <v>7023</v>
      </c>
      <c r="AK887" t="s">
        <v>7024</v>
      </c>
      <c r="AL887" t="s">
        <v>7025</v>
      </c>
      <c r="AM887" t="s">
        <v>7026</v>
      </c>
      <c r="AN887" t="s">
        <v>7027</v>
      </c>
      <c r="AO887" t="s">
        <v>7028</v>
      </c>
      <c r="EC887" t="s">
        <v>7029</v>
      </c>
      <c r="ED887" t="s">
        <v>1650</v>
      </c>
      <c r="EE887" t="s">
        <v>394</v>
      </c>
      <c r="EF887" t="s">
        <v>7030</v>
      </c>
      <c r="EG887" t="s">
        <v>7031</v>
      </c>
    </row>
    <row r="888" spans="1:140" ht="15" customHeight="1" x14ac:dyDescent="0.35">
      <c r="A888">
        <v>1186</v>
      </c>
      <c r="B888" t="s">
        <v>6958</v>
      </c>
      <c r="C888">
        <v>2</v>
      </c>
      <c r="D888" t="str">
        <f>VLOOKUP(source[[#This Row],[Приоритет]],тПриоритеты[],2,0)</f>
        <v>Значительное</v>
      </c>
      <c r="E888" t="str">
        <f>IF(ISBLANK(source[[#This Row],[Проверенные]]),IF(ISBLANK(source[[#This Row],[Завершенные]]),source[[#This Row],[Приоритет_]],"Завершено"),"Проверено")</f>
        <v>Проверено</v>
      </c>
      <c r="F888" t="s">
        <v>4423</v>
      </c>
      <c r="G888" t="s">
        <v>277</v>
      </c>
      <c r="H888" t="e">
        <f>VLOOKUP(source[[#This Row],[Отвественный]],тОтветственные[],2,0)</f>
        <v>#N/A</v>
      </c>
      <c r="I888" s="2">
        <v>43866</v>
      </c>
      <c r="J888" s="2">
        <v>43866</v>
      </c>
      <c r="K888" t="s">
        <v>6957</v>
      </c>
      <c r="L888">
        <v>23.7</v>
      </c>
      <c r="M888">
        <v>35.65</v>
      </c>
      <c r="Q888" t="s">
        <v>397</v>
      </c>
      <c r="R888" t="str">
        <f>HYPERLINK("https://d28ji4sm1vmprj.cloudfront.net/7898edb4a754bc921bf158e7b1b0bd7c/fd438980cceb702ef68e3a4044f322a2.jpeg", "Ссылка на план")</f>
        <v>Ссылка на план</v>
      </c>
      <c r="S888" s="1">
        <v>43866.444675925923</v>
      </c>
      <c r="T888" s="1">
        <v>43866.457199074073</v>
      </c>
      <c r="U888" s="1">
        <v>43866.457199074073</v>
      </c>
      <c r="W888" s="1">
        <v>43866.852442129632</v>
      </c>
      <c r="X888" t="s">
        <v>398</v>
      </c>
      <c r="Y888" t="s">
        <v>399</v>
      </c>
      <c r="AA888" t="s">
        <v>6956</v>
      </c>
      <c r="EC888" t="s">
        <v>7032</v>
      </c>
      <c r="ED888" t="s">
        <v>1650</v>
      </c>
      <c r="EE888" t="s">
        <v>7033</v>
      </c>
      <c r="EF888" t="s">
        <v>7034</v>
      </c>
      <c r="EG888" t="str">
        <f>HYPERLINK("https://d33htgqikc2pj4.cloudfront.net/a8a303e8-5330-49f9-9716-b943db42f7b6.jpeg", "Кирилл Васенков: Ссылка на изображение")</f>
        <v>Кирилл Васенков: Ссылка на изображение</v>
      </c>
      <c r="EH888" t="s">
        <v>394</v>
      </c>
      <c r="EI888" t="s">
        <v>7035</v>
      </c>
      <c r="EJ888" t="s">
        <v>1253</v>
      </c>
    </row>
    <row r="889" spans="1:140" ht="15" customHeight="1" x14ac:dyDescent="0.35">
      <c r="A889">
        <v>1193</v>
      </c>
      <c r="B889" t="s">
        <v>7036</v>
      </c>
      <c r="C889">
        <v>2</v>
      </c>
      <c r="D889" t="str">
        <f>VLOOKUP(source[[#This Row],[Приоритет]],тПриоритеты[],2,0)</f>
        <v>Значительное</v>
      </c>
      <c r="E889" t="str">
        <f>IF(ISBLANK(source[[#This Row],[Проверенные]]),IF(ISBLANK(source[[#This Row],[Завершенные]]),source[[#This Row],[Приоритет_]],"Завершено"),"Проверено")</f>
        <v>Проверено</v>
      </c>
      <c r="F889" t="s">
        <v>4423</v>
      </c>
      <c r="G889" t="s">
        <v>277</v>
      </c>
      <c r="H889" t="e">
        <f>VLOOKUP(source[[#This Row],[Отвественный]],тОтветственные[],2,0)</f>
        <v>#N/A</v>
      </c>
      <c r="I889" s="2">
        <v>43866</v>
      </c>
      <c r="J889" s="2">
        <v>43866</v>
      </c>
      <c r="K889" t="s">
        <v>7037</v>
      </c>
      <c r="L889">
        <v>62.88</v>
      </c>
      <c r="M889">
        <v>25.54</v>
      </c>
      <c r="Q889" t="s">
        <v>397</v>
      </c>
      <c r="R889" t="str">
        <f>HYPERLINK("https://d28ji4sm1vmprj.cloudfront.net/b89da1793da0718bf97f3122a34b6f34/2eef94091e750a1466eaedfe10a1da3d.jpeg", "Ссылка на план")</f>
        <v>Ссылка на план</v>
      </c>
      <c r="S889" s="1">
        <v>43866.652453703704</v>
      </c>
      <c r="T889" s="1">
        <v>43866.818541666667</v>
      </c>
      <c r="U889" s="1">
        <v>43866.818541666667</v>
      </c>
      <c r="W889" s="1">
        <v>43866.818622685183</v>
      </c>
      <c r="X889" t="s">
        <v>398</v>
      </c>
      <c r="Y889" t="s">
        <v>399</v>
      </c>
      <c r="AA889" t="s">
        <v>7038</v>
      </c>
      <c r="AH889" t="s">
        <v>6915</v>
      </c>
      <c r="AI889" t="s">
        <v>6916</v>
      </c>
      <c r="AJ889" t="s">
        <v>7039</v>
      </c>
      <c r="AK889" t="s">
        <v>7040</v>
      </c>
      <c r="AL889" t="s">
        <v>7041</v>
      </c>
      <c r="AM889" t="s">
        <v>6920</v>
      </c>
      <c r="AN889" t="s">
        <v>6921</v>
      </c>
      <c r="EC889" t="s">
        <v>7042</v>
      </c>
      <c r="ED889" t="s">
        <v>7043</v>
      </c>
      <c r="EE889" t="s">
        <v>1650</v>
      </c>
      <c r="EF889" t="s">
        <v>394</v>
      </c>
      <c r="EG889" t="s">
        <v>1253</v>
      </c>
    </row>
    <row r="890" spans="1:140" ht="15" customHeight="1" x14ac:dyDescent="0.35">
      <c r="A890">
        <v>1191</v>
      </c>
      <c r="B890" t="s">
        <v>401</v>
      </c>
      <c r="C890">
        <v>2</v>
      </c>
      <c r="D890" t="str">
        <f>VLOOKUP(source[[#This Row],[Приоритет]],тПриоритеты[],2,0)</f>
        <v>Значительное</v>
      </c>
      <c r="E890" t="str">
        <f>IF(ISBLANK(source[[#This Row],[Проверенные]]),IF(ISBLANK(source[[#This Row],[Завершенные]]),source[[#This Row],[Приоритет_]],"Завершено"),"Проверено")</f>
        <v>Проверено</v>
      </c>
      <c r="F890" t="s">
        <v>4423</v>
      </c>
      <c r="G890" t="s">
        <v>277</v>
      </c>
      <c r="H890" t="e">
        <f>VLOOKUP(source[[#This Row],[Отвественный]],тОтветственные[],2,0)</f>
        <v>#N/A</v>
      </c>
      <c r="I890" s="2">
        <v>43866</v>
      </c>
      <c r="J890" s="2">
        <v>43866</v>
      </c>
      <c r="K890" t="s">
        <v>396</v>
      </c>
      <c r="L890">
        <v>50.21</v>
      </c>
      <c r="M890">
        <v>31.37</v>
      </c>
      <c r="Q890" t="s">
        <v>397</v>
      </c>
      <c r="R890" t="str">
        <f>HYPERLINK("https://d28ji4sm1vmprj.cloudfront.net/4c2587c872709f5c5978f26724110c6a/24111415a85c757deee82675aab8110a.jpeg", "Ссылка на план")</f>
        <v>Ссылка на план</v>
      </c>
      <c r="S890" s="1">
        <v>43866.620289351849</v>
      </c>
      <c r="T890" s="1">
        <v>43866.629305555558</v>
      </c>
      <c r="U890" s="1">
        <v>43866.629305555558</v>
      </c>
      <c r="W890" s="1">
        <v>43866.637361111112</v>
      </c>
      <c r="X890" t="s">
        <v>398</v>
      </c>
      <c r="Y890" t="s">
        <v>399</v>
      </c>
      <c r="AA890" t="s">
        <v>395</v>
      </c>
      <c r="EC890" t="s">
        <v>7044</v>
      </c>
      <c r="ED890" t="s">
        <v>7034</v>
      </c>
      <c r="EE890" t="str">
        <f>HYPERLINK("https://d33htgqikc2pj4.cloudfront.net/d7d8f159-3540-43c7-9975-dd000bcded3f.jpeg", "Кирилл Васенков: Ссылка на изображение")</f>
        <v>Кирилл Васенков: Ссылка на изображение</v>
      </c>
      <c r="EF890" t="s">
        <v>1650</v>
      </c>
      <c r="EG890" t="s">
        <v>7045</v>
      </c>
      <c r="EH890" t="s">
        <v>394</v>
      </c>
    </row>
    <row r="891" spans="1:140" ht="15" customHeight="1" x14ac:dyDescent="0.35">
      <c r="A891">
        <v>1194</v>
      </c>
      <c r="B891" t="s">
        <v>7038</v>
      </c>
      <c r="C891">
        <v>2</v>
      </c>
      <c r="D891" t="str">
        <f>VLOOKUP(source[[#This Row],[Приоритет]],тПриоритеты[],2,0)</f>
        <v>Значительное</v>
      </c>
      <c r="E891" t="str">
        <f>IF(ISBLANK(source[[#This Row],[Проверенные]]),IF(ISBLANK(source[[#This Row],[Завершенные]]),source[[#This Row],[Приоритет_]],"Завершено"),"Проверено")</f>
        <v>Проверено</v>
      </c>
      <c r="F891" t="s">
        <v>4423</v>
      </c>
      <c r="G891" t="s">
        <v>277</v>
      </c>
      <c r="H891" t="e">
        <f>VLOOKUP(source[[#This Row],[Отвественный]],тОтветственные[],2,0)</f>
        <v>#N/A</v>
      </c>
      <c r="I891" s="2">
        <v>43866</v>
      </c>
      <c r="J891" s="2">
        <v>43866</v>
      </c>
      <c r="K891" t="s">
        <v>7037</v>
      </c>
      <c r="L891">
        <v>49.79</v>
      </c>
      <c r="M891">
        <v>26.07</v>
      </c>
      <c r="Q891" t="s">
        <v>397</v>
      </c>
      <c r="R891" t="str">
        <f>HYPERLINK("https://d28ji4sm1vmprj.cloudfront.net/b89da1793da0718bf97f3122a34b6f34/2eef94091e750a1466eaedfe10a1da3d.jpeg", "Ссылка на план")</f>
        <v>Ссылка на план</v>
      </c>
      <c r="S891" s="1">
        <v>43866.659398148149</v>
      </c>
      <c r="T891" s="1">
        <v>43866.660057870373</v>
      </c>
      <c r="U891" s="1">
        <v>43866.660057870373</v>
      </c>
      <c r="W891" s="1">
        <v>43866.660590277781</v>
      </c>
      <c r="X891" t="s">
        <v>398</v>
      </c>
      <c r="Y891" t="s">
        <v>399</v>
      </c>
      <c r="AA891" t="s">
        <v>7036</v>
      </c>
      <c r="EC891" t="s">
        <v>7046</v>
      </c>
      <c r="ED891" t="s">
        <v>7034</v>
      </c>
      <c r="EE891" t="str">
        <f>HYPERLINK("https://d33htgqikc2pj4.cloudfront.net/5deb0a40-5ab7-4264-a0e1-dc46646f12f5.jpeg", "Кирилл Васенков: Ссылка на изображение")</f>
        <v>Кирилл Васенков: Ссылка на изображение</v>
      </c>
      <c r="EF891" t="s">
        <v>1650</v>
      </c>
      <c r="EG891" t="s">
        <v>7045</v>
      </c>
      <c r="EH891" t="s">
        <v>394</v>
      </c>
    </row>
    <row r="892" spans="1:140" ht="15" customHeight="1" x14ac:dyDescent="0.35">
      <c r="A892">
        <v>1195</v>
      </c>
      <c r="B892" t="s">
        <v>7047</v>
      </c>
      <c r="C892">
        <v>2</v>
      </c>
      <c r="D892" t="str">
        <f>VLOOKUP(source[[#This Row],[Приоритет]],тПриоритеты[],2,0)</f>
        <v>Значительное</v>
      </c>
      <c r="E892" t="str">
        <f>IF(ISBLANK(source[[#This Row],[Проверенные]]),IF(ISBLANK(source[[#This Row],[Завершенные]]),source[[#This Row],[Приоритет_]],"Завершено"),"Проверено")</f>
        <v>Проверено</v>
      </c>
      <c r="F892" t="s">
        <v>4423</v>
      </c>
      <c r="G892" t="s">
        <v>277</v>
      </c>
      <c r="H892" t="e">
        <f>VLOOKUP(source[[#This Row],[Отвественный]],тОтветственные[],2,0)</f>
        <v>#N/A</v>
      </c>
      <c r="I892" s="2">
        <v>43866</v>
      </c>
      <c r="J892" s="2">
        <v>43866</v>
      </c>
      <c r="K892" t="s">
        <v>7048</v>
      </c>
      <c r="L892">
        <v>41.79</v>
      </c>
      <c r="M892">
        <v>38.15</v>
      </c>
      <c r="Q892" t="s">
        <v>397</v>
      </c>
      <c r="R892" t="str">
        <f>HYPERLINK("https://d28ji4sm1vmprj.cloudfront.net/8babd9896c846d6c4ac9365c6dfda7c7/006e89ff5eb2487ff44a508b6c3eab41.jpeg", "Ссылка на план")</f>
        <v>Ссылка на план</v>
      </c>
      <c r="S892" s="1">
        <v>43866.662175925929</v>
      </c>
      <c r="T892" s="1">
        <v>43866.819212962961</v>
      </c>
      <c r="U892" s="1">
        <v>43866.819212962961</v>
      </c>
      <c r="W892" s="1">
        <v>43866.819340277776</v>
      </c>
      <c r="X892" t="s">
        <v>398</v>
      </c>
      <c r="Y892" t="s">
        <v>399</v>
      </c>
      <c r="AA892" t="s">
        <v>7049</v>
      </c>
      <c r="AH892" t="s">
        <v>6915</v>
      </c>
      <c r="AI892" t="s">
        <v>6916</v>
      </c>
      <c r="AJ892" t="s">
        <v>7039</v>
      </c>
      <c r="AK892" t="s">
        <v>7040</v>
      </c>
      <c r="AL892" t="s">
        <v>7041</v>
      </c>
      <c r="AM892" t="s">
        <v>6920</v>
      </c>
      <c r="AN892" t="s">
        <v>6921</v>
      </c>
      <c r="EC892" t="s">
        <v>7050</v>
      </c>
      <c r="ED892" t="s">
        <v>7051</v>
      </c>
      <c r="EE892" t="s">
        <v>394</v>
      </c>
      <c r="EF892" t="s">
        <v>1650</v>
      </c>
      <c r="EG892" t="s">
        <v>1253</v>
      </c>
    </row>
    <row r="893" spans="1:140" ht="15" customHeight="1" x14ac:dyDescent="0.35">
      <c r="A893">
        <v>1200</v>
      </c>
      <c r="B893" t="s">
        <v>7052</v>
      </c>
      <c r="C893">
        <v>2</v>
      </c>
      <c r="D893" t="str">
        <f>VLOOKUP(source[[#This Row],[Приоритет]],тПриоритеты[],2,0)</f>
        <v>Значительное</v>
      </c>
      <c r="E893" t="str">
        <f>IF(ISBLANK(source[[#This Row],[Проверенные]]),IF(ISBLANK(source[[#This Row],[Завершенные]]),source[[#This Row],[Приоритет_]],"Завершено"),"Проверено")</f>
        <v>Проверено</v>
      </c>
      <c r="F893" t="s">
        <v>4423</v>
      </c>
      <c r="G893" t="s">
        <v>277</v>
      </c>
      <c r="H893" t="e">
        <f>VLOOKUP(source[[#This Row],[Отвественный]],тОтветственные[],2,0)</f>
        <v>#N/A</v>
      </c>
      <c r="I893" s="2">
        <v>43866</v>
      </c>
      <c r="J893" s="2">
        <v>43866</v>
      </c>
      <c r="K893" t="s">
        <v>7053</v>
      </c>
      <c r="L893">
        <v>39.6</v>
      </c>
      <c r="M893">
        <v>33.51</v>
      </c>
      <c r="Q893" t="s">
        <v>397</v>
      </c>
      <c r="R893" t="str">
        <f>HYPERLINK("https://d28ji4sm1vmprj.cloudfront.net/ee27c5c709e9037b5ab88654190b8c3f/a931cf8e09247f91326095b4a8adf98a.jpeg", "Ссылка на план")</f>
        <v>Ссылка на план</v>
      </c>
      <c r="S893" s="1">
        <v>43866.686886574076</v>
      </c>
      <c r="T893" s="1">
        <v>43866.81590277778</v>
      </c>
      <c r="U893" s="1">
        <v>43866.81590277778</v>
      </c>
      <c r="W893" s="1">
        <v>43866.81591435185</v>
      </c>
      <c r="X893" t="s">
        <v>399</v>
      </c>
      <c r="AA893" t="s">
        <v>7054</v>
      </c>
      <c r="AH893" t="s">
        <v>6915</v>
      </c>
      <c r="AI893" t="s">
        <v>6916</v>
      </c>
      <c r="AJ893" t="s">
        <v>7039</v>
      </c>
      <c r="AK893" t="s">
        <v>7040</v>
      </c>
      <c r="AL893" t="s">
        <v>7041</v>
      </c>
      <c r="AM893" t="s">
        <v>6920</v>
      </c>
      <c r="AN893" t="s">
        <v>6921</v>
      </c>
      <c r="EC893" t="s">
        <v>7055</v>
      </c>
      <c r="ED893" t="s">
        <v>1650</v>
      </c>
      <c r="EE893" t="s">
        <v>7045</v>
      </c>
      <c r="EF893" t="s">
        <v>7056</v>
      </c>
      <c r="EG893" t="s">
        <v>394</v>
      </c>
    </row>
    <row r="894" spans="1:140" ht="15" customHeight="1" x14ac:dyDescent="0.35">
      <c r="A894">
        <v>1199</v>
      </c>
      <c r="B894" t="s">
        <v>7049</v>
      </c>
      <c r="C894">
        <v>2</v>
      </c>
      <c r="D894" t="str">
        <f>VLOOKUP(source[[#This Row],[Приоритет]],тПриоритеты[],2,0)</f>
        <v>Значительное</v>
      </c>
      <c r="E894" t="str">
        <f>IF(ISBLANK(source[[#This Row],[Проверенные]]),IF(ISBLANK(source[[#This Row],[Завершенные]]),source[[#This Row],[Приоритет_]],"Завершено"),"Проверено")</f>
        <v>Проверено</v>
      </c>
      <c r="F894" t="s">
        <v>4423</v>
      </c>
      <c r="G894" t="s">
        <v>277</v>
      </c>
      <c r="H894" t="e">
        <f>VLOOKUP(source[[#This Row],[Отвественный]],тОтветственные[],2,0)</f>
        <v>#N/A</v>
      </c>
      <c r="I894" s="2">
        <v>43866</v>
      </c>
      <c r="J894" s="2">
        <v>43866</v>
      </c>
      <c r="K894" t="s">
        <v>7048</v>
      </c>
      <c r="L894">
        <v>43.48</v>
      </c>
      <c r="M894">
        <v>24.94</v>
      </c>
      <c r="Q894" t="s">
        <v>397</v>
      </c>
      <c r="R894" t="str">
        <f>HYPERLINK("https://d28ji4sm1vmprj.cloudfront.net/8babd9896c846d6c4ac9365c6dfda7c7/006e89ff5eb2487ff44a508b6c3eab41.jpeg", "Ссылка на план")</f>
        <v>Ссылка на план</v>
      </c>
      <c r="S894" s="1">
        <v>43866.685428240744</v>
      </c>
      <c r="T894" s="1">
        <v>43866.684386574074</v>
      </c>
      <c r="U894" s="1">
        <v>43866.684386574074</v>
      </c>
      <c r="W894" s="1">
        <v>43866.68681712963</v>
      </c>
      <c r="X894" t="s">
        <v>398</v>
      </c>
      <c r="Y894" t="s">
        <v>399</v>
      </c>
      <c r="AA894" t="s">
        <v>7047</v>
      </c>
      <c r="EC894" t="s">
        <v>7057</v>
      </c>
      <c r="ED894" t="s">
        <v>7045</v>
      </c>
      <c r="EE894" t="s">
        <v>1650</v>
      </c>
      <c r="EF894" t="s">
        <v>7034</v>
      </c>
      <c r="EG894" t="str">
        <f>HYPERLINK("https://d33htgqikc2pj4.cloudfront.net/62fe7221-fdf9-487b-a6f1-67dad555bdc4.jpeg", "Кирилл Васенков: Ссылка на изображение")</f>
        <v>Кирилл Васенков: Ссылка на изображение</v>
      </c>
      <c r="EH894" t="s">
        <v>394</v>
      </c>
    </row>
    <row r="895" spans="1:140" ht="15" customHeight="1" x14ac:dyDescent="0.35">
      <c r="A895">
        <v>1202</v>
      </c>
      <c r="B895" t="s">
        <v>7058</v>
      </c>
      <c r="C895">
        <v>2</v>
      </c>
      <c r="D895" t="str">
        <f>VLOOKUP(source[[#This Row],[Приоритет]],тПриоритеты[],2,0)</f>
        <v>Значительное</v>
      </c>
      <c r="E895" t="str">
        <f>IF(ISBLANK(source[[#This Row],[Проверенные]]),IF(ISBLANK(source[[#This Row],[Завершенные]]),source[[#This Row],[Приоритет_]],"Завершено"),"Проверено")</f>
        <v>Проверено</v>
      </c>
      <c r="F895" t="s">
        <v>4423</v>
      </c>
      <c r="G895" t="s">
        <v>277</v>
      </c>
      <c r="H895" t="e">
        <f>VLOOKUP(source[[#This Row],[Отвественный]],тОтветственные[],2,0)</f>
        <v>#N/A</v>
      </c>
      <c r="I895" s="2">
        <v>43866</v>
      </c>
      <c r="J895" s="2">
        <v>43866</v>
      </c>
      <c r="K895" t="s">
        <v>7059</v>
      </c>
      <c r="L895">
        <v>21.55</v>
      </c>
      <c r="M895">
        <v>36.19</v>
      </c>
      <c r="Q895" t="s">
        <v>397</v>
      </c>
      <c r="R895" t="str">
        <f>HYPERLINK("https://d28ji4sm1vmprj.cloudfront.net/cf51025f14dcbb4a1cedec834fd04ef0/a90d5db46ae6efddc7e74865094d5c81.jpeg", "Ссылка на план")</f>
        <v>Ссылка на план</v>
      </c>
      <c r="S895" s="1">
        <v>43866.70616898148</v>
      </c>
      <c r="T895" s="1">
        <v>43866.820127314815</v>
      </c>
      <c r="U895" s="1">
        <v>43866.820127314815</v>
      </c>
      <c r="W895" s="1">
        <v>43866.820231481484</v>
      </c>
      <c r="X895" t="s">
        <v>398</v>
      </c>
      <c r="Y895" t="s">
        <v>399</v>
      </c>
      <c r="AA895" t="s">
        <v>7060</v>
      </c>
      <c r="AH895" t="s">
        <v>6915</v>
      </c>
      <c r="AI895" t="s">
        <v>6916</v>
      </c>
      <c r="AJ895" t="s">
        <v>7039</v>
      </c>
      <c r="AK895" t="s">
        <v>7040</v>
      </c>
      <c r="AL895" t="s">
        <v>7041</v>
      </c>
      <c r="AM895" t="s">
        <v>6920</v>
      </c>
      <c r="AN895" t="s">
        <v>6921</v>
      </c>
      <c r="EC895" t="s">
        <v>7061</v>
      </c>
      <c r="ED895" t="s">
        <v>7056</v>
      </c>
      <c r="EE895" t="s">
        <v>394</v>
      </c>
      <c r="EF895" t="s">
        <v>1650</v>
      </c>
      <c r="EG895" t="s">
        <v>1253</v>
      </c>
    </row>
    <row r="896" spans="1:140" ht="15" customHeight="1" x14ac:dyDescent="0.35">
      <c r="A896">
        <v>1201</v>
      </c>
      <c r="B896" t="s">
        <v>7054</v>
      </c>
      <c r="C896">
        <v>2</v>
      </c>
      <c r="D896" t="str">
        <f>VLOOKUP(source[[#This Row],[Приоритет]],тПриоритеты[],2,0)</f>
        <v>Значительное</v>
      </c>
      <c r="E896" t="str">
        <f>IF(ISBLANK(source[[#This Row],[Проверенные]]),IF(ISBLANK(source[[#This Row],[Завершенные]]),source[[#This Row],[Приоритет_]],"Завершено"),"Проверено")</f>
        <v>Проверено</v>
      </c>
      <c r="F896" t="s">
        <v>4423</v>
      </c>
      <c r="G896" t="s">
        <v>277</v>
      </c>
      <c r="H896" t="e">
        <f>VLOOKUP(source[[#This Row],[Отвественный]],тОтветственные[],2,0)</f>
        <v>#N/A</v>
      </c>
      <c r="I896" s="2">
        <v>43866</v>
      </c>
      <c r="J896" s="2">
        <v>43866</v>
      </c>
      <c r="K896" t="s">
        <v>7053</v>
      </c>
      <c r="L896">
        <v>45.54</v>
      </c>
      <c r="M896">
        <v>24.58</v>
      </c>
      <c r="Q896" t="s">
        <v>397</v>
      </c>
      <c r="R896" t="str">
        <f>HYPERLINK("https://d28ji4sm1vmprj.cloudfront.net/ee27c5c709e9037b5ab88654190b8c3f/a931cf8e09247f91326095b4a8adf98a.jpeg", "Ссылка на план")</f>
        <v>Ссылка на план</v>
      </c>
      <c r="S896" s="1">
        <v>43866.699004629627</v>
      </c>
      <c r="T896" s="1">
        <v>43866.703136574077</v>
      </c>
      <c r="U896" s="1">
        <v>43866.703136574077</v>
      </c>
      <c r="W896" s="1">
        <v>43866.7034375</v>
      </c>
      <c r="X896" t="s">
        <v>398</v>
      </c>
      <c r="Y896" t="s">
        <v>399</v>
      </c>
      <c r="AA896" t="s">
        <v>7052</v>
      </c>
      <c r="EC896" t="s">
        <v>7062</v>
      </c>
      <c r="ED896" t="s">
        <v>1650</v>
      </c>
      <c r="EE896" t="s">
        <v>7045</v>
      </c>
      <c r="EF896" t="s">
        <v>7018</v>
      </c>
      <c r="EG896" t="str">
        <f>HYPERLINK("https://d33htgqikc2pj4.cloudfront.net/33dc0a19-854f-461d-87f6-f8243c2dd075.jpeg", "Кирилл Васенков: Ссылка на изображение")</f>
        <v>Кирилл Васенков: Ссылка на изображение</v>
      </c>
      <c r="EH896" t="s">
        <v>394</v>
      </c>
    </row>
    <row r="897" spans="1:144" ht="15" customHeight="1" x14ac:dyDescent="0.35">
      <c r="A897">
        <v>1203</v>
      </c>
      <c r="B897" t="s">
        <v>7060</v>
      </c>
      <c r="C897">
        <v>2</v>
      </c>
      <c r="D897" t="str">
        <f>VLOOKUP(source[[#This Row],[Приоритет]],тПриоритеты[],2,0)</f>
        <v>Значительное</v>
      </c>
      <c r="E897" t="str">
        <f>IF(ISBLANK(source[[#This Row],[Проверенные]]),IF(ISBLANK(source[[#This Row],[Завершенные]]),source[[#This Row],[Приоритет_]],"Завершено"),"Проверено")</f>
        <v>Проверено</v>
      </c>
      <c r="F897" t="s">
        <v>4423</v>
      </c>
      <c r="G897" t="s">
        <v>277</v>
      </c>
      <c r="H897" t="e">
        <f>VLOOKUP(source[[#This Row],[Отвественный]],тОтветственные[],2,0)</f>
        <v>#N/A</v>
      </c>
      <c r="I897" s="2">
        <v>43866</v>
      </c>
      <c r="J897" s="2">
        <v>43866</v>
      </c>
      <c r="K897" t="s">
        <v>7059</v>
      </c>
      <c r="L897">
        <v>39.86</v>
      </c>
      <c r="M897">
        <v>36.549999999999997</v>
      </c>
      <c r="Q897" t="s">
        <v>397</v>
      </c>
      <c r="R897" t="str">
        <f>HYPERLINK("https://d28ji4sm1vmprj.cloudfront.net/cf51025f14dcbb4a1cedec834fd04ef0/a90d5db46ae6efddc7e74865094d5c81.jpeg", "Ссылка на план")</f>
        <v>Ссылка на план</v>
      </c>
      <c r="S897" s="1">
        <v>43866.706747685188</v>
      </c>
      <c r="T897" s="1">
        <v>43866.725902777776</v>
      </c>
      <c r="U897" s="1">
        <v>43866.725902777776</v>
      </c>
      <c r="W897" s="1">
        <v>43866.726180555554</v>
      </c>
      <c r="X897" t="s">
        <v>398</v>
      </c>
      <c r="Y897" t="s">
        <v>399</v>
      </c>
      <c r="AA897" t="s">
        <v>7058</v>
      </c>
      <c r="EC897" t="s">
        <v>7063</v>
      </c>
      <c r="ED897" t="s">
        <v>1004</v>
      </c>
      <c r="EE897" t="s">
        <v>1650</v>
      </c>
      <c r="EF897" t="s">
        <v>7045</v>
      </c>
      <c r="EG897" t="s">
        <v>7018</v>
      </c>
      <c r="EH897" t="str">
        <f>HYPERLINK("https://d33htgqikc2pj4.cloudfront.net/48ea40a1-190f-47b7-a7f4-14b2a2887788.jpeg", "Кирилл Васенков: Ссылка на изображение")</f>
        <v>Кирилл Васенков: Ссылка на изображение</v>
      </c>
      <c r="EI897" t="s">
        <v>394</v>
      </c>
    </row>
    <row r="898" spans="1:144" ht="15" customHeight="1" x14ac:dyDescent="0.35">
      <c r="A898">
        <v>1214</v>
      </c>
      <c r="B898" t="s">
        <v>7064</v>
      </c>
      <c r="C898">
        <v>2</v>
      </c>
      <c r="D898" t="str">
        <f>VLOOKUP(source[[#This Row],[Приоритет]],тПриоритеты[],2,0)</f>
        <v>Значительное</v>
      </c>
      <c r="E898" t="str">
        <f>IF(ISBLANK(source[[#This Row],[Проверенные]]),IF(ISBLANK(source[[#This Row],[Завершенные]]),source[[#This Row],[Приоритет_]],"Завершено"),"Проверено")</f>
        <v>Проверено</v>
      </c>
      <c r="F898" t="s">
        <v>4423</v>
      </c>
      <c r="G898" t="s">
        <v>277</v>
      </c>
      <c r="H898" t="e">
        <f>VLOOKUP(source[[#This Row],[Отвественный]],тОтветственные[],2,0)</f>
        <v>#N/A</v>
      </c>
      <c r="I898" s="2">
        <v>43867</v>
      </c>
      <c r="J898" s="2">
        <v>43867</v>
      </c>
      <c r="S898" s="1">
        <v>43867.529675925929</v>
      </c>
      <c r="T898" s="1">
        <v>43867.677291666667</v>
      </c>
      <c r="U898" s="1">
        <v>43867.677291666667</v>
      </c>
      <c r="W898" s="1">
        <v>43867.677303240744</v>
      </c>
      <c r="X898" t="s">
        <v>6953</v>
      </c>
      <c r="Y898" t="s">
        <v>6903</v>
      </c>
      <c r="AH898" t="s">
        <v>7065</v>
      </c>
      <c r="EC898" t="s">
        <v>7066</v>
      </c>
      <c r="ED898" t="s">
        <v>1650</v>
      </c>
      <c r="EE898" t="s">
        <v>1244</v>
      </c>
      <c r="EF898" t="s">
        <v>7067</v>
      </c>
      <c r="EG898" t="s">
        <v>394</v>
      </c>
    </row>
    <row r="899" spans="1:144" ht="15" customHeight="1" x14ac:dyDescent="0.35">
      <c r="A899">
        <v>1189</v>
      </c>
      <c r="B899" t="s">
        <v>1578</v>
      </c>
      <c r="C899">
        <v>2</v>
      </c>
      <c r="D899" t="str">
        <f>VLOOKUP(source[[#This Row],[Приоритет]],тПриоритеты[],2,0)</f>
        <v>Значительное</v>
      </c>
      <c r="E899" t="str">
        <f>IF(ISBLANK(source[[#This Row],[Проверенные]]),IF(ISBLANK(source[[#This Row],[Завершенные]]),source[[#This Row],[Приоритет_]],"Завершено"),"Проверено")</f>
        <v>Проверено</v>
      </c>
      <c r="F899" t="s">
        <v>4423</v>
      </c>
      <c r="G899" t="s">
        <v>277</v>
      </c>
      <c r="H899" t="e">
        <f>VLOOKUP(source[[#This Row],[Отвественный]],тОтветственные[],2,0)</f>
        <v>#N/A</v>
      </c>
      <c r="S899" s="1">
        <v>43866.490428240744</v>
      </c>
      <c r="T899" s="1">
        <v>43867.502708333333</v>
      </c>
      <c r="U899" s="1">
        <v>43867.502708333333</v>
      </c>
      <c r="W899" s="1">
        <v>43867.502708333333</v>
      </c>
      <c r="AA899" t="s">
        <v>1575</v>
      </c>
      <c r="AB899" t="s">
        <v>1577</v>
      </c>
      <c r="EC899" t="s">
        <v>7068</v>
      </c>
      <c r="ED899" t="s">
        <v>1650</v>
      </c>
      <c r="EE899" t="s">
        <v>7069</v>
      </c>
      <c r="EF899" t="s">
        <v>7070</v>
      </c>
      <c r="EG899" t="str">
        <f>HYPERLINK("https://d33htgqikc2pj4.cloudfront.net/0cab7423-c521-4f75-a9ac-7c031eb67397.jpeg", "Кирилл Васенков: Ссылка на изображение")</f>
        <v>Кирилл Васенков: Ссылка на изображение</v>
      </c>
      <c r="EH899" t="s">
        <v>7018</v>
      </c>
      <c r="EI899" t="s">
        <v>7071</v>
      </c>
      <c r="EJ899" t="s">
        <v>394</v>
      </c>
    </row>
    <row r="900" spans="1:144" ht="15" customHeight="1" x14ac:dyDescent="0.35">
      <c r="A900">
        <v>1040</v>
      </c>
      <c r="B900" t="s">
        <v>1577</v>
      </c>
      <c r="C900">
        <v>2</v>
      </c>
      <c r="D900" t="str">
        <f>VLOOKUP(source[[#This Row],[Приоритет]],тПриоритеты[],2,0)</f>
        <v>Значительное</v>
      </c>
      <c r="E900" t="str">
        <f>IF(ISBLANK(source[[#This Row],[Проверенные]]),IF(ISBLANK(source[[#This Row],[Завершенные]]),source[[#This Row],[Приоритет_]],"Завершено"),"Проверено")</f>
        <v>Проверено</v>
      </c>
      <c r="F900" t="s">
        <v>4423</v>
      </c>
      <c r="G900" t="s">
        <v>277</v>
      </c>
      <c r="H900" t="e">
        <f>VLOOKUP(source[[#This Row],[Отвественный]],тОтветственные[],2,0)</f>
        <v>#N/A</v>
      </c>
      <c r="I900" s="2">
        <v>43854</v>
      </c>
      <c r="J900" s="2">
        <v>43860</v>
      </c>
      <c r="K900" t="s">
        <v>1576</v>
      </c>
      <c r="L900">
        <v>40.909999999999997</v>
      </c>
      <c r="M900">
        <v>24.7</v>
      </c>
      <c r="Q900" t="s">
        <v>397</v>
      </c>
      <c r="R900" t="str">
        <f>HYPERLINK("https://d28ji4sm1vmprj.cloudfront.net/1a2a3e7305d00ff72486090d335902fd/39e806cd0a8b57d41b4319dacc0d94ed.jpeg", "Ссылка на план")</f>
        <v>Ссылка на план</v>
      </c>
      <c r="S900" s="1">
        <v>43854.499328703707</v>
      </c>
      <c r="T900" s="1">
        <v>43867.502384259256</v>
      </c>
      <c r="U900" s="1">
        <v>43867.502384259256</v>
      </c>
      <c r="W900" s="1">
        <v>43867.502384259256</v>
      </c>
      <c r="X900" t="s">
        <v>398</v>
      </c>
      <c r="Y900" t="s">
        <v>399</v>
      </c>
      <c r="AA900" t="s">
        <v>1575</v>
      </c>
      <c r="AB900" t="s">
        <v>1578</v>
      </c>
      <c r="AH900" t="s">
        <v>6959</v>
      </c>
      <c r="AI900" t="s">
        <v>6960</v>
      </c>
      <c r="AJ900" t="s">
        <v>6961</v>
      </c>
      <c r="AK900" t="s">
        <v>6962</v>
      </c>
      <c r="AL900" t="s">
        <v>6963</v>
      </c>
      <c r="AM900" t="s">
        <v>6964</v>
      </c>
      <c r="AN900" t="s">
        <v>6965</v>
      </c>
      <c r="EC900" t="s">
        <v>7072</v>
      </c>
      <c r="ED900" t="s">
        <v>1650</v>
      </c>
      <c r="EE900" t="s">
        <v>1581</v>
      </c>
      <c r="EF900" t="s">
        <v>1518</v>
      </c>
      <c r="EG900" t="s">
        <v>394</v>
      </c>
    </row>
    <row r="901" spans="1:144" ht="15" customHeight="1" x14ac:dyDescent="0.35">
      <c r="A901">
        <v>1038</v>
      </c>
      <c r="B901" t="s">
        <v>1660</v>
      </c>
      <c r="C901">
        <v>2</v>
      </c>
      <c r="D901" t="str">
        <f>VLOOKUP(source[[#This Row],[Приоритет]],тПриоритеты[],2,0)</f>
        <v>Значительное</v>
      </c>
      <c r="E901" t="str">
        <f>IF(ISBLANK(source[[#This Row],[Проверенные]]),IF(ISBLANK(source[[#This Row],[Завершенные]]),source[[#This Row],[Приоритет_]],"Завершено"),"Проверено")</f>
        <v>Проверено</v>
      </c>
      <c r="F901" t="s">
        <v>4423</v>
      </c>
      <c r="G901" t="s">
        <v>277</v>
      </c>
      <c r="H901" t="e">
        <f>VLOOKUP(source[[#This Row],[Отвественный]],тОтветственные[],2,0)</f>
        <v>#N/A</v>
      </c>
      <c r="I901" s="2">
        <v>43851</v>
      </c>
      <c r="J901" s="2">
        <v>43860</v>
      </c>
      <c r="K901" t="s">
        <v>1659</v>
      </c>
      <c r="L901">
        <v>0</v>
      </c>
      <c r="M901">
        <v>0</v>
      </c>
      <c r="N901" t="s">
        <v>7073</v>
      </c>
      <c r="Q901" t="s">
        <v>397</v>
      </c>
      <c r="R901" t="str">
        <f>HYPERLINK("https://d28ji4sm1vmprj.cloudfront.net/cf89f4528b868a244f78c915b9ee6675/e5c93f0a2f12089e613dc7fe1226f0f2.jpeg", "Ссылка на план")</f>
        <v>Ссылка на план</v>
      </c>
      <c r="S901" s="1">
        <v>43854.488726851851</v>
      </c>
      <c r="T901" s="1">
        <v>43866.469722222224</v>
      </c>
      <c r="U901" s="1">
        <v>43866.469722222224</v>
      </c>
      <c r="W901" s="1">
        <v>43866.851284722223</v>
      </c>
      <c r="X901" t="s">
        <v>399</v>
      </c>
      <c r="AA901" t="s">
        <v>1658</v>
      </c>
      <c r="AB901" t="s">
        <v>7016</v>
      </c>
      <c r="AH901" t="s">
        <v>6959</v>
      </c>
      <c r="AI901" t="s">
        <v>6960</v>
      </c>
      <c r="AJ901" t="s">
        <v>6961</v>
      </c>
      <c r="AK901" t="s">
        <v>6962</v>
      </c>
      <c r="AL901" t="s">
        <v>6963</v>
      </c>
      <c r="AM901" t="s">
        <v>6964</v>
      </c>
      <c r="AN901" t="s">
        <v>6965</v>
      </c>
      <c r="EC901" t="s">
        <v>7074</v>
      </c>
      <c r="ED901" t="s">
        <v>7075</v>
      </c>
      <c r="EE901" t="s">
        <v>411</v>
      </c>
      <c r="EF901" t="s">
        <v>1650</v>
      </c>
      <c r="EG901" t="s">
        <v>7076</v>
      </c>
      <c r="EH901" t="s">
        <v>1518</v>
      </c>
      <c r="EI901" t="s">
        <v>394</v>
      </c>
      <c r="EJ901" t="s">
        <v>7019</v>
      </c>
    </row>
    <row r="902" spans="1:144" ht="15" customHeight="1" x14ac:dyDescent="0.35">
      <c r="A902">
        <v>1207</v>
      </c>
      <c r="B902" t="s">
        <v>7077</v>
      </c>
      <c r="C902">
        <v>2</v>
      </c>
      <c r="D902" t="str">
        <f>VLOOKUP(source[[#This Row],[Приоритет]],тПриоритеты[],2,0)</f>
        <v>Значительное</v>
      </c>
      <c r="E902" t="str">
        <f>IF(ISBLANK(source[[#This Row],[Проверенные]]),IF(ISBLANK(source[[#This Row],[Завершенные]]),source[[#This Row],[Приоритет_]],"Завершено"),"Проверено")</f>
        <v>Проверено</v>
      </c>
      <c r="F902" t="s">
        <v>4423</v>
      </c>
      <c r="G902" t="s">
        <v>277</v>
      </c>
      <c r="H902" t="e">
        <f>VLOOKUP(source[[#This Row],[Отвественный]],тОтветственные[],2,0)</f>
        <v>#N/A</v>
      </c>
      <c r="I902" s="2">
        <v>43867</v>
      </c>
      <c r="J902" s="2">
        <v>43867</v>
      </c>
      <c r="S902" s="1">
        <v>43867.40898148148</v>
      </c>
      <c r="T902" s="1">
        <v>43867.677928240744</v>
      </c>
      <c r="U902" s="1">
        <v>43867.677928240744</v>
      </c>
      <c r="W902" s="1">
        <v>43867.677928240744</v>
      </c>
      <c r="X902" t="s">
        <v>6953</v>
      </c>
      <c r="Y902" t="s">
        <v>6903</v>
      </c>
      <c r="AH902" t="s">
        <v>7078</v>
      </c>
      <c r="EC902" t="s">
        <v>7079</v>
      </c>
      <c r="ED902" t="s">
        <v>7080</v>
      </c>
      <c r="EE902" t="s">
        <v>7081</v>
      </c>
      <c r="EF902" t="s">
        <v>1650</v>
      </c>
      <c r="EG902" t="s">
        <v>1244</v>
      </c>
      <c r="EH902" t="s">
        <v>394</v>
      </c>
    </row>
    <row r="903" spans="1:144" ht="15" customHeight="1" x14ac:dyDescent="0.35">
      <c r="A903">
        <v>927</v>
      </c>
      <c r="B903" t="s">
        <v>1506</v>
      </c>
      <c r="C903">
        <v>2</v>
      </c>
      <c r="D903" t="str">
        <f>VLOOKUP(source[[#This Row],[Приоритет]],тПриоритеты[],2,0)</f>
        <v>Значительное</v>
      </c>
      <c r="E903" t="str">
        <f>IF(ISBLANK(source[[#This Row],[Проверенные]]),IF(ISBLANK(source[[#This Row],[Завершенные]]),source[[#This Row],[Приоритет_]],"Завершено"),"Проверено")</f>
        <v>Проверено</v>
      </c>
      <c r="F903" t="s">
        <v>4423</v>
      </c>
      <c r="G903" t="s">
        <v>277</v>
      </c>
      <c r="H903" t="e">
        <f>VLOOKUP(source[[#This Row],[Отвественный]],тОтветственные[],2,0)</f>
        <v>#N/A</v>
      </c>
      <c r="I903" s="2">
        <v>43858</v>
      </c>
      <c r="J903" s="2">
        <v>43858</v>
      </c>
      <c r="K903" t="s">
        <v>1504</v>
      </c>
      <c r="L903">
        <v>36.67</v>
      </c>
      <c r="M903">
        <v>90.71</v>
      </c>
      <c r="Q903" t="s">
        <v>1112</v>
      </c>
      <c r="R903" t="str">
        <f>HYPERLINK("https://d28ji4sm1vmprj.cloudfront.net/dafbe8d6cd201de53d157b76603a69d4/7202ed7fb7ea9e8274684fd8b6e43e26.jpeg", "Ссылка на план")</f>
        <v>Ссылка на план</v>
      </c>
      <c r="S903" s="1">
        <v>43846.43310185185</v>
      </c>
      <c r="T903" s="1">
        <v>43858.599247685182</v>
      </c>
      <c r="U903" s="1">
        <v>43858.599247685182</v>
      </c>
      <c r="W903" s="1">
        <v>43858.599328703705</v>
      </c>
      <c r="AA903" t="s">
        <v>1503</v>
      </c>
      <c r="AB903" t="s">
        <v>1513</v>
      </c>
      <c r="AH903" t="s">
        <v>7082</v>
      </c>
      <c r="AI903" t="s">
        <v>7083</v>
      </c>
      <c r="AJ903" t="s">
        <v>7084</v>
      </c>
      <c r="AK903" t="s">
        <v>7085</v>
      </c>
      <c r="EC903" t="s">
        <v>1650</v>
      </c>
      <c r="ED903" t="s">
        <v>7086</v>
      </c>
      <c r="EE903" t="str">
        <f>HYPERLINK("https://d33htgqikc2pj4.cloudfront.net/91bc1eb6-d106-4c8c-a82f-596f439ed2b3.jpeg", "Кирилл Васенков: Ссылка на изображение")</f>
        <v>Кирилл Васенков: Ссылка на изображение</v>
      </c>
      <c r="EF903" t="s">
        <v>1516</v>
      </c>
      <c r="EG903" t="str">
        <f>HYPERLINK("https://d33htgqikc2pj4.cloudfront.net/560f1c735418306cf4ecd2beecfa6a7d/969fa42ca3ef4bb57824d7d8c9641cdb-file.jpeg", "Кирилл Васенков: Ссылка на изображение")</f>
        <v>Кирилл Васенков: Ссылка на изображение</v>
      </c>
      <c r="EH903" t="str">
        <f>HYPERLINK("https://d33htgqikc2pj4.cloudfront.net/796d82f738fc0bc6a0abea34b598e13c/0ddaf8e1d8240a48b0ed33532fed1908-file.jpeg", "Кирилл Васенков: Ссылка на изображение")</f>
        <v>Кирилл Васенков: Ссылка на изображение</v>
      </c>
      <c r="EI903" t="str">
        <f>HYPERLINK("https://d33htgqikc2pj4.cloudfront.net/46c7cada74901c5d06573d4d2fe63ae4/b218a55b46e0536ebd8f038dcd10d997-file.jpeg", "Кирилл Васенков: Ссылка на изображение")</f>
        <v>Кирилл Васенков: Ссылка на изображение</v>
      </c>
      <c r="EJ903" t="str">
        <f>HYPERLINK("https://d33htgqikc2pj4.cloudfront.net/e697be5c6fb584f47557a83785613473/7373ee7e163b35b0f70bc5a56c281d4f-file.jpeg", "Кирилл Васенков: Ссылка на изображение")</f>
        <v>Кирилл Васенков: Ссылка на изображение</v>
      </c>
      <c r="EK903" t="str">
        <f>HYPERLINK("https://d33htgqikc2pj4.cloudfront.net/5e392b6a08ed7e81b72e0e951c477e50/704f6d07b8a4e0563826aa5dccf757d7-file.jpeg", "Кирилл Васенков: Ссылка на изображение")</f>
        <v>Кирилл Васенков: Ссылка на изображение</v>
      </c>
      <c r="EL903" t="s">
        <v>1511</v>
      </c>
      <c r="EM903" t="s">
        <v>394</v>
      </c>
      <c r="EN903" t="s">
        <v>7087</v>
      </c>
    </row>
    <row r="904" spans="1:144" ht="15" customHeight="1" x14ac:dyDescent="0.35">
      <c r="A904">
        <v>962</v>
      </c>
      <c r="B904" t="s">
        <v>7088</v>
      </c>
      <c r="C904">
        <v>2</v>
      </c>
      <c r="D904" t="str">
        <f>VLOOKUP(source[[#This Row],[Приоритет]],тПриоритеты[],2,0)</f>
        <v>Значительное</v>
      </c>
      <c r="E904" t="str">
        <f>IF(ISBLANK(source[[#This Row],[Проверенные]]),IF(ISBLANK(source[[#This Row],[Завершенные]]),source[[#This Row],[Приоритет_]],"Завершено"),"Проверено")</f>
        <v>Проверено</v>
      </c>
      <c r="F904" t="s">
        <v>4423</v>
      </c>
      <c r="G904" t="s">
        <v>277</v>
      </c>
      <c r="H904" t="e">
        <f>VLOOKUP(source[[#This Row],[Отвественный]],тОтветственные[],2,0)</f>
        <v>#N/A</v>
      </c>
      <c r="I904" s="2">
        <v>43850</v>
      </c>
      <c r="J904" s="2">
        <v>43850</v>
      </c>
      <c r="S904" s="1">
        <v>43850.623252314814</v>
      </c>
      <c r="T904" s="1">
        <v>43850.624918981484</v>
      </c>
      <c r="U904" s="1">
        <v>43850.624918981484</v>
      </c>
      <c r="W904" s="1">
        <v>43854.405497685184</v>
      </c>
      <c r="X904" t="s">
        <v>385</v>
      </c>
      <c r="AH904" t="s">
        <v>386</v>
      </c>
      <c r="AI904" t="s">
        <v>387</v>
      </c>
      <c r="AJ904" t="s">
        <v>6933</v>
      </c>
      <c r="AK904" t="s">
        <v>6934</v>
      </c>
      <c r="EC904" t="s">
        <v>7089</v>
      </c>
      <c r="ED904" t="s">
        <v>394</v>
      </c>
      <c r="EE904" t="s">
        <v>393</v>
      </c>
      <c r="EF904" t="s">
        <v>7090</v>
      </c>
    </row>
    <row r="905" spans="1:144" ht="15" customHeight="1" x14ac:dyDescent="0.35">
      <c r="A905">
        <v>1001</v>
      </c>
      <c r="B905" t="s">
        <v>7091</v>
      </c>
      <c r="C905">
        <v>2</v>
      </c>
      <c r="D905" t="str">
        <f>VLOOKUP(source[[#This Row],[Приоритет]],тПриоритеты[],2,0)</f>
        <v>Значительное</v>
      </c>
      <c r="E905" t="str">
        <f>IF(ISBLANK(source[[#This Row],[Проверенные]]),IF(ISBLANK(source[[#This Row],[Завершенные]]),source[[#This Row],[Приоритет_]],"Завершено"),"Проверено")</f>
        <v>Проверено</v>
      </c>
      <c r="F905" t="s">
        <v>4423</v>
      </c>
      <c r="G905" t="s">
        <v>277</v>
      </c>
      <c r="H905" t="e">
        <f>VLOOKUP(source[[#This Row],[Отвественный]],тОтветственные[],2,0)</f>
        <v>#N/A</v>
      </c>
      <c r="I905" s="2">
        <v>43852</v>
      </c>
      <c r="J905" s="2">
        <v>43852</v>
      </c>
      <c r="K905" t="s">
        <v>7092</v>
      </c>
      <c r="L905">
        <v>46.02</v>
      </c>
      <c r="M905">
        <v>47.14</v>
      </c>
      <c r="Q905" t="s">
        <v>379</v>
      </c>
      <c r="R905" t="str">
        <f>HYPERLINK("https://d28ji4sm1vmprj.cloudfront.net/1461efb50a9266e88c3b1ca9a64c61b5/56d5e54a05e3719c16e021d32bc36c22.jpeg", "Ссылка на план")</f>
        <v>Ссылка на план</v>
      </c>
      <c r="S905" s="1">
        <v>43852.64640046296</v>
      </c>
      <c r="T905" s="1">
        <v>43852.652858796297</v>
      </c>
      <c r="U905" s="1">
        <v>43852.652858796297</v>
      </c>
      <c r="W905" s="1">
        <v>43854.410694444443</v>
      </c>
      <c r="X905" t="s">
        <v>6903</v>
      </c>
      <c r="AH905" t="s">
        <v>7093</v>
      </c>
      <c r="AI905" t="s">
        <v>7094</v>
      </c>
      <c r="AJ905" t="s">
        <v>7095</v>
      </c>
      <c r="AK905" t="s">
        <v>7096</v>
      </c>
      <c r="AL905" t="s">
        <v>7097</v>
      </c>
      <c r="AM905" t="s">
        <v>7098</v>
      </c>
      <c r="AN905" t="s">
        <v>7099</v>
      </c>
      <c r="AO905" t="s">
        <v>7100</v>
      </c>
      <c r="EC905" t="s">
        <v>7101</v>
      </c>
      <c r="ED905" t="s">
        <v>394</v>
      </c>
      <c r="EE905" t="s">
        <v>1650</v>
      </c>
      <c r="EF905" t="s">
        <v>7102</v>
      </c>
      <c r="EG905" t="s">
        <v>7103</v>
      </c>
    </row>
    <row r="906" spans="1:144" ht="15" customHeight="1" x14ac:dyDescent="0.35">
      <c r="A906">
        <v>1000</v>
      </c>
      <c r="B906" t="s">
        <v>7104</v>
      </c>
      <c r="C906">
        <v>2</v>
      </c>
      <c r="D906" t="str">
        <f>VLOOKUP(source[[#This Row],[Приоритет]],тПриоритеты[],2,0)</f>
        <v>Значительное</v>
      </c>
      <c r="E906" t="str">
        <f>IF(ISBLANK(source[[#This Row],[Проверенные]]),IF(ISBLANK(source[[#This Row],[Завершенные]]),source[[#This Row],[Приоритет_]],"Завершено"),"Проверено")</f>
        <v>Проверено</v>
      </c>
      <c r="F906" t="s">
        <v>4423</v>
      </c>
      <c r="G906" t="s">
        <v>277</v>
      </c>
      <c r="H906" t="e">
        <f>VLOOKUP(source[[#This Row],[Отвественный]],тОтветственные[],2,0)</f>
        <v>#N/A</v>
      </c>
      <c r="I906" s="2">
        <v>43852</v>
      </c>
      <c r="J906" s="2">
        <v>43852</v>
      </c>
      <c r="K906" t="s">
        <v>7092</v>
      </c>
      <c r="L906">
        <v>33.64</v>
      </c>
      <c r="M906">
        <v>46.85</v>
      </c>
      <c r="Q906" t="s">
        <v>379</v>
      </c>
      <c r="R906" t="str">
        <f>HYPERLINK("https://d28ji4sm1vmprj.cloudfront.net/1461efb50a9266e88c3b1ca9a64c61b5/56d5e54a05e3719c16e021d32bc36c22.jpeg", "Ссылка на план")</f>
        <v>Ссылка на план</v>
      </c>
      <c r="S906" s="1">
        <v>43852.639641203707</v>
      </c>
      <c r="T906" s="1">
        <v>43852.645775462966</v>
      </c>
      <c r="U906" s="1">
        <v>43852.645775462966</v>
      </c>
      <c r="W906" s="1">
        <v>43852.653101851851</v>
      </c>
      <c r="AH906" t="s">
        <v>7093</v>
      </c>
      <c r="AI906" t="s">
        <v>7094</v>
      </c>
      <c r="AJ906" t="s">
        <v>7095</v>
      </c>
      <c r="AK906" t="s">
        <v>7096</v>
      </c>
      <c r="AL906" t="s">
        <v>7097</v>
      </c>
      <c r="AM906" t="s">
        <v>7098</v>
      </c>
      <c r="AN906" t="s">
        <v>7099</v>
      </c>
      <c r="AO906" t="s">
        <v>7100</v>
      </c>
      <c r="EC906" t="s">
        <v>7105</v>
      </c>
      <c r="ED906" t="s">
        <v>1650</v>
      </c>
      <c r="EE906" t="s">
        <v>394</v>
      </c>
      <c r="EF906" t="s">
        <v>7102</v>
      </c>
    </row>
    <row r="907" spans="1:144" ht="15" customHeight="1" x14ac:dyDescent="0.35">
      <c r="A907">
        <v>1005</v>
      </c>
      <c r="B907" t="s">
        <v>7106</v>
      </c>
      <c r="C907">
        <v>2</v>
      </c>
      <c r="D907" t="str">
        <f>VLOOKUP(source[[#This Row],[Приоритет]],тПриоритеты[],2,0)</f>
        <v>Значительное</v>
      </c>
      <c r="E907" t="str">
        <f>IF(ISBLANK(source[[#This Row],[Проверенные]]),IF(ISBLANK(source[[#This Row],[Завершенные]]),source[[#This Row],[Приоритет_]],"Завершено"),"Проверено")</f>
        <v>Проверено</v>
      </c>
      <c r="F907" t="s">
        <v>4423</v>
      </c>
      <c r="G907" t="s">
        <v>277</v>
      </c>
      <c r="H907" t="e">
        <f>VLOOKUP(source[[#This Row],[Отвественный]],тОтветственные[],2,0)</f>
        <v>#N/A</v>
      </c>
      <c r="I907" s="2">
        <v>43826</v>
      </c>
      <c r="J907" s="2">
        <v>43826</v>
      </c>
      <c r="S907" s="1">
        <v>43852.662349537037</v>
      </c>
      <c r="T907" s="1">
        <v>43852.663425925923</v>
      </c>
      <c r="U907" s="1">
        <v>43852.663425925923</v>
      </c>
      <c r="W907" s="1">
        <v>43858.523217592592</v>
      </c>
      <c r="X907" t="s">
        <v>385</v>
      </c>
      <c r="AH907" t="s">
        <v>388</v>
      </c>
      <c r="AI907" t="s">
        <v>389</v>
      </c>
      <c r="AJ907" t="s">
        <v>413</v>
      </c>
      <c r="AK907" t="s">
        <v>414</v>
      </c>
      <c r="EC907" t="s">
        <v>7107</v>
      </c>
      <c r="ED907" t="s">
        <v>7108</v>
      </c>
      <c r="EE907" t="s">
        <v>1650</v>
      </c>
      <c r="EF907" t="s">
        <v>394</v>
      </c>
      <c r="EG907" t="s">
        <v>411</v>
      </c>
      <c r="EH907" t="s">
        <v>7109</v>
      </c>
      <c r="EI907" t="s">
        <v>6983</v>
      </c>
      <c r="EJ907" t="s">
        <v>7005</v>
      </c>
    </row>
    <row r="908" spans="1:144" ht="15" customHeight="1" x14ac:dyDescent="0.35">
      <c r="A908">
        <v>1112</v>
      </c>
      <c r="B908" t="s">
        <v>7110</v>
      </c>
      <c r="C908">
        <v>2</v>
      </c>
      <c r="D908" t="str">
        <f>VLOOKUP(source[[#This Row],[Приоритет]],тПриоритеты[],2,0)</f>
        <v>Значительное</v>
      </c>
      <c r="E908" t="str">
        <f>IF(ISBLANK(source[[#This Row],[Проверенные]]),IF(ISBLANK(source[[#This Row],[Завершенные]]),source[[#This Row],[Приоритет_]],"Завершено"),"Проверено")</f>
        <v>Значительное</v>
      </c>
      <c r="F908" t="s">
        <v>4423</v>
      </c>
      <c r="G908" t="s">
        <v>478</v>
      </c>
      <c r="H908" t="e">
        <f>VLOOKUP(source[[#This Row],[Отвественный]],тОтветственные[],2,0)</f>
        <v>#N/A</v>
      </c>
      <c r="I908" s="2">
        <v>43854</v>
      </c>
      <c r="J908" s="2">
        <v>43866</v>
      </c>
      <c r="S908" s="1">
        <v>43860.405405092592</v>
      </c>
      <c r="W908" s="1">
        <v>43866.474039351851</v>
      </c>
      <c r="EC908" t="s">
        <v>7111</v>
      </c>
      <c r="ED908" t="str">
        <f>HYPERLINK("https://d33htgqikc2pj4.cloudfront.net/qvHDimMUqxZcQnsj/1d429ca3-eaec-418f-9fb6-ee0100ee225d.jpeg", "Вячеслав Сорокин: Ссылка на изображение")</f>
        <v>Вячеслав Сорокин: Ссылка на изображение</v>
      </c>
      <c r="EE908" t="str">
        <f>HYPERLINK("https://d33htgqikc2pj4.cloudfront.net/qvHDimMUqxZcQnsj/3a1f9617-5fea-42c3-ba7e-685f9f3abea9.jpeg", "Вячеслав Сорокин: Ссылка на изображение")</f>
        <v>Вячеслав Сорокин: Ссылка на изображение</v>
      </c>
      <c r="EF908" t="str">
        <f>HYPERLINK("https://d33htgqikc2pj4.cloudfront.net/qvHDimMUqxZcQnsj/c0e277a6-a846-46e4-9a0f-1041bea1e843.jpeg", "Вячеслав Сорокин: Ссылка на изображение")</f>
        <v>Вячеслав Сорокин: Ссылка на изображение</v>
      </c>
      <c r="EG908" t="s">
        <v>3441</v>
      </c>
      <c r="EH908" t="s">
        <v>7112</v>
      </c>
      <c r="EI908" t="s">
        <v>7113</v>
      </c>
      <c r="EJ908" t="s">
        <v>7114</v>
      </c>
      <c r="EK908" t="s">
        <v>7115</v>
      </c>
    </row>
    <row r="909" spans="1:144" ht="15" customHeight="1" x14ac:dyDescent="0.35">
      <c r="A909">
        <v>1168</v>
      </c>
      <c r="B909" t="s">
        <v>7116</v>
      </c>
      <c r="C909">
        <v>2</v>
      </c>
      <c r="D909" t="str">
        <f>VLOOKUP(source[[#This Row],[Приоритет]],тПриоритеты[],2,0)</f>
        <v>Значительное</v>
      </c>
      <c r="E909" t="str">
        <f>IF(ISBLANK(source[[#This Row],[Проверенные]]),IF(ISBLANK(source[[#This Row],[Завершенные]]),source[[#This Row],[Приоритет_]],"Завершено"),"Проверено")</f>
        <v>Значительное</v>
      </c>
      <c r="F909" t="s">
        <v>4423</v>
      </c>
      <c r="G909" t="s">
        <v>478</v>
      </c>
      <c r="H909" t="e">
        <f>VLOOKUP(source[[#This Row],[Отвественный]],тОтветственные[],2,0)</f>
        <v>#N/A</v>
      </c>
      <c r="I909" s="2">
        <v>43861</v>
      </c>
      <c r="J909" s="2">
        <v>43861</v>
      </c>
      <c r="S909" s="1">
        <v>43865.547939814816</v>
      </c>
      <c r="W909" s="1">
        <v>43865.547939814816</v>
      </c>
      <c r="EC909" t="s">
        <v>7117</v>
      </c>
      <c r="ED909" t="s">
        <v>3438</v>
      </c>
      <c r="EE909" t="s">
        <v>7118</v>
      </c>
      <c r="EF909" t="str">
        <f>HYPERLINK("https://d33htgqikc2pj4.cloudfront.net/qvHDimMUqxZcQnsj/6383f57a-a041-4826-a235-fbbdea9f2b60.jpeg", "Вячеслав Сорокин: Ссылка на изображение")</f>
        <v>Вячеслав Сорокин: Ссылка на изображение</v>
      </c>
      <c r="EG909" t="str">
        <f>HYPERLINK("https://d33htgqikc2pj4.cloudfront.net/qvHDimMUqxZcQnsj/f573fb87-c152-45a1-be54-f5f6e5db8425.jpeg", "Вячеслав Сорокин: Ссылка на изображение")</f>
        <v>Вячеслав Сорокин: Ссылка на изображение</v>
      </c>
      <c r="EH909" t="s">
        <v>7119</v>
      </c>
      <c r="EI909" t="s">
        <v>7120</v>
      </c>
      <c r="EJ909" t="str">
        <f>HYPERLINK("https://d33htgqikc2pj4.cloudfront.net/qvHDimMUqxZcQnsj/f46b61da-5e52-4df9-a85e-d4279df1edbf.jpeg", "Вячеслав Сорокин: Ссылка на изображение")</f>
        <v>Вячеслав Сорокин: Ссылка на изображение</v>
      </c>
      <c r="EK909" t="str">
        <f>HYPERLINK("https://d33htgqikc2pj4.cloudfront.net/qvHDimMUqxZcQnsj/65b5d672-8b25-4468-bf28-486ed1ffdf59.jpeg", "Вячеслав Сорокин: Ссылка на изображение")</f>
        <v>Вячеслав Сорокин: Ссылка на изображение</v>
      </c>
      <c r="EL909" t="s">
        <v>7121</v>
      </c>
      <c r="EM909" t="s">
        <v>7122</v>
      </c>
    </row>
    <row r="910" spans="1:144" ht="15" customHeight="1" x14ac:dyDescent="0.35">
      <c r="A910">
        <v>1169</v>
      </c>
      <c r="B910" t="s">
        <v>2112</v>
      </c>
      <c r="C910">
        <v>2</v>
      </c>
      <c r="D910" t="str">
        <f>VLOOKUP(source[[#This Row],[Приоритет]],тПриоритеты[],2,0)</f>
        <v>Значительное</v>
      </c>
      <c r="E910" t="str">
        <f>IF(ISBLANK(source[[#This Row],[Проверенные]]),IF(ISBLANK(source[[#This Row],[Завершенные]]),source[[#This Row],[Приоритет_]],"Завершено"),"Проверено")</f>
        <v>Завершено</v>
      </c>
      <c r="F910" t="s">
        <v>4423</v>
      </c>
      <c r="G910" t="s">
        <v>478</v>
      </c>
      <c r="H910" t="e">
        <f>VLOOKUP(source[[#This Row],[Отвественный]],тОтветственные[],2,0)</f>
        <v>#N/A</v>
      </c>
      <c r="I910" s="2">
        <v>43865</v>
      </c>
      <c r="J910" s="2">
        <v>43865</v>
      </c>
      <c r="K910" t="s">
        <v>788</v>
      </c>
      <c r="L910">
        <v>15.87</v>
      </c>
      <c r="M910">
        <v>51.75</v>
      </c>
      <c r="Q910" t="s">
        <v>789</v>
      </c>
      <c r="R910" t="str">
        <f>HYPERLINK("https://d28ji4sm1vmprj.cloudfront.net/26de85bafe7c23f70cb88c56be016d87/3e17f1a1b4b7b77b7e9e8d2d30fe0863.jpeg", "Ссылка на план")</f>
        <v>Ссылка на план</v>
      </c>
      <c r="S910" s="1">
        <v>43865.609675925924</v>
      </c>
      <c r="T910" s="1">
        <v>43865.59070601852</v>
      </c>
      <c r="W910" s="1">
        <v>43865.609699074077</v>
      </c>
      <c r="EC910" t="s">
        <v>2115</v>
      </c>
      <c r="ED910" t="str">
        <f>HYPERLINK("https://d33htgqikc2pj4.cloudfront.net/33609dfd-941f-4987-b715-8ddacd474899.jpeg", "Александр Светашов: Ссылка на изображение")</f>
        <v>Александр Светашов: Ссылка на изображение</v>
      </c>
      <c r="EE910" t="str">
        <f>HYPERLINK("https://d33htgqikc2pj4.cloudfront.net/0f596179-37d1-4b5d-bcac-e68da537b048.jpeg", "Александр Светашов: Ссылка на изображение")</f>
        <v>Александр Светашов: Ссылка на изображение</v>
      </c>
      <c r="EF910" t="str">
        <f>HYPERLINK("https://d33htgqikc2pj4.cloudfront.net/2057c63f-ac3a-4d92-ad01-d41a5a85c769.jpeg", "Александр Светашов: Ссылка на изображение")</f>
        <v>Александр Светашов: Ссылка на изображение</v>
      </c>
      <c r="EG910" t="s">
        <v>699</v>
      </c>
      <c r="EH910" t="s">
        <v>1703</v>
      </c>
      <c r="EI910" t="s">
        <v>1703</v>
      </c>
      <c r="EJ910" t="s">
        <v>1674</v>
      </c>
      <c r="EK910" t="s">
        <v>3434</v>
      </c>
    </row>
    <row r="911" spans="1:144" ht="15" customHeight="1" x14ac:dyDescent="0.35">
      <c r="A911">
        <v>1174</v>
      </c>
      <c r="B911" t="s">
        <v>7123</v>
      </c>
      <c r="C911">
        <v>2</v>
      </c>
      <c r="D911" t="str">
        <f>VLOOKUP(source[[#This Row],[Приоритет]],тПриоритеты[],2,0)</f>
        <v>Значительное</v>
      </c>
      <c r="E911" t="str">
        <f>IF(ISBLANK(source[[#This Row],[Проверенные]]),IF(ISBLANK(source[[#This Row],[Завершенные]]),source[[#This Row],[Приоритет_]],"Завершено"),"Проверено")</f>
        <v>Завершено</v>
      </c>
      <c r="F911" t="s">
        <v>4423</v>
      </c>
      <c r="G911" t="s">
        <v>478</v>
      </c>
      <c r="H911" t="e">
        <f>VLOOKUP(source[[#This Row],[Отвественный]],тОтветственные[],2,0)</f>
        <v>#N/A</v>
      </c>
      <c r="I911" s="2">
        <v>43865</v>
      </c>
      <c r="J911" s="2">
        <v>43865</v>
      </c>
      <c r="K911" t="s">
        <v>2113</v>
      </c>
      <c r="L911">
        <v>11.06</v>
      </c>
      <c r="M911">
        <v>19.309999999999999</v>
      </c>
      <c r="Q911" t="s">
        <v>2114</v>
      </c>
      <c r="R911" t="str">
        <f>HYPERLINK("https://d28ji4sm1vmprj.cloudfront.net/3021cb41417a6407c6d00c02f6a24f54/260a2324e0f0083a3c1fc6e8517e8511.jpeg", "Ссылка на план")</f>
        <v>Ссылка на план</v>
      </c>
      <c r="S911" s="1">
        <v>43865.615902777776</v>
      </c>
      <c r="T911" s="1">
        <v>43865.616435185184</v>
      </c>
      <c r="W911" s="1">
        <v>43865.616608796299</v>
      </c>
      <c r="EC911" t="s">
        <v>7124</v>
      </c>
      <c r="ED911" t="str">
        <f>HYPERLINK("https://d33htgqikc2pj4.cloudfront.net/bf13cede-adae-484e-9e6d-49c609333c7b.jpeg", "Александр Светашов: Ссылка на изображение")</f>
        <v>Александр Светашов: Ссылка на изображение</v>
      </c>
      <c r="EE911" t="str">
        <f>HYPERLINK("https://d33htgqikc2pj4.cloudfront.net/38a4c311-253a-4329-98fd-29b149258179.jpeg", "Александр Светашов: Ссылка на изображение")</f>
        <v>Александр Светашов: Ссылка на изображение</v>
      </c>
      <c r="EF911" t="str">
        <f>HYPERLINK("https://d33htgqikc2pj4.cloudfront.net/a1f9ca69-9125-4eec-9f96-a642f312e54d.jpeg", "Александр Светашов: Ссылка на изображение")</f>
        <v>Александр Светашов: Ссылка на изображение</v>
      </c>
      <c r="EG911" t="str">
        <f>HYPERLINK("https://d33htgqikc2pj4.cloudfront.net/e98f75da-570c-44ae-8b0d-52c00d13400a.jpeg", "Александр Светашов: Ссылка на изображение")</f>
        <v>Александр Светашов: Ссылка на изображение</v>
      </c>
      <c r="EH911" t="str">
        <f>HYPERLINK("https://d33htgqikc2pj4.cloudfront.net/644cb459-8c05-4abd-a5cf-d270cc5ce418.jpeg", "Александр Светашов: Ссылка на изображение")</f>
        <v>Александр Светашов: Ссылка на изображение</v>
      </c>
      <c r="EI911" t="str">
        <f>HYPERLINK("https://d33htgqikc2pj4.cloudfront.net/7a6ebb10-bd43-42f5-9d15-77e05183e32d.jpeg", "Александр Светашов: Ссылка на изображение")</f>
        <v>Александр Светашов: Ссылка на изображение</v>
      </c>
      <c r="EJ911" t="s">
        <v>1703</v>
      </c>
      <c r="EK911" t="s">
        <v>699</v>
      </c>
      <c r="EL911" t="s">
        <v>1674</v>
      </c>
      <c r="EM911" t="s">
        <v>2922</v>
      </c>
      <c r="EN911" t="s">
        <v>3434</v>
      </c>
    </row>
    <row r="912" spans="1:144" ht="15" customHeight="1" x14ac:dyDescent="0.35">
      <c r="A912">
        <v>1050</v>
      </c>
      <c r="B912" t="s">
        <v>7125</v>
      </c>
      <c r="C912">
        <v>2</v>
      </c>
      <c r="D912" t="str">
        <f>VLOOKUP(source[[#This Row],[Приоритет]],тПриоритеты[],2,0)</f>
        <v>Значительное</v>
      </c>
      <c r="E912" t="str">
        <f>IF(ISBLANK(source[[#This Row],[Проверенные]]),IF(ISBLANK(source[[#This Row],[Завершенные]]),source[[#This Row],[Приоритет_]],"Завершено"),"Проверено")</f>
        <v>Проверено</v>
      </c>
      <c r="F912" t="s">
        <v>4423</v>
      </c>
      <c r="G912" t="s">
        <v>478</v>
      </c>
      <c r="H912" t="e">
        <f>VLOOKUP(source[[#This Row],[Отвественный]],тОтветственные[],2,0)</f>
        <v>#N/A</v>
      </c>
      <c r="I912" s="2">
        <v>43854</v>
      </c>
      <c r="J912" s="2">
        <v>43854</v>
      </c>
      <c r="K912" t="s">
        <v>788</v>
      </c>
      <c r="L912">
        <v>15.63</v>
      </c>
      <c r="M912">
        <v>44.31</v>
      </c>
      <c r="Q912" t="s">
        <v>789</v>
      </c>
      <c r="R912" t="str">
        <f>HYPERLINK("https://d28ji4sm1vmprj.cloudfront.net/26de85bafe7c23f70cb88c56be016d87/3e17f1a1b4b7b77b7e9e8d2d30fe0863.jpeg", "Ссылка на план")</f>
        <v>Ссылка на план</v>
      </c>
      <c r="S912" s="1">
        <v>43854.695289351854</v>
      </c>
      <c r="T912" s="1">
        <v>43854.634780092594</v>
      </c>
      <c r="U912" s="1">
        <v>43854.634780092594</v>
      </c>
      <c r="W912" s="1">
        <v>43854.6953125</v>
      </c>
      <c r="EC912" t="s">
        <v>7126</v>
      </c>
      <c r="ED912" t="str">
        <f>HYPERLINK("https://d33htgqikc2pj4.cloudfront.net/e6b046f3-e4a9-4f04-9145-c2b36206484e.jpeg", "Александр Светашов: Ссылка на изображение")</f>
        <v>Александр Светашов: Ссылка на изображение</v>
      </c>
      <c r="EE912" t="str">
        <f>HYPERLINK("https://d33htgqikc2pj4.cloudfront.net/cd49c27f-7dd4-406a-9d5d-7e57a0061f3e.jpeg", "Александр Светашов: Ссылка на изображение")</f>
        <v>Александр Светашов: Ссылка на изображение</v>
      </c>
      <c r="EF912" t="str">
        <f>HYPERLINK("https://d33htgqikc2pj4.cloudfront.net/710902b1-0c73-44f9-936b-8e584986db5a.jpeg", "Александр Светашов: Ссылка на изображение")</f>
        <v>Александр Светашов: Ссылка на изображение</v>
      </c>
      <c r="EG912" t="str">
        <f>HYPERLINK("https://d33htgqikc2pj4.cloudfront.net/485e1d02-c229-4517-b3a2-c344c364f770.jpeg", "Александр Светашов: Ссылка на изображение")</f>
        <v>Александр Светашов: Ссылка на изображение</v>
      </c>
      <c r="EH912" t="s">
        <v>699</v>
      </c>
      <c r="EI912" t="s">
        <v>3417</v>
      </c>
      <c r="EJ912" t="s">
        <v>3434</v>
      </c>
      <c r="EK912" t="s">
        <v>794</v>
      </c>
    </row>
    <row r="913" spans="1:154" ht="15" customHeight="1" x14ac:dyDescent="0.35">
      <c r="A913">
        <v>1048</v>
      </c>
      <c r="B913" t="s">
        <v>7127</v>
      </c>
      <c r="C913">
        <v>2</v>
      </c>
      <c r="D913" t="str">
        <f>VLOOKUP(source[[#This Row],[Приоритет]],тПриоритеты[],2,0)</f>
        <v>Значительное</v>
      </c>
      <c r="E913" t="str">
        <f>IF(ISBLANK(source[[#This Row],[Проверенные]]),IF(ISBLANK(source[[#This Row],[Завершенные]]),source[[#This Row],[Приоритет_]],"Завершено"),"Проверено")</f>
        <v>Проверено</v>
      </c>
      <c r="F913" t="s">
        <v>4423</v>
      </c>
      <c r="G913" t="s">
        <v>478</v>
      </c>
      <c r="H913" t="e">
        <f>VLOOKUP(source[[#This Row],[Отвественный]],тОтветственные[],2,0)</f>
        <v>#N/A</v>
      </c>
      <c r="I913" s="2">
        <v>43854</v>
      </c>
      <c r="J913" s="2">
        <v>43854</v>
      </c>
      <c r="K913" t="s">
        <v>2113</v>
      </c>
      <c r="L913">
        <v>27.34</v>
      </c>
      <c r="M913">
        <v>51.09</v>
      </c>
      <c r="Q913" t="s">
        <v>2114</v>
      </c>
      <c r="R913" t="str">
        <f>HYPERLINK("https://d28ji4sm1vmprj.cloudfront.net/3021cb41417a6407c6d00c02f6a24f54/260a2324e0f0083a3c1fc6e8517e8511.jpeg", "Ссылка на план")</f>
        <v>Ссылка на план</v>
      </c>
      <c r="S913" s="1">
        <v>43854.695208333331</v>
      </c>
      <c r="T913" s="1">
        <v>43854.622106481482</v>
      </c>
      <c r="U913" s="1">
        <v>43854.622106481482</v>
      </c>
      <c r="W913" s="1">
        <v>43854.695231481484</v>
      </c>
      <c r="EC913" t="s">
        <v>7128</v>
      </c>
      <c r="ED913" t="str">
        <f>HYPERLINK("https://d33htgqikc2pj4.cloudfront.net/73461d0c-4716-402f-b20a-9633397d1a22.jpeg", "Александр Светашов: Ссылка на изображение")</f>
        <v>Александр Светашов: Ссылка на изображение</v>
      </c>
      <c r="EE913" t="str">
        <f>HYPERLINK("https://d33htgqikc2pj4.cloudfront.net/89401822-c1d6-4b23-9fae-122b4cdb7f35.jpeg", "Александр Светашов: Ссылка на изображение")</f>
        <v>Александр Светашов: Ссылка на изображение</v>
      </c>
      <c r="EF913" t="str">
        <f>HYPERLINK("https://d33htgqikc2pj4.cloudfront.net/401c3e19-0b77-495d-87bb-de593119181f.jpeg", "Александр Светашов: Ссылка на изображение")</f>
        <v>Александр Светашов: Ссылка на изображение</v>
      </c>
      <c r="EG913" t="str">
        <f>HYPERLINK("https://d33htgqikc2pj4.cloudfront.net/3a841797-632f-453c-9d44-783f5e857e59.jpeg", "Александр Светашов: Ссылка на изображение")</f>
        <v>Александр Светашов: Ссылка на изображение</v>
      </c>
      <c r="EH913" t="str">
        <f>HYPERLINK("https://d33htgqikc2pj4.cloudfront.net/cf08c75f-747c-4c5a-9080-8137fc8ff80e.jpeg", "Александр Светашов: Ссылка на изображение")</f>
        <v>Александр Светашов: Ссылка на изображение</v>
      </c>
      <c r="EI913" t="str">
        <f>HYPERLINK("https://d33htgqikc2pj4.cloudfront.net/47d1db9c-82e9-470b-9848-98753d826070.jpeg", "Александр Светашов: Ссылка на изображение")</f>
        <v>Александр Светашов: Ссылка на изображение</v>
      </c>
      <c r="EJ913" t="str">
        <f>HYPERLINK("https://d33htgqikc2pj4.cloudfront.net/d5012cda-8565-4ff6-a589-de0772b0ba1f.jpeg", "Александр Светашов: Ссылка на изображение")</f>
        <v>Александр Светашов: Ссылка на изображение</v>
      </c>
      <c r="EK913" t="str">
        <f>HYPERLINK("https://d33htgqikc2pj4.cloudfront.net/d7f35f78-643c-4212-9100-9668649fae92.jpeg", "Александр Светашов: Ссылка на изображение")</f>
        <v>Александр Светашов: Ссылка на изображение</v>
      </c>
      <c r="EL913" t="s">
        <v>699</v>
      </c>
      <c r="EM913" t="s">
        <v>3417</v>
      </c>
      <c r="EN913" t="s">
        <v>3434</v>
      </c>
      <c r="EO913" t="s">
        <v>794</v>
      </c>
    </row>
    <row r="914" spans="1:154" ht="15" customHeight="1" x14ac:dyDescent="0.35">
      <c r="A914">
        <v>1049</v>
      </c>
      <c r="B914" t="s">
        <v>2112</v>
      </c>
      <c r="C914">
        <v>2</v>
      </c>
      <c r="D914" t="str">
        <f>VLOOKUP(source[[#This Row],[Приоритет]],тПриоритеты[],2,0)</f>
        <v>Значительное</v>
      </c>
      <c r="E914" t="str">
        <f>IF(ISBLANK(source[[#This Row],[Проверенные]]),IF(ISBLANK(source[[#This Row],[Завершенные]]),source[[#This Row],[Приоритет_]],"Завершено"),"Проверено")</f>
        <v>Проверено</v>
      </c>
      <c r="F914" t="s">
        <v>4423</v>
      </c>
      <c r="G914" t="s">
        <v>478</v>
      </c>
      <c r="H914" t="e">
        <f>VLOOKUP(source[[#This Row],[Отвественный]],тОтветственные[],2,0)</f>
        <v>#N/A</v>
      </c>
      <c r="I914" s="2">
        <v>43854</v>
      </c>
      <c r="J914" s="2">
        <v>43854</v>
      </c>
      <c r="K914" t="s">
        <v>788</v>
      </c>
      <c r="L914">
        <v>17.239999999999998</v>
      </c>
      <c r="M914">
        <v>57.87</v>
      </c>
      <c r="Q914" t="s">
        <v>789</v>
      </c>
      <c r="R914" t="str">
        <f>HYPERLINK("https://d28ji4sm1vmprj.cloudfront.net/26de85bafe7c23f70cb88c56be016d87/3e17f1a1b4b7b77b7e9e8d2d30fe0863.jpeg", "Ссылка на план")</f>
        <v>Ссылка на план</v>
      </c>
      <c r="S914" s="1">
        <v>43854.695243055554</v>
      </c>
      <c r="T914" s="1">
        <v>43854.629849537036</v>
      </c>
      <c r="U914" s="1">
        <v>43854.629849537036</v>
      </c>
      <c r="W914" s="1">
        <v>43854.695277777777</v>
      </c>
      <c r="EC914" t="s">
        <v>2115</v>
      </c>
      <c r="ED914" t="str">
        <f>HYPERLINK("https://d33htgqikc2pj4.cloudfront.net/38844929-643e-43f5-906e-952cb06605d8.jpeg", "Александр Светашов: Ссылка на изображение")</f>
        <v>Александр Светашов: Ссылка на изображение</v>
      </c>
      <c r="EE914" t="str">
        <f>HYPERLINK("https://d33htgqikc2pj4.cloudfront.net/7240735f-d209-40c7-afb4-a069287c2f2f.jpeg", "Александр Светашов: Ссылка на изображение")</f>
        <v>Александр Светашов: Ссылка на изображение</v>
      </c>
      <c r="EF914" t="str">
        <f>HYPERLINK("https://d33htgqikc2pj4.cloudfront.net/6fe0a5c4-9a08-4947-962b-02da31e0243b.jpeg", "Александр Светашов: Ссылка на изображение")</f>
        <v>Александр Светашов: Ссылка на изображение</v>
      </c>
      <c r="EG914" t="s">
        <v>699</v>
      </c>
      <c r="EH914" t="s">
        <v>3417</v>
      </c>
      <c r="EI914" t="s">
        <v>3434</v>
      </c>
      <c r="EJ914" t="s">
        <v>794</v>
      </c>
    </row>
    <row r="915" spans="1:154" ht="15" customHeight="1" x14ac:dyDescent="0.35">
      <c r="A915">
        <v>641</v>
      </c>
      <c r="B915" t="s">
        <v>7129</v>
      </c>
      <c r="C915">
        <v>2</v>
      </c>
      <c r="D915" t="str">
        <f>VLOOKUP(source[[#This Row],[Приоритет]],тПриоритеты[],2,0)</f>
        <v>Значительное</v>
      </c>
      <c r="E915" t="str">
        <f>IF(ISBLANK(source[[#This Row],[Проверенные]]),IF(ISBLANK(source[[#This Row],[Завершенные]]),source[[#This Row],[Приоритет_]],"Завершено"),"Проверено")</f>
        <v>Проверено</v>
      </c>
      <c r="F915" t="s">
        <v>4423</v>
      </c>
      <c r="G915" t="s">
        <v>478</v>
      </c>
      <c r="H915" t="e">
        <f>VLOOKUP(source[[#This Row],[Отвественный]],тОтветственные[],2,0)</f>
        <v>#N/A</v>
      </c>
      <c r="I915" s="2">
        <v>43815</v>
      </c>
      <c r="J915" s="2">
        <v>43815</v>
      </c>
      <c r="K915" t="s">
        <v>1720</v>
      </c>
      <c r="L915">
        <v>44.01</v>
      </c>
      <c r="M915">
        <v>34.549999999999997</v>
      </c>
      <c r="Q915" t="s">
        <v>1721</v>
      </c>
      <c r="R915" t="str">
        <f>HYPERLINK("https://d28ji4sm1vmprj.cloudfront.net/c1c1b591ce77c82044efa6b5d6f7663a/cf818dc1bc24c008af413328cec2292d.jpeg", "Ссылка на план")</f>
        <v>Ссылка на план</v>
      </c>
      <c r="S915" s="1">
        <v>43816.436874999999</v>
      </c>
      <c r="T915" s="1">
        <v>43816.474791666667</v>
      </c>
      <c r="U915" s="1">
        <v>43816.474791666667</v>
      </c>
      <c r="W915" s="1">
        <v>43816.474826388891</v>
      </c>
      <c r="EC915" t="s">
        <v>7130</v>
      </c>
      <c r="ED915" t="str">
        <f>HYPERLINK("https://d33htgqikc2pj4.cloudfront.net/90050dd0-9014-48f4-9d46-58ccc4dacbc5.jpeg", "Александр Светашов: Ссылка на изображение")</f>
        <v>Александр Светашов: Ссылка на изображение</v>
      </c>
      <c r="EE915" t="str">
        <f>HYPERLINK("https://d33htgqikc2pj4.cloudfront.net/4a071157-7cd6-437b-bef6-07eb761848da.jpeg", "Александр Светашов: Ссылка на изображение")</f>
        <v>Александр Светашов: Ссылка на изображение</v>
      </c>
      <c r="EF915" t="str">
        <f>HYPERLINK("https://d33htgqikc2pj4.cloudfront.net/9f5e939e-c423-4f06-8cfc-29afde0daa10.jpeg", "Александр Светашов: Ссылка на изображение")</f>
        <v>Александр Светашов: Ссылка на изображение</v>
      </c>
      <c r="EG915" t="str">
        <f>HYPERLINK("https://d33htgqikc2pj4.cloudfront.net/6ed30c43-c87d-4943-a751-bb6bcfeb0afa.jpeg", "Александр Светашов: Ссылка на изображение")</f>
        <v>Александр Светашов: Ссылка на изображение</v>
      </c>
      <c r="EH915" t="str">
        <f>HYPERLINK("https://d33htgqikc2pj4.cloudfront.net/8a335dad-5a04-4bd2-bb55-65fe2ac00df9.jpeg", "Александр Светашов: Ссылка на изображение")</f>
        <v>Александр Светашов: Ссылка на изображение</v>
      </c>
      <c r="EI915" t="str">
        <f>HYPERLINK("https://d33htgqikc2pj4.cloudfront.net/8369a09a-fe45-419e-a892-d9df8190486f.jpeg", "Александр Светашов: Ссылка на изображение")</f>
        <v>Александр Светашов: Ссылка на изображение</v>
      </c>
      <c r="EJ915" t="str">
        <f>HYPERLINK("https://d33htgqikc2pj4.cloudfront.net/76b63018-9750-4cbf-ac00-bf18930941f0.jpeg", "Александр Светашов: Ссылка на изображение")</f>
        <v>Александр Светашов: Ссылка на изображение</v>
      </c>
      <c r="EK915" t="s">
        <v>3434</v>
      </c>
      <c r="EL915" t="s">
        <v>2332</v>
      </c>
      <c r="EM915" t="s">
        <v>699</v>
      </c>
      <c r="EN915" t="s">
        <v>794</v>
      </c>
    </row>
    <row r="916" spans="1:154" ht="15" customHeight="1" x14ac:dyDescent="0.35">
      <c r="A916">
        <v>435</v>
      </c>
      <c r="B916" t="s">
        <v>7131</v>
      </c>
      <c r="C916">
        <v>2</v>
      </c>
      <c r="D916" t="str">
        <f>VLOOKUP(source[[#This Row],[Приоритет]],тПриоритеты[],2,0)</f>
        <v>Значительное</v>
      </c>
      <c r="E916" t="str">
        <f>IF(ISBLANK(source[[#This Row],[Проверенные]]),IF(ISBLANK(source[[#This Row],[Завершенные]]),source[[#This Row],[Приоритет_]],"Завершено"),"Проверено")</f>
        <v>Проверено</v>
      </c>
      <c r="F916" t="s">
        <v>4423</v>
      </c>
      <c r="G916" t="s">
        <v>478</v>
      </c>
      <c r="H916" t="e">
        <f>VLOOKUP(source[[#This Row],[Отвественный]],тОтветственные[],2,0)</f>
        <v>#N/A</v>
      </c>
      <c r="I916" s="2">
        <v>43795</v>
      </c>
      <c r="J916" s="2">
        <v>43795</v>
      </c>
      <c r="K916" t="s">
        <v>2113</v>
      </c>
      <c r="L916">
        <v>18.48</v>
      </c>
      <c r="M916">
        <v>49.85</v>
      </c>
      <c r="Q916" t="s">
        <v>2114</v>
      </c>
      <c r="R916" t="str">
        <f>HYPERLINK("https://d28ji4sm1vmprj.cloudfront.net/3021cb41417a6407c6d00c02f6a24f54/260a2324e0f0083a3c1fc6e8517e8511.jpeg", "Ссылка на план")</f>
        <v>Ссылка на план</v>
      </c>
      <c r="S916" s="1">
        <v>43795.421817129631</v>
      </c>
      <c r="T916" s="1">
        <v>43795.72828703704</v>
      </c>
      <c r="U916" s="1">
        <v>43809.424780092595</v>
      </c>
      <c r="W916" s="1">
        <v>43809.424791666665</v>
      </c>
      <c r="AH916" t="s">
        <v>7132</v>
      </c>
      <c r="EC916" t="s">
        <v>7133</v>
      </c>
      <c r="ED916" t="str">
        <f>HYPERLINK("https://d33htgqikc2pj4.cloudfront.net/de96b255-d860-4dd0-9ffd-f802de302b00.jpeg", "Александр Светашов: Ссылка на изображение")</f>
        <v>Александр Светашов: Ссылка на изображение</v>
      </c>
      <c r="EE916" t="str">
        <f>HYPERLINK("https://d33htgqikc2pj4.cloudfront.net/7da2a7ad-8895-40e9-885c-0ef74dfc193c.jpeg", "Александр Светашов: Ссылка на изображение")</f>
        <v>Александр Светашов: Ссылка на изображение</v>
      </c>
      <c r="EF916" t="str">
        <f>HYPERLINK("https://d33htgqikc2pj4.cloudfront.net/71a9fa2c-0ed3-42df-943b-8a1952131174.jpeg", "Александр Светашов: Ссылка на изображение")</f>
        <v>Александр Светашов: Ссылка на изображение</v>
      </c>
      <c r="EG916" t="str">
        <f>HYPERLINK("https://d33htgqikc2pj4.cloudfront.net/2c456e06-2cd3-423d-bc96-290b409f0e28.jpeg", "Александр Светашов: Ссылка на изображение")</f>
        <v>Александр Светашов: Ссылка на изображение</v>
      </c>
      <c r="EH916" t="str">
        <f>HYPERLINK("https://d33htgqikc2pj4.cloudfront.net/de529f93-4da9-45c5-a8cf-d5daa8993a25.jpeg", "Александр Светашов: Ссылка на изображение")</f>
        <v>Александр Светашов: Ссылка на изображение</v>
      </c>
      <c r="EI916" t="s">
        <v>699</v>
      </c>
      <c r="EJ916" t="s">
        <v>7134</v>
      </c>
      <c r="EK916" t="s">
        <v>3434</v>
      </c>
      <c r="EL916" t="s">
        <v>1703</v>
      </c>
      <c r="EM916" t="s">
        <v>836</v>
      </c>
    </row>
    <row r="917" spans="1:154" ht="15" customHeight="1" x14ac:dyDescent="0.35">
      <c r="A917">
        <v>679</v>
      </c>
      <c r="B917" t="s">
        <v>7135</v>
      </c>
      <c r="C917">
        <v>2</v>
      </c>
      <c r="D917" t="str">
        <f>VLOOKUP(source[[#This Row],[Приоритет]],тПриоритеты[],2,0)</f>
        <v>Значительное</v>
      </c>
      <c r="E917" t="str">
        <f>IF(ISBLANK(source[[#This Row],[Проверенные]]),IF(ISBLANK(source[[#This Row],[Завершенные]]),source[[#This Row],[Приоритет_]],"Завершено"),"Проверено")</f>
        <v>Проверено</v>
      </c>
      <c r="F917" t="s">
        <v>4423</v>
      </c>
      <c r="G917" t="s">
        <v>478</v>
      </c>
      <c r="H917" t="e">
        <f>VLOOKUP(source[[#This Row],[Отвественный]],тОтветственные[],2,0)</f>
        <v>#N/A</v>
      </c>
      <c r="I917" s="2">
        <v>43818</v>
      </c>
      <c r="J917" s="2">
        <v>43818</v>
      </c>
      <c r="S917" s="1">
        <v>43818.694351851853</v>
      </c>
      <c r="T917" s="1">
        <v>43820.501979166664</v>
      </c>
      <c r="U917" s="1">
        <v>43820.501979166664</v>
      </c>
      <c r="W917" s="1">
        <v>43820.503229166665</v>
      </c>
      <c r="EC917" t="s">
        <v>7136</v>
      </c>
      <c r="ED917" t="str">
        <f>HYPERLINK("https://d33htgqikc2pj4.cloudfront.net/qvHDimMUqxZcQnsj/0d83e413-dad0-41c9-ab03-4723b7379b73.jpeg", "Вячеслав Сорокин: Ссылка на изображение")</f>
        <v>Вячеслав Сорокин: Ссылка на изображение</v>
      </c>
      <c r="EE917" t="str">
        <f>HYPERLINK("https://d33htgqikc2pj4.cloudfront.net/qvHDimMUqxZcQnsj/c95b0ca9-38bc-4a20-b2d1-f5fe0e977b38.jpeg", "Вячеслав Сорокин: Ссылка на изображение")</f>
        <v>Вячеслав Сорокин: Ссылка на изображение</v>
      </c>
      <c r="EF917" t="s">
        <v>7137</v>
      </c>
      <c r="EG917" t="s">
        <v>6846</v>
      </c>
      <c r="EH917" t="s">
        <v>6846</v>
      </c>
      <c r="EI917" t="s">
        <v>6846</v>
      </c>
      <c r="EJ917" t="s">
        <v>7138</v>
      </c>
      <c r="EK917" t="str">
        <f>HYPERLINK("https://d33htgqikc2pj4.cloudfront.net/qvHDimMUqxZcQnsj/84bfe585-eb4b-452c-83a7-e6fbb20f177c.jpeg", "Вячеслав Сорокин: Ссылка на изображение")</f>
        <v>Вячеслав Сорокин: Ссылка на изображение</v>
      </c>
      <c r="EL917" t="str">
        <f>HYPERLINK("https://d33htgqikc2pj4.cloudfront.net/qvHDimMUqxZcQnsj/1eef2551-f1be-4ce9-b7ce-b24f474e0dc9.jpeg", "Вячеслав Сорокин: Ссылка на изображение")</f>
        <v>Вячеслав Сорокин: Ссылка на изображение</v>
      </c>
      <c r="EM917" t="s">
        <v>265</v>
      </c>
      <c r="EN917" t="s">
        <v>3441</v>
      </c>
      <c r="EO917" t="s">
        <v>7114</v>
      </c>
      <c r="EP917" t="s">
        <v>3363</v>
      </c>
    </row>
    <row r="918" spans="1:154" ht="15" customHeight="1" x14ac:dyDescent="0.35">
      <c r="A918">
        <v>678</v>
      </c>
      <c r="B918" t="s">
        <v>7139</v>
      </c>
      <c r="C918">
        <v>2</v>
      </c>
      <c r="D918" t="str">
        <f>VLOOKUP(source[[#This Row],[Приоритет]],тПриоритеты[],2,0)</f>
        <v>Значительное</v>
      </c>
      <c r="E918" t="str">
        <f>IF(ISBLANK(source[[#This Row],[Проверенные]]),IF(ISBLANK(source[[#This Row],[Завершенные]]),source[[#This Row],[Приоритет_]],"Завершено"),"Проверено")</f>
        <v>Проверено</v>
      </c>
      <c r="F918" t="s">
        <v>4423</v>
      </c>
      <c r="G918" t="s">
        <v>478</v>
      </c>
      <c r="H918" t="e">
        <f>VLOOKUP(source[[#This Row],[Отвественный]],тОтветственные[],2,0)</f>
        <v>#N/A</v>
      </c>
      <c r="I918" s="2">
        <v>43818</v>
      </c>
      <c r="J918" s="2">
        <v>43818</v>
      </c>
      <c r="S918" s="1">
        <v>43818.694340277776</v>
      </c>
      <c r="T918" s="1">
        <v>43820.811342592591</v>
      </c>
      <c r="U918" s="1">
        <v>43820.811342592591</v>
      </c>
      <c r="W918" s="1">
        <v>43820.812326388892</v>
      </c>
      <c r="EC918" t="s">
        <v>3437</v>
      </c>
      <c r="ED918" t="str">
        <f>HYPERLINK("https://d33htgqikc2pj4.cloudfront.net/qvHDimMUqxZcQnsj/b8a154d2-e637-4549-b244-518a18db4ec0.jpeg", "Вячеслав Сорокин: Ссылка на изображение")</f>
        <v>Вячеслав Сорокин: Ссылка на изображение</v>
      </c>
      <c r="EE918" t="str">
        <f>HYPERLINK("https://d33htgqikc2pj4.cloudfront.net/qvHDimMUqxZcQnsj/56bc64d6-8cb8-4bfa-a687-c6326773954b.jpeg", "Вячеслав Сорокин: Ссылка на изображение")</f>
        <v>Вячеслав Сорокин: Ссылка на изображение</v>
      </c>
      <c r="EF918" t="str">
        <f>HYPERLINK("https://d33htgqikc2pj4.cloudfront.net/qvHDimMUqxZcQnsj/283c8588-6d6f-4bf0-b83e-e66a8eba5e63.jpeg", "Вячеслав Сорокин: Ссылка на изображение")</f>
        <v>Вячеслав Сорокин: Ссылка на изображение</v>
      </c>
      <c r="EG918" t="str">
        <f>HYPERLINK("https://d33htgqikc2pj4.cloudfront.net/qvHDimMUqxZcQnsj/7b909c35-ba81-49d3-9551-986b573c2b92.jpeg", "Вячеслав Сорокин: Ссылка на изображение")</f>
        <v>Вячеслав Сорокин: Ссылка на изображение</v>
      </c>
      <c r="EH918" t="s">
        <v>265</v>
      </c>
      <c r="EI918" t="s">
        <v>3441</v>
      </c>
      <c r="EJ918" t="s">
        <v>7114</v>
      </c>
      <c r="EK918" t="s">
        <v>7140</v>
      </c>
      <c r="EL918" t="s">
        <v>3363</v>
      </c>
      <c r="EM918" t="str">
        <f>HYPERLINK("https://d33htgqikc2pj4.cloudfront.net/8427d1e5-57a7-41c1-b5d4-71a773042c14.jpeg", "Отделка Renaissance Construction: Ссылка на изображение")</f>
        <v>Отделка Renaissance Construction: Ссылка на изображение</v>
      </c>
      <c r="EN918" t="s">
        <v>2201</v>
      </c>
    </row>
    <row r="919" spans="1:154" ht="15" customHeight="1" x14ac:dyDescent="0.35">
      <c r="A919">
        <v>451</v>
      </c>
      <c r="B919" t="s">
        <v>7141</v>
      </c>
      <c r="C919">
        <v>2</v>
      </c>
      <c r="D919" t="str">
        <f>VLOOKUP(source[[#This Row],[Приоритет]],тПриоритеты[],2,0)</f>
        <v>Значительное</v>
      </c>
      <c r="E919" t="str">
        <f>IF(ISBLANK(source[[#This Row],[Проверенные]]),IF(ISBLANK(source[[#This Row],[Завершенные]]),source[[#This Row],[Приоритет_]],"Завершено"),"Проверено")</f>
        <v>Проверено</v>
      </c>
      <c r="F919" t="s">
        <v>4423</v>
      </c>
      <c r="G919" t="s">
        <v>478</v>
      </c>
      <c r="H919" t="e">
        <f>VLOOKUP(source[[#This Row],[Отвественный]],тОтветственные[],2,0)</f>
        <v>#N/A</v>
      </c>
      <c r="I919" s="2">
        <v>43795</v>
      </c>
      <c r="J919" s="2">
        <v>43795</v>
      </c>
      <c r="K919" t="s">
        <v>1695</v>
      </c>
      <c r="L919">
        <v>10.92</v>
      </c>
      <c r="M919">
        <v>51.82</v>
      </c>
      <c r="Q919" t="s">
        <v>1696</v>
      </c>
      <c r="R919" t="str">
        <f>HYPERLINK("https://d28ji4sm1vmprj.cloudfront.net/ae1b9da1b8d7f5336d12f9bd78b659a4/35f68b92eee726bc006589ba1c51b72c.jpeg", "Ссылка на план")</f>
        <v>Ссылка на план</v>
      </c>
      <c r="S919" s="1">
        <v>43796.268900462965</v>
      </c>
      <c r="T919" s="1">
        <v>43797.409120370372</v>
      </c>
      <c r="U919" s="1">
        <v>43809.424780092595</v>
      </c>
      <c r="W919" s="1">
        <v>43809.424814814818</v>
      </c>
      <c r="AH919" t="s">
        <v>7142</v>
      </c>
      <c r="EC919" t="s">
        <v>7143</v>
      </c>
      <c r="ED919" t="str">
        <f>HYPERLINK("https://d33htgqikc2pj4.cloudfront.net/c48402df-7cd6-423c-b031-6d063d9e0d72.jpeg", "Александр Светашов: Ссылка на изображение")</f>
        <v>Александр Светашов: Ссылка на изображение</v>
      </c>
      <c r="EE919" t="str">
        <f>HYPERLINK("https://d33htgqikc2pj4.cloudfront.net/86802851-d8e1-4bd7-91c7-30c61ef5db26.jpeg", "Александр Светашов: Ссылка на изображение")</f>
        <v>Александр Светашов: Ссылка на изображение</v>
      </c>
      <c r="EF919" t="str">
        <f>HYPERLINK("https://d33htgqikc2pj4.cloudfront.net/b7f3430d-8aaa-4b5e-9624-7b580a66468d.jpeg", "Александр Светашов: Ссылка на изображение")</f>
        <v>Александр Светашов: Ссылка на изображение</v>
      </c>
      <c r="EG919" t="str">
        <f>HYPERLINK("https://d33htgqikc2pj4.cloudfront.net/98c9aa49-3677-4e73-92cd-1526d643a6bf.jpeg", "Александр Светашов: Ссылка на изображение")</f>
        <v>Александр Светашов: Ссылка на изображение</v>
      </c>
      <c r="EH919" t="str">
        <f>HYPERLINK("https://d33htgqikc2pj4.cloudfront.net/868568d8-32a5-4bd0-99e5-cf02b1e83861.jpeg", "Александр Светашов: Ссылка на изображение")</f>
        <v>Александр Светашов: Ссылка на изображение</v>
      </c>
      <c r="EI919" t="s">
        <v>699</v>
      </c>
      <c r="EJ919" t="s">
        <v>7134</v>
      </c>
      <c r="EK919" t="s">
        <v>3434</v>
      </c>
      <c r="EL919" t="s">
        <v>1703</v>
      </c>
      <c r="EM919" t="s">
        <v>836</v>
      </c>
    </row>
    <row r="920" spans="1:154" ht="15" customHeight="1" x14ac:dyDescent="0.35">
      <c r="A920">
        <v>452</v>
      </c>
      <c r="B920" t="s">
        <v>7144</v>
      </c>
      <c r="C920">
        <v>2</v>
      </c>
      <c r="D920" t="str">
        <f>VLOOKUP(source[[#This Row],[Приоритет]],тПриоритеты[],2,0)</f>
        <v>Значительное</v>
      </c>
      <c r="E920" t="str">
        <f>IF(ISBLANK(source[[#This Row],[Проверенные]]),IF(ISBLANK(source[[#This Row],[Завершенные]]),source[[#This Row],[Приоритет_]],"Завершено"),"Проверено")</f>
        <v>Проверено</v>
      </c>
      <c r="F920" t="s">
        <v>4423</v>
      </c>
      <c r="G920" t="s">
        <v>478</v>
      </c>
      <c r="H920" t="e">
        <f>VLOOKUP(source[[#This Row],[Отвественный]],тОтветственные[],2,0)</f>
        <v>#N/A</v>
      </c>
      <c r="I920" s="2">
        <v>43795</v>
      </c>
      <c r="J920" s="2">
        <v>43795</v>
      </c>
      <c r="K920" t="s">
        <v>2113</v>
      </c>
      <c r="L920">
        <v>38.130000000000003</v>
      </c>
      <c r="M920">
        <v>24.85</v>
      </c>
      <c r="Q920" t="s">
        <v>2114</v>
      </c>
      <c r="R920" t="str">
        <f>HYPERLINK("https://d28ji4sm1vmprj.cloudfront.net/3021cb41417a6407c6d00c02f6a24f54/260a2324e0f0083a3c1fc6e8517e8511.jpeg", "Ссылка на план")</f>
        <v>Ссылка на план</v>
      </c>
      <c r="S920" s="1">
        <v>43796.268923611111</v>
      </c>
      <c r="T920" s="1">
        <v>43797.408935185187</v>
      </c>
      <c r="U920" s="1">
        <v>43809.424780092595</v>
      </c>
      <c r="W920" s="1">
        <v>43809.424803240741</v>
      </c>
      <c r="AH920" t="s">
        <v>7145</v>
      </c>
      <c r="EC920" t="s">
        <v>7146</v>
      </c>
      <c r="ED920" t="str">
        <f>HYPERLINK("https://d33htgqikc2pj4.cloudfront.net/df363076-0927-409e-9852-89909341a807.jpeg", "Александр Светашов: Ссылка на изображение")</f>
        <v>Александр Светашов: Ссылка на изображение</v>
      </c>
      <c r="EE920" t="str">
        <f>HYPERLINK("https://d33htgqikc2pj4.cloudfront.net/5162f203-f302-4559-9ba7-e866b13d10ee.jpeg", "Александр Светашов: Ссылка на изображение")</f>
        <v>Александр Светашов: Ссылка на изображение</v>
      </c>
      <c r="EF920" t="str">
        <f>HYPERLINK("https://d33htgqikc2pj4.cloudfront.net/618e9a7a-a6ee-4a92-afab-6c09a45681ad.jpeg", "Александр Светашов: Ссылка на изображение")</f>
        <v>Александр Светашов: Ссылка на изображение</v>
      </c>
      <c r="EG920" t="str">
        <f>HYPERLINK("https://d33htgqikc2pj4.cloudfront.net/d619b2ff-b40c-447d-a445-3b9ae511c153.jpeg", "Александр Светашов: Ссылка на изображение")</f>
        <v>Александр Светашов: Ссылка на изображение</v>
      </c>
      <c r="EH920" t="str">
        <f>HYPERLINK("https://d33htgqikc2pj4.cloudfront.net/78b5cde9-e27b-41bd-ba6f-0bf7eb92bd71.jpeg", "Александр Светашов: Ссылка на изображение")</f>
        <v>Александр Светашов: Ссылка на изображение</v>
      </c>
      <c r="EI920" t="str">
        <f>HYPERLINK("https://d33htgqikc2pj4.cloudfront.net/81d2e142-6b91-446c-8b67-1b1edb0232f5.jpeg", "Александр Светашов: Ссылка на изображение")</f>
        <v>Александр Светашов: Ссылка на изображение</v>
      </c>
      <c r="EJ920" t="str">
        <f>HYPERLINK("https://d33htgqikc2pj4.cloudfront.net/b3958dfc-367f-4268-afdd-20d5fa2ced4a.jpeg", "Александр Светашов: Ссылка на изображение")</f>
        <v>Александр Светашов: Ссылка на изображение</v>
      </c>
      <c r="EK920" t="str">
        <f>HYPERLINK("https://d33htgqikc2pj4.cloudfront.net/bc230bcf-e51c-4fb6-83cc-015f54a10d6e.jpeg", "Александр Светашов: Ссылка на изображение")</f>
        <v>Александр Светашов: Ссылка на изображение</v>
      </c>
      <c r="EL920" t="str">
        <f>HYPERLINK("https://d33htgqikc2pj4.cloudfront.net/4df3c14f-8d1c-42d9-88a2-2966f7147732.jpeg", "Александр Светашов: Ссылка на изображение")</f>
        <v>Александр Светашов: Ссылка на изображение</v>
      </c>
      <c r="EM920" t="str">
        <f>HYPERLINK("https://d33htgqikc2pj4.cloudfront.net/c9d96411-c057-47d0-b035-f185a02ad2d7.jpeg", "Александр Светашов: Ссылка на изображение")</f>
        <v>Александр Светашов: Ссылка на изображение</v>
      </c>
      <c r="EN920" t="s">
        <v>699</v>
      </c>
      <c r="EO920" t="s">
        <v>7134</v>
      </c>
      <c r="EP920" t="s">
        <v>3434</v>
      </c>
      <c r="EQ920" t="s">
        <v>1703</v>
      </c>
      <c r="ER920" t="s">
        <v>836</v>
      </c>
    </row>
    <row r="921" spans="1:154" ht="15" customHeight="1" x14ac:dyDescent="0.35">
      <c r="A921">
        <v>462</v>
      </c>
      <c r="B921" t="s">
        <v>7147</v>
      </c>
      <c r="C921">
        <v>2</v>
      </c>
      <c r="D921" t="str">
        <f>VLOOKUP(source[[#This Row],[Приоритет]],тПриоритеты[],2,0)</f>
        <v>Значительное</v>
      </c>
      <c r="E921" t="str">
        <f>IF(ISBLANK(source[[#This Row],[Проверенные]]),IF(ISBLANK(source[[#This Row],[Завершенные]]),source[[#This Row],[Приоритет_]],"Завершено"),"Проверено")</f>
        <v>Проверено</v>
      </c>
      <c r="F921" t="s">
        <v>4423</v>
      </c>
      <c r="G921" t="s">
        <v>478</v>
      </c>
      <c r="H921" t="e">
        <f>VLOOKUP(source[[#This Row],[Отвественный]],тОтветственные[],2,0)</f>
        <v>#N/A</v>
      </c>
      <c r="I921" s="2">
        <v>43796</v>
      </c>
      <c r="J921" s="2">
        <v>43796</v>
      </c>
      <c r="K921" t="s">
        <v>1720</v>
      </c>
      <c r="L921">
        <v>42.49</v>
      </c>
      <c r="M921">
        <v>39.43</v>
      </c>
      <c r="Q921" t="s">
        <v>1721</v>
      </c>
      <c r="R921" t="str">
        <f>HYPERLINK("https://d28ji4sm1vmprj.cloudfront.net/c1c1b591ce77c82044efa6b5d6f7663a/cf818dc1bc24c008af413328cec2292d.jpeg", "Ссылка на план")</f>
        <v>Ссылка на план</v>
      </c>
      <c r="S921" s="1">
        <v>43797.407233796293</v>
      </c>
      <c r="T921" s="1">
        <v>43797.40865740741</v>
      </c>
      <c r="U921" s="1">
        <v>43809.424780092595</v>
      </c>
      <c r="W921" s="1">
        <v>43809.424814814818</v>
      </c>
      <c r="AH921" t="s">
        <v>7148</v>
      </c>
      <c r="EC921" t="s">
        <v>7149</v>
      </c>
      <c r="ED921" t="s">
        <v>699</v>
      </c>
      <c r="EE921" t="s">
        <v>1734</v>
      </c>
      <c r="EF921" t="str">
        <f>HYPERLINK("https://d33htgqikc2pj4.cloudfront.net/b21d83d1-6084-45f8-9f45-67670e80ed06.jpeg", "Александр Светашов: Ссылка на изображение")</f>
        <v>Александр Светашов: Ссылка на изображение</v>
      </c>
      <c r="EG921" t="str">
        <f>HYPERLINK("https://d33htgqikc2pj4.cloudfront.net/f611602a-f150-4b5f-8200-96109b1c4b15.jpeg", "Александр Светашов: Ссылка на изображение")</f>
        <v>Александр Светашов: Ссылка на изображение</v>
      </c>
      <c r="EH921" t="str">
        <f>HYPERLINK("https://d33htgqikc2pj4.cloudfront.net/da75646f-c79e-42db-b755-f1ea326f12bf.jpeg", "Александр Светашов: Ссылка на изображение")</f>
        <v>Александр Светашов: Ссылка на изображение</v>
      </c>
      <c r="EI921" t="str">
        <f>HYPERLINK("https://d33htgqikc2pj4.cloudfront.net/76d6e933-88e2-460a-a557-6448dacab9f0.jpeg", "Александр Светашов: Ссылка на изображение")</f>
        <v>Александр Светашов: Ссылка на изображение</v>
      </c>
      <c r="EJ921" t="str">
        <f>HYPERLINK("https://d33htgqikc2pj4.cloudfront.net/2b720397-1795-4265-a51b-4ff895a72dd0.jpeg", "Александр Светашов: Ссылка на изображение")</f>
        <v>Александр Светашов: Ссылка на изображение</v>
      </c>
      <c r="EK921" t="str">
        <f>HYPERLINK("https://d33htgqikc2pj4.cloudfront.net/80fcd311-ad0d-4982-aaf1-817aec08f9e9.jpeg", "Александр Светашов: Ссылка на изображение")</f>
        <v>Александр Светашов: Ссылка на изображение</v>
      </c>
      <c r="EL921" t="str">
        <f>HYPERLINK("https://d33htgqikc2pj4.cloudfront.net/7306c450-713a-47ad-a381-4917e67c02e2.jpeg", "Александр Светашов: Ссылка на изображение")</f>
        <v>Александр Светашов: Ссылка на изображение</v>
      </c>
      <c r="EM921" t="str">
        <f>HYPERLINK("https://d33htgqikc2pj4.cloudfront.net/1c44cd46-716c-40c3-bf73-d4c12782edbe.jpeg", "Александр Светашов: Ссылка на изображение")</f>
        <v>Александр Светашов: Ссылка на изображение</v>
      </c>
      <c r="EN921" t="str">
        <f>HYPERLINK("https://d33htgqikc2pj4.cloudfront.net/96ac1434-6bc6-47b6-902e-6b9e573b45eb.jpeg", "Александр Светашов: Ссылка на изображение")</f>
        <v>Александр Светашов: Ссылка на изображение</v>
      </c>
      <c r="EO921" t="s">
        <v>3434</v>
      </c>
      <c r="EP921" t="s">
        <v>1703</v>
      </c>
      <c r="EQ921" t="s">
        <v>836</v>
      </c>
    </row>
    <row r="922" spans="1:154" ht="15" customHeight="1" x14ac:dyDescent="0.35">
      <c r="A922">
        <v>1068</v>
      </c>
      <c r="B922" t="s">
        <v>7147</v>
      </c>
      <c r="C922">
        <v>2</v>
      </c>
      <c r="D922" t="str">
        <f>VLOOKUP(source[[#This Row],[Приоритет]],тПриоритеты[],2,0)</f>
        <v>Значительное</v>
      </c>
      <c r="E922" t="str">
        <f>IF(ISBLANK(source[[#This Row],[Проверенные]]),IF(ISBLANK(source[[#This Row],[Завершенные]]),source[[#This Row],[Приоритет_]],"Завершено"),"Проверено")</f>
        <v>Проверено</v>
      </c>
      <c r="F922" t="s">
        <v>4423</v>
      </c>
      <c r="G922" t="s">
        <v>478</v>
      </c>
      <c r="H922" t="e">
        <f>VLOOKUP(source[[#This Row],[Отвественный]],тОтветственные[],2,0)</f>
        <v>#N/A</v>
      </c>
      <c r="I922" s="2">
        <v>43857</v>
      </c>
      <c r="J922" s="2">
        <v>43857</v>
      </c>
      <c r="K922" t="s">
        <v>1720</v>
      </c>
      <c r="L922">
        <v>16.45</v>
      </c>
      <c r="M922">
        <v>48.18</v>
      </c>
      <c r="Q922" t="s">
        <v>1721</v>
      </c>
      <c r="R922" t="str">
        <f>HYPERLINK("https://d28ji4sm1vmprj.cloudfront.net/c1c1b591ce77c82044efa6b5d6f7663a/cf818dc1bc24c008af413328cec2292d.jpeg", "Ссылка на план")</f>
        <v>Ссылка на план</v>
      </c>
      <c r="S922" s="1">
        <v>43858.413611111115</v>
      </c>
      <c r="T922" s="1">
        <v>43857.424120370371</v>
      </c>
      <c r="U922" s="1">
        <v>43857.424120370371</v>
      </c>
      <c r="W922" s="1">
        <v>43858.413622685184</v>
      </c>
      <c r="EC922" t="s">
        <v>7149</v>
      </c>
      <c r="ED922" t="str">
        <f>HYPERLINK("https://d33htgqikc2pj4.cloudfront.net/dbb61500-4cf9-40c0-a002-58567d5c80e6.jpeg", "Александр Светашов: Ссылка на изображение")</f>
        <v>Александр Светашов: Ссылка на изображение</v>
      </c>
      <c r="EE922" t="str">
        <f>HYPERLINK("https://d33htgqikc2pj4.cloudfront.net/927e19fc-5a2a-4836-8199-9d91cd151f45.jpeg", "Александр Светашов: Ссылка на изображение")</f>
        <v>Александр Светашов: Ссылка на изображение</v>
      </c>
      <c r="EF922" t="str">
        <f>HYPERLINK("https://d33htgqikc2pj4.cloudfront.net/3a805498-5040-4c6a-9d20-7fad45a67b06.jpeg", "Александр Светашов: Ссылка на изображение")</f>
        <v>Александр Светашов: Ссылка на изображение</v>
      </c>
      <c r="EG922" t="str">
        <f>HYPERLINK("https://d33htgqikc2pj4.cloudfront.net/32360798-a4df-4639-99e1-8afbf183d56b.jpeg", "Александр Светашов: Ссылка на изображение")</f>
        <v>Александр Светашов: Ссылка на изображение</v>
      </c>
      <c r="EH922" t="str">
        <f>HYPERLINK("https://d33htgqikc2pj4.cloudfront.net/26275c44-1f77-49a6-a077-6a423d38b7eb.jpeg", "Александр Светашов: Ссылка на изображение")</f>
        <v>Александр Светашов: Ссылка на изображение</v>
      </c>
      <c r="EI922" t="str">
        <f>HYPERLINK("https://d33htgqikc2pj4.cloudfront.net/893fde82-5b2a-4c12-bbb0-b22712cac825.jpeg", "Александр Светашов: Ссылка на изображение")</f>
        <v>Александр Светашов: Ссылка на изображение</v>
      </c>
      <c r="EJ922" t="str">
        <f>HYPERLINK("https://d33htgqikc2pj4.cloudfront.net/7337ee3b-a9f8-4a7c-8c57-38c3ac4c34b0.jpeg", "Александр Светашов: Ссылка на изображение")</f>
        <v>Александр Светашов: Ссылка на изображение</v>
      </c>
      <c r="EK922" t="str">
        <f>HYPERLINK("https://d33htgqikc2pj4.cloudfront.net/5f98c0a5-529f-4381-9062-84a8da71b53a.jpeg", "Александр Светашов: Ссылка на изображение")</f>
        <v>Александр Светашов: Ссылка на изображение</v>
      </c>
      <c r="EL922" t="str">
        <f>HYPERLINK("https://d33htgqikc2pj4.cloudfront.net/2708edc0-564e-4d9f-a65a-5ef92913be95.jpeg", "Александр Светашов: Ссылка на изображение")</f>
        <v>Александр Светашов: Ссылка на изображение</v>
      </c>
      <c r="EM922" t="str">
        <f>HYPERLINK("https://d33htgqikc2pj4.cloudfront.net/9c31ba08-2bff-47af-b07f-85590fc18bc8.jpeg", "Александр Светашов: Ссылка на изображение")</f>
        <v>Александр Светашов: Ссылка на изображение</v>
      </c>
      <c r="EN922" t="str">
        <f>HYPERLINK("https://d33htgqikc2pj4.cloudfront.net/66316e85-5eda-46a9-ac79-2e846090f348.jpeg", "Александр Светашов: Ссылка на изображение")</f>
        <v>Александр Светашов: Ссылка на изображение</v>
      </c>
      <c r="EO922" t="str">
        <f>HYPERLINK("https://d33htgqikc2pj4.cloudfront.net/9a553f9f-39bc-4dc5-ac6b-7718fa034fd7.jpeg", "Александр Светашов: Ссылка на изображение")</f>
        <v>Александр Светашов: Ссылка на изображение</v>
      </c>
      <c r="EP922" t="str">
        <f>HYPERLINK("https://d33htgqikc2pj4.cloudfront.net/7cb9626d-28fe-4dd8-9dac-9fd1cc40e834.jpeg", "Александр Светашов: Ссылка на изображение")</f>
        <v>Александр Светашов: Ссылка на изображение</v>
      </c>
      <c r="EQ922" t="str">
        <f>HYPERLINK("https://d33htgqikc2pj4.cloudfront.net/90d133f5-7f67-4f91-88c2-88e946a3cd10.jpeg", "Александр Светашов: Ссылка на изображение")</f>
        <v>Александр Светашов: Ссылка на изображение</v>
      </c>
      <c r="ER922" t="str">
        <f>HYPERLINK("https://d33htgqikc2pj4.cloudfront.net/71f09f68-a3ec-47db-a2aa-fef0eee07a02.jpeg", "Александр Светашов: Ссылка на изображение")</f>
        <v>Александр Светашов: Ссылка на изображение</v>
      </c>
      <c r="ES922" t="str">
        <f>HYPERLINK("https://d33htgqikc2pj4.cloudfront.net/9e54e24a-edff-4e63-9987-4ff2b9de6490.jpeg", "Александр Светашов: Ссылка на изображение")</f>
        <v>Александр Светашов: Ссылка на изображение</v>
      </c>
      <c r="ET922" t="str">
        <f>HYPERLINK("https://d33htgqikc2pj4.cloudfront.net/3893c67e-a0d8-477e-a2f7-33b00a911922.jpeg", "Александр Светашов: Ссылка на изображение")</f>
        <v>Александр Светашов: Ссылка на изображение</v>
      </c>
      <c r="EU922" t="s">
        <v>699</v>
      </c>
      <c r="EV922" t="s">
        <v>3434</v>
      </c>
      <c r="EW922" t="s">
        <v>7150</v>
      </c>
      <c r="EX922" t="s">
        <v>794</v>
      </c>
    </row>
    <row r="923" spans="1:154" ht="15" customHeight="1" x14ac:dyDescent="0.35">
      <c r="A923">
        <v>515</v>
      </c>
      <c r="B923" t="s">
        <v>7147</v>
      </c>
      <c r="C923">
        <v>2</v>
      </c>
      <c r="D923" t="str">
        <f>VLOOKUP(source[[#This Row],[Приоритет]],тПриоритеты[],2,0)</f>
        <v>Значительное</v>
      </c>
      <c r="E923" t="str">
        <f>IF(ISBLANK(source[[#This Row],[Проверенные]]),IF(ISBLANK(source[[#This Row],[Завершенные]]),source[[#This Row],[Приоритет_]],"Завершено"),"Проверено")</f>
        <v>Проверено</v>
      </c>
      <c r="F923" t="s">
        <v>4423</v>
      </c>
      <c r="G923" t="s">
        <v>478</v>
      </c>
      <c r="H923" t="e">
        <f>VLOOKUP(source[[#This Row],[Отвественный]],тОтветственные[],2,0)</f>
        <v>#N/A</v>
      </c>
      <c r="I923" s="2">
        <v>43802</v>
      </c>
      <c r="J923" s="2">
        <v>43802</v>
      </c>
      <c r="K923" t="s">
        <v>1720</v>
      </c>
      <c r="L923">
        <v>31.02</v>
      </c>
      <c r="M923">
        <v>57.65</v>
      </c>
      <c r="Q923" t="s">
        <v>1721</v>
      </c>
      <c r="R923" t="str">
        <f>HYPERLINK("https://d28ji4sm1vmprj.cloudfront.net/c1c1b591ce77c82044efa6b5d6f7663a/cf818dc1bc24c008af413328cec2292d.jpeg", "Ссылка на план")</f>
        <v>Ссылка на план</v>
      </c>
      <c r="S923" s="1">
        <v>43802.687048611115</v>
      </c>
      <c r="T923" s="1">
        <v>43803.543217592596</v>
      </c>
      <c r="U923" s="1">
        <v>43809.424780092595</v>
      </c>
      <c r="W923" s="1">
        <v>43809.424814814818</v>
      </c>
      <c r="AH923" t="s">
        <v>7151</v>
      </c>
      <c r="EC923" t="s">
        <v>7149</v>
      </c>
      <c r="ED923" t="str">
        <f>HYPERLINK("https://d33htgqikc2pj4.cloudfront.net/a19057f5-b53b-4be5-bea0-54fdba66e5a4.jpeg", "Александр Светашов: Ссылка на изображение")</f>
        <v>Александр Светашов: Ссылка на изображение</v>
      </c>
      <c r="EE923" t="str">
        <f>HYPERLINK("https://d33htgqikc2pj4.cloudfront.net/2a75837c-0663-4f17-bd05-2fb36556bc63.jpeg", "Александр Светашов: Ссылка на изображение")</f>
        <v>Александр Светашов: Ссылка на изображение</v>
      </c>
      <c r="EF923" t="str">
        <f>HYPERLINK("https://d33htgqikc2pj4.cloudfront.net/de4daf18-0f7c-4445-8ea6-0249b1905ffb.jpeg", "Александр Светашов: Ссылка на изображение")</f>
        <v>Александр Светашов: Ссылка на изображение</v>
      </c>
      <c r="EG923" t="str">
        <f>HYPERLINK("https://d33htgqikc2pj4.cloudfront.net/d0c7e5ff-36de-42fb-9faa-ded4f7bbf3b9.jpeg", "Александр Светашов: Ссылка на изображение")</f>
        <v>Александр Светашов: Ссылка на изображение</v>
      </c>
      <c r="EH923" t="str">
        <f>HYPERLINK("https://d33htgqikc2pj4.cloudfront.net/539c012d-4f0a-4f26-8211-6d0d5c49e671.jpeg", "Александр Светашов: Ссылка на изображение")</f>
        <v>Александр Светашов: Ссылка на изображение</v>
      </c>
      <c r="EI923" t="str">
        <f>HYPERLINK("https://d33htgqikc2pj4.cloudfront.net/5a1a05d3-0a2b-487f-bef0-b3a446883fde.jpeg", "Александр Светашов: Ссылка на изображение")</f>
        <v>Александр Светашов: Ссылка на изображение</v>
      </c>
      <c r="EJ923" t="str">
        <f>HYPERLINK("https://d33htgqikc2pj4.cloudfront.net/6407ebe4-15a9-4ce3-a33d-ca75425f6389.jpeg", "Александр Светашов: Ссылка на изображение")</f>
        <v>Александр Светашов: Ссылка на изображение</v>
      </c>
      <c r="EK923" t="str">
        <f>HYPERLINK("https://d33htgqikc2pj4.cloudfront.net/d783c7a5-1dce-44a8-b701-6c6fe0f51719.jpeg", "Александр Светашов: Ссылка на изображение")</f>
        <v>Александр Светашов: Ссылка на изображение</v>
      </c>
      <c r="EL923" t="str">
        <f>HYPERLINK("https://d33htgqikc2pj4.cloudfront.net/cd1e26d5-0107-4c52-be9a-7591933b6734.jpeg", "Александр Светашов: Ссылка на изображение")</f>
        <v>Александр Светашов: Ссылка на изображение</v>
      </c>
      <c r="EM923" t="str">
        <f>HYPERLINK("https://d33htgqikc2pj4.cloudfront.net/a2eb2b75-f803-448a-b44e-49f31e4890cf.jpeg", "Александр Светашов: Ссылка на изображение")</f>
        <v>Александр Светашов: Ссылка на изображение</v>
      </c>
      <c r="EN923" t="str">
        <f>HYPERLINK("https://d33htgqikc2pj4.cloudfront.net/a19e6ce2-7e53-4943-b26f-db82473abba8.jpeg", "Александр Светашов: Ссылка на изображение")</f>
        <v>Александр Светашов: Ссылка на изображение</v>
      </c>
      <c r="EO923" t="s">
        <v>699</v>
      </c>
      <c r="EP923" t="s">
        <v>3434</v>
      </c>
      <c r="EQ923" t="s">
        <v>1700</v>
      </c>
      <c r="ER923" t="s">
        <v>1703</v>
      </c>
      <c r="ES923" t="s">
        <v>836</v>
      </c>
    </row>
    <row r="924" spans="1:154" ht="15" customHeight="1" x14ac:dyDescent="0.35">
      <c r="A924">
        <v>1081</v>
      </c>
      <c r="B924" t="s">
        <v>7152</v>
      </c>
      <c r="C924">
        <v>2</v>
      </c>
      <c r="D924" t="str">
        <f>VLOOKUP(source[[#This Row],[Приоритет]],тПриоритеты[],2,0)</f>
        <v>Значительное</v>
      </c>
      <c r="E924" t="str">
        <f>IF(ISBLANK(source[[#This Row],[Проверенные]]),IF(ISBLANK(source[[#This Row],[Завершенные]]),source[[#This Row],[Приоритет_]],"Завершено"),"Проверено")</f>
        <v>Проверено</v>
      </c>
      <c r="F924" t="s">
        <v>4423</v>
      </c>
      <c r="G924" t="s">
        <v>478</v>
      </c>
      <c r="H924" t="e">
        <f>VLOOKUP(source[[#This Row],[Отвественный]],тОтветственные[],2,0)</f>
        <v>#N/A</v>
      </c>
      <c r="I924" s="2">
        <v>43859</v>
      </c>
      <c r="J924" s="2">
        <v>43859</v>
      </c>
      <c r="K924" t="s">
        <v>2113</v>
      </c>
      <c r="L924">
        <v>12.23</v>
      </c>
      <c r="M924">
        <v>37.76</v>
      </c>
      <c r="Q924" t="s">
        <v>2114</v>
      </c>
      <c r="R924" t="str">
        <f>HYPERLINK("https://d28ji4sm1vmprj.cloudfront.net/3021cb41417a6407c6d00c02f6a24f54/260a2324e0f0083a3c1fc6e8517e8511.jpeg", "Ссылка на план")</f>
        <v>Ссылка на план</v>
      </c>
      <c r="S924" s="1">
        <v>43859.434421296297</v>
      </c>
      <c r="T924" s="1">
        <v>43859.435624999998</v>
      </c>
      <c r="U924" s="1">
        <v>43859.435624999998</v>
      </c>
      <c r="W924" s="1">
        <v>43859.435636574075</v>
      </c>
      <c r="EC924" t="s">
        <v>7153</v>
      </c>
      <c r="ED924" t="str">
        <f>HYPERLINK("https://d33htgqikc2pj4.cloudfront.net/e15ade66-5bdf-4277-a2fa-17ee47c40ad6.jpeg", "Александр Светашов: Ссылка на изображение")</f>
        <v>Александр Светашов: Ссылка на изображение</v>
      </c>
      <c r="EE924" t="str">
        <f>HYPERLINK("https://d33htgqikc2pj4.cloudfront.net/4ae94457-b83e-466d-9670-40301374d31c.jpeg", "Александр Светашов: Ссылка на изображение")</f>
        <v>Александр Светашов: Ссылка на изображение</v>
      </c>
      <c r="EF924" t="str">
        <f>HYPERLINK("https://d33htgqikc2pj4.cloudfront.net/8bd49c51-c454-4369-af13-2138add445b3.jpeg", "Александр Светашов: Ссылка на изображение")</f>
        <v>Александр Светашов: Ссылка на изображение</v>
      </c>
      <c r="EG924" t="s">
        <v>699</v>
      </c>
      <c r="EH924" t="s">
        <v>1916</v>
      </c>
      <c r="EI924" t="s">
        <v>3434</v>
      </c>
      <c r="EJ924" t="s">
        <v>794</v>
      </c>
    </row>
    <row r="925" spans="1:154" ht="15" customHeight="1" x14ac:dyDescent="0.35">
      <c r="A925">
        <v>510</v>
      </c>
      <c r="B925" t="s">
        <v>7154</v>
      </c>
      <c r="C925">
        <v>2</v>
      </c>
      <c r="D925" t="str">
        <f>VLOOKUP(source[[#This Row],[Приоритет]],тПриоритеты[],2,0)</f>
        <v>Значительное</v>
      </c>
      <c r="E925" t="str">
        <f>IF(ISBLANK(source[[#This Row],[Проверенные]]),IF(ISBLANK(source[[#This Row],[Завершенные]]),source[[#This Row],[Приоритет_]],"Завершено"),"Проверено")</f>
        <v>Проверено</v>
      </c>
      <c r="F925" t="s">
        <v>4423</v>
      </c>
      <c r="G925" t="s">
        <v>478</v>
      </c>
      <c r="H925" t="e">
        <f>VLOOKUP(source[[#This Row],[Отвественный]],тОтветственные[],2,0)</f>
        <v>#N/A</v>
      </c>
      <c r="I925" s="2">
        <v>43802</v>
      </c>
      <c r="J925" s="2">
        <v>43802</v>
      </c>
      <c r="K925" t="s">
        <v>1670</v>
      </c>
      <c r="L925">
        <v>32.049999999999997</v>
      </c>
      <c r="M925">
        <v>29.88</v>
      </c>
      <c r="Q925" t="s">
        <v>789</v>
      </c>
      <c r="R925" t="str">
        <f>HYPERLINK("https://d28ji4sm1vmprj.cloudfront.net/ad15462a64f9a2745b54f51ce9154d41/1ae5aabc4102d9651fda668fc59d327e.jpeg", "Ссылка на план")</f>
        <v>Ссылка на план</v>
      </c>
      <c r="S925" s="1">
        <v>43802.4299537037</v>
      </c>
      <c r="T925" s="1">
        <v>43803.543298611112</v>
      </c>
      <c r="U925" s="1">
        <v>43809.424780092595</v>
      </c>
      <c r="W925" s="1">
        <v>43809.424803240741</v>
      </c>
      <c r="AH925" t="s">
        <v>7155</v>
      </c>
      <c r="EC925" t="s">
        <v>7156</v>
      </c>
      <c r="ED925" t="str">
        <f>HYPERLINK("https://d33htgqikc2pj4.cloudfront.net/3859386e-52a7-4548-9586-d59e0bdbfbd4.jpeg", "Александр Светашов: Ссылка на изображение")</f>
        <v>Александр Светашов: Ссылка на изображение</v>
      </c>
      <c r="EE925" t="str">
        <f>HYPERLINK("https://d33htgqikc2pj4.cloudfront.net/b9948a1a-9541-4c57-9d76-0449e040fa21.jpeg", "Александр Светашов: Ссылка на изображение")</f>
        <v>Александр Светашов: Ссылка на изображение</v>
      </c>
      <c r="EF925" t="str">
        <f>HYPERLINK("https://d33htgqikc2pj4.cloudfront.net/011eb6dc-857c-4065-a327-ec915a6fd542.jpeg", "Александр Светашов: Ссылка на изображение")</f>
        <v>Александр Светашов: Ссылка на изображение</v>
      </c>
      <c r="EG925" t="str">
        <f>HYPERLINK("https://d33htgqikc2pj4.cloudfront.net/0cda9d0d-756e-4df5-83af-a3dbaba2b352.jpeg", "Александр Светашов: Ссылка на изображение")</f>
        <v>Александр Светашов: Ссылка на изображение</v>
      </c>
      <c r="EH925" t="str">
        <f>HYPERLINK("https://d33htgqikc2pj4.cloudfront.net/831eea2d-b648-4884-bca0-2c65a84345f8.jpeg", "Александр Светашов: Ссылка на изображение")</f>
        <v>Александр Светашов: Ссылка на изображение</v>
      </c>
      <c r="EI925" t="str">
        <f>HYPERLINK("https://d33htgqikc2pj4.cloudfront.net/f3ebf322-a386-4a32-ae54-43c7a7aff604.jpeg", "Александр Светашов: Ссылка на изображение")</f>
        <v>Александр Светашов: Ссылка на изображение</v>
      </c>
      <c r="EJ925" t="str">
        <f>HYPERLINK("https://d33htgqikc2pj4.cloudfront.net/e3c6a5dd-43bb-4b7d-ba35-78fdb5c53e60.jpeg", "Александр Светашов: Ссылка на изображение")</f>
        <v>Александр Светашов: Ссылка на изображение</v>
      </c>
      <c r="EK925" t="str">
        <f>HYPERLINK("https://d33htgqikc2pj4.cloudfront.net/318bed7e-b707-4ca9-9199-570ada9d9fa4.jpeg", "Александр Светашов: Ссылка на изображение")</f>
        <v>Александр Светашов: Ссылка на изображение</v>
      </c>
      <c r="EL925" t="s">
        <v>699</v>
      </c>
      <c r="EM925" t="s">
        <v>1700</v>
      </c>
      <c r="EN925" t="s">
        <v>3434</v>
      </c>
      <c r="EO925" t="s">
        <v>1703</v>
      </c>
      <c r="EP925" t="s">
        <v>836</v>
      </c>
    </row>
    <row r="926" spans="1:154" ht="15" customHeight="1" x14ac:dyDescent="0.35">
      <c r="A926">
        <v>1113</v>
      </c>
      <c r="B926" t="s">
        <v>3436</v>
      </c>
      <c r="C926">
        <v>2</v>
      </c>
      <c r="D926" t="str">
        <f>VLOOKUP(source[[#This Row],[Приоритет]],тПриоритеты[],2,0)</f>
        <v>Значительное</v>
      </c>
      <c r="E926" t="str">
        <f>IF(ISBLANK(source[[#This Row],[Проверенные]]),IF(ISBLANK(source[[#This Row],[Завершенные]]),source[[#This Row],[Приоритет_]],"Завершено"),"Проверено")</f>
        <v>Проверено</v>
      </c>
      <c r="F926" t="s">
        <v>4423</v>
      </c>
      <c r="G926" t="s">
        <v>478</v>
      </c>
      <c r="H926" t="e">
        <f>VLOOKUP(source[[#This Row],[Отвественный]],тОтветственные[],2,0)</f>
        <v>#N/A</v>
      </c>
      <c r="I926" s="2">
        <v>43854</v>
      </c>
      <c r="J926" s="2">
        <v>43854</v>
      </c>
      <c r="S926" s="1">
        <v>43860.405405092592</v>
      </c>
      <c r="T926" s="1">
        <v>43866.47452546296</v>
      </c>
      <c r="U926" s="1">
        <v>43866.47452546296</v>
      </c>
      <c r="W926" s="1">
        <v>43866.47515046296</v>
      </c>
      <c r="EC926" t="s">
        <v>3437</v>
      </c>
      <c r="ED926" t="str">
        <f>HYPERLINK("https://d33htgqikc2pj4.cloudfront.net/qvHDimMUqxZcQnsj/bcfd3ae1-d4e6-4463-894d-87eaa24ed412.jpeg", "Вячеслав Сорокин: Ссылка на изображение")</f>
        <v>Вячеслав Сорокин: Ссылка на изображение</v>
      </c>
      <c r="EE926" t="str">
        <f>HYPERLINK("https://d33htgqikc2pj4.cloudfront.net/qvHDimMUqxZcQnsj/7f9fa279-c512-458f-a90c-37c0c40efb2e.jpeg", "Вячеслав Сорокин: Ссылка на изображение")</f>
        <v>Вячеслав Сорокин: Ссылка на изображение</v>
      </c>
      <c r="EF926" t="str">
        <f>HYPERLINK("https://d33htgqikc2pj4.cloudfront.net/qvHDimMUqxZcQnsj/0d105ade-efe5-470a-87b6-1c050558e16a.jpeg", "Вячеслав Сорокин: Ссылка на изображение")</f>
        <v>Вячеслав Сорокин: Ссылка на изображение</v>
      </c>
      <c r="EG926" t="s">
        <v>7112</v>
      </c>
      <c r="EH926" t="s">
        <v>265</v>
      </c>
      <c r="EI926" t="s">
        <v>7114</v>
      </c>
      <c r="EJ926" t="s">
        <v>3441</v>
      </c>
    </row>
    <row r="927" spans="1:154" ht="15" customHeight="1" x14ac:dyDescent="0.35">
      <c r="A927">
        <v>384</v>
      </c>
      <c r="B927" t="s">
        <v>7147</v>
      </c>
      <c r="C927">
        <v>2</v>
      </c>
      <c r="D927" t="str">
        <f>VLOOKUP(source[[#This Row],[Приоритет]],тПриоритеты[],2,0)</f>
        <v>Значительное</v>
      </c>
      <c r="E927" t="str">
        <f>IF(ISBLANK(source[[#This Row],[Проверенные]]),IF(ISBLANK(source[[#This Row],[Завершенные]]),source[[#This Row],[Приоритет_]],"Завершено"),"Проверено")</f>
        <v>Проверено</v>
      </c>
      <c r="F927" t="s">
        <v>4423</v>
      </c>
      <c r="G927" t="s">
        <v>478</v>
      </c>
      <c r="H927" t="e">
        <f>VLOOKUP(source[[#This Row],[Отвественный]],тОтветственные[],2,0)</f>
        <v>#N/A</v>
      </c>
      <c r="I927" s="2">
        <v>43790</v>
      </c>
      <c r="J927" s="2">
        <v>43790</v>
      </c>
      <c r="K927" t="s">
        <v>1720</v>
      </c>
      <c r="L927">
        <v>30.78</v>
      </c>
      <c r="M927">
        <v>54.45</v>
      </c>
      <c r="Q927" t="s">
        <v>1721</v>
      </c>
      <c r="R927" t="str">
        <f>HYPERLINK("https://d28ji4sm1vmprj.cloudfront.net/c1c1b591ce77c82044efa6b5d6f7663a/cf818dc1bc24c008af413328cec2292d.jpeg", "Ссылка на план")</f>
        <v>Ссылка на план</v>
      </c>
      <c r="S927" s="1">
        <v>43790.614236111112</v>
      </c>
      <c r="T927" s="1">
        <v>43790.733043981483</v>
      </c>
      <c r="U927" s="1">
        <v>43809.424780092595</v>
      </c>
      <c r="W927" s="1">
        <v>43809.424803240741</v>
      </c>
      <c r="AH927" t="s">
        <v>7157</v>
      </c>
      <c r="EC927" t="s">
        <v>7149</v>
      </c>
      <c r="ED927" t="str">
        <f>HYPERLINK("https://d33htgqikc2pj4.cloudfront.net/6b627aa7-e6ce-4549-b272-37b77ce7cc0b.jpeg", "Александр Светашов: Ссылка на изображение")</f>
        <v>Александр Светашов: Ссылка на изображение</v>
      </c>
      <c r="EE927" t="str">
        <f>HYPERLINK("https://d33htgqikc2pj4.cloudfront.net/75493e5e-d859-46cb-b031-6ce4c0137a31.jpeg", "Александр Светашов: Ссылка на изображение")</f>
        <v>Александр Светашов: Ссылка на изображение</v>
      </c>
      <c r="EF927" t="str">
        <f>HYPERLINK("https://d33htgqikc2pj4.cloudfront.net/550b45a3-631e-4980-955c-3cfdc16750ee.jpeg", "Александр Светашов: Ссылка на изображение")</f>
        <v>Александр Светашов: Ссылка на изображение</v>
      </c>
      <c r="EG927" t="str">
        <f>HYPERLINK("https://d33htgqikc2pj4.cloudfront.net/e54dacda-017d-4013-a0e1-3f4ce0851d9d.jpeg", "Александр Светашов: Ссылка на изображение")</f>
        <v>Александр Светашов: Ссылка на изображение</v>
      </c>
      <c r="EH927" t="str">
        <f>HYPERLINK("https://d33htgqikc2pj4.cloudfront.net/7c9f2f89-976d-4683-b3ab-dac5535877cd.jpeg", "Александр Светашов: Ссылка на изображение")</f>
        <v>Александр Светашов: Ссылка на изображение</v>
      </c>
      <c r="EI927" t="s">
        <v>699</v>
      </c>
      <c r="EJ927" t="s">
        <v>6685</v>
      </c>
      <c r="EK927" t="s">
        <v>3434</v>
      </c>
      <c r="EL927" t="s">
        <v>1703</v>
      </c>
      <c r="EM927" t="s">
        <v>836</v>
      </c>
    </row>
    <row r="928" spans="1:154" ht="15" customHeight="1" x14ac:dyDescent="0.35">
      <c r="A928">
        <v>372</v>
      </c>
      <c r="B928" t="s">
        <v>2315</v>
      </c>
      <c r="C928">
        <v>2</v>
      </c>
      <c r="D928" t="str">
        <f>VLOOKUP(source[[#This Row],[Приоритет]],тПриоритеты[],2,0)</f>
        <v>Значительное</v>
      </c>
      <c r="E928" t="str">
        <f>IF(ISBLANK(source[[#This Row],[Проверенные]]),IF(ISBLANK(source[[#This Row],[Завершенные]]),source[[#This Row],[Приоритет_]],"Завершено"),"Проверено")</f>
        <v>Проверено</v>
      </c>
      <c r="F928" t="s">
        <v>4423</v>
      </c>
      <c r="G928" t="s">
        <v>478</v>
      </c>
      <c r="H928" t="e">
        <f>VLOOKUP(source[[#This Row],[Отвественный]],тОтветственные[],2,0)</f>
        <v>#N/A</v>
      </c>
      <c r="I928" s="2">
        <v>43789</v>
      </c>
      <c r="J928" s="2">
        <v>43789</v>
      </c>
      <c r="K928" t="s">
        <v>1720</v>
      </c>
      <c r="L928">
        <v>41.74</v>
      </c>
      <c r="M928">
        <v>67.13</v>
      </c>
      <c r="Q928" t="s">
        <v>1721</v>
      </c>
      <c r="R928" t="str">
        <f>HYPERLINK("https://d28ji4sm1vmprj.cloudfront.net/c1c1b591ce77c82044efa6b5d6f7663a/cf818dc1bc24c008af413328cec2292d.jpeg", "Ссылка на план")</f>
        <v>Ссылка на план</v>
      </c>
      <c r="S928" s="1">
        <v>43789.713645833333</v>
      </c>
      <c r="T928" s="1">
        <v>43790.732824074075</v>
      </c>
      <c r="U928" s="1">
        <v>43809.424780092595</v>
      </c>
      <c r="W928" s="1">
        <v>43809.424791666665</v>
      </c>
      <c r="AH928" t="s">
        <v>7158</v>
      </c>
      <c r="EC928" t="s">
        <v>2317</v>
      </c>
      <c r="ED928" t="str">
        <f>HYPERLINK("https://d33htgqikc2pj4.cloudfront.net/7f5a7db5-5fc7-41cb-8c25-5b2681e8ebeb.jpeg", "Александр Светашов: Ссылка на изображение")</f>
        <v>Александр Светашов: Ссылка на изображение</v>
      </c>
      <c r="EE928" t="str">
        <f>HYPERLINK("https://d33htgqikc2pj4.cloudfront.net/376d9aed-a0ea-44fe-8ecc-c7692891eb1f.jpeg", "Александр Светашов: Ссылка на изображение")</f>
        <v>Александр Светашов: Ссылка на изображение</v>
      </c>
      <c r="EF928" t="str">
        <f>HYPERLINK("https://d33htgqikc2pj4.cloudfront.net/bc8a9471-c69e-46ed-97f1-76446e1a9a33.jpeg", "Александр Светашов: Ссылка на изображение")</f>
        <v>Александр Светашов: Ссылка на изображение</v>
      </c>
      <c r="EG928" t="str">
        <f>HYPERLINK("https://d33htgqikc2pj4.cloudfront.net/74545321-ddfc-4a79-a06e-d406d9bbb178.jpeg", "Александр Светашов: Ссылка на изображение")</f>
        <v>Александр Светашов: Ссылка на изображение</v>
      </c>
      <c r="EH928" t="str">
        <f>HYPERLINK("https://d33htgqikc2pj4.cloudfront.net/1bf46103-99e3-4bb7-a18e-7fab45fcb8ff.jpeg", "Александр Светашов: Ссылка на изображение")</f>
        <v>Александр Светашов: Ссылка на изображение</v>
      </c>
      <c r="EI928" t="s">
        <v>3434</v>
      </c>
      <c r="EJ928" t="s">
        <v>7159</v>
      </c>
      <c r="EK928" t="s">
        <v>699</v>
      </c>
      <c r="EL928" t="s">
        <v>3435</v>
      </c>
      <c r="EM928" t="s">
        <v>1703</v>
      </c>
      <c r="EN928" t="s">
        <v>836</v>
      </c>
    </row>
    <row r="929" spans="1:158" ht="15" customHeight="1" x14ac:dyDescent="0.35">
      <c r="A929">
        <v>513</v>
      </c>
      <c r="B929" t="s">
        <v>7160</v>
      </c>
      <c r="C929">
        <v>2</v>
      </c>
      <c r="D929" t="str">
        <f>VLOOKUP(source[[#This Row],[Приоритет]],тПриоритеты[],2,0)</f>
        <v>Значительное</v>
      </c>
      <c r="E929" t="str">
        <f>IF(ISBLANK(source[[#This Row],[Проверенные]]),IF(ISBLANK(source[[#This Row],[Завершенные]]),source[[#This Row],[Приоритет_]],"Завершено"),"Проверено")</f>
        <v>Проверено</v>
      </c>
      <c r="F929" t="s">
        <v>4423</v>
      </c>
      <c r="G929" t="s">
        <v>478</v>
      </c>
      <c r="H929" t="e">
        <f>VLOOKUP(source[[#This Row],[Отвественный]],тОтветственные[],2,0)</f>
        <v>#N/A</v>
      </c>
      <c r="I929" s="2">
        <v>43802</v>
      </c>
      <c r="J929" s="2">
        <v>43802</v>
      </c>
      <c r="K929" t="s">
        <v>1670</v>
      </c>
      <c r="L929">
        <v>28.82</v>
      </c>
      <c r="M929">
        <v>47.01</v>
      </c>
      <c r="Q929" t="s">
        <v>789</v>
      </c>
      <c r="R929" t="str">
        <f>HYPERLINK("https://d28ji4sm1vmprj.cloudfront.net/ad15462a64f9a2745b54f51ce9154d41/1ae5aabc4102d9651fda668fc59d327e.jpeg", "Ссылка на план")</f>
        <v>Ссылка на план</v>
      </c>
      <c r="S929" s="1">
        <v>43802.440833333334</v>
      </c>
      <c r="T929" s="1">
        <v>43803.543275462966</v>
      </c>
      <c r="U929" s="1">
        <v>43809.424780092595</v>
      </c>
      <c r="W929" s="1">
        <v>43809.424814814818</v>
      </c>
      <c r="AH929" t="s">
        <v>7161</v>
      </c>
      <c r="EC929" t="s">
        <v>7162</v>
      </c>
      <c r="ED929" t="str">
        <f>HYPERLINK("https://d33htgqikc2pj4.cloudfront.net/795b6b63-5f47-41bd-acac-abfd893f94cb.jpeg", "Александр Светашов: Ссылка на изображение")</f>
        <v>Александр Светашов: Ссылка на изображение</v>
      </c>
      <c r="EE929" t="str">
        <f>HYPERLINK("https://d33htgqikc2pj4.cloudfront.net/d4fb24b3-bfb9-4fa0-bdbd-570ca8d93832.jpeg", "Александр Светашов: Ссылка на изображение")</f>
        <v>Александр Светашов: Ссылка на изображение</v>
      </c>
      <c r="EF929" t="str">
        <f>HYPERLINK("https://d33htgqikc2pj4.cloudfront.net/7060a7b2-5963-4434-9904-54c78ea0f4ad.jpeg", "Александр Светашов: Ссылка на изображение")</f>
        <v>Александр Светашов: Ссылка на изображение</v>
      </c>
      <c r="EG929" t="str">
        <f>HYPERLINK("https://d33htgqikc2pj4.cloudfront.net/7d0df544-0ed0-429a-afde-b1cf0c1ee851.jpeg", "Александр Светашов: Ссылка на изображение")</f>
        <v>Александр Светашов: Ссылка на изображение</v>
      </c>
      <c r="EH929" t="str">
        <f>HYPERLINK("https://d33htgqikc2pj4.cloudfront.net/eadf84ba-b8e4-4f50-9a08-e38547ede91d.jpeg", "Александр Светашов: Ссылка на изображение")</f>
        <v>Александр Светашов: Ссылка на изображение</v>
      </c>
      <c r="EI929" t="str">
        <f>HYPERLINK("https://d33htgqikc2pj4.cloudfront.net/1c05f874-a016-4220-a88f-301e36d40b57.jpeg", "Александр Светашов: Ссылка на изображение")</f>
        <v>Александр Светашов: Ссылка на изображение</v>
      </c>
      <c r="EJ929" t="str">
        <f>HYPERLINK("https://d33htgqikc2pj4.cloudfront.net/ce183ab9-d8cf-48c1-ae2b-91a3d86233a1.jpeg", "Александр Светашов: Ссылка на изображение")</f>
        <v>Александр Светашов: Ссылка на изображение</v>
      </c>
      <c r="EK929" t="s">
        <v>699</v>
      </c>
      <c r="EL929" t="s">
        <v>3434</v>
      </c>
      <c r="EM929" t="s">
        <v>1700</v>
      </c>
      <c r="EN929" t="s">
        <v>1703</v>
      </c>
      <c r="EO929" t="s">
        <v>836</v>
      </c>
    </row>
    <row r="930" spans="1:158" ht="15" customHeight="1" x14ac:dyDescent="0.35">
      <c r="A930">
        <v>601</v>
      </c>
      <c r="B930" t="s">
        <v>7147</v>
      </c>
      <c r="C930">
        <v>2</v>
      </c>
      <c r="D930" t="str">
        <f>VLOOKUP(source[[#This Row],[Приоритет]],тПриоритеты[],2,0)</f>
        <v>Значительное</v>
      </c>
      <c r="E930" t="str">
        <f>IF(ISBLANK(source[[#This Row],[Проверенные]]),IF(ISBLANK(source[[#This Row],[Завершенные]]),source[[#This Row],[Приоритет_]],"Завершено"),"Проверено")</f>
        <v>Проверено</v>
      </c>
      <c r="F930" t="s">
        <v>4423</v>
      </c>
      <c r="G930" t="s">
        <v>478</v>
      </c>
      <c r="H930" t="e">
        <f>VLOOKUP(source[[#This Row],[Отвественный]],тОтветственные[],2,0)</f>
        <v>#N/A</v>
      </c>
      <c r="I930" s="2">
        <v>43810</v>
      </c>
      <c r="J930" s="2">
        <v>43810</v>
      </c>
      <c r="K930" t="s">
        <v>1720</v>
      </c>
      <c r="L930">
        <v>40.909999999999997</v>
      </c>
      <c r="M930">
        <v>47.01</v>
      </c>
      <c r="Q930" t="s">
        <v>1721</v>
      </c>
      <c r="R930" t="str">
        <f>HYPERLINK("https://d28ji4sm1vmprj.cloudfront.net/c1c1b591ce77c82044efa6b5d6f7663a/cf818dc1bc24c008af413328cec2292d.jpeg", "Ссылка на план")</f>
        <v>Ссылка на план</v>
      </c>
      <c r="S930" s="1">
        <v>43810.627534722225</v>
      </c>
      <c r="T930" s="1">
        <v>43811.750243055554</v>
      </c>
      <c r="U930" s="1">
        <v>43811.750243055554</v>
      </c>
      <c r="W930" s="1">
        <v>43811.750254629631</v>
      </c>
      <c r="EC930" t="s">
        <v>7149</v>
      </c>
      <c r="ED930" t="str">
        <f>HYPERLINK("https://d33htgqikc2pj4.cloudfront.net/877eb516-ea23-46ac-a640-5050743ad1d1.jpeg", "Александр Светашов: Ссылка на изображение")</f>
        <v>Александр Светашов: Ссылка на изображение</v>
      </c>
      <c r="EE930" t="str">
        <f>HYPERLINK("https://d33htgqikc2pj4.cloudfront.net/e6977a26-581f-4c80-a389-0016438be06f.jpeg", "Александр Светашов: Ссылка на изображение")</f>
        <v>Александр Светашов: Ссылка на изображение</v>
      </c>
      <c r="EF930" t="str">
        <f>HYPERLINK("https://d33htgqikc2pj4.cloudfront.net/f1c649b8-3955-455a-9c7c-4121b0d7fd9e.jpeg", "Александр Светашов: Ссылка на изображение")</f>
        <v>Александр Светашов: Ссылка на изображение</v>
      </c>
      <c r="EG930" t="str">
        <f>HYPERLINK("https://d33htgqikc2pj4.cloudfront.net/4579d466-0295-4223-95c2-25daeeda87a7.jpeg", "Александр Светашов: Ссылка на изображение")</f>
        <v>Александр Светашов: Ссылка на изображение</v>
      </c>
      <c r="EH930" t="str">
        <f>HYPERLINK("https://d33htgqikc2pj4.cloudfront.net/bb37984b-62d4-465f-b2af-03a55127db6d.jpeg", "Александр Светашов: Ссылка на изображение")</f>
        <v>Александр Светашов: Ссылка на изображение</v>
      </c>
      <c r="EI930" t="str">
        <f>HYPERLINK("https://d33htgqikc2pj4.cloudfront.net/b86a9cda-e683-41cf-90f9-7a282f32a7f6.jpeg", "Александр Светашов: Ссылка на изображение")</f>
        <v>Александр Светашов: Ссылка на изображение</v>
      </c>
      <c r="EJ930" t="str">
        <f>HYPERLINK("https://d33htgqikc2pj4.cloudfront.net/d18c5daa-217a-4827-bc1a-0101cbdca141.jpeg", "Александр Светашов: Ссылка на изображение")</f>
        <v>Александр Светашов: Ссылка на изображение</v>
      </c>
      <c r="EK930" t="s">
        <v>699</v>
      </c>
      <c r="EL930" t="s">
        <v>2184</v>
      </c>
      <c r="EM930" t="s">
        <v>3434</v>
      </c>
      <c r="EN930" t="s">
        <v>794</v>
      </c>
    </row>
    <row r="931" spans="1:158" ht="15" customHeight="1" x14ac:dyDescent="0.35">
      <c r="A931">
        <v>1123</v>
      </c>
      <c r="C931">
        <v>2</v>
      </c>
      <c r="D931" t="str">
        <f>VLOOKUP(source[[#This Row],[Приоритет]],тПриоритеты[],2,0)</f>
        <v>Значительное</v>
      </c>
      <c r="E931" t="str">
        <f>IF(ISBLANK(source[[#This Row],[Проверенные]]),IF(ISBLANK(source[[#This Row],[Завершенные]]),source[[#This Row],[Приоритет_]],"Завершено"),"Проверено")</f>
        <v>Проверено</v>
      </c>
      <c r="F931" t="s">
        <v>4423</v>
      </c>
      <c r="G931" t="s">
        <v>478</v>
      </c>
      <c r="H931" t="e">
        <f>VLOOKUP(source[[#This Row],[Отвественный]],тОтветственные[],2,0)</f>
        <v>#N/A</v>
      </c>
      <c r="I931" s="2">
        <v>43861</v>
      </c>
      <c r="J931" s="2">
        <v>43861</v>
      </c>
      <c r="K931" t="s">
        <v>2113</v>
      </c>
      <c r="L931">
        <v>43.08</v>
      </c>
      <c r="M931">
        <v>39.5</v>
      </c>
      <c r="Q931" t="s">
        <v>2114</v>
      </c>
      <c r="R931" t="str">
        <f>HYPERLINK("https://d28ji4sm1vmprj.cloudfront.net/3021cb41417a6407c6d00c02f6a24f54/260a2324e0f0083a3c1fc6e8517e8511.jpeg", "Ссылка на план")</f>
        <v>Ссылка на план</v>
      </c>
      <c r="S931" s="1">
        <v>43861.564421296294</v>
      </c>
      <c r="T931" s="1">
        <v>43861.564976851849</v>
      </c>
      <c r="U931" s="1">
        <v>43861.564976851849</v>
      </c>
      <c r="W931" s="1">
        <v>43861.564988425926</v>
      </c>
      <c r="EC931" t="str">
        <f>HYPERLINK("https://d33htgqikc2pj4.cloudfront.net/353a511b-54e0-4257-8e45-70b4d627ca6e.jpeg", "Александр Светашов: Ссылка на изображение")</f>
        <v>Александр Светашов: Ссылка на изображение</v>
      </c>
      <c r="ED931" t="str">
        <f>HYPERLINK("https://d33htgqikc2pj4.cloudfront.net/531a98c6-746a-4fd3-a91d-2831a20f5e60.jpeg", "Александр Светашов: Ссылка на изображение")</f>
        <v>Александр Светашов: Ссылка на изображение</v>
      </c>
      <c r="EE931" t="s">
        <v>699</v>
      </c>
      <c r="EF931" t="s">
        <v>3434</v>
      </c>
      <c r="EG931" t="s">
        <v>2319</v>
      </c>
      <c r="EH931" t="s">
        <v>794</v>
      </c>
    </row>
    <row r="932" spans="1:158" ht="15" customHeight="1" x14ac:dyDescent="0.35">
      <c r="A932">
        <v>837</v>
      </c>
      <c r="B932" t="s">
        <v>7163</v>
      </c>
      <c r="C932">
        <v>2</v>
      </c>
      <c r="D932" t="str">
        <f>VLOOKUP(source[[#This Row],[Приоритет]],тПриоритеты[],2,0)</f>
        <v>Значительное</v>
      </c>
      <c r="E932" t="str">
        <f>IF(ISBLANK(source[[#This Row],[Проверенные]]),IF(ISBLANK(source[[#This Row],[Завершенные]]),source[[#This Row],[Приоритет_]],"Завершено"),"Проверено")</f>
        <v>Проверено</v>
      </c>
      <c r="F932" t="s">
        <v>4423</v>
      </c>
      <c r="G932" t="s">
        <v>478</v>
      </c>
      <c r="H932" t="e">
        <f>VLOOKUP(source[[#This Row],[Отвественный]],тОтветственные[],2,0)</f>
        <v>#N/A</v>
      </c>
      <c r="I932" s="2">
        <v>43833</v>
      </c>
      <c r="J932" s="2">
        <v>43833</v>
      </c>
      <c r="S932" s="1">
        <v>43833.711469907408</v>
      </c>
      <c r="T932" s="1">
        <v>43833.78738425926</v>
      </c>
      <c r="U932" s="1">
        <v>43833.78738425926</v>
      </c>
      <c r="W932" s="1">
        <v>43833.787824074076</v>
      </c>
      <c r="EC932" t="s">
        <v>3368</v>
      </c>
      <c r="ED932" t="str">
        <f>HYPERLINK("https://d33htgqikc2pj4.cloudfront.net/qvHDimMUqxZcQnsj/1efafd29-73a0-492f-bca2-e9fdb161f047.jpeg", "Вячеслав Сорокин: Ссылка на изображение")</f>
        <v>Вячеслав Сорокин: Ссылка на изображение</v>
      </c>
      <c r="EE932" t="str">
        <f>HYPERLINK("https://d33htgqikc2pj4.cloudfront.net/qvHDimMUqxZcQnsj/77050eda-87e3-429b-b6bb-1155e9f886dc.jpeg", "Вячеслав Сорокин: Ссылка на изображение")</f>
        <v>Вячеслав Сорокин: Ссылка на изображение</v>
      </c>
      <c r="EF932" t="str">
        <f>HYPERLINK("https://d33htgqikc2pj4.cloudfront.net/qvHDimMUqxZcQnsj/5a0ca0c4-160c-49cc-a9ab-ecee761aa6e7.jpeg", "Вячеслав Сорокин: Ссылка на изображение")</f>
        <v>Вячеслав Сорокин: Ссылка на изображение</v>
      </c>
      <c r="EG932" t="s">
        <v>7164</v>
      </c>
      <c r="EH932" t="s">
        <v>265</v>
      </c>
      <c r="EI932" t="s">
        <v>3441</v>
      </c>
      <c r="EJ932" t="s">
        <v>7114</v>
      </c>
      <c r="EK932" t="s">
        <v>6703</v>
      </c>
    </row>
    <row r="933" spans="1:158" ht="15" customHeight="1" x14ac:dyDescent="0.35">
      <c r="A933">
        <v>832</v>
      </c>
      <c r="B933" t="s">
        <v>7165</v>
      </c>
      <c r="C933">
        <v>2</v>
      </c>
      <c r="D933" t="str">
        <f>VLOOKUP(source[[#This Row],[Приоритет]],тПриоритеты[],2,0)</f>
        <v>Значительное</v>
      </c>
      <c r="E933" t="str">
        <f>IF(ISBLANK(source[[#This Row],[Проверенные]]),IF(ISBLANK(source[[#This Row],[Завершенные]]),source[[#This Row],[Приоритет_]],"Завершено"),"Проверено")</f>
        <v>Проверено</v>
      </c>
      <c r="F933" t="s">
        <v>4423</v>
      </c>
      <c r="G933" t="s">
        <v>478</v>
      </c>
      <c r="H933" t="e">
        <f>VLOOKUP(source[[#This Row],[Отвественный]],тОтветственные[],2,0)</f>
        <v>#N/A</v>
      </c>
      <c r="I933" s="2">
        <v>43833</v>
      </c>
      <c r="J933" s="2">
        <v>43833</v>
      </c>
      <c r="S933" s="1">
        <v>43833.711458333331</v>
      </c>
      <c r="T933" s="1">
        <v>43833.764363425929</v>
      </c>
      <c r="U933" s="1">
        <v>43833.764363425929</v>
      </c>
      <c r="W933" s="1">
        <v>43833.765335648146</v>
      </c>
      <c r="X933" t="s">
        <v>7166</v>
      </c>
      <c r="AH933" t="s">
        <v>7167</v>
      </c>
      <c r="AI933" t="s">
        <v>7168</v>
      </c>
      <c r="AJ933" t="s">
        <v>7169</v>
      </c>
      <c r="AK933" t="s">
        <v>7170</v>
      </c>
      <c r="AL933" t="s">
        <v>7171</v>
      </c>
      <c r="AM933" t="s">
        <v>7172</v>
      </c>
      <c r="AN933" t="s">
        <v>7173</v>
      </c>
      <c r="AO933" t="s">
        <v>7174</v>
      </c>
      <c r="AP933" t="s">
        <v>7175</v>
      </c>
      <c r="AQ933" t="s">
        <v>7176</v>
      </c>
      <c r="AR933" t="s">
        <v>7177</v>
      </c>
      <c r="AS933" t="s">
        <v>7178</v>
      </c>
      <c r="AT933" t="s">
        <v>7179</v>
      </c>
      <c r="AU933" s="3" t="s">
        <v>7180</v>
      </c>
      <c r="EC933" t="s">
        <v>3362</v>
      </c>
      <c r="ED933" t="str">
        <f>HYPERLINK("https://d33htgqikc2pj4.cloudfront.net/qvHDimMUqxZcQnsj/c0bd5eb9-273b-4ef4-beb6-fc419e22ac46.jpeg", "Вячеслав Сорокин: Ссылка на изображение")</f>
        <v>Вячеслав Сорокин: Ссылка на изображение</v>
      </c>
      <c r="EE933" t="str">
        <f>HYPERLINK("https://d33htgqikc2pj4.cloudfront.net/qvHDimMUqxZcQnsj/8f7c67e5-9140-497e-bc19-7fdddc24d928.jpeg", "Вячеслав Сорокин: Ссылка на изображение")</f>
        <v>Вячеслав Сорокин: Ссылка на изображение</v>
      </c>
      <c r="EF933" t="str">
        <f>HYPERLINK("https://d33htgqikc2pj4.cloudfront.net/qvHDimMUqxZcQnsj/7115f305-4723-434e-96a2-eb1680dc30a3.jpeg", "Вячеслав Сорокин: Ссылка на изображение")</f>
        <v>Вячеслав Сорокин: Ссылка на изображение</v>
      </c>
      <c r="EG933" t="s">
        <v>7181</v>
      </c>
      <c r="EH933" t="s">
        <v>265</v>
      </c>
      <c r="EI933" t="s">
        <v>3441</v>
      </c>
      <c r="EJ933" t="s">
        <v>7114</v>
      </c>
      <c r="EK933" t="s">
        <v>6703</v>
      </c>
    </row>
    <row r="934" spans="1:158" ht="15" customHeight="1" x14ac:dyDescent="0.35">
      <c r="A934">
        <v>632</v>
      </c>
      <c r="B934" t="s">
        <v>7182</v>
      </c>
      <c r="C934">
        <v>2</v>
      </c>
      <c r="D934" t="str">
        <f>VLOOKUP(source[[#This Row],[Приоритет]],тПриоритеты[],2,0)</f>
        <v>Значительное</v>
      </c>
      <c r="E934" t="str">
        <f>IF(ISBLANK(source[[#This Row],[Проверенные]]),IF(ISBLANK(source[[#This Row],[Завершенные]]),source[[#This Row],[Приоритет_]],"Завершено"),"Проверено")</f>
        <v>Проверено</v>
      </c>
      <c r="F934" t="s">
        <v>4423</v>
      </c>
      <c r="G934" t="s">
        <v>478</v>
      </c>
      <c r="H934" t="e">
        <f>VLOOKUP(source[[#This Row],[Отвественный]],тОтветственные[],2,0)</f>
        <v>#N/A</v>
      </c>
      <c r="I934" s="2">
        <v>43815</v>
      </c>
      <c r="J934" s="2">
        <v>43815</v>
      </c>
      <c r="K934" t="s">
        <v>1720</v>
      </c>
      <c r="L934">
        <v>37</v>
      </c>
      <c r="M934">
        <v>19.68</v>
      </c>
      <c r="Q934" t="s">
        <v>1721</v>
      </c>
      <c r="R934" t="str">
        <f>HYPERLINK("https://d28ji4sm1vmprj.cloudfront.net/c1c1b591ce77c82044efa6b5d6f7663a/cf818dc1bc24c008af413328cec2292d.jpeg", "Ссылка на план")</f>
        <v>Ссылка на план</v>
      </c>
      <c r="S934" s="1">
        <v>43815.471701388888</v>
      </c>
      <c r="T934" s="1">
        <v>43816.474641203706</v>
      </c>
      <c r="U934" s="1">
        <v>43816.474641203706</v>
      </c>
      <c r="W934" s="1">
        <v>43816.474710648145</v>
      </c>
      <c r="EC934" t="s">
        <v>7183</v>
      </c>
      <c r="ED934" t="str">
        <f>HYPERLINK("https://d33htgqikc2pj4.cloudfront.net/38ede8e1-c60e-4c41-aafa-5c3f8d29822e.jpeg", "Александр Светашов: Ссылка на изображение")</f>
        <v>Александр Светашов: Ссылка на изображение</v>
      </c>
      <c r="EE934" t="str">
        <f>HYPERLINK("https://d33htgqikc2pj4.cloudfront.net/bafd8102-c636-499f-aac1-6f7b06cdf46b.jpeg", "Александр Светашов: Ссылка на изображение")</f>
        <v>Александр Светашов: Ссылка на изображение</v>
      </c>
      <c r="EF934" t="str">
        <f>HYPERLINK("https://d33htgqikc2pj4.cloudfront.net/53cd3f9d-8fe5-4b81-b221-fba5d958aee4.jpeg", "Александр Светашов: Ссылка на изображение")</f>
        <v>Александр Светашов: Ссылка на изображение</v>
      </c>
      <c r="EG934" t="s">
        <v>699</v>
      </c>
      <c r="EH934" t="s">
        <v>3434</v>
      </c>
      <c r="EI934" t="s">
        <v>2332</v>
      </c>
      <c r="EJ934" t="s">
        <v>794</v>
      </c>
    </row>
    <row r="935" spans="1:158" ht="15" customHeight="1" x14ac:dyDescent="0.35">
      <c r="A935">
        <v>633</v>
      </c>
      <c r="B935" t="s">
        <v>7184</v>
      </c>
      <c r="C935">
        <v>2</v>
      </c>
      <c r="D935" t="str">
        <f>VLOOKUP(source[[#This Row],[Приоритет]],тПриоритеты[],2,0)</f>
        <v>Значительное</v>
      </c>
      <c r="E935" t="str">
        <f>IF(ISBLANK(source[[#This Row],[Проверенные]]),IF(ISBLANK(source[[#This Row],[Завершенные]]),source[[#This Row],[Приоритет_]],"Завершено"),"Проверено")</f>
        <v>Проверено</v>
      </c>
      <c r="F935" t="s">
        <v>4423</v>
      </c>
      <c r="G935" t="s">
        <v>478</v>
      </c>
      <c r="H935" t="e">
        <f>VLOOKUP(source[[#This Row],[Отвественный]],тОтветственные[],2,0)</f>
        <v>#N/A</v>
      </c>
      <c r="I935" s="2">
        <v>43815</v>
      </c>
      <c r="J935" s="2">
        <v>43815</v>
      </c>
      <c r="K935" t="s">
        <v>1720</v>
      </c>
      <c r="L935">
        <v>36.72</v>
      </c>
      <c r="M935">
        <v>17.27</v>
      </c>
      <c r="Q935" t="s">
        <v>1721</v>
      </c>
      <c r="R935" t="str">
        <f>HYPERLINK("https://d28ji4sm1vmprj.cloudfront.net/c1c1b591ce77c82044efa6b5d6f7663a/cf818dc1bc24c008af413328cec2292d.jpeg", "Ссылка на план")</f>
        <v>Ссылка на план</v>
      </c>
      <c r="S935" s="1">
        <v>43815.473287037035</v>
      </c>
      <c r="T935" s="1">
        <v>43816.474733796298</v>
      </c>
      <c r="U935" s="1">
        <v>43816.474733796298</v>
      </c>
      <c r="W935" s="1">
        <v>43816.474768518521</v>
      </c>
      <c r="EC935" t="s">
        <v>7185</v>
      </c>
      <c r="ED935" t="str">
        <f>HYPERLINK("https://d33htgqikc2pj4.cloudfront.net/60f77b9d-1901-4116-b86d-f3401d639acc.jpeg", "Александр Светашов: Ссылка на изображение")</f>
        <v>Александр Светашов: Ссылка на изображение</v>
      </c>
      <c r="EE935" t="str">
        <f>HYPERLINK("https://d33htgqikc2pj4.cloudfront.net/e20040dd-c1ef-4049-8d71-8a4d42d334e4.jpeg", "Александр Светашов: Ссылка на изображение")</f>
        <v>Александр Светашов: Ссылка на изображение</v>
      </c>
      <c r="EF935" t="str">
        <f>HYPERLINK("https://d33htgqikc2pj4.cloudfront.net/9f4713ec-c911-4427-9148-f95eb034979a.jpeg", "Александр Светашов: Ссылка на изображение")</f>
        <v>Александр Светашов: Ссылка на изображение</v>
      </c>
      <c r="EG935" t="str">
        <f>HYPERLINK("https://d33htgqikc2pj4.cloudfront.net/21c1e12c-5242-4964-9a20-c16e0066b1ab.jpeg", "Александр Светашов: Ссылка на изображение")</f>
        <v>Александр Светашов: Ссылка на изображение</v>
      </c>
      <c r="EH935" t="s">
        <v>699</v>
      </c>
      <c r="EI935" t="s">
        <v>2332</v>
      </c>
      <c r="EJ935" t="s">
        <v>3434</v>
      </c>
      <c r="EK935" t="s">
        <v>794</v>
      </c>
    </row>
    <row r="936" spans="1:158" ht="15" customHeight="1" x14ac:dyDescent="0.35">
      <c r="A936">
        <v>351</v>
      </c>
      <c r="C936">
        <v>2</v>
      </c>
      <c r="D936" t="str">
        <f>VLOOKUP(source[[#This Row],[Приоритет]],тПриоритеты[],2,0)</f>
        <v>Значительное</v>
      </c>
      <c r="E936" t="str">
        <f>IF(ISBLANK(source[[#This Row],[Проверенные]]),IF(ISBLANK(source[[#This Row],[Завершенные]]),source[[#This Row],[Приоритет_]],"Завершено"),"Проверено")</f>
        <v>Проверено</v>
      </c>
      <c r="F936" t="s">
        <v>4423</v>
      </c>
      <c r="G936" t="s">
        <v>478</v>
      </c>
      <c r="H936" t="e">
        <f>VLOOKUP(source[[#This Row],[Отвественный]],тОтветственные[],2,0)</f>
        <v>#N/A</v>
      </c>
      <c r="I936" s="2">
        <v>43788</v>
      </c>
      <c r="J936" s="2">
        <v>43788</v>
      </c>
      <c r="K936" t="s">
        <v>1913</v>
      </c>
      <c r="L936">
        <v>30.4</v>
      </c>
      <c r="M936">
        <v>34.909999999999997</v>
      </c>
      <c r="Q936" t="s">
        <v>789</v>
      </c>
      <c r="R936" t="str">
        <f>HYPERLINK("https://d28ji4sm1vmprj.cloudfront.net/66b42f802263492bba17f2ae7b1443c7/e21aa70d5981168508628998e6a067af.jpeg", "Ссылка на план")</f>
        <v>Ссылка на план</v>
      </c>
      <c r="S936" s="1">
        <v>43788.461400462962</v>
      </c>
      <c r="T936" s="1">
        <v>43788.716898148145</v>
      </c>
      <c r="U936" s="1">
        <v>43809.424780092595</v>
      </c>
      <c r="W936" s="1">
        <v>43809.424791666665</v>
      </c>
      <c r="X936" t="s">
        <v>2919</v>
      </c>
      <c r="AH936" t="s">
        <v>7186</v>
      </c>
      <c r="EC936" t="s">
        <v>2921</v>
      </c>
      <c r="ED936" t="str">
        <f>HYPERLINK("https://d33htgqikc2pj4.cloudfront.net/512c8056-1e60-48f4-a604-3c404db2df28.jpeg", "Александр Светашов: Ссылка на изображение")</f>
        <v>Александр Светашов: Ссылка на изображение</v>
      </c>
      <c r="EE936" t="str">
        <f>HYPERLINK("https://d33htgqikc2pj4.cloudfront.net/806d84c7-b18c-49fa-9daa-5184a339ce0d.jpeg", "Александр Светашов: Ссылка на изображение")</f>
        <v>Александр Светашов: Ссылка на изображение</v>
      </c>
      <c r="EF936" t="s">
        <v>2923</v>
      </c>
      <c r="EG936" t="s">
        <v>3434</v>
      </c>
      <c r="EH936" t="s">
        <v>699</v>
      </c>
      <c r="EI936" t="s">
        <v>1703</v>
      </c>
      <c r="EJ936" t="s">
        <v>836</v>
      </c>
    </row>
    <row r="937" spans="1:158" ht="15" customHeight="1" x14ac:dyDescent="0.35">
      <c r="A937">
        <v>350</v>
      </c>
      <c r="C937">
        <v>2</v>
      </c>
      <c r="D937" t="str">
        <f>VLOOKUP(source[[#This Row],[Приоритет]],тПриоритеты[],2,0)</f>
        <v>Значительное</v>
      </c>
      <c r="E937" t="str">
        <f>IF(ISBLANK(source[[#This Row],[Проверенные]]),IF(ISBLANK(source[[#This Row],[Завершенные]]),source[[#This Row],[Приоритет_]],"Завершено"),"Проверено")</f>
        <v>Проверено</v>
      </c>
      <c r="F937" t="s">
        <v>4423</v>
      </c>
      <c r="G937" t="s">
        <v>478</v>
      </c>
      <c r="H937" t="e">
        <f>VLOOKUP(source[[#This Row],[Отвественный]],тОтветственные[],2,0)</f>
        <v>#N/A</v>
      </c>
      <c r="I937" s="2">
        <v>43788</v>
      </c>
      <c r="J937" s="2">
        <v>43788</v>
      </c>
      <c r="K937" t="s">
        <v>1913</v>
      </c>
      <c r="L937">
        <v>28</v>
      </c>
      <c r="M937">
        <v>33.24</v>
      </c>
      <c r="Q937" t="s">
        <v>789</v>
      </c>
      <c r="R937" t="str">
        <f>HYPERLINK("https://d28ji4sm1vmprj.cloudfront.net/66b42f802263492bba17f2ae7b1443c7/e21aa70d5981168508628998e6a067af.jpeg", "Ссылка на план")</f>
        <v>Ссылка на план</v>
      </c>
      <c r="S937" s="1">
        <v>43788.458333333336</v>
      </c>
      <c r="T937" s="1">
        <v>43788.716817129629</v>
      </c>
      <c r="U937" s="1">
        <v>43809.424780092595</v>
      </c>
      <c r="W937" s="1">
        <v>43809.424791666665</v>
      </c>
      <c r="X937" t="s">
        <v>2919</v>
      </c>
      <c r="AH937" t="s">
        <v>7187</v>
      </c>
      <c r="EC937" t="s">
        <v>2921</v>
      </c>
      <c r="ED937" t="str">
        <f>HYPERLINK("https://d33htgqikc2pj4.cloudfront.net/f4f2e4c4-a5a4-45b2-9ed9-403807edd8bf.jpeg", "Александр Светашов: Ссылка на изображение")</f>
        <v>Александр Светашов: Ссылка на изображение</v>
      </c>
      <c r="EE937" t="str">
        <f>HYPERLINK("https://d33htgqikc2pj4.cloudfront.net/39728909-e318-4edb-bae4-25046e340511.jpeg", "Александр Светашов: Ссылка на изображение")</f>
        <v>Александр Светашов: Ссылка на изображение</v>
      </c>
      <c r="EF937" t="str">
        <f>HYPERLINK("https://d33htgqikc2pj4.cloudfront.net/5fe9f48a-aa76-4b01-9442-02fde158e301.jpeg", "Александр Светашов: Ссылка на изображение")</f>
        <v>Александр Светашов: Ссылка на изображение</v>
      </c>
      <c r="EG937" t="str">
        <f>HYPERLINK("https://d33htgqikc2pj4.cloudfront.net/7ec74664-e295-4783-b926-25e99be7dcc4.jpeg", "Александр Светашов: Ссылка на изображение")</f>
        <v>Александр Светашов: Ссылка на изображение</v>
      </c>
      <c r="EH937" t="str">
        <f>HYPERLINK("https://d33htgqikc2pj4.cloudfront.net/602e9bcf-20f0-4660-8785-ba15c33ba12b.jpeg", "Александр Светашов: Ссылка на изображение")</f>
        <v>Александр Светашов: Ссылка на изображение</v>
      </c>
      <c r="EI937" t="str">
        <f>HYPERLINK("https://d33htgqikc2pj4.cloudfront.net/5f061079-2ba7-4adb-83c0-e40269ba0830.jpeg", "Александр Светашов: Ссылка на изображение")</f>
        <v>Александр Светашов: Ссылка на изображение</v>
      </c>
      <c r="EJ937" t="s">
        <v>3434</v>
      </c>
      <c r="EK937" t="s">
        <v>699</v>
      </c>
      <c r="EL937" t="s">
        <v>2923</v>
      </c>
      <c r="EM937" t="s">
        <v>1703</v>
      </c>
      <c r="EN937" t="s">
        <v>836</v>
      </c>
    </row>
    <row r="938" spans="1:158" ht="15" customHeight="1" x14ac:dyDescent="0.35">
      <c r="A938">
        <v>355</v>
      </c>
      <c r="B938" t="s">
        <v>7188</v>
      </c>
      <c r="C938">
        <v>2</v>
      </c>
      <c r="D938" t="str">
        <f>VLOOKUP(source[[#This Row],[Приоритет]],тПриоритеты[],2,0)</f>
        <v>Значительное</v>
      </c>
      <c r="E938" t="str">
        <f>IF(ISBLANK(source[[#This Row],[Проверенные]]),IF(ISBLANK(source[[#This Row],[Завершенные]]),source[[#This Row],[Приоритет_]],"Завершено"),"Проверено")</f>
        <v>Проверено</v>
      </c>
      <c r="F938" t="s">
        <v>4423</v>
      </c>
      <c r="G938" t="s">
        <v>478</v>
      </c>
      <c r="H938" t="e">
        <f>VLOOKUP(source[[#This Row],[Отвественный]],тОтветственные[],2,0)</f>
        <v>#N/A</v>
      </c>
      <c r="I938" s="2">
        <v>43788</v>
      </c>
      <c r="J938" s="2">
        <v>43788</v>
      </c>
      <c r="K938" t="s">
        <v>1720</v>
      </c>
      <c r="L938">
        <v>42.05</v>
      </c>
      <c r="M938">
        <v>51.38</v>
      </c>
      <c r="Q938" t="s">
        <v>1721</v>
      </c>
      <c r="R938" t="str">
        <f>HYPERLINK("https://d28ji4sm1vmprj.cloudfront.net/c1c1b591ce77c82044efa6b5d6f7663a/cf818dc1bc24c008af413328cec2292d.jpeg", "Ссылка на план")</f>
        <v>Ссылка на план</v>
      </c>
      <c r="S938" s="1">
        <v>43788.619409722225</v>
      </c>
      <c r="T938" s="1">
        <v>43788.718935185185</v>
      </c>
      <c r="U938" s="1">
        <v>43808.742175925923</v>
      </c>
      <c r="W938" s="1">
        <v>43808.7421875</v>
      </c>
      <c r="AH938" t="s">
        <v>7189</v>
      </c>
      <c r="EC938" t="s">
        <v>7190</v>
      </c>
      <c r="ED938" t="str">
        <f>HYPERLINK("https://d33htgqikc2pj4.cloudfront.net/005062dc-1131-47f7-ac57-3afa743ec7f7.jpeg", "Александр Светашов: Ссылка на изображение")</f>
        <v>Александр Светашов: Ссылка на изображение</v>
      </c>
      <c r="EE938" t="str">
        <f>HYPERLINK("https://d33htgqikc2pj4.cloudfront.net/356951d9-7039-4140-956d-035591e7a581.jpeg", "Александр Светашов: Ссылка на изображение")</f>
        <v>Александр Светашов: Ссылка на изображение</v>
      </c>
      <c r="EF938" t="str">
        <f>HYPERLINK("https://d33htgqikc2pj4.cloudfront.net/68f4e469-837d-43ae-9903-f1cf7c93135c.jpeg", "Александр Светашов: Ссылка на изображение")</f>
        <v>Александр Светашов: Ссылка на изображение</v>
      </c>
      <c r="EG938" t="str">
        <f>HYPERLINK("https://d33htgqikc2pj4.cloudfront.net/a5503d77-e873-4472-ae7e-9863b7ee5567.jpeg", "Александр Светашов: Ссылка на изображение")</f>
        <v>Александр Светашов: Ссылка на изображение</v>
      </c>
      <c r="EH938" t="str">
        <f>HYPERLINK("https://d33htgqikc2pj4.cloudfront.net/643b6536-84ab-4528-8f44-4f7151207a29.jpeg", "Александр Светашов: Ссылка на изображение")</f>
        <v>Александр Светашов: Ссылка на изображение</v>
      </c>
      <c r="EI938" t="str">
        <f>HYPERLINK("https://d33htgqikc2pj4.cloudfront.net/24df01ae-f02b-4a5d-8b56-0bc70aa57014.jpeg", "Александр Светашов: Ссылка на изображение")</f>
        <v>Александр Светашов: Ссылка на изображение</v>
      </c>
      <c r="EJ938" t="str">
        <f>HYPERLINK("https://d33htgqikc2pj4.cloudfront.net/ba4bc103-7470-44e2-bcd0-29dff6a0fdd5.jpeg", "Александр Светашов: Ссылка на изображение")</f>
        <v>Александр Светашов: Ссылка на изображение</v>
      </c>
      <c r="EK938" t="str">
        <f>HYPERLINK("https://d33htgqikc2pj4.cloudfront.net/9f93f579-55b4-42d5-902c-a814331abf08.jpeg", "Александр Светашов: Ссылка на изображение")</f>
        <v>Александр Светашов: Ссылка на изображение</v>
      </c>
      <c r="EL938" t="s">
        <v>699</v>
      </c>
      <c r="EM938" t="s">
        <v>2923</v>
      </c>
      <c r="EN938" t="s">
        <v>3434</v>
      </c>
      <c r="EO938" t="s">
        <v>1703</v>
      </c>
      <c r="EP938" t="s">
        <v>836</v>
      </c>
    </row>
    <row r="939" spans="1:158" ht="15" customHeight="1" x14ac:dyDescent="0.35">
      <c r="A939">
        <v>354</v>
      </c>
      <c r="B939" t="s">
        <v>7191</v>
      </c>
      <c r="C939">
        <v>2</v>
      </c>
      <c r="D939" t="str">
        <f>VLOOKUP(source[[#This Row],[Приоритет]],тПриоритеты[],2,0)</f>
        <v>Значительное</v>
      </c>
      <c r="E939" t="str">
        <f>IF(ISBLANK(source[[#This Row],[Проверенные]]),IF(ISBLANK(source[[#This Row],[Завершенные]]),source[[#This Row],[Приоритет_]],"Завершено"),"Проверено")</f>
        <v>Проверено</v>
      </c>
      <c r="F939" t="s">
        <v>4423</v>
      </c>
      <c r="G939" t="s">
        <v>478</v>
      </c>
      <c r="H939" t="e">
        <f>VLOOKUP(source[[#This Row],[Отвественный]],тОтветственные[],2,0)</f>
        <v>#N/A</v>
      </c>
      <c r="I939" s="2">
        <v>43788</v>
      </c>
      <c r="J939" s="2">
        <v>43788</v>
      </c>
      <c r="K939" t="s">
        <v>1695</v>
      </c>
      <c r="L939">
        <v>38.51</v>
      </c>
      <c r="M939">
        <v>25.22</v>
      </c>
      <c r="Q939" t="s">
        <v>1696</v>
      </c>
      <c r="R939" t="str">
        <f>HYPERLINK("https://d28ji4sm1vmprj.cloudfront.net/ae1b9da1b8d7f5336d12f9bd78b659a4/35f68b92eee726bc006589ba1c51b72c.jpeg", "Ссылка на план")</f>
        <v>Ссылка на план</v>
      </c>
      <c r="S939" s="1">
        <v>43788.619351851848</v>
      </c>
      <c r="T939" s="1">
        <v>43788.718993055554</v>
      </c>
      <c r="U939" s="1">
        <v>43809.424780092595</v>
      </c>
      <c r="W939" s="1">
        <v>43809.424791666665</v>
      </c>
      <c r="X939" t="s">
        <v>7192</v>
      </c>
      <c r="AH939" t="s">
        <v>7193</v>
      </c>
      <c r="EC939" t="s">
        <v>7194</v>
      </c>
      <c r="ED939" t="str">
        <f>HYPERLINK("https://d33htgqikc2pj4.cloudfront.net/b20de7b5-2f22-4031-acd9-8e8e8f5b9590.jpeg", "Александр Светашов: Ссылка на изображение")</f>
        <v>Александр Светашов: Ссылка на изображение</v>
      </c>
      <c r="EE939" t="str">
        <f>HYPERLINK("https://d33htgqikc2pj4.cloudfront.net/e59c468f-1372-4007-8be3-24a5396c8d5b.jpeg", "Александр Светашов: Ссылка на изображение")</f>
        <v>Александр Светашов: Ссылка на изображение</v>
      </c>
      <c r="EF939" t="str">
        <f>HYPERLINK("https://d33htgqikc2pj4.cloudfront.net/61e3b364-8523-43b8-b3b7-7b80ec3d8d4c.jpeg", "Александр Светашов: Ссылка на изображение")</f>
        <v>Александр Светашов: Ссылка на изображение</v>
      </c>
      <c r="EG939" t="str">
        <f>HYPERLINK("https://d33htgqikc2pj4.cloudfront.net/da70f64a-24ee-4219-9720-8c4aded297fd.jpeg", "Александр Светашов: Ссылка на изображение")</f>
        <v>Александр Светашов: Ссылка на изображение</v>
      </c>
      <c r="EH939" t="s">
        <v>3434</v>
      </c>
      <c r="EI939" t="s">
        <v>2923</v>
      </c>
      <c r="EJ939" t="s">
        <v>699</v>
      </c>
      <c r="EK939" t="s">
        <v>7195</v>
      </c>
      <c r="EL939" t="s">
        <v>1703</v>
      </c>
      <c r="EM939" t="s">
        <v>836</v>
      </c>
    </row>
    <row r="940" spans="1:158" ht="15" customHeight="1" x14ac:dyDescent="0.35">
      <c r="A940">
        <v>1114</v>
      </c>
      <c r="B940" t="s">
        <v>7196</v>
      </c>
      <c r="C940">
        <v>2</v>
      </c>
      <c r="D940" t="str">
        <f>VLOOKUP(source[[#This Row],[Приоритет]],тПриоритеты[],2,0)</f>
        <v>Значительное</v>
      </c>
      <c r="E940" t="str">
        <f>IF(ISBLANK(source[[#This Row],[Проверенные]]),IF(ISBLANK(source[[#This Row],[Завершенные]]),source[[#This Row],[Приоритет_]],"Завершено"),"Проверено")</f>
        <v>Проверено</v>
      </c>
      <c r="F940" t="s">
        <v>4423</v>
      </c>
      <c r="G940" t="s">
        <v>478</v>
      </c>
      <c r="H940" t="e">
        <f>VLOOKUP(source[[#This Row],[Отвественный]],тОтветственные[],2,0)</f>
        <v>#N/A</v>
      </c>
      <c r="I940" s="2">
        <v>43854</v>
      </c>
      <c r="J940" s="2">
        <v>43854</v>
      </c>
      <c r="S940" s="1">
        <v>43860.405405092592</v>
      </c>
      <c r="T940" s="1">
        <v>43866.475381944445</v>
      </c>
      <c r="U940" s="1">
        <v>43866.475381944445</v>
      </c>
      <c r="W940" s="1">
        <v>43866.475578703707</v>
      </c>
      <c r="EC940" t="s">
        <v>3368</v>
      </c>
      <c r="ED940" t="str">
        <f>HYPERLINK("https://d33htgqikc2pj4.cloudfront.net/qvHDimMUqxZcQnsj/0c829b11-645d-4669-ac80-c436d9a847c3.jpeg", "Вячеслав Сорокин: Ссылка на изображение")</f>
        <v>Вячеслав Сорокин: Ссылка на изображение</v>
      </c>
      <c r="EE940" t="s">
        <v>7197</v>
      </c>
      <c r="EF940" t="s">
        <v>265</v>
      </c>
      <c r="EG940" t="s">
        <v>3441</v>
      </c>
      <c r="EH940" t="s">
        <v>7114</v>
      </c>
      <c r="EI940" t="s">
        <v>7112</v>
      </c>
    </row>
    <row r="941" spans="1:158" ht="15" customHeight="1" x14ac:dyDescent="0.35">
      <c r="A941">
        <v>1215</v>
      </c>
      <c r="B941" t="s">
        <v>7198</v>
      </c>
      <c r="C941">
        <v>2</v>
      </c>
      <c r="D941" t="str">
        <f>VLOOKUP(source[[#This Row],[Приоритет]],тПриоритеты[],2,0)</f>
        <v>Значительное</v>
      </c>
      <c r="E941" t="str">
        <f>IF(ISBLANK(source[[#This Row],[Проверенные]]),IF(ISBLANK(source[[#This Row],[Завершенные]]),source[[#This Row],[Приоритет_]],"Завершено"),"Проверено")</f>
        <v>Проверено</v>
      </c>
      <c r="F941" t="s">
        <v>4423</v>
      </c>
      <c r="G941" t="s">
        <v>478</v>
      </c>
      <c r="H941" t="e">
        <f>VLOOKUP(source[[#This Row],[Отвественный]],тОтветственные[],2,0)</f>
        <v>#N/A</v>
      </c>
      <c r="I941" s="2">
        <v>43867</v>
      </c>
      <c r="J941" s="2">
        <v>43867</v>
      </c>
      <c r="K941" t="s">
        <v>1720</v>
      </c>
      <c r="L941">
        <v>16.73</v>
      </c>
      <c r="M941">
        <v>65.31</v>
      </c>
      <c r="Q941" t="s">
        <v>1721</v>
      </c>
      <c r="R941" t="str">
        <f>HYPERLINK("https://d28ji4sm1vmprj.cloudfront.net/c1c1b591ce77c82044efa6b5d6f7663a/cf818dc1bc24c008af413328cec2292d.jpeg", "Ссылка на план")</f>
        <v>Ссылка на план</v>
      </c>
      <c r="S941" s="1">
        <v>43867.572465277779</v>
      </c>
      <c r="T941" s="1">
        <v>43867.571550925924</v>
      </c>
      <c r="U941" s="1">
        <v>43867.573842592596</v>
      </c>
      <c r="W941" s="1">
        <v>43868.453599537039</v>
      </c>
      <c r="EC941" t="s">
        <v>7199</v>
      </c>
      <c r="ED941" t="str">
        <f>HYPERLINK("https://d33htgqikc2pj4.cloudfront.net/f6f3c1d5-4404-4869-8160-8f8832670b2f.jpeg", "Александр Светашов: Ссылка на изображение")</f>
        <v>Александр Светашов: Ссылка на изображение</v>
      </c>
      <c r="EE941" t="str">
        <f>HYPERLINK("https://d33htgqikc2pj4.cloudfront.net/f8c1663f-2af8-4d41-997f-95bdb4f5fe1a.jpeg", "Александр Светашов: Ссылка на изображение")</f>
        <v>Александр Светашов: Ссылка на изображение</v>
      </c>
      <c r="EF941" t="str">
        <f>HYPERLINK("https://d33htgqikc2pj4.cloudfront.net/2863068d-1e18-4bef-b94f-5832d85b7609.jpeg", "Александр Светашов: Ссылка на изображение")</f>
        <v>Александр Светашов: Ссылка на изображение</v>
      </c>
      <c r="EG941" t="str">
        <f>HYPERLINK("https://d33htgqikc2pj4.cloudfront.net/6bdaf5b5-ac25-4a91-935d-ea2174c3475c.jpeg", "Александр Светашов: Ссылка на изображение")</f>
        <v>Александр Светашов: Ссылка на изображение</v>
      </c>
      <c r="EH941" t="str">
        <f>HYPERLINK("https://d33htgqikc2pj4.cloudfront.net/8fa226ef-b34f-4642-ac32-a254765fbb6f.jpeg", "Александр Светашов: Ссылка на изображение")</f>
        <v>Александр Светашов: Ссылка на изображение</v>
      </c>
      <c r="EI941" t="str">
        <f>HYPERLINK("https://d33htgqikc2pj4.cloudfront.net/538c5fef-e25a-4648-88f9-44b0ed98bc62.jpeg", "Александр Светашов: Ссылка на изображение")</f>
        <v>Александр Светашов: Ссылка на изображение</v>
      </c>
      <c r="EJ941" t="str">
        <f>HYPERLINK("https://d33htgqikc2pj4.cloudfront.net/d1e8884d-7414-48de-85b0-02674a05855b.jpeg", "Александр Светашов: Ссылка на изображение")</f>
        <v>Александр Светашов: Ссылка на изображение</v>
      </c>
      <c r="EK941" t="str">
        <f>HYPERLINK("https://d33htgqikc2pj4.cloudfront.net/b004ecc3-0dc1-4ecb-8a06-f14464682b1c.jpeg", "Александр Светашов: Ссылка на изображение")</f>
        <v>Александр Светашов: Ссылка на изображение</v>
      </c>
      <c r="EL941" t="str">
        <f>HYPERLINK("https://d33htgqikc2pj4.cloudfront.net/6dd2f224-0e3c-459b-b0e1-46df2a42568b.jpeg", "Александр Светашов: Ссылка на изображение")</f>
        <v>Александр Светашов: Ссылка на изображение</v>
      </c>
      <c r="EM941" t="s">
        <v>1703</v>
      </c>
      <c r="EN941" t="s">
        <v>699</v>
      </c>
      <c r="EO941" t="s">
        <v>1718</v>
      </c>
      <c r="EP941" t="s">
        <v>3434</v>
      </c>
      <c r="EQ941" t="str">
        <f>HYPERLINK("https://d33htgqikc2pj4.cloudfront.net/8405f85e-bffe-4ad8-a543-977ab6b3701a.jpeg", "Александр Светашов: Ссылка на изображение")</f>
        <v>Александр Светашов: Ссылка на изображение</v>
      </c>
      <c r="ER941" t="str">
        <f>HYPERLINK("https://d33htgqikc2pj4.cloudfront.net/33a851d9-8654-4ce2-b1f4-54a86b204d84.jpeg", "Александр Светашов: Ссылка на изображение")</f>
        <v>Александр Светашов: Ссылка на изображение</v>
      </c>
      <c r="ES941" t="str">
        <f>HYPERLINK("https://d33htgqikc2pj4.cloudfront.net/1a319521-50e6-4bdb-b2dc-9ce2eee65e96.jpeg", "Александр Светашов: Ссылка на изображение")</f>
        <v>Александр Светашов: Ссылка на изображение</v>
      </c>
      <c r="ET941" t="str">
        <f>HYPERLINK("https://d33htgqikc2pj4.cloudfront.net/f2ba31d9-b73a-4ec9-9257-e806ccd259c2.jpeg", "Александр Светашов: Ссылка на изображение")</f>
        <v>Александр Светашов: Ссылка на изображение</v>
      </c>
      <c r="EU941" t="str">
        <f>HYPERLINK("https://d33htgqikc2pj4.cloudfront.net/d242a6c8-7c68-4b2a-91c2-1cf8462b2815.jpeg", "Александр Светашов: Ссылка на изображение")</f>
        <v>Александр Светашов: Ссылка на изображение</v>
      </c>
      <c r="EV941" t="str">
        <f>HYPERLINK("https://d33htgqikc2pj4.cloudfront.net/a5857df4-94c9-491e-be70-2dabe7b6da5c.jpeg", "Александр Светашов: Ссылка на изображение")</f>
        <v>Александр Светашов: Ссылка на изображение</v>
      </c>
      <c r="EW941" t="str">
        <f>HYPERLINK("https://d33htgqikc2pj4.cloudfront.net/959b5027-02a7-47db-9956-c4a764d4ffec.jpeg", "Александр Светашов: Ссылка на изображение")</f>
        <v>Александр Светашов: Ссылка на изображение</v>
      </c>
      <c r="EX941" t="str">
        <f>HYPERLINK("https://d33htgqikc2pj4.cloudfront.net/4cf92522-4fa6-415f-8522-37289eefb0ef.jpeg", "Александр Светашов: Ссылка на изображение")</f>
        <v>Александр Светашов: Ссылка на изображение</v>
      </c>
      <c r="EY941" t="str">
        <f>HYPERLINK("https://d33htgqikc2pj4.cloudfront.net/9f29f3ed-d086-4050-ad09-fcea3ef66701.jpeg", "Александр Светашов: Ссылка на изображение")</f>
        <v>Александр Светашов: Ссылка на изображение</v>
      </c>
      <c r="EZ941" t="str">
        <f>HYPERLINK("https://d33htgqikc2pj4.cloudfront.net/2a09aa1a-e3d0-47d8-a56c-590b9dd34c4e.jpeg", "Александр Светашов: Ссылка на изображение")</f>
        <v>Александр Светашов: Ссылка на изображение</v>
      </c>
      <c r="FA941" t="str">
        <f>HYPERLINK("https://d33htgqikc2pj4.cloudfront.net/eee4e77c-3373-48c7-b3bc-b321dde9ee0c.jpeg", "Александр Светашов: Ссылка на изображение")</f>
        <v>Александр Светашов: Ссылка на изображение</v>
      </c>
      <c r="FB941" t="s">
        <v>794</v>
      </c>
    </row>
    <row r="942" spans="1:158" ht="15" customHeight="1" x14ac:dyDescent="0.35">
      <c r="A942">
        <v>908</v>
      </c>
      <c r="B942" t="s">
        <v>7200</v>
      </c>
      <c r="C942">
        <v>2</v>
      </c>
      <c r="D942" t="str">
        <f>VLOOKUP(source[[#This Row],[Приоритет]],тПриоритеты[],2,0)</f>
        <v>Значительное</v>
      </c>
      <c r="E942" t="str">
        <f>IF(ISBLANK(source[[#This Row],[Проверенные]]),IF(ISBLANK(source[[#This Row],[Завершенные]]),source[[#This Row],[Приоритет_]],"Завершено"),"Проверено")</f>
        <v>Проверено</v>
      </c>
      <c r="F942" t="s">
        <v>4423</v>
      </c>
      <c r="G942" t="s">
        <v>478</v>
      </c>
      <c r="H942" t="e">
        <f>VLOOKUP(source[[#This Row],[Отвественный]],тОтветственные[],2,0)</f>
        <v>#N/A</v>
      </c>
      <c r="I942" s="2">
        <v>43843</v>
      </c>
      <c r="J942" s="2">
        <v>43844</v>
      </c>
      <c r="S942" s="1">
        <v>43844.635347222225</v>
      </c>
      <c r="T942" s="1">
        <v>43844.743287037039</v>
      </c>
      <c r="U942" s="1">
        <v>43844.743287037039</v>
      </c>
      <c r="W942" s="1">
        <v>43844.743287037039</v>
      </c>
      <c r="EC942" t="s">
        <v>3437</v>
      </c>
      <c r="ED942" t="str">
        <f>HYPERLINK("https://d33htgqikc2pj4.cloudfront.net/qvHDimMUqxZcQnsj/7f31ba34-5836-46ae-b669-3faf0c69003b.jpeg", "Вячеслав Сорокин: Ссылка на изображение")</f>
        <v>Вячеслав Сорокин: Ссылка на изображение</v>
      </c>
      <c r="EE942" t="str">
        <f>HYPERLINK("https://d33htgqikc2pj4.cloudfront.net/qvHDimMUqxZcQnsj/a5da4fab-e994-4f4b-a50b-e24963df7262.jpeg", "Вячеслав Сорокин: Ссылка на изображение")</f>
        <v>Вячеслав Сорокин: Ссылка на изображение</v>
      </c>
      <c r="EF942" t="str">
        <f>HYPERLINK("https://d33htgqikc2pj4.cloudfront.net/qvHDimMUqxZcQnsj/a628b86c-fcec-4233-bea0-e086a2e18e66.jpeg", "Вячеслав Сорокин: Ссылка на изображение")</f>
        <v>Вячеслав Сорокин: Ссылка на изображение</v>
      </c>
      <c r="EG942" t="s">
        <v>7201</v>
      </c>
      <c r="EH942" t="s">
        <v>3441</v>
      </c>
      <c r="EI942" t="s">
        <v>7114</v>
      </c>
      <c r="EJ942" t="s">
        <v>7202</v>
      </c>
      <c r="EK942" t="s">
        <v>7203</v>
      </c>
      <c r="EL942" t="s">
        <v>265</v>
      </c>
    </row>
    <row r="943" spans="1:158" ht="15" customHeight="1" x14ac:dyDescent="0.35">
      <c r="A943">
        <v>939</v>
      </c>
      <c r="B943" t="s">
        <v>7204</v>
      </c>
      <c r="C943">
        <v>2</v>
      </c>
      <c r="D943" t="str">
        <f>VLOOKUP(source[[#This Row],[Приоритет]],тПриоритеты[],2,0)</f>
        <v>Значительное</v>
      </c>
      <c r="E943" t="str">
        <f>IF(ISBLANK(source[[#This Row],[Проверенные]]),IF(ISBLANK(source[[#This Row],[Завершенные]]),source[[#This Row],[Приоритет_]],"Завершено"),"Проверено")</f>
        <v>Проверено</v>
      </c>
      <c r="F943" t="s">
        <v>4423</v>
      </c>
      <c r="G943" t="s">
        <v>478</v>
      </c>
      <c r="H943" t="e">
        <f>VLOOKUP(source[[#This Row],[Отвественный]],тОтветственные[],2,0)</f>
        <v>#N/A</v>
      </c>
      <c r="I943" s="2">
        <v>43847</v>
      </c>
      <c r="J943" s="2">
        <v>43847</v>
      </c>
      <c r="S943" s="1">
        <v>43847.755590277775</v>
      </c>
      <c r="T943" s="1">
        <v>43847.756898148145</v>
      </c>
      <c r="U943" s="1">
        <v>43847.756898148145</v>
      </c>
      <c r="W943" s="1">
        <v>43847.759386574071</v>
      </c>
      <c r="EC943" t="s">
        <v>218</v>
      </c>
      <c r="ED943" t="s">
        <v>7205</v>
      </c>
      <c r="EE943" t="s">
        <v>7206</v>
      </c>
      <c r="EF943" t="s">
        <v>2372</v>
      </c>
      <c r="EG943" t="s">
        <v>2357</v>
      </c>
      <c r="EH943" t="s">
        <v>7207</v>
      </c>
    </row>
    <row r="944" spans="1:158" ht="15" customHeight="1" x14ac:dyDescent="0.35">
      <c r="A944">
        <v>989</v>
      </c>
      <c r="B944" t="s">
        <v>7208</v>
      </c>
      <c r="C944">
        <v>2</v>
      </c>
      <c r="D944" t="str">
        <f>VLOOKUP(source[[#This Row],[Приоритет]],тПриоритеты[],2,0)</f>
        <v>Значительное</v>
      </c>
      <c r="E944" t="str">
        <f>IF(ISBLANK(source[[#This Row],[Проверенные]]),IF(ISBLANK(source[[#This Row],[Завершенные]]),source[[#This Row],[Приоритет_]],"Завершено"),"Проверено")</f>
        <v>Проверено</v>
      </c>
      <c r="F944" t="s">
        <v>4423</v>
      </c>
      <c r="G944" t="s">
        <v>478</v>
      </c>
      <c r="H944" t="e">
        <f>VLOOKUP(source[[#This Row],[Отвественный]],тОтветственные[],2,0)</f>
        <v>#N/A</v>
      </c>
      <c r="I944" s="2">
        <v>43851</v>
      </c>
      <c r="J944" s="2">
        <v>43851</v>
      </c>
      <c r="K944" t="s">
        <v>2165</v>
      </c>
      <c r="L944">
        <v>21.13</v>
      </c>
      <c r="M944">
        <v>42.49</v>
      </c>
      <c r="Q944" t="s">
        <v>789</v>
      </c>
      <c r="R944" t="str">
        <f>HYPERLINK("https://d28ji4sm1vmprj.cloudfront.net/0ca5a36e9332229d981e0a78477cba62/4c55d5df90ce77f042dad1d5758e38cd.jpeg", "Ссылка на план")</f>
        <v>Ссылка на план</v>
      </c>
      <c r="S944" s="1">
        <v>43851.671215277776</v>
      </c>
      <c r="T944" s="1">
        <v>43851.671736111108</v>
      </c>
      <c r="U944" s="1">
        <v>43851.671736111108</v>
      </c>
      <c r="W944" s="1">
        <v>43851.671782407408</v>
      </c>
      <c r="EC944" t="s">
        <v>7209</v>
      </c>
      <c r="ED944" t="str">
        <f>HYPERLINK("https://d33htgqikc2pj4.cloudfront.net/f8e59f40-31cd-4674-9a01-3b489596492f.jpeg", "Александр Светашов: Ссылка на изображение")</f>
        <v>Александр Светашов: Ссылка на изображение</v>
      </c>
      <c r="EE944" t="str">
        <f>HYPERLINK("https://d33htgqikc2pj4.cloudfront.net/83a65e99-24cb-4fe0-9f1a-83da61a3f87c.jpeg", "Александр Светашов: Ссылка на изображение")</f>
        <v>Александр Светашов: Ссылка на изображение</v>
      </c>
      <c r="EF944" t="str">
        <f>HYPERLINK("https://d33htgqikc2pj4.cloudfront.net/843dc488-86bb-4bd0-b009-aa285761f10e.jpeg", "Александр Светашов: Ссылка на изображение")</f>
        <v>Александр Светашов: Ссылка на изображение</v>
      </c>
      <c r="EG944" t="s">
        <v>699</v>
      </c>
      <c r="EH944" t="s">
        <v>2163</v>
      </c>
      <c r="EI944" t="s">
        <v>3434</v>
      </c>
      <c r="EJ944" t="s">
        <v>794</v>
      </c>
    </row>
    <row r="945" spans="1:152" ht="15" customHeight="1" x14ac:dyDescent="0.35">
      <c r="A945">
        <v>990</v>
      </c>
      <c r="B945" t="s">
        <v>7210</v>
      </c>
      <c r="C945">
        <v>2</v>
      </c>
      <c r="D945" t="str">
        <f>VLOOKUP(source[[#This Row],[Приоритет]],тПриоритеты[],2,0)</f>
        <v>Значительное</v>
      </c>
      <c r="E945" t="str">
        <f>IF(ISBLANK(source[[#This Row],[Проверенные]]),IF(ISBLANK(source[[#This Row],[Завершенные]]),source[[#This Row],[Приоритет_]],"Завершено"),"Проверено")</f>
        <v>Проверено</v>
      </c>
      <c r="F945" t="s">
        <v>4423</v>
      </c>
      <c r="G945" t="s">
        <v>478</v>
      </c>
      <c r="H945" t="e">
        <f>VLOOKUP(source[[#This Row],[Отвественный]],тОтветственные[],2,0)</f>
        <v>#N/A</v>
      </c>
      <c r="I945" s="2">
        <v>43851</v>
      </c>
      <c r="J945" s="2">
        <v>43851</v>
      </c>
      <c r="K945" t="s">
        <v>2165</v>
      </c>
      <c r="L945">
        <v>21.99</v>
      </c>
      <c r="M945">
        <v>44.24</v>
      </c>
      <c r="Q945" t="s">
        <v>789</v>
      </c>
      <c r="R945" t="str">
        <f>HYPERLINK("https://d28ji4sm1vmprj.cloudfront.net/0ca5a36e9332229d981e0a78477cba62/4c55d5df90ce77f042dad1d5758e38cd.jpeg", "Ссылка на план")</f>
        <v>Ссылка на план</v>
      </c>
      <c r="S945" s="1">
        <v>43851.672106481485</v>
      </c>
      <c r="T945" s="1">
        <v>43851.672384259262</v>
      </c>
      <c r="U945" s="1">
        <v>43851.672384259262</v>
      </c>
      <c r="W945" s="1">
        <v>43851.673090277778</v>
      </c>
      <c r="EC945" t="s">
        <v>7211</v>
      </c>
      <c r="ED945" t="str">
        <f>HYPERLINK("https://d33htgqikc2pj4.cloudfront.net/be7485c5-d935-476e-a474-038441a39538.jpeg", "Александр Светашов: Ссылка на изображение")</f>
        <v>Александр Светашов: Ссылка на изображение</v>
      </c>
      <c r="EE945" t="str">
        <f>HYPERLINK("https://d33htgqikc2pj4.cloudfront.net/2f6d99c6-d768-43fd-b553-b24275cc8b4d.jpeg", "Александр Светашов: Ссылка на изображение")</f>
        <v>Александр Светашов: Ссылка на изображение</v>
      </c>
      <c r="EF945" t="str">
        <f>HYPERLINK("https://d33htgqikc2pj4.cloudfront.net/ba4863d5-f524-42cd-86e8-ea8025995ace.jpeg", "Александр Светашов: Ссылка на изображение")</f>
        <v>Александр Светашов: Ссылка на изображение</v>
      </c>
      <c r="EG945" t="s">
        <v>3434</v>
      </c>
      <c r="EH945" t="s">
        <v>699</v>
      </c>
      <c r="EI945" t="s">
        <v>794</v>
      </c>
      <c r="EJ945" t="s">
        <v>2163</v>
      </c>
    </row>
    <row r="946" spans="1:152" ht="15" customHeight="1" x14ac:dyDescent="0.35">
      <c r="A946">
        <v>999</v>
      </c>
      <c r="B946" t="s">
        <v>7212</v>
      </c>
      <c r="C946">
        <v>2</v>
      </c>
      <c r="D946" t="str">
        <f>VLOOKUP(source[[#This Row],[Приоритет]],тПриоритеты[],2,0)</f>
        <v>Значительное</v>
      </c>
      <c r="E946" t="str">
        <f>IF(ISBLANK(source[[#This Row],[Проверенные]]),IF(ISBLANK(source[[#This Row],[Завершенные]]),source[[#This Row],[Приоритет_]],"Завершено"),"Проверено")</f>
        <v>Проверено</v>
      </c>
      <c r="F946" t="s">
        <v>4423</v>
      </c>
      <c r="G946" t="s">
        <v>478</v>
      </c>
      <c r="H946" t="e">
        <f>VLOOKUP(source[[#This Row],[Отвественный]],тОтветственные[],2,0)</f>
        <v>#N/A</v>
      </c>
      <c r="I946" s="2">
        <v>43852</v>
      </c>
      <c r="J946" s="2">
        <v>43852</v>
      </c>
      <c r="S946" s="1">
        <v>43852.620057870372</v>
      </c>
      <c r="T946" s="1">
        <v>43852.602199074077</v>
      </c>
      <c r="U946" s="1">
        <v>43852.602199074077</v>
      </c>
      <c r="W946" s="1">
        <v>43852.620057870372</v>
      </c>
      <c r="EC946" t="s">
        <v>3368</v>
      </c>
      <c r="ED946" t="s">
        <v>7213</v>
      </c>
      <c r="EE946" t="str">
        <f>HYPERLINK("https://d33htgqikc2pj4.cloudfront.net/qvHDimMUqxZcQnsj/6274b18f-5c31-4753-a5e7-79b33d104be6.jpeg", "Вячеслав Сорокин: Ссылка на изображение")</f>
        <v>Вячеслав Сорокин: Ссылка на изображение</v>
      </c>
      <c r="EF946" t="str">
        <f>HYPERLINK("https://d33htgqikc2pj4.cloudfront.net/qvHDimMUqxZcQnsj/1d22651e-568a-4eb0-a277-01366ece86e3.jpeg", "Вячеслав Сорокин: Ссылка на изображение")</f>
        <v>Вячеслав Сорокин: Ссылка на изображение</v>
      </c>
      <c r="EG946" t="s">
        <v>7214</v>
      </c>
      <c r="EH946" t="str">
        <f>HYPERLINK("https://d33htgqikc2pj4.cloudfront.net/qvHDimMUqxZcQnsj/be480456-85cf-4cfa-abb1-b8dae0fb1752.jpeg", "Вячеслав Сорокин: Ссылка на изображение")</f>
        <v>Вячеслав Сорокин: Ссылка на изображение</v>
      </c>
      <c r="EI946" t="s">
        <v>7215</v>
      </c>
      <c r="EJ946" t="str">
        <f>HYPERLINK("https://d33htgqikc2pj4.cloudfront.net/qvHDimMUqxZcQnsj/438bba7e-b7bc-4be7-9b44-18588c80022d.jpeg", "Вячеслав Сорокин: Ссылка на изображение")</f>
        <v>Вячеслав Сорокин: Ссылка на изображение</v>
      </c>
      <c r="EK946" t="s">
        <v>7216</v>
      </c>
      <c r="EL946" t="s">
        <v>7217</v>
      </c>
      <c r="EM946" t="s">
        <v>7218</v>
      </c>
      <c r="EN946" t="s">
        <v>7219</v>
      </c>
      <c r="EO946" t="s">
        <v>7220</v>
      </c>
      <c r="EP946" t="s">
        <v>7221</v>
      </c>
      <c r="EQ946" t="s">
        <v>3438</v>
      </c>
      <c r="ER946" t="s">
        <v>3441</v>
      </c>
      <c r="ES946" t="s">
        <v>6901</v>
      </c>
      <c r="ET946" t="s">
        <v>7222</v>
      </c>
      <c r="EU946" t="str">
        <f>HYPERLINK("https://d33htgqikc2pj4.cloudfront.net/qvHDimMUqxZcQnsj/f46b1faa-50a0-41d8-bed2-76a6998bad75.jpeg", "Вячеслав Сорокин: Ссылка на изображение")</f>
        <v>Вячеслав Сорокин: Ссылка на изображение</v>
      </c>
      <c r="EV946" t="s">
        <v>265</v>
      </c>
    </row>
    <row r="947" spans="1:152" ht="15" customHeight="1" x14ac:dyDescent="0.35">
      <c r="A947">
        <v>1027</v>
      </c>
      <c r="B947" t="s">
        <v>7223</v>
      </c>
      <c r="C947">
        <v>2</v>
      </c>
      <c r="D947" t="str">
        <f>VLOOKUP(source[[#This Row],[Приоритет]],тПриоритеты[],2,0)</f>
        <v>Значительное</v>
      </c>
      <c r="E947" t="str">
        <f>IF(ISBLANK(source[[#This Row],[Проверенные]]),IF(ISBLANK(source[[#This Row],[Завершенные]]),source[[#This Row],[Приоритет_]],"Завершено"),"Проверено")</f>
        <v>Проверено</v>
      </c>
      <c r="F947" t="s">
        <v>4423</v>
      </c>
      <c r="G947" t="s">
        <v>806</v>
      </c>
      <c r="H947" t="e">
        <f>VLOOKUP(source[[#This Row],[Отвественный]],тОтветственные[],2,0)</f>
        <v>#N/A</v>
      </c>
      <c r="I947" s="2">
        <v>43853</v>
      </c>
      <c r="J947" s="2">
        <v>43854</v>
      </c>
      <c r="S947" s="1">
        <v>43854.229629629626</v>
      </c>
      <c r="T947" s="1">
        <v>43854.230636574073</v>
      </c>
      <c r="U947" s="1">
        <v>43854.230636574073</v>
      </c>
      <c r="W947" s="1">
        <v>43854.230787037035</v>
      </c>
      <c r="EC947" t="s">
        <v>7224</v>
      </c>
      <c r="ED947" t="s">
        <v>807</v>
      </c>
      <c r="EE947" t="s">
        <v>2280</v>
      </c>
      <c r="EF947" t="s">
        <v>809</v>
      </c>
      <c r="EG947" t="s">
        <v>810</v>
      </c>
      <c r="EH947" s="3" t="s">
        <v>7225</v>
      </c>
      <c r="EI947" t="str">
        <f>HYPERLINK("https://d33htgqikc2pj4.cloudfront.net/a60e92d7-9c3b-44dc-9dac-199fb2cc8c76.jpeg", "Святослав Грохольский: Ссылка на изображение")</f>
        <v>Святослав Грохольский: Ссылка на изображение</v>
      </c>
      <c r="EJ947" t="str">
        <f>HYPERLINK("https://d33htgqikc2pj4.cloudfront.net/7ee7e81d-2df7-4fed-8166-1543695e550d.jpeg", "Святослав Грохольский: Ссылка на изображение")</f>
        <v>Святослав Грохольский: Ссылка на изображение</v>
      </c>
      <c r="EK947" t="str">
        <f>HYPERLINK("https://d33htgqikc2pj4.cloudfront.net/b692e880-cddb-43c6-9d1d-66da915b663c.jpeg", "Святослав Грохольский: Ссылка на изображение")</f>
        <v>Святослав Грохольский: Ссылка на изображение</v>
      </c>
      <c r="EL947" t="str">
        <f>HYPERLINK("https://d33htgqikc2pj4.cloudfront.net/5d47a1c9-d22a-4029-a4da-737fa5bef94f.jpeg", "Святослав Грохольский: Ссылка на изображение")</f>
        <v>Святослав Грохольский: Ссылка на изображение</v>
      </c>
      <c r="EM947" t="str">
        <f>HYPERLINK("https://d33htgqikc2pj4.cloudfront.net/99432d88-c474-4b62-a78f-50418eb8a6b5.jpeg", "Святослав Грохольский: Ссылка на изображение")</f>
        <v>Святослав Грохольский: Ссылка на изображение</v>
      </c>
      <c r="EN947" t="str">
        <f>HYPERLINK("https://d33htgqikc2pj4.cloudfront.net/2a1d49ee-c186-461b-b6fb-24dce6c8acc0.jpeg", "Святослав Грохольский: Ссылка на изображение")</f>
        <v>Святослав Грохольский: Ссылка на изображение</v>
      </c>
      <c r="EO947" t="str">
        <f>HYPERLINK("https://d33htgqikc2pj4.cloudfront.net/0071ba75-79ba-420d-9d29-0423d98d3999.jpeg", "Святослав Грохольский: Ссылка на изображение")</f>
        <v>Святослав Грохольский: Ссылка на изображение</v>
      </c>
      <c r="EP947" t="str">
        <f>HYPERLINK("https://d33htgqikc2pj4.cloudfront.net/b6d3336b-e1ac-45a7-8bad-67ef2f35c926.jpeg", "Святослав Грохольский: Ссылка на изображение")</f>
        <v>Святослав Грохольский: Ссылка на изображение</v>
      </c>
    </row>
    <row r="948" spans="1:152" ht="15" customHeight="1" x14ac:dyDescent="0.35">
      <c r="A948">
        <v>363</v>
      </c>
      <c r="B948" t="s">
        <v>7226</v>
      </c>
      <c r="C948">
        <v>2</v>
      </c>
      <c r="D948" t="str">
        <f>VLOOKUP(source[[#This Row],[Приоритет]],тПриоритеты[],2,0)</f>
        <v>Значительное</v>
      </c>
      <c r="E948" t="str">
        <f>IF(ISBLANK(source[[#This Row],[Проверенные]]),IF(ISBLANK(source[[#This Row],[Завершенные]]),source[[#This Row],[Приоритет_]],"Завершено"),"Проверено")</f>
        <v>Проверено</v>
      </c>
      <c r="F948" t="s">
        <v>4423</v>
      </c>
      <c r="G948" t="s">
        <v>806</v>
      </c>
      <c r="H948" t="e">
        <f>VLOOKUP(source[[#This Row],[Отвественный]],тОтветственные[],2,0)</f>
        <v>#N/A</v>
      </c>
      <c r="I948" s="2">
        <v>43789</v>
      </c>
      <c r="J948" s="2">
        <v>43789</v>
      </c>
      <c r="S948" s="1">
        <v>43789.213402777779</v>
      </c>
      <c r="T948" s="1">
        <v>43789.216921296298</v>
      </c>
      <c r="U948" s="1">
        <v>43789.216921296298</v>
      </c>
      <c r="W948" s="1">
        <v>43789.216921296298</v>
      </c>
      <c r="EC948" t="s">
        <v>2280</v>
      </c>
      <c r="ED948" t="s">
        <v>7227</v>
      </c>
      <c r="EE948" t="s">
        <v>7228</v>
      </c>
      <c r="EF948" t="s">
        <v>7229</v>
      </c>
      <c r="EG948" t="s">
        <v>7230</v>
      </c>
      <c r="EH948" t="s">
        <v>807</v>
      </c>
      <c r="EI948" t="s">
        <v>7231</v>
      </c>
      <c r="EJ948" t="str">
        <f>HYPERLINK("https://d33htgqikc2pj4.cloudfront.net/38ea907f-07c7-438d-96f5-f65e49eb19a2.jpeg", "Святослав Грохольский: Ссылка на изображение")</f>
        <v>Святослав Грохольский: Ссылка на изображение</v>
      </c>
      <c r="EK948" t="str">
        <f>HYPERLINK("https://d33htgqikc2pj4.cloudfront.net/638b8632-efe0-46c1-ac71-c8b389091a1d.jpeg", "Святослав Грохольский: Ссылка на изображение")</f>
        <v>Святослав Грохольский: Ссылка на изображение</v>
      </c>
      <c r="EL948" t="str">
        <f>HYPERLINK("https://d33htgqikc2pj4.cloudfront.net/892b8d6a-0fdf-460b-8dc9-05dff7590729.jpeg", "Святослав Грохольский: Ссылка на изображение")</f>
        <v>Святослав Грохольский: Ссылка на изображение</v>
      </c>
      <c r="EM948" t="str">
        <f>HYPERLINK("https://d33htgqikc2pj4.cloudfront.net/fbacbdc7-67c2-4aa3-b399-ee0ebd6704e0.jpeg", "Святослав Грохольский: Ссылка на изображение")</f>
        <v>Святослав Грохольский: Ссылка на изображение</v>
      </c>
      <c r="EN948" t="str">
        <f>HYPERLINK("https://d33htgqikc2pj4.cloudfront.net/e5c10cdd-f35d-4f8d-8f9c-b7a975d8029d.jpeg", "Святослав Грохольский: Ссылка на изображение")</f>
        <v>Святослав Грохольский: Ссылка на изображение</v>
      </c>
      <c r="EO948" t="str">
        <f>HYPERLINK("https://d33htgqikc2pj4.cloudfront.net/28eaef05-3ce0-42f1-99e6-3c95dddf6b95.jpeg", "Святослав Грохольский: Ссылка на изображение")</f>
        <v>Святослав Грохольский: Ссылка на изображение</v>
      </c>
    </row>
    <row r="949" spans="1:152" ht="15" customHeight="1" x14ac:dyDescent="0.35">
      <c r="A949">
        <v>364</v>
      </c>
      <c r="B949" t="s">
        <v>7232</v>
      </c>
      <c r="C949">
        <v>2</v>
      </c>
      <c r="D949" t="str">
        <f>VLOOKUP(source[[#This Row],[Приоритет]],тПриоритеты[],2,0)</f>
        <v>Значительное</v>
      </c>
      <c r="E949" t="str">
        <f>IF(ISBLANK(source[[#This Row],[Проверенные]]),IF(ISBLANK(source[[#This Row],[Завершенные]]),source[[#This Row],[Приоритет_]],"Завершено"),"Проверено")</f>
        <v>Проверено</v>
      </c>
      <c r="F949" t="s">
        <v>4423</v>
      </c>
      <c r="G949" t="s">
        <v>806</v>
      </c>
      <c r="H949" t="e">
        <f>VLOOKUP(source[[#This Row],[Отвественный]],тОтветственные[],2,0)</f>
        <v>#N/A</v>
      </c>
      <c r="I949" s="2">
        <v>43789</v>
      </c>
      <c r="J949" s="2">
        <v>43789</v>
      </c>
      <c r="S949" s="1">
        <v>43789.217650462961</v>
      </c>
      <c r="T949" s="1">
        <v>43789.220092592594</v>
      </c>
      <c r="U949" s="1">
        <v>43789.220266203702</v>
      </c>
      <c r="W949" s="1">
        <v>43789.220266203702</v>
      </c>
      <c r="EC949" t="s">
        <v>7233</v>
      </c>
      <c r="ED949" t="s">
        <v>2280</v>
      </c>
      <c r="EE949" t="s">
        <v>7227</v>
      </c>
      <c r="EF949" t="s">
        <v>7234</v>
      </c>
      <c r="EG949" t="s">
        <v>816</v>
      </c>
      <c r="EH949" t="s">
        <v>807</v>
      </c>
    </row>
    <row r="950" spans="1:152" ht="15" customHeight="1" x14ac:dyDescent="0.35">
      <c r="A950">
        <v>365</v>
      </c>
      <c r="B950" t="s">
        <v>5721</v>
      </c>
      <c r="C950">
        <v>2</v>
      </c>
      <c r="D950" t="str">
        <f>VLOOKUP(source[[#This Row],[Приоритет]],тПриоритеты[],2,0)</f>
        <v>Значительное</v>
      </c>
      <c r="E950" t="str">
        <f>IF(ISBLANK(source[[#This Row],[Проверенные]]),IF(ISBLANK(source[[#This Row],[Завершенные]]),source[[#This Row],[Приоритет_]],"Завершено"),"Проверено")</f>
        <v>Проверено</v>
      </c>
      <c r="F950" t="s">
        <v>4423</v>
      </c>
      <c r="G950" t="s">
        <v>806</v>
      </c>
      <c r="H950" t="e">
        <f>VLOOKUP(source[[#This Row],[Отвественный]],тОтветственные[],2,0)</f>
        <v>#N/A</v>
      </c>
      <c r="I950" s="2">
        <v>43789</v>
      </c>
      <c r="J950" s="2">
        <v>43789</v>
      </c>
      <c r="S950" s="1">
        <v>43789.263240740744</v>
      </c>
      <c r="T950" s="1">
        <v>43789.271805555552</v>
      </c>
      <c r="U950" s="1">
        <v>43789.271805555552</v>
      </c>
      <c r="W950" s="1">
        <v>43789.271805555552</v>
      </c>
      <c r="EC950" t="s">
        <v>2280</v>
      </c>
      <c r="ED950" t="s">
        <v>7235</v>
      </c>
      <c r="EE950" t="s">
        <v>7227</v>
      </c>
      <c r="EF950" s="3" t="s">
        <v>7236</v>
      </c>
      <c r="EG950" t="s">
        <v>7237</v>
      </c>
      <c r="EH950" t="s">
        <v>7237</v>
      </c>
      <c r="EI950" s="3" t="s">
        <v>7238</v>
      </c>
      <c r="EJ950" s="3" t="s">
        <v>7239</v>
      </c>
      <c r="EK950" t="s">
        <v>807</v>
      </c>
      <c r="EL950" t="str">
        <f>HYPERLINK("https://d33htgqikc2pj4.cloudfront.net/45fbac1b-b90c-47bd-a216-32edfe485221.jpeg", "Святослав Грохольский: Ссылка на изображение")</f>
        <v>Святослав Грохольский: Ссылка на изображение</v>
      </c>
      <c r="EM950" t="str">
        <f>HYPERLINK("https://d33htgqikc2pj4.cloudfront.net/a8b65c2f-fbcc-43ac-8ceb-668d20721800.jpeg", "Святослав Грохольский: Ссылка на изображение")</f>
        <v>Святослав Грохольский: Ссылка на изображение</v>
      </c>
      <c r="EN950" t="str">
        <f>HYPERLINK("https://d33htgqikc2pj4.cloudfront.net/68d46c66-0bb0-40f0-a912-f14b18befd4a.jpeg", "Святослав Грохольский: Ссылка на изображение")</f>
        <v>Святослав Грохольский: Ссылка на изображение</v>
      </c>
      <c r="EO950" t="s">
        <v>807</v>
      </c>
    </row>
    <row r="951" spans="1:152" ht="15" customHeight="1" x14ac:dyDescent="0.35">
      <c r="A951">
        <v>378</v>
      </c>
      <c r="B951" t="s">
        <v>7240</v>
      </c>
      <c r="C951">
        <v>2</v>
      </c>
      <c r="D951" t="str">
        <f>VLOOKUP(source[[#This Row],[Приоритет]],тПриоритеты[],2,0)</f>
        <v>Значительное</v>
      </c>
      <c r="E951" t="str">
        <f>IF(ISBLANK(source[[#This Row],[Проверенные]]),IF(ISBLANK(source[[#This Row],[Завершенные]]),source[[#This Row],[Приоритет_]],"Завершено"),"Проверено")</f>
        <v>Проверено</v>
      </c>
      <c r="F951" t="s">
        <v>4423</v>
      </c>
      <c r="G951" t="s">
        <v>806</v>
      </c>
      <c r="H951" t="e">
        <f>VLOOKUP(source[[#This Row],[Отвественный]],тОтветственные[],2,0)</f>
        <v>#N/A</v>
      </c>
      <c r="S951" s="1">
        <v>43790.276909722219</v>
      </c>
      <c r="T951" s="1">
        <v>43790.294398148151</v>
      </c>
      <c r="U951" s="1">
        <v>43790.294456018521</v>
      </c>
      <c r="W951" s="1">
        <v>43790.294456018521</v>
      </c>
      <c r="EC951" t="s">
        <v>2280</v>
      </c>
      <c r="ED951" t="s">
        <v>7241</v>
      </c>
      <c r="EE951" t="s">
        <v>7242</v>
      </c>
      <c r="EF951" t="str">
        <f>HYPERLINK("https://d33htgqikc2pj4.cloudfront.net/d86821f9-e4f3-4aca-bf69-d894e48ca795.jpeg", "Святослав Грохольский: Ссылка на изображение")</f>
        <v>Святослав Грохольский: Ссылка на изображение</v>
      </c>
      <c r="EG951" t="s">
        <v>816</v>
      </c>
      <c r="EH951" t="s">
        <v>807</v>
      </c>
    </row>
    <row r="952" spans="1:152" ht="15" customHeight="1" x14ac:dyDescent="0.35">
      <c r="A952">
        <v>377</v>
      </c>
      <c r="B952" t="s">
        <v>7226</v>
      </c>
      <c r="C952">
        <v>2</v>
      </c>
      <c r="D952" t="str">
        <f>VLOOKUP(source[[#This Row],[Приоритет]],тПриоритеты[],2,0)</f>
        <v>Значительное</v>
      </c>
      <c r="E952" t="str">
        <f>IF(ISBLANK(source[[#This Row],[Проверенные]]),IF(ISBLANK(source[[#This Row],[Завершенные]]),source[[#This Row],[Приоритет_]],"Завершено"),"Проверено")</f>
        <v>Проверено</v>
      </c>
      <c r="F952" t="s">
        <v>4423</v>
      </c>
      <c r="G952" t="s">
        <v>806</v>
      </c>
      <c r="H952" t="e">
        <f>VLOOKUP(source[[#This Row],[Отвественный]],тОтветственные[],2,0)</f>
        <v>#N/A</v>
      </c>
      <c r="I952" s="2">
        <v>43790</v>
      </c>
      <c r="J952" s="2">
        <v>43790</v>
      </c>
      <c r="S952" s="1">
        <v>43790.267592592594</v>
      </c>
      <c r="T952" s="1">
        <v>43790.274131944447</v>
      </c>
      <c r="U952" s="1">
        <v>43790.274178240739</v>
      </c>
      <c r="W952" s="1">
        <v>43790.274189814816</v>
      </c>
      <c r="X952" t="s">
        <v>191</v>
      </c>
      <c r="AH952" t="s">
        <v>7243</v>
      </c>
      <c r="AI952" t="s">
        <v>7244</v>
      </c>
      <c r="AJ952" t="s">
        <v>7245</v>
      </c>
      <c r="AK952" t="s">
        <v>7246</v>
      </c>
      <c r="AL952" t="s">
        <v>7247</v>
      </c>
      <c r="AM952" t="s">
        <v>7248</v>
      </c>
      <c r="AN952" t="s">
        <v>7249</v>
      </c>
      <c r="AO952" t="s">
        <v>7250</v>
      </c>
      <c r="AP952" t="s">
        <v>7251</v>
      </c>
      <c r="AQ952" t="s">
        <v>7252</v>
      </c>
      <c r="AR952" t="s">
        <v>7253</v>
      </c>
      <c r="AS952" t="s">
        <v>7254</v>
      </c>
      <c r="AT952" t="s">
        <v>7255</v>
      </c>
      <c r="AU952" t="s">
        <v>7256</v>
      </c>
      <c r="AV952" t="s">
        <v>7257</v>
      </c>
      <c r="AW952" t="s">
        <v>7258</v>
      </c>
      <c r="AX952" t="s">
        <v>7259</v>
      </c>
      <c r="AY952" t="s">
        <v>7260</v>
      </c>
      <c r="EC952" t="s">
        <v>7228</v>
      </c>
      <c r="ED952" t="s">
        <v>2280</v>
      </c>
      <c r="EE952" t="s">
        <v>7261</v>
      </c>
      <c r="EF952" t="s">
        <v>7262</v>
      </c>
      <c r="EG952" t="s">
        <v>816</v>
      </c>
      <c r="EH952" t="s">
        <v>807</v>
      </c>
    </row>
    <row r="953" spans="1:152" ht="15" customHeight="1" x14ac:dyDescent="0.35">
      <c r="A953">
        <v>379</v>
      </c>
      <c r="B953" t="s">
        <v>7263</v>
      </c>
      <c r="C953">
        <v>2</v>
      </c>
      <c r="D953" t="str">
        <f>VLOOKUP(source[[#This Row],[Приоритет]],тПриоритеты[],2,0)</f>
        <v>Значительное</v>
      </c>
      <c r="E953" t="str">
        <f>IF(ISBLANK(source[[#This Row],[Проверенные]]),IF(ISBLANK(source[[#This Row],[Завершенные]]),source[[#This Row],[Приоритет_]],"Завершено"),"Проверено")</f>
        <v>Проверено</v>
      </c>
      <c r="F953" t="s">
        <v>4423</v>
      </c>
      <c r="G953" t="s">
        <v>806</v>
      </c>
      <c r="H953" t="e">
        <f>VLOOKUP(source[[#This Row],[Отвественный]],тОтветственные[],2,0)</f>
        <v>#N/A</v>
      </c>
      <c r="I953" s="2">
        <v>43790</v>
      </c>
      <c r="J953" s="2">
        <v>43790</v>
      </c>
      <c r="S953" s="1">
        <v>43790.279016203705</v>
      </c>
      <c r="T953" s="1">
        <v>43790.288240740738</v>
      </c>
      <c r="U953" s="1">
        <v>43790.288310185184</v>
      </c>
      <c r="W953" s="1">
        <v>43790.288310185184</v>
      </c>
      <c r="EC953" t="s">
        <v>7264</v>
      </c>
      <c r="ED953" t="s">
        <v>7265</v>
      </c>
      <c r="EE953" t="s">
        <v>2280</v>
      </c>
      <c r="EF953" t="s">
        <v>7261</v>
      </c>
      <c r="EG953" t="str">
        <f>HYPERLINK("https://d33htgqikc2pj4.cloudfront.net/4709c80f-d9d6-4de7-90f7-7e4c2a83ba46.jpeg", "Святослав Грохольский: Ссылка на изображение")</f>
        <v>Святослав Грохольский: Ссылка на изображение</v>
      </c>
      <c r="EH953" t="s">
        <v>816</v>
      </c>
      <c r="EI953" t="s">
        <v>807</v>
      </c>
    </row>
    <row r="954" spans="1:152" ht="15" customHeight="1" x14ac:dyDescent="0.35">
      <c r="A954">
        <v>380</v>
      </c>
      <c r="B954" t="s">
        <v>5721</v>
      </c>
      <c r="C954">
        <v>2</v>
      </c>
      <c r="D954" t="str">
        <f>VLOOKUP(source[[#This Row],[Приоритет]],тПриоритеты[],2,0)</f>
        <v>Значительное</v>
      </c>
      <c r="E954" t="str">
        <f>IF(ISBLANK(source[[#This Row],[Проверенные]]),IF(ISBLANK(source[[#This Row],[Завершенные]]),source[[#This Row],[Приоритет_]],"Завершено"),"Проверено")</f>
        <v>Проверено</v>
      </c>
      <c r="F954" t="s">
        <v>4423</v>
      </c>
      <c r="G954" t="s">
        <v>806</v>
      </c>
      <c r="H954" t="e">
        <f>VLOOKUP(source[[#This Row],[Отвественный]],тОтветственные[],2,0)</f>
        <v>#N/A</v>
      </c>
      <c r="S954" s="1">
        <v>43790.295729166668</v>
      </c>
      <c r="T954" s="1">
        <v>43790.304467592592</v>
      </c>
      <c r="U954" s="1">
        <v>43790.304548611108</v>
      </c>
      <c r="W954" s="1">
        <v>43790.304548611108</v>
      </c>
      <c r="EC954" t="s">
        <v>7235</v>
      </c>
      <c r="ED954" s="3" t="s">
        <v>7266</v>
      </c>
      <c r="EE954" t="s">
        <v>2280</v>
      </c>
      <c r="EF954" t="str">
        <f>HYPERLINK("https://d33htgqikc2pj4.cloudfront.net/1613902a-9626-4fbf-b227-bd04102b68df.jpeg", "Святослав Грохольский: Ссылка на изображение")</f>
        <v>Святослав Грохольский: Ссылка на изображение</v>
      </c>
      <c r="EG954" t="str">
        <f>HYPERLINK("https://d33htgqikc2pj4.cloudfront.net/6fdcda3f-8a15-492e-a0d4-33b0d7bf1e65.jpeg", "Святослав Грохольский: Ссылка на изображение")</f>
        <v>Святослав Грохольский: Ссылка на изображение</v>
      </c>
      <c r="EH954" t="str">
        <f>HYPERLINK("https://d33htgqikc2pj4.cloudfront.net/10d182b2-4a0e-4c7d-9222-f8400a937b34.jpeg", "Святослав Грохольский: Ссылка на изображение")</f>
        <v>Святослав Грохольский: Ссылка на изображение</v>
      </c>
      <c r="EI954" t="str">
        <f>HYPERLINK("https://d33htgqikc2pj4.cloudfront.net/2a9f7e4f-d8a4-49b8-a2c4-2dc85452175f.jpeg", "Святослав Грохольский: Ссылка на изображение")</f>
        <v>Святослав Грохольский: Ссылка на изображение</v>
      </c>
      <c r="EJ954" t="s">
        <v>816</v>
      </c>
      <c r="EK954" t="s">
        <v>807</v>
      </c>
    </row>
    <row r="955" spans="1:152" ht="15" customHeight="1" x14ac:dyDescent="0.35">
      <c r="A955">
        <v>662</v>
      </c>
      <c r="B955" t="s">
        <v>7267</v>
      </c>
      <c r="C955">
        <v>2</v>
      </c>
      <c r="D955" t="str">
        <f>VLOOKUP(source[[#This Row],[Приоритет]],тПриоритеты[],2,0)</f>
        <v>Значительное</v>
      </c>
      <c r="E955" t="str">
        <f>IF(ISBLANK(source[[#This Row],[Проверенные]]),IF(ISBLANK(source[[#This Row],[Завершенные]]),source[[#This Row],[Приоритет_]],"Завершено"),"Проверено")</f>
        <v>Проверено</v>
      </c>
      <c r="F955" t="s">
        <v>4423</v>
      </c>
      <c r="G955" t="s">
        <v>806</v>
      </c>
      <c r="H955" t="e">
        <f>VLOOKUP(source[[#This Row],[Отвественный]],тОтветственные[],2,0)</f>
        <v>#N/A</v>
      </c>
      <c r="I955" s="2">
        <v>43816</v>
      </c>
      <c r="J955" s="2">
        <v>43817</v>
      </c>
      <c r="S955" s="1">
        <v>43817.275555555556</v>
      </c>
      <c r="T955" s="1">
        <v>43817.285277777781</v>
      </c>
      <c r="U955" s="1">
        <v>43817.285277777781</v>
      </c>
      <c r="W955" s="1">
        <v>43817.28528935185</v>
      </c>
      <c r="EC955" t="s">
        <v>7268</v>
      </c>
      <c r="ED955" s="3" t="s">
        <v>7269</v>
      </c>
      <c r="EE955" t="s">
        <v>2280</v>
      </c>
      <c r="EF955" t="s">
        <v>7270</v>
      </c>
      <c r="EG955" t="s">
        <v>7271</v>
      </c>
      <c r="EH955" t="s">
        <v>807</v>
      </c>
    </row>
    <row r="956" spans="1:152" ht="15" customHeight="1" x14ac:dyDescent="0.35">
      <c r="A956">
        <v>660</v>
      </c>
      <c r="B956" t="s">
        <v>7272</v>
      </c>
      <c r="C956">
        <v>2</v>
      </c>
      <c r="D956" t="str">
        <f>VLOOKUP(source[[#This Row],[Приоритет]],тПриоритеты[],2,0)</f>
        <v>Значительное</v>
      </c>
      <c r="E956" t="str">
        <f>IF(ISBLANK(source[[#This Row],[Проверенные]]),IF(ISBLANK(source[[#This Row],[Завершенные]]),source[[#This Row],[Приоритет_]],"Завершено"),"Проверено")</f>
        <v>Проверено</v>
      </c>
      <c r="F956" t="s">
        <v>4423</v>
      </c>
      <c r="G956" t="s">
        <v>806</v>
      </c>
      <c r="H956" t="e">
        <f>VLOOKUP(source[[#This Row],[Отвественный]],тОтветственные[],2,0)</f>
        <v>#N/A</v>
      </c>
      <c r="I956" s="2">
        <v>43817</v>
      </c>
      <c r="J956" s="2">
        <v>43817</v>
      </c>
      <c r="S956" s="1">
        <v>43817.191261574073</v>
      </c>
      <c r="T956" s="1">
        <v>43817.191435185188</v>
      </c>
      <c r="U956" s="1">
        <v>43817.270960648151</v>
      </c>
      <c r="W956" s="1">
        <v>43817.270960648151</v>
      </c>
      <c r="EC956" t="s">
        <v>816</v>
      </c>
      <c r="ED956" t="s">
        <v>7273</v>
      </c>
      <c r="EE956" t="s">
        <v>2280</v>
      </c>
      <c r="EF956" t="s">
        <v>7274</v>
      </c>
      <c r="EG956" t="s">
        <v>7275</v>
      </c>
      <c r="EH956" t="s">
        <v>807</v>
      </c>
    </row>
    <row r="957" spans="1:152" ht="15" customHeight="1" x14ac:dyDescent="0.35">
      <c r="A957">
        <v>661</v>
      </c>
      <c r="B957" t="s">
        <v>7276</v>
      </c>
      <c r="C957">
        <v>2</v>
      </c>
      <c r="D957" t="str">
        <f>VLOOKUP(source[[#This Row],[Приоритет]],тПриоритеты[],2,0)</f>
        <v>Значительное</v>
      </c>
      <c r="E957" t="str">
        <f>IF(ISBLANK(source[[#This Row],[Проверенные]]),IF(ISBLANK(source[[#This Row],[Завершенные]]),source[[#This Row],[Приоритет_]],"Завершено"),"Проверено")</f>
        <v>Проверено</v>
      </c>
      <c r="F957" t="s">
        <v>4423</v>
      </c>
      <c r="G957" t="s">
        <v>806</v>
      </c>
      <c r="H957" t="e">
        <f>VLOOKUP(source[[#This Row],[Отвественный]],тОтветственные[],2,0)</f>
        <v>#N/A</v>
      </c>
      <c r="I957" s="2">
        <v>43817</v>
      </c>
      <c r="J957" s="2">
        <v>43817</v>
      </c>
      <c r="S957" s="1">
        <v>43817.271041666667</v>
      </c>
      <c r="T957" s="1">
        <v>43817.273240740738</v>
      </c>
      <c r="U957" s="1">
        <v>43817.273240740738</v>
      </c>
      <c r="W957" s="1">
        <v>43817.273252314815</v>
      </c>
      <c r="EC957" t="s">
        <v>7277</v>
      </c>
      <c r="ED957" t="s">
        <v>7278</v>
      </c>
      <c r="EE957" t="str">
        <f>HYPERLINK("https://d33htgqikc2pj4.cloudfront.net/d3fbf5f6-a50b-414d-b21c-cf2d8dc89704.jpeg", "Святослав Грохольский: Ссылка на изображение")</f>
        <v>Святослав Грохольский: Ссылка на изображение</v>
      </c>
      <c r="EF957" t="str">
        <f>HYPERLINK("https://d33htgqikc2pj4.cloudfront.net/a197c15e-92b3-42e4-ad19-025fe0b6adf3.jpeg", "Святослав Грохольский: Ссылка на изображение")</f>
        <v>Святослав Грохольский: Ссылка на изображение</v>
      </c>
      <c r="EG957" t="s">
        <v>2280</v>
      </c>
      <c r="EH957" t="s">
        <v>7279</v>
      </c>
      <c r="EI957" t="s">
        <v>807</v>
      </c>
    </row>
    <row r="958" spans="1:152" ht="15" customHeight="1" x14ac:dyDescent="0.35">
      <c r="A958">
        <v>116</v>
      </c>
      <c r="B958" t="s">
        <v>2285</v>
      </c>
      <c r="C958">
        <v>2</v>
      </c>
      <c r="D958" t="str">
        <f>VLOOKUP(source[[#This Row],[Приоритет]],тПриоритеты[],2,0)</f>
        <v>Значительное</v>
      </c>
      <c r="E958" t="str">
        <f>IF(ISBLANK(source[[#This Row],[Проверенные]]),IF(ISBLANK(source[[#This Row],[Завершенные]]),source[[#This Row],[Приоритет_]],"Завершено"),"Проверено")</f>
        <v>Проверено</v>
      </c>
      <c r="F958" t="s">
        <v>4423</v>
      </c>
      <c r="G958" t="s">
        <v>806</v>
      </c>
      <c r="H958" t="e">
        <f>VLOOKUP(source[[#This Row],[Отвественный]],тОтветственные[],2,0)</f>
        <v>#N/A</v>
      </c>
      <c r="I958" s="2">
        <v>43773</v>
      </c>
      <c r="J958" s="2">
        <v>43773</v>
      </c>
      <c r="S958" s="1">
        <v>43773.485300925924</v>
      </c>
      <c r="T958" s="1">
        <v>43773.48537037037</v>
      </c>
      <c r="U958" s="1">
        <v>43776.362523148149</v>
      </c>
      <c r="W958" s="1">
        <v>43776.362523148149</v>
      </c>
      <c r="EC958" t="s">
        <v>816</v>
      </c>
      <c r="ED958" t="s">
        <v>2287</v>
      </c>
      <c r="EE958" t="s">
        <v>7280</v>
      </c>
      <c r="EF958" t="str">
        <f>HYPERLINK("https://d33htgqikc2pj4.cloudfront.net/ca6bdffd-52c5-4f94-b0e5-89e0791ac6a5.jpeg", "Святослав Грохольский: Ссылка на изображение")</f>
        <v>Святослав Грохольский: Ссылка на изображение</v>
      </c>
      <c r="EG958" t="str">
        <f>HYPERLINK("https://d33htgqikc2pj4.cloudfront.net/42091e86-cdcd-402f-a596-da87d51e34ad.jpeg", "Святослав Грохольский: Ссылка на изображение")</f>
        <v>Святослав Грохольский: Ссылка на изображение</v>
      </c>
      <c r="EH958" t="str">
        <f>HYPERLINK("https://d33htgqikc2pj4.cloudfront.net/9f357743-cc92-4fe7-8c4b-ca489d15681f.jpeg", "Святослав Грохольский: Ссылка на изображение")</f>
        <v>Святослав Грохольский: Ссылка на изображение</v>
      </c>
      <c r="EI958" t="str">
        <f>HYPERLINK("https://d33htgqikc2pj4.cloudfront.net/3c0ec968-5cf2-4496-acd2-f97030e8b3d6.jpeg", "Святослав Грохольский: Ссылка на изображение")</f>
        <v>Святослав Грохольский: Ссылка на изображение</v>
      </c>
      <c r="EJ958" t="str">
        <f>HYPERLINK("https://d33htgqikc2pj4.cloudfront.net/66b3f3dc-35f7-4b52-bd87-1d1095498ce9.jpeg", "Святослав Грохольский: Ссылка на изображение")</f>
        <v>Святослав Грохольский: Ссылка на изображение</v>
      </c>
      <c r="EK958" t="str">
        <f>HYPERLINK("https://d33htgqikc2pj4.cloudfront.net/a48ad8da-6566-48a9-9c44-7fb363f8e484.jpeg", "Святослав Грохольский: Ссылка на изображение")</f>
        <v>Святослав Грохольский: Ссылка на изображение</v>
      </c>
      <c r="EL958" t="str">
        <f>HYPERLINK("https://d33htgqikc2pj4.cloudfront.net/2f1b810c-5879-4eae-a246-1e44da225145.jpeg", "Святослав Грохольский: Ссылка на изображение")</f>
        <v>Святослав Грохольский: Ссылка на изображение</v>
      </c>
      <c r="EM958" t="str">
        <f>HYPERLINK("https://d33htgqikc2pj4.cloudfront.net/e340b5da-059c-4397-be79-616a2ff0b541.jpeg", "Святослав Грохольский: Ссылка на изображение")</f>
        <v>Святослав Грохольский: Ссылка на изображение</v>
      </c>
      <c r="EN958" t="str">
        <f>HYPERLINK("https://d33htgqikc2pj4.cloudfront.net/0dbeab79-d7c6-45c2-aaa4-82654e1ddc16.jpeg", "Святослав Грохольский: Ссылка на изображение")</f>
        <v>Святослав Грохольский: Ссылка на изображение</v>
      </c>
      <c r="EO958" t="str">
        <f>HYPERLINK("https://d33htgqikc2pj4.cloudfront.net/96212f21-27bf-45ca-aa0d-8d3148d3bad3.jpeg", "Святослав Грохольский: Ссылка на изображение")</f>
        <v>Святослав Грохольский: Ссылка на изображение</v>
      </c>
      <c r="EP958" t="s">
        <v>817</v>
      </c>
      <c r="EQ958" t="s">
        <v>2280</v>
      </c>
      <c r="ER958" t="s">
        <v>2286</v>
      </c>
      <c r="ES958" t="s">
        <v>807</v>
      </c>
    </row>
    <row r="959" spans="1:152" ht="15" customHeight="1" x14ac:dyDescent="0.35">
      <c r="A959">
        <v>414</v>
      </c>
      <c r="B959" t="s">
        <v>7226</v>
      </c>
      <c r="C959">
        <v>2</v>
      </c>
      <c r="D959" t="str">
        <f>VLOOKUP(source[[#This Row],[Приоритет]],тПриоритеты[],2,0)</f>
        <v>Значительное</v>
      </c>
      <c r="E959" t="str">
        <f>IF(ISBLANK(source[[#This Row],[Проверенные]]),IF(ISBLANK(source[[#This Row],[Завершенные]]),source[[#This Row],[Приоритет_]],"Завершено"),"Проверено")</f>
        <v>Проверено</v>
      </c>
      <c r="F959" t="s">
        <v>4423</v>
      </c>
      <c r="G959" t="s">
        <v>806</v>
      </c>
      <c r="H959" t="e">
        <f>VLOOKUP(source[[#This Row],[Отвественный]],тОтветственные[],2,0)</f>
        <v>#N/A</v>
      </c>
      <c r="I959" s="2">
        <v>43793</v>
      </c>
      <c r="J959" s="2">
        <v>43793</v>
      </c>
      <c r="S959" s="1">
        <v>43793.213645833333</v>
      </c>
      <c r="T959" s="1">
        <v>43793.216064814813</v>
      </c>
      <c r="U959" s="1">
        <v>43793.216145833336</v>
      </c>
      <c r="W959" s="1">
        <v>43793.216145833336</v>
      </c>
      <c r="X959" t="s">
        <v>191</v>
      </c>
      <c r="AH959" t="s">
        <v>7281</v>
      </c>
      <c r="AI959" t="s">
        <v>7282</v>
      </c>
      <c r="AJ959" t="s">
        <v>7283</v>
      </c>
      <c r="AK959" t="s">
        <v>7284</v>
      </c>
      <c r="AL959" t="s">
        <v>7285</v>
      </c>
      <c r="AM959" t="s">
        <v>7286</v>
      </c>
      <c r="AN959" t="s">
        <v>7287</v>
      </c>
      <c r="AO959" t="s">
        <v>7288</v>
      </c>
      <c r="AP959" t="s">
        <v>7289</v>
      </c>
      <c r="AQ959" t="s">
        <v>7290</v>
      </c>
      <c r="AR959" t="s">
        <v>7291</v>
      </c>
      <c r="AS959" t="s">
        <v>7292</v>
      </c>
      <c r="AT959" t="s">
        <v>7293</v>
      </c>
      <c r="AU959" t="s">
        <v>7294</v>
      </c>
      <c r="AV959" t="s">
        <v>7295</v>
      </c>
      <c r="AW959" t="s">
        <v>7296</v>
      </c>
      <c r="AX959" t="s">
        <v>7297</v>
      </c>
      <c r="AY959" t="s">
        <v>7298</v>
      </c>
      <c r="EC959" t="s">
        <v>7228</v>
      </c>
      <c r="ED959" t="s">
        <v>2280</v>
      </c>
      <c r="EE959" t="s">
        <v>7299</v>
      </c>
      <c r="EF959" t="s">
        <v>7300</v>
      </c>
      <c r="EG959" t="s">
        <v>816</v>
      </c>
      <c r="EH959" t="s">
        <v>807</v>
      </c>
    </row>
    <row r="960" spans="1:152" ht="15" customHeight="1" x14ac:dyDescent="0.35">
      <c r="A960">
        <v>415</v>
      </c>
      <c r="B960" t="s">
        <v>7232</v>
      </c>
      <c r="C960">
        <v>2</v>
      </c>
      <c r="D960" t="str">
        <f>VLOOKUP(source[[#This Row],[Приоритет]],тПриоритеты[],2,0)</f>
        <v>Значительное</v>
      </c>
      <c r="E960" t="str">
        <f>IF(ISBLANK(source[[#This Row],[Проверенные]]),IF(ISBLANK(source[[#This Row],[Завершенные]]),source[[#This Row],[Приоритет_]],"Завершено"),"Проверено")</f>
        <v>Проверено</v>
      </c>
      <c r="F960" t="s">
        <v>4423</v>
      </c>
      <c r="G960" t="s">
        <v>806</v>
      </c>
      <c r="H960" t="e">
        <f>VLOOKUP(source[[#This Row],[Отвественный]],тОтветственные[],2,0)</f>
        <v>#N/A</v>
      </c>
      <c r="I960" s="2">
        <v>43792</v>
      </c>
      <c r="J960" s="2">
        <v>43793</v>
      </c>
      <c r="S960" s="1">
        <v>43793.216377314813</v>
      </c>
      <c r="T960" s="1">
        <v>43793.218587962961</v>
      </c>
      <c r="U960" s="1">
        <v>43793.218657407408</v>
      </c>
      <c r="W960" s="1">
        <v>43793.218657407408</v>
      </c>
      <c r="EC960" t="s">
        <v>7233</v>
      </c>
      <c r="ED960" t="s">
        <v>2280</v>
      </c>
      <c r="EE960" t="s">
        <v>7299</v>
      </c>
      <c r="EF960" t="s">
        <v>7301</v>
      </c>
      <c r="EG960" t="s">
        <v>7302</v>
      </c>
      <c r="EH960" t="s">
        <v>816</v>
      </c>
      <c r="EI960" t="s">
        <v>807</v>
      </c>
    </row>
    <row r="961" spans="1:144" ht="15" customHeight="1" x14ac:dyDescent="0.35">
      <c r="A961">
        <v>416</v>
      </c>
      <c r="B961" t="s">
        <v>5721</v>
      </c>
      <c r="C961">
        <v>2</v>
      </c>
      <c r="D961" t="str">
        <f>VLOOKUP(source[[#This Row],[Приоритет]],тПриоритеты[],2,0)</f>
        <v>Значительное</v>
      </c>
      <c r="E961" t="str">
        <f>IF(ISBLANK(source[[#This Row],[Проверенные]]),IF(ISBLANK(source[[#This Row],[Завершенные]]),source[[#This Row],[Приоритет_]],"Завершено"),"Проверено")</f>
        <v>Проверено</v>
      </c>
      <c r="F961" t="s">
        <v>4423</v>
      </c>
      <c r="G961" t="s">
        <v>806</v>
      </c>
      <c r="H961" t="e">
        <f>VLOOKUP(source[[#This Row],[Отвественный]],тОтветственные[],2,0)</f>
        <v>#N/A</v>
      </c>
      <c r="I961" s="2">
        <v>43793</v>
      </c>
      <c r="J961" s="2">
        <v>43793</v>
      </c>
      <c r="S961" s="1">
        <v>43793.219224537039</v>
      </c>
      <c r="T961" s="1">
        <v>43793.224675925929</v>
      </c>
      <c r="U961" s="1">
        <v>43793.224745370368</v>
      </c>
      <c r="W961" s="1">
        <v>43793.224745370368</v>
      </c>
      <c r="EC961" t="s">
        <v>7235</v>
      </c>
      <c r="ED961" t="s">
        <v>2280</v>
      </c>
      <c r="EE961" s="3" t="s">
        <v>7303</v>
      </c>
      <c r="EF961" t="s">
        <v>7299</v>
      </c>
      <c r="EG961" t="s">
        <v>816</v>
      </c>
      <c r="EH961" t="s">
        <v>807</v>
      </c>
    </row>
    <row r="962" spans="1:144" ht="15" customHeight="1" x14ac:dyDescent="0.35">
      <c r="A962">
        <v>122</v>
      </c>
      <c r="B962" t="s">
        <v>7304</v>
      </c>
      <c r="C962">
        <v>2</v>
      </c>
      <c r="D962" t="str">
        <f>VLOOKUP(source[[#This Row],[Приоритет]],тПриоритеты[],2,0)</f>
        <v>Значительное</v>
      </c>
      <c r="E962" t="str">
        <f>IF(ISBLANK(source[[#This Row],[Проверенные]]),IF(ISBLANK(source[[#This Row],[Завершенные]]),source[[#This Row],[Приоритет_]],"Завершено"),"Проверено")</f>
        <v>Проверено</v>
      </c>
      <c r="F962" t="s">
        <v>4423</v>
      </c>
      <c r="G962" t="s">
        <v>806</v>
      </c>
      <c r="H962" t="e">
        <f>VLOOKUP(source[[#This Row],[Отвественный]],тОтветственные[],2,0)</f>
        <v>#N/A</v>
      </c>
      <c r="I962" s="2">
        <v>43773</v>
      </c>
      <c r="J962" s="2">
        <v>43773</v>
      </c>
      <c r="S962" s="1">
        <v>43773.807638888888</v>
      </c>
      <c r="T962" s="1">
        <v>43773.809814814813</v>
      </c>
      <c r="U962" s="1">
        <v>43776.362951388888</v>
      </c>
      <c r="W962" s="1">
        <v>43776.362962962965</v>
      </c>
      <c r="X962" t="s">
        <v>7305</v>
      </c>
      <c r="AH962" t="s">
        <v>7306</v>
      </c>
      <c r="AI962" t="s">
        <v>7307</v>
      </c>
      <c r="AJ962" t="s">
        <v>7308</v>
      </c>
      <c r="AK962" t="s">
        <v>7309</v>
      </c>
      <c r="AL962" t="s">
        <v>7310</v>
      </c>
      <c r="AM962" t="s">
        <v>7311</v>
      </c>
      <c r="AN962" t="s">
        <v>7312</v>
      </c>
      <c r="AO962" t="s">
        <v>7313</v>
      </c>
      <c r="AP962" t="s">
        <v>7314</v>
      </c>
      <c r="AQ962" t="s">
        <v>7315</v>
      </c>
      <c r="AR962" t="s">
        <v>7316</v>
      </c>
      <c r="AS962" t="s">
        <v>7317</v>
      </c>
      <c r="EC962" t="s">
        <v>7318</v>
      </c>
      <c r="ED962" t="s">
        <v>816</v>
      </c>
      <c r="EE962" t="s">
        <v>2286</v>
      </c>
      <c r="EF962" t="s">
        <v>2280</v>
      </c>
      <c r="EG962" t="s">
        <v>7319</v>
      </c>
      <c r="EH962" t="str">
        <f>HYPERLINK("https://d33htgqikc2pj4.cloudfront.net/d01dbf35-9124-459c-84a4-630c22de5002.jpeg", "Святослав Грохольский: Ссылка на изображение")</f>
        <v>Святослав Грохольский: Ссылка на изображение</v>
      </c>
      <c r="EI962" t="str">
        <f>HYPERLINK("https://d33htgqikc2pj4.cloudfront.net/a7232facfb90a949f4dcb02c4a24ba52/c3512c80bc8f0704ba6b4327526cf905-file.jpeg", "Святослав Грохольский: Ссылка на изображение")</f>
        <v>Святослав Грохольский: Ссылка на изображение</v>
      </c>
      <c r="EJ962" t="str">
        <f>HYPERLINK("https://d33htgqikc2pj4.cloudfront.net/251f1a6a48c48ea93cde494cd2161de9/f924b4c5cc8660412385b7134f2972cf-file.jpeg", "Святослав Грохольский: Ссылка на изображение")</f>
        <v>Святослав Грохольский: Ссылка на изображение</v>
      </c>
      <c r="EK962" t="str">
        <f>HYPERLINK("https://d33htgqikc2pj4.cloudfront.net/2b04133d13eaaba3edf73075f713131b/d4de7a262d161f25645250599a73a621-file.jpeg", "Святослав Грохольский: Ссылка на изображение")</f>
        <v>Святослав Грохольский: Ссылка на изображение</v>
      </c>
      <c r="EL962" t="str">
        <f>HYPERLINK("https://d33htgqikc2pj4.cloudfront.net/ce22e94ecad05821321113b7fa635cf5/1334ff216fca2a9bec6fb8baf6a35769-file.jpeg", "Святослав Грохольский: Ссылка на изображение")</f>
        <v>Святослав Грохольский: Ссылка на изображение</v>
      </c>
      <c r="EM962" t="str">
        <f>HYPERLINK("https://d33htgqikc2pj4.cloudfront.net/b2b00d1d4d26ac03075381d19a640b2e/59de9a5bc583fac1d407735e5b7aa464-file.jpeg", "Святослав Грохольский: Ссылка на изображение")</f>
        <v>Святослав Грохольский: Ссылка на изображение</v>
      </c>
      <c r="EN962" t="s">
        <v>807</v>
      </c>
    </row>
    <row r="963" spans="1:144" ht="15" customHeight="1" x14ac:dyDescent="0.35">
      <c r="A963">
        <v>420</v>
      </c>
      <c r="B963" t="s">
        <v>7226</v>
      </c>
      <c r="C963">
        <v>2</v>
      </c>
      <c r="D963" t="str">
        <f>VLOOKUP(source[[#This Row],[Приоритет]],тПриоритеты[],2,0)</f>
        <v>Значительное</v>
      </c>
      <c r="E963" t="str">
        <f>IF(ISBLANK(source[[#This Row],[Проверенные]]),IF(ISBLANK(source[[#This Row],[Завершенные]]),source[[#This Row],[Приоритет_]],"Завершено"),"Проверено")</f>
        <v>Проверено</v>
      </c>
      <c r="F963" t="s">
        <v>4423</v>
      </c>
      <c r="G963" t="s">
        <v>806</v>
      </c>
      <c r="H963" t="e">
        <f>VLOOKUP(source[[#This Row],[Отвественный]],тОтветственные[],2,0)</f>
        <v>#N/A</v>
      </c>
      <c r="I963" s="2">
        <v>43794</v>
      </c>
      <c r="J963" s="2">
        <v>43794</v>
      </c>
      <c r="S963" s="1">
        <v>43794.19226851852</v>
      </c>
      <c r="T963" s="1">
        <v>43794.19458333333</v>
      </c>
      <c r="U963" s="1">
        <v>43794.196319444447</v>
      </c>
      <c r="W963" s="1">
        <v>43794.196319444447</v>
      </c>
      <c r="X963" t="s">
        <v>191</v>
      </c>
      <c r="AH963" t="s">
        <v>7320</v>
      </c>
      <c r="AI963" t="s">
        <v>7321</v>
      </c>
      <c r="AJ963" t="s">
        <v>7322</v>
      </c>
      <c r="AK963" t="s">
        <v>7323</v>
      </c>
      <c r="AL963" t="s">
        <v>7324</v>
      </c>
      <c r="AM963" t="s">
        <v>7325</v>
      </c>
      <c r="AN963" t="s">
        <v>7326</v>
      </c>
      <c r="AO963" t="s">
        <v>7327</v>
      </c>
      <c r="AP963" t="s">
        <v>7328</v>
      </c>
      <c r="AQ963" t="s">
        <v>7329</v>
      </c>
      <c r="AR963" t="s">
        <v>7330</v>
      </c>
      <c r="AS963" t="s">
        <v>7331</v>
      </c>
      <c r="AT963" t="s">
        <v>7332</v>
      </c>
      <c r="AU963" t="s">
        <v>7333</v>
      </c>
      <c r="AV963" t="s">
        <v>7334</v>
      </c>
      <c r="AW963" t="s">
        <v>7335</v>
      </c>
      <c r="AX963" t="s">
        <v>7336</v>
      </c>
      <c r="AY963" t="s">
        <v>7337</v>
      </c>
      <c r="EC963" t="s">
        <v>7228</v>
      </c>
      <c r="ED963" t="s">
        <v>7338</v>
      </c>
      <c r="EE963" t="s">
        <v>816</v>
      </c>
      <c r="EF963" t="s">
        <v>2280</v>
      </c>
      <c r="EG963" t="s">
        <v>7339</v>
      </c>
      <c r="EH963" t="s">
        <v>7340</v>
      </c>
      <c r="EI963" t="s">
        <v>7341</v>
      </c>
      <c r="EJ963" t="s">
        <v>807</v>
      </c>
    </row>
    <row r="964" spans="1:144" ht="15" customHeight="1" x14ac:dyDescent="0.35">
      <c r="A964">
        <v>706</v>
      </c>
      <c r="B964" t="s">
        <v>7342</v>
      </c>
      <c r="C964">
        <v>2</v>
      </c>
      <c r="D964" t="str">
        <f>VLOOKUP(source[[#This Row],[Приоритет]],тПриоритеты[],2,0)</f>
        <v>Значительное</v>
      </c>
      <c r="E964" t="str">
        <f>IF(ISBLANK(source[[#This Row],[Проверенные]]),IF(ISBLANK(source[[#This Row],[Завершенные]]),source[[#This Row],[Приоритет_]],"Завершено"),"Проверено")</f>
        <v>Проверено</v>
      </c>
      <c r="F964" t="s">
        <v>4423</v>
      </c>
      <c r="G964" t="s">
        <v>806</v>
      </c>
      <c r="H964" t="e">
        <f>VLOOKUP(source[[#This Row],[Отвественный]],тОтветственные[],2,0)</f>
        <v>#N/A</v>
      </c>
      <c r="I964" s="2">
        <v>43820</v>
      </c>
      <c r="J964" s="2">
        <v>43821</v>
      </c>
      <c r="S964" s="1">
        <v>43821.305509259262</v>
      </c>
      <c r="T964" s="1">
        <v>43821.306192129632</v>
      </c>
      <c r="U964" s="1">
        <v>43821.306192129632</v>
      </c>
      <c r="W964" s="1">
        <v>43821.30940972222</v>
      </c>
      <c r="EC964" t="s">
        <v>2280</v>
      </c>
      <c r="ED964" t="s">
        <v>7343</v>
      </c>
      <c r="EE964" t="s">
        <v>7344</v>
      </c>
      <c r="EF964" t="s">
        <v>807</v>
      </c>
      <c r="EG964" t="s">
        <v>7345</v>
      </c>
      <c r="EH964" t="s">
        <v>7346</v>
      </c>
      <c r="EI964" t="str">
        <f>HYPERLINK("https://d33htgqikc2pj4.cloudfront.net/c2342fb9-0d1b-4220-9008-ecdd355b4d4d.jpeg", "Святослав Грохольский: Ссылка на изображение")</f>
        <v>Святослав Грохольский: Ссылка на изображение</v>
      </c>
      <c r="EJ964" t="s">
        <v>7347</v>
      </c>
    </row>
    <row r="965" spans="1:144" ht="15" customHeight="1" x14ac:dyDescent="0.35">
      <c r="A965">
        <v>136</v>
      </c>
      <c r="B965" t="s">
        <v>7226</v>
      </c>
      <c r="C965">
        <v>2</v>
      </c>
      <c r="D965" t="str">
        <f>VLOOKUP(source[[#This Row],[Приоритет]],тПриоритеты[],2,0)</f>
        <v>Значительное</v>
      </c>
      <c r="E965" t="str">
        <f>IF(ISBLANK(source[[#This Row],[Проверенные]]),IF(ISBLANK(source[[#This Row],[Завершенные]]),source[[#This Row],[Приоритет_]],"Завершено"),"Проверено")</f>
        <v>Проверено</v>
      </c>
      <c r="F965" t="s">
        <v>4423</v>
      </c>
      <c r="G965" t="s">
        <v>806</v>
      </c>
      <c r="H965" t="e">
        <f>VLOOKUP(source[[#This Row],[Отвественный]],тОтветственные[],2,0)</f>
        <v>#N/A</v>
      </c>
      <c r="I965" s="2">
        <v>43774</v>
      </c>
      <c r="J965" s="2">
        <v>43774</v>
      </c>
      <c r="S965" s="1">
        <v>43774.586238425924</v>
      </c>
      <c r="T965" s="1">
        <v>43774.586655092593</v>
      </c>
      <c r="U965" s="1">
        <v>43776.36309027778</v>
      </c>
      <c r="W965" s="1">
        <v>43776.36309027778</v>
      </c>
      <c r="EC965" t="s">
        <v>816</v>
      </c>
      <c r="ED965" t="s">
        <v>7228</v>
      </c>
      <c r="EE965" t="s">
        <v>2280</v>
      </c>
      <c r="EF965" t="s">
        <v>7348</v>
      </c>
      <c r="EG965" t="str">
        <f>HYPERLINK("https://d33htgqikc2pj4.cloudfront.net/2d0a9c21-fa4c-4b34-99ed-3b3bdd4a9fd8.jpeg", "Святослав Грохольский: Ссылка на изображение")</f>
        <v>Святослав Грохольский: Ссылка на изображение</v>
      </c>
      <c r="EH965" t="str">
        <f>HYPERLINK("https://d33htgqikc2pj4.cloudfront.net/1a8a0efe-e00e-40c1-821d-aaefc845e586.jpeg", "Святослав Грохольский: Ссылка на изображение")</f>
        <v>Святослав Грохольский: Ссылка на изображение</v>
      </c>
      <c r="EI965" t="s">
        <v>7349</v>
      </c>
      <c r="EJ965" t="s">
        <v>7350</v>
      </c>
      <c r="EK965" t="s">
        <v>807</v>
      </c>
    </row>
    <row r="966" spans="1:144" ht="15" customHeight="1" x14ac:dyDescent="0.35">
      <c r="A966">
        <v>139</v>
      </c>
      <c r="B966" t="s">
        <v>7304</v>
      </c>
      <c r="C966">
        <v>2</v>
      </c>
      <c r="D966" t="str">
        <f>VLOOKUP(source[[#This Row],[Приоритет]],тПриоритеты[],2,0)</f>
        <v>Значительное</v>
      </c>
      <c r="E966" t="str">
        <f>IF(ISBLANK(source[[#This Row],[Проверенные]]),IF(ISBLANK(source[[#This Row],[Завершенные]]),source[[#This Row],[Приоритет_]],"Завершено"),"Проверено")</f>
        <v>Проверено</v>
      </c>
      <c r="F966" t="s">
        <v>4423</v>
      </c>
      <c r="G966" t="s">
        <v>806</v>
      </c>
      <c r="H966" t="e">
        <f>VLOOKUP(source[[#This Row],[Отвественный]],тОтветственные[],2,0)</f>
        <v>#N/A</v>
      </c>
      <c r="I966" s="2">
        <v>43774</v>
      </c>
      <c r="J966" s="2">
        <v>43774</v>
      </c>
      <c r="S966" s="1">
        <v>43774.628055555557</v>
      </c>
      <c r="T966" s="1">
        <v>43774.628576388888</v>
      </c>
      <c r="U966" s="1">
        <v>43776.363171296296</v>
      </c>
      <c r="W966" s="1">
        <v>43776.363171296296</v>
      </c>
      <c r="EC966" t="s">
        <v>7318</v>
      </c>
      <c r="ED966" t="s">
        <v>2280</v>
      </c>
      <c r="EE966" t="s">
        <v>816</v>
      </c>
      <c r="EF966" t="s">
        <v>2290</v>
      </c>
      <c r="EG966" t="str">
        <f>HYPERLINK("https://d33htgqikc2pj4.cloudfront.net/9c71b868-6671-4018-b32b-142d0d694806.jpeg", "Святослав Грохольский: Ссылка на изображение")</f>
        <v>Святослав Грохольский: Ссылка на изображение</v>
      </c>
      <c r="EH966" t="str">
        <f>HYPERLINK("https://d33htgqikc2pj4.cloudfront.net/511c7899230f17eec4132d2caced7ba8/3d4fa3883a6ee849fcd238cd0a2b24f1-file.jpeg", "Святослав Грохольский: Ссылка на изображение")</f>
        <v>Святослав Грохольский: Ссылка на изображение</v>
      </c>
      <c r="EI966" t="s">
        <v>807</v>
      </c>
    </row>
    <row r="967" spans="1:144" ht="15" customHeight="1" x14ac:dyDescent="0.35">
      <c r="A967">
        <v>140</v>
      </c>
      <c r="B967" t="s">
        <v>7351</v>
      </c>
      <c r="C967">
        <v>2</v>
      </c>
      <c r="D967" t="str">
        <f>VLOOKUP(source[[#This Row],[Приоритет]],тПриоритеты[],2,0)</f>
        <v>Значительное</v>
      </c>
      <c r="E967" t="str">
        <f>IF(ISBLANK(source[[#This Row],[Проверенные]]),IF(ISBLANK(source[[#This Row],[Завершенные]]),source[[#This Row],[Приоритет_]],"Завершено"),"Проверено")</f>
        <v>Проверено</v>
      </c>
      <c r="F967" t="s">
        <v>4423</v>
      </c>
      <c r="G967" t="s">
        <v>806</v>
      </c>
      <c r="H967" t="e">
        <f>VLOOKUP(source[[#This Row],[Отвественный]],тОтветственные[],2,0)</f>
        <v>#N/A</v>
      </c>
      <c r="I967" s="2">
        <v>43774</v>
      </c>
      <c r="J967" s="2">
        <v>43774</v>
      </c>
      <c r="S967" s="1">
        <v>43774.634942129633</v>
      </c>
      <c r="T967" s="1">
        <v>43774.636446759258</v>
      </c>
      <c r="U967" s="1">
        <v>43776.363368055558</v>
      </c>
      <c r="W967" s="1">
        <v>43776.363368055558</v>
      </c>
      <c r="EC967" t="s">
        <v>7352</v>
      </c>
      <c r="ED967" t="s">
        <v>816</v>
      </c>
      <c r="EE967" t="s">
        <v>2280</v>
      </c>
      <c r="EF967" t="s">
        <v>2290</v>
      </c>
      <c r="EG967" t="s">
        <v>7353</v>
      </c>
      <c r="EH967" t="str">
        <f>HYPERLINK("https://d33htgqikc2pj4.cloudfront.net/c75bc2ef7ad9981f0218742505d581f9/846ac67488cf9153c374f24d4d345793-file.jpeg", "Святослав Грохольский: Ссылка на изображение")</f>
        <v>Святослав Грохольский: Ссылка на изображение</v>
      </c>
      <c r="EI967" t="str">
        <f>HYPERLINK("https://d33htgqikc2pj4.cloudfront.net/6a2d2fa7c46a83a436fde4144e1cb6d3/106ac3f096aaad5cd4a3aba6928c834b-file.jpeg", "Святослав Грохольский: Ссылка на изображение")</f>
        <v>Святослав Грохольский: Ссылка на изображение</v>
      </c>
      <c r="EJ967" t="str">
        <f>HYPERLINK("https://d33htgqikc2pj4.cloudfront.net/ec150adda3b0c92dcc6be24cc85ca49b/0b64f83e7d582c8b1ad7fb4a6651712d-file.jpeg", "Святослав Грохольский: Ссылка на изображение")</f>
        <v>Святослав Грохольский: Ссылка на изображение</v>
      </c>
      <c r="EK967" t="str">
        <f>HYPERLINK("https://d33htgqikc2pj4.cloudfront.net/4aac68c669a03d3dc847d6ba43ccae2a/31a31ac376c32eed4ea4580225d057d9-file.jpeg", "Святослав Грохольский: Ссылка на изображение")</f>
        <v>Святослав Грохольский: Ссылка на изображение</v>
      </c>
      <c r="EL967" t="str">
        <f>HYPERLINK("https://d33htgqikc2pj4.cloudfront.net/cff1cb61c6e924342ea6da82a35ee48b/7c3a32c9d83af1d0d32540efbb479743-file.jpeg", "Святослав Грохольский: Ссылка на изображение")</f>
        <v>Святослав Грохольский: Ссылка на изображение</v>
      </c>
      <c r="EM967" t="str">
        <f>HYPERLINK("https://d33htgqikc2pj4.cloudfront.net/1c3d91b2-00ad-4040-bdc9-69777fc513fc.jpeg", "Святослав Грохольский: Ссылка на изображение")</f>
        <v>Святослав Грохольский: Ссылка на изображение</v>
      </c>
      <c r="EN967" t="s">
        <v>807</v>
      </c>
    </row>
    <row r="968" spans="1:144" ht="15" customHeight="1" x14ac:dyDescent="0.35">
      <c r="A968">
        <v>457</v>
      </c>
      <c r="B968" t="s">
        <v>7226</v>
      </c>
      <c r="C968">
        <v>2</v>
      </c>
      <c r="D968" t="str">
        <f>VLOOKUP(source[[#This Row],[Приоритет]],тПриоритеты[],2,0)</f>
        <v>Значительное</v>
      </c>
      <c r="E968" t="str">
        <f>IF(ISBLANK(source[[#This Row],[Проверенные]]),IF(ISBLANK(source[[#This Row],[Завершенные]]),source[[#This Row],[Приоритет_]],"Завершено"),"Проверено")</f>
        <v>Проверено</v>
      </c>
      <c r="F968" t="s">
        <v>4423</v>
      </c>
      <c r="G968" t="s">
        <v>806</v>
      </c>
      <c r="H968" t="e">
        <f>VLOOKUP(source[[#This Row],[Отвественный]],тОтветственные[],2,0)</f>
        <v>#N/A</v>
      </c>
      <c r="I968" s="2">
        <v>43797</v>
      </c>
      <c r="J968" s="2">
        <v>43797</v>
      </c>
      <c r="S968" s="1">
        <v>43797.008935185186</v>
      </c>
      <c r="T968" s="1">
        <v>43797.014826388891</v>
      </c>
      <c r="U968" s="1">
        <v>43797.014907407407</v>
      </c>
      <c r="W968" s="1">
        <v>43797.014907407407</v>
      </c>
      <c r="X968" t="s">
        <v>191</v>
      </c>
      <c r="AH968" t="s">
        <v>7354</v>
      </c>
      <c r="AI968" t="s">
        <v>7355</v>
      </c>
      <c r="AJ968" t="s">
        <v>7356</v>
      </c>
      <c r="AK968" t="s">
        <v>7357</v>
      </c>
      <c r="AL968" t="s">
        <v>7358</v>
      </c>
      <c r="AM968" t="s">
        <v>7359</v>
      </c>
      <c r="AN968" t="s">
        <v>7360</v>
      </c>
      <c r="AO968" t="s">
        <v>7361</v>
      </c>
      <c r="AP968" t="s">
        <v>7362</v>
      </c>
      <c r="AQ968" t="s">
        <v>7363</v>
      </c>
      <c r="AR968" t="s">
        <v>7364</v>
      </c>
      <c r="AS968" t="s">
        <v>7365</v>
      </c>
      <c r="AT968" t="s">
        <v>7366</v>
      </c>
      <c r="AU968" t="s">
        <v>7367</v>
      </c>
      <c r="AV968" t="s">
        <v>7368</v>
      </c>
      <c r="AW968" t="s">
        <v>7369</v>
      </c>
      <c r="AX968" t="s">
        <v>7370</v>
      </c>
      <c r="AY968" t="s">
        <v>7371</v>
      </c>
      <c r="EC968" t="s">
        <v>2280</v>
      </c>
      <c r="ED968" t="s">
        <v>814</v>
      </c>
      <c r="EE968" s="3" t="s">
        <v>7372</v>
      </c>
      <c r="EF968" t="s">
        <v>7228</v>
      </c>
      <c r="EG968" t="s">
        <v>816</v>
      </c>
      <c r="EH968" t="s">
        <v>807</v>
      </c>
    </row>
    <row r="969" spans="1:144" ht="15" customHeight="1" x14ac:dyDescent="0.35">
      <c r="A969">
        <v>1067</v>
      </c>
      <c r="B969" t="s">
        <v>7373</v>
      </c>
      <c r="C969">
        <v>2</v>
      </c>
      <c r="D969" t="str">
        <f>VLOOKUP(source[[#This Row],[Приоритет]],тПриоритеты[],2,0)</f>
        <v>Значительное</v>
      </c>
      <c r="E969" t="str">
        <f>IF(ISBLANK(source[[#This Row],[Проверенные]]),IF(ISBLANK(source[[#This Row],[Завершенные]]),source[[#This Row],[Приоритет_]],"Завершено"),"Проверено")</f>
        <v>Проверено</v>
      </c>
      <c r="F969" t="s">
        <v>4423</v>
      </c>
      <c r="G969" t="s">
        <v>806</v>
      </c>
      <c r="H969" t="e">
        <f>VLOOKUP(source[[#This Row],[Отвественный]],тОтветственные[],2,0)</f>
        <v>#N/A</v>
      </c>
      <c r="I969" s="2">
        <v>43857</v>
      </c>
      <c r="J969" s="2">
        <v>43858</v>
      </c>
      <c r="S969" s="1">
        <v>43858.295289351852</v>
      </c>
      <c r="T969" s="1">
        <v>43858.295347222222</v>
      </c>
      <c r="U969" s="1">
        <v>43858.295347222222</v>
      </c>
      <c r="W969" s="1">
        <v>43858.2965625</v>
      </c>
      <c r="EC969" t="s">
        <v>807</v>
      </c>
      <c r="ED969" t="s">
        <v>2280</v>
      </c>
      <c r="EE969" t="s">
        <v>7374</v>
      </c>
      <c r="EF969" t="s">
        <v>7375</v>
      </c>
      <c r="EG969" t="s">
        <v>7376</v>
      </c>
      <c r="EH969" t="str">
        <f>HYPERLINK("https://d33htgqikc2pj4.cloudfront.net/7014745b-8ebd-4db5-aca8-7d343553e595.jpeg", "Святослав Грохольский: Ссылка на изображение")</f>
        <v>Святослав Грохольский: Ссылка на изображение</v>
      </c>
      <c r="EI969" s="3" t="s">
        <v>7377</v>
      </c>
    </row>
    <row r="970" spans="1:144" ht="15" customHeight="1" x14ac:dyDescent="0.35">
      <c r="A970">
        <v>458</v>
      </c>
      <c r="B970" t="s">
        <v>7378</v>
      </c>
      <c r="C970">
        <v>2</v>
      </c>
      <c r="D970" t="str">
        <f>VLOOKUP(source[[#This Row],[Приоритет]],тПриоритеты[],2,0)</f>
        <v>Значительное</v>
      </c>
      <c r="E970" t="str">
        <f>IF(ISBLANK(source[[#This Row],[Проверенные]]),IF(ISBLANK(source[[#This Row],[Завершенные]]),source[[#This Row],[Приоритет_]],"Завершено"),"Проверено")</f>
        <v>Проверено</v>
      </c>
      <c r="F970" t="s">
        <v>4423</v>
      </c>
      <c r="G970" t="s">
        <v>806</v>
      </c>
      <c r="H970" t="e">
        <f>VLOOKUP(source[[#This Row],[Отвественный]],тОтветственные[],2,0)</f>
        <v>#N/A</v>
      </c>
      <c r="I970" s="2">
        <v>43797</v>
      </c>
      <c r="J970" s="2">
        <v>43797</v>
      </c>
      <c r="S970" s="1">
        <v>43797.251446759263</v>
      </c>
      <c r="T970" s="1">
        <v>43797.271018518521</v>
      </c>
      <c r="U970" s="1">
        <v>43797.271053240744</v>
      </c>
      <c r="W970" s="1">
        <v>43797.271064814813</v>
      </c>
      <c r="EC970" t="s">
        <v>7379</v>
      </c>
      <c r="ED970" t="s">
        <v>7380</v>
      </c>
      <c r="EE970" t="str">
        <f>HYPERLINK("https://d33htgqikc2pj4.cloudfront.net/09ecf622-3df9-42be-ac31-aeeeb45a77be.jpeg", "Святослав Грохольский: Ссылка на изображение")</f>
        <v>Святослав Грохольский: Ссылка на изображение</v>
      </c>
      <c r="EF970" t="str">
        <f>HYPERLINK("https://d33htgqikc2pj4.cloudfront.net/6d609830-81c0-4e9c-a6c6-cf0ce5b05ecd.jpeg", "Святослав Грохольский: Ссылка на изображение")</f>
        <v>Святослав Грохольский: Ссылка на изображение</v>
      </c>
      <c r="EG970" t="str">
        <f>HYPERLINK("https://d33htgqikc2pj4.cloudfront.net/75c7f094-eba0-4a19-bcd3-f3bcf6164f33.jpeg", "Святослав Грохольский: Ссылка на изображение")</f>
        <v>Святослав Грохольский: Ссылка на изображение</v>
      </c>
      <c r="EH970" t="str">
        <f>HYPERLINK("https://d33htgqikc2pj4.cloudfront.net/abdda063-73b6-42a5-a6e5-7fff3c05f51d.jpeg", "Святослав Грохольский: Ссылка на изображение")</f>
        <v>Святослав Грохольский: Ссылка на изображение</v>
      </c>
      <c r="EI970" t="str">
        <f>HYPERLINK("https://d33htgqikc2pj4.cloudfront.net/5ffbb2d9-4da4-4863-a8d6-8083578d713f.jpeg", "Святослав Грохольский: Ссылка на изображение")</f>
        <v>Святослав Грохольский: Ссылка на изображение</v>
      </c>
      <c r="EJ970" t="s">
        <v>814</v>
      </c>
      <c r="EK970" t="s">
        <v>2280</v>
      </c>
      <c r="EL970" t="s">
        <v>816</v>
      </c>
      <c r="EM970" t="s">
        <v>807</v>
      </c>
    </row>
    <row r="971" spans="1:144" ht="15" customHeight="1" x14ac:dyDescent="0.35">
      <c r="A971">
        <v>459</v>
      </c>
      <c r="B971" t="s">
        <v>3455</v>
      </c>
      <c r="C971">
        <v>2</v>
      </c>
      <c r="D971" t="str">
        <f>VLOOKUP(source[[#This Row],[Приоритет]],тПриоритеты[],2,0)</f>
        <v>Значительное</v>
      </c>
      <c r="E971" t="str">
        <f>IF(ISBLANK(source[[#This Row],[Проверенные]]),IF(ISBLANK(source[[#This Row],[Завершенные]]),source[[#This Row],[Приоритет_]],"Завершено"),"Проверено")</f>
        <v>Проверено</v>
      </c>
      <c r="F971" t="s">
        <v>4423</v>
      </c>
      <c r="G971" t="s">
        <v>806</v>
      </c>
      <c r="H971" t="e">
        <f>VLOOKUP(source[[#This Row],[Отвественный]],тОтветственные[],2,0)</f>
        <v>#N/A</v>
      </c>
      <c r="I971" s="2">
        <v>43797</v>
      </c>
      <c r="J971" s="2">
        <v>43797</v>
      </c>
      <c r="S971" s="1">
        <v>43797.254178240742</v>
      </c>
      <c r="T971" s="1">
        <v>43797.256354166668</v>
      </c>
      <c r="U971" s="1">
        <v>43797.256423611114</v>
      </c>
      <c r="W971" s="1">
        <v>43797.256423611114</v>
      </c>
      <c r="AA971" t="s">
        <v>3454</v>
      </c>
      <c r="EC971" t="s">
        <v>7381</v>
      </c>
      <c r="ED971" t="s">
        <v>7382</v>
      </c>
      <c r="EE971" t="s">
        <v>814</v>
      </c>
      <c r="EF971" t="s">
        <v>2280</v>
      </c>
      <c r="EG971" t="s">
        <v>816</v>
      </c>
      <c r="EH971" t="s">
        <v>807</v>
      </c>
    </row>
    <row r="972" spans="1:144" ht="15" customHeight="1" x14ac:dyDescent="0.35">
      <c r="A972">
        <v>472</v>
      </c>
      <c r="B972" t="s">
        <v>5721</v>
      </c>
      <c r="C972">
        <v>2</v>
      </c>
      <c r="D972" t="str">
        <f>VLOOKUP(source[[#This Row],[Приоритет]],тПриоритеты[],2,0)</f>
        <v>Значительное</v>
      </c>
      <c r="E972" t="str">
        <f>IF(ISBLANK(source[[#This Row],[Проверенные]]),IF(ISBLANK(source[[#This Row],[Завершенные]]),source[[#This Row],[Приоритет_]],"Завершено"),"Проверено")</f>
        <v>Проверено</v>
      </c>
      <c r="F972" t="s">
        <v>4423</v>
      </c>
      <c r="G972" t="s">
        <v>806</v>
      </c>
      <c r="H972" t="e">
        <f>VLOOKUP(source[[#This Row],[Отвественный]],тОтветственные[],2,0)</f>
        <v>#N/A</v>
      </c>
      <c r="I972" s="2">
        <v>43798</v>
      </c>
      <c r="J972" s="2">
        <v>43798</v>
      </c>
      <c r="S972" s="1">
        <v>43798.288321759261</v>
      </c>
      <c r="T972" s="1">
        <v>43798.290358796294</v>
      </c>
      <c r="U972" s="1">
        <v>43798.293749999997</v>
      </c>
      <c r="W972" s="1">
        <v>43798.293749999997</v>
      </c>
      <c r="EC972" t="s">
        <v>7235</v>
      </c>
      <c r="ED972" t="s">
        <v>2280</v>
      </c>
      <c r="EE972" t="s">
        <v>3456</v>
      </c>
      <c r="EF972" t="s">
        <v>816</v>
      </c>
      <c r="EG972" t="str">
        <f>HYPERLINK("https://d33htgqikc2pj4.cloudfront.net/77487d0a-f599-4fde-84ef-b72afc981b9a.jpeg", "Святослав Грохольский: Ссылка на изображение")</f>
        <v>Святослав Грохольский: Ссылка на изображение</v>
      </c>
      <c r="EH972" s="3" t="s">
        <v>7383</v>
      </c>
      <c r="EI972" t="s">
        <v>807</v>
      </c>
    </row>
    <row r="973" spans="1:144" ht="15" customHeight="1" x14ac:dyDescent="0.35">
      <c r="A973">
        <v>470</v>
      </c>
      <c r="B973" t="s">
        <v>7226</v>
      </c>
      <c r="C973">
        <v>2</v>
      </c>
      <c r="D973" t="str">
        <f>VLOOKUP(source[[#This Row],[Приоритет]],тПриоритеты[],2,0)</f>
        <v>Значительное</v>
      </c>
      <c r="E973" t="str">
        <f>IF(ISBLANK(source[[#This Row],[Проверенные]]),IF(ISBLANK(source[[#This Row],[Завершенные]]),source[[#This Row],[Приоритет_]],"Завершено"),"Проверено")</f>
        <v>Проверено</v>
      </c>
      <c r="F973" t="s">
        <v>4423</v>
      </c>
      <c r="G973" t="s">
        <v>806</v>
      </c>
      <c r="H973" t="e">
        <f>VLOOKUP(source[[#This Row],[Отвественный]],тОтветственные[],2,0)</f>
        <v>#N/A</v>
      </c>
      <c r="I973" s="2">
        <v>43798</v>
      </c>
      <c r="J973" s="2">
        <v>43798</v>
      </c>
      <c r="S973" s="1">
        <v>43798.221701388888</v>
      </c>
      <c r="T973" s="1">
        <v>43798.225497685184</v>
      </c>
      <c r="U973" s="1">
        <v>43798.225717592592</v>
      </c>
      <c r="W973" s="1">
        <v>43798.225717592592</v>
      </c>
      <c r="X973" t="s">
        <v>191</v>
      </c>
      <c r="AH973" t="s">
        <v>7384</v>
      </c>
      <c r="AI973" t="s">
        <v>7385</v>
      </c>
      <c r="AJ973" t="s">
        <v>7386</v>
      </c>
      <c r="AK973" t="s">
        <v>7387</v>
      </c>
      <c r="AL973" t="s">
        <v>7388</v>
      </c>
      <c r="AM973" t="s">
        <v>7389</v>
      </c>
      <c r="AN973" t="s">
        <v>7390</v>
      </c>
      <c r="AO973" t="s">
        <v>7391</v>
      </c>
      <c r="AP973" t="s">
        <v>7392</v>
      </c>
      <c r="AQ973" t="s">
        <v>7393</v>
      </c>
      <c r="AR973" t="s">
        <v>7394</v>
      </c>
      <c r="AS973" t="s">
        <v>7395</v>
      </c>
      <c r="AT973" t="s">
        <v>7396</v>
      </c>
      <c r="AU973" t="s">
        <v>7397</v>
      </c>
      <c r="AV973" t="s">
        <v>7398</v>
      </c>
      <c r="AW973" t="s">
        <v>7399</v>
      </c>
      <c r="AX973" t="s">
        <v>7400</v>
      </c>
      <c r="AY973" t="s">
        <v>7401</v>
      </c>
      <c r="EC973" t="s">
        <v>7228</v>
      </c>
      <c r="ED973" t="s">
        <v>7402</v>
      </c>
      <c r="EE973" t="s">
        <v>816</v>
      </c>
      <c r="EF973" t="s">
        <v>2280</v>
      </c>
      <c r="EG973" t="s">
        <v>3456</v>
      </c>
      <c r="EH973" t="s">
        <v>807</v>
      </c>
    </row>
    <row r="974" spans="1:144" ht="15" customHeight="1" x14ac:dyDescent="0.35">
      <c r="A974">
        <v>798</v>
      </c>
      <c r="B974" t="s">
        <v>7403</v>
      </c>
      <c r="C974">
        <v>2</v>
      </c>
      <c r="D974" t="str">
        <f>VLOOKUP(source[[#This Row],[Приоритет]],тПриоритеты[],2,0)</f>
        <v>Значительное</v>
      </c>
      <c r="E974" t="str">
        <f>IF(ISBLANK(source[[#This Row],[Проверенные]]),IF(ISBLANK(source[[#This Row],[Завершенные]]),source[[#This Row],[Приоритет_]],"Завершено"),"Проверено")</f>
        <v>Проверено</v>
      </c>
      <c r="F974" t="s">
        <v>4423</v>
      </c>
      <c r="G974" t="s">
        <v>806</v>
      </c>
      <c r="H974" t="e">
        <f>VLOOKUP(source[[#This Row],[Отвественный]],тОтветственные[],2,0)</f>
        <v>#N/A</v>
      </c>
      <c r="I974" s="2">
        <v>43824</v>
      </c>
      <c r="J974" s="2">
        <v>43825</v>
      </c>
      <c r="S974" s="1">
        <v>43825.289212962962</v>
      </c>
      <c r="T974" s="1">
        <v>43825.290949074071</v>
      </c>
      <c r="U974" s="1">
        <v>43825.290949074071</v>
      </c>
      <c r="W974" s="1">
        <v>43825.291134259256</v>
      </c>
      <c r="EC974" t="s">
        <v>7404</v>
      </c>
      <c r="ED974" t="s">
        <v>7405</v>
      </c>
      <c r="EE974" t="s">
        <v>807</v>
      </c>
      <c r="EF974" t="s">
        <v>2280</v>
      </c>
      <c r="EG974" t="s">
        <v>7406</v>
      </c>
      <c r="EH974" t="s">
        <v>7407</v>
      </c>
      <c r="EI974" t="str">
        <f>HYPERLINK("https://d33htgqikc2pj4.cloudfront.net/2a229223-f5e9-450e-8dce-85062e646b8d.jpeg", "Святослав Грохольский: Ссылка на изображение")</f>
        <v>Святослав Грохольский: Ссылка на изображение</v>
      </c>
      <c r="EJ974" t="str">
        <f>HYPERLINK("https://d33htgqikc2pj4.cloudfront.net/287bd7fa-27b2-4314-bd31-4bc7d8461152.jpeg", "Святослав Грохольский: Ссылка на изображение")</f>
        <v>Святослав Грохольский: Ссылка на изображение</v>
      </c>
      <c r="EK974" t="str">
        <f>HYPERLINK("https://d33htgqikc2pj4.cloudfront.net/b8183f9e-a778-476a-97f6-335127b2f002.jpeg", "Святослав Грохольский: Ссылка на изображение")</f>
        <v>Святослав Грохольский: Ссылка на изображение</v>
      </c>
      <c r="EL974" t="str">
        <f>HYPERLINK("https://d33htgqikc2pj4.cloudfront.net/ae7f749b-0226-47c9-95fc-378bd791d03e.jpeg", "Святослав Грохольский: Ссылка на изображение")</f>
        <v>Святослав Грохольский: Ссылка на изображение</v>
      </c>
      <c r="EM974" t="str">
        <f>HYPERLINK("https://d33htgqikc2pj4.cloudfront.net/b94b8b3f-b7bb-479e-925a-b5f95fed6df1.jpeg", "Святослав Грохольский: Ссылка на изображение")</f>
        <v>Святослав Грохольский: Ссылка на изображение</v>
      </c>
    </row>
    <row r="975" spans="1:144" ht="15" customHeight="1" x14ac:dyDescent="0.35">
      <c r="A975">
        <v>799</v>
      </c>
      <c r="B975" t="s">
        <v>3465</v>
      </c>
      <c r="C975">
        <v>2</v>
      </c>
      <c r="D975" t="str">
        <f>VLOOKUP(source[[#This Row],[Приоритет]],тПриоритеты[],2,0)</f>
        <v>Значительное</v>
      </c>
      <c r="E975" t="str">
        <f>IF(ISBLANK(source[[#This Row],[Проверенные]]),IF(ISBLANK(source[[#This Row],[Завершенные]]),source[[#This Row],[Приоритет_]],"Завершено"),"Проверено")</f>
        <v>Проверено</v>
      </c>
      <c r="F975" t="s">
        <v>4423</v>
      </c>
      <c r="G975" t="s">
        <v>806</v>
      </c>
      <c r="H975" t="e">
        <f>VLOOKUP(source[[#This Row],[Отвественный]],тОтветственные[],2,0)</f>
        <v>#N/A</v>
      </c>
      <c r="I975" s="2">
        <v>43824</v>
      </c>
      <c r="J975" s="2">
        <v>43825</v>
      </c>
      <c r="S975" s="1">
        <v>43825.293263888889</v>
      </c>
      <c r="T975" s="1">
        <v>43825.296701388892</v>
      </c>
      <c r="U975" s="1">
        <v>43825.296701388892</v>
      </c>
      <c r="W975" s="1">
        <v>43825.296909722223</v>
      </c>
      <c r="EC975" t="s">
        <v>3466</v>
      </c>
      <c r="ED975" t="s">
        <v>7408</v>
      </c>
      <c r="EE975" t="s">
        <v>807</v>
      </c>
      <c r="EF975" t="s">
        <v>2280</v>
      </c>
      <c r="EG975" t="s">
        <v>7406</v>
      </c>
      <c r="EH975" t="s">
        <v>7407</v>
      </c>
    </row>
    <row r="976" spans="1:144" ht="15" customHeight="1" x14ac:dyDescent="0.35">
      <c r="A976">
        <v>800</v>
      </c>
      <c r="B976" t="s">
        <v>7409</v>
      </c>
      <c r="C976">
        <v>2</v>
      </c>
      <c r="D976" t="str">
        <f>VLOOKUP(source[[#This Row],[Приоритет]],тПриоритеты[],2,0)</f>
        <v>Значительное</v>
      </c>
      <c r="E976" t="str">
        <f>IF(ISBLANK(source[[#This Row],[Проверенные]]),IF(ISBLANK(source[[#This Row],[Завершенные]]),source[[#This Row],[Приоритет_]],"Завершено"),"Проверено")</f>
        <v>Проверено</v>
      </c>
      <c r="F976" t="s">
        <v>4423</v>
      </c>
      <c r="G976" t="s">
        <v>806</v>
      </c>
      <c r="H976" t="e">
        <f>VLOOKUP(source[[#This Row],[Отвественный]],тОтветственные[],2,0)</f>
        <v>#N/A</v>
      </c>
      <c r="I976" s="2">
        <v>43824</v>
      </c>
      <c r="J976" s="2">
        <v>43825</v>
      </c>
      <c r="S976" s="1">
        <v>43825.297349537039</v>
      </c>
      <c r="T976" s="1">
        <v>43825.297974537039</v>
      </c>
      <c r="U976" s="1">
        <v>43825.297974537039</v>
      </c>
      <c r="W976" s="1">
        <v>43825.298136574071</v>
      </c>
      <c r="EC976" t="s">
        <v>7410</v>
      </c>
      <c r="ED976" t="s">
        <v>807</v>
      </c>
      <c r="EE976" t="s">
        <v>2280</v>
      </c>
      <c r="EF976" t="s">
        <v>7406</v>
      </c>
      <c r="EG976" t="s">
        <v>7407</v>
      </c>
      <c r="EH976" s="3" t="s">
        <v>7411</v>
      </c>
    </row>
    <row r="977" spans="1:147" ht="15" customHeight="1" x14ac:dyDescent="0.35">
      <c r="A977">
        <v>507</v>
      </c>
      <c r="B977" t="s">
        <v>7226</v>
      </c>
      <c r="C977">
        <v>2</v>
      </c>
      <c r="D977" t="str">
        <f>VLOOKUP(source[[#This Row],[Приоритет]],тПриоритеты[],2,0)</f>
        <v>Значительное</v>
      </c>
      <c r="E977" t="str">
        <f>IF(ISBLANK(source[[#This Row],[Проверенные]]),IF(ISBLANK(source[[#This Row],[Завершенные]]),source[[#This Row],[Приоритет_]],"Завершено"),"Проверено")</f>
        <v>Проверено</v>
      </c>
      <c r="F977" t="s">
        <v>4423</v>
      </c>
      <c r="G977" t="s">
        <v>806</v>
      </c>
      <c r="H977" t="e">
        <f>VLOOKUP(source[[#This Row],[Отвественный]],тОтветственные[],2,0)</f>
        <v>#N/A</v>
      </c>
      <c r="I977" s="2">
        <v>43802</v>
      </c>
      <c r="J977" s="2">
        <v>43802</v>
      </c>
      <c r="S977" s="1">
        <v>43802.275520833333</v>
      </c>
      <c r="T977" s="1">
        <v>43802.278981481482</v>
      </c>
      <c r="U977" s="1">
        <v>43802.280405092592</v>
      </c>
      <c r="W977" s="1">
        <v>43802.280405092592</v>
      </c>
      <c r="X977" t="s">
        <v>191</v>
      </c>
      <c r="AH977" t="s">
        <v>7412</v>
      </c>
      <c r="AI977" t="s">
        <v>7413</v>
      </c>
      <c r="AJ977" t="s">
        <v>7414</v>
      </c>
      <c r="AK977" t="s">
        <v>7415</v>
      </c>
      <c r="AL977" t="s">
        <v>7416</v>
      </c>
      <c r="AM977" t="s">
        <v>7417</v>
      </c>
      <c r="AN977" t="s">
        <v>7418</v>
      </c>
      <c r="AO977" t="s">
        <v>7419</v>
      </c>
      <c r="AP977" t="s">
        <v>7420</v>
      </c>
      <c r="AQ977" t="s">
        <v>7421</v>
      </c>
      <c r="AR977" t="s">
        <v>7422</v>
      </c>
      <c r="AS977" t="s">
        <v>7423</v>
      </c>
      <c r="AT977" t="s">
        <v>7424</v>
      </c>
      <c r="AU977" t="s">
        <v>7425</v>
      </c>
      <c r="AV977" t="s">
        <v>7426</v>
      </c>
      <c r="AW977" t="s">
        <v>7427</v>
      </c>
      <c r="AX977" t="s">
        <v>7428</v>
      </c>
      <c r="AY977" t="s">
        <v>7429</v>
      </c>
      <c r="EC977" t="s">
        <v>7228</v>
      </c>
      <c r="ED977" t="s">
        <v>2280</v>
      </c>
      <c r="EE977" t="s">
        <v>7430</v>
      </c>
      <c r="EF977" s="3" t="s">
        <v>7431</v>
      </c>
      <c r="EG977" t="s">
        <v>816</v>
      </c>
      <c r="EH977" t="s">
        <v>807</v>
      </c>
    </row>
    <row r="978" spans="1:147" ht="15" customHeight="1" x14ac:dyDescent="0.35">
      <c r="A978">
        <v>805</v>
      </c>
      <c r="B978" t="s">
        <v>7403</v>
      </c>
      <c r="C978">
        <v>2</v>
      </c>
      <c r="D978" t="str">
        <f>VLOOKUP(source[[#This Row],[Приоритет]],тПриоритеты[],2,0)</f>
        <v>Значительное</v>
      </c>
      <c r="E978" t="str">
        <f>IF(ISBLANK(source[[#This Row],[Проверенные]]),IF(ISBLANK(source[[#This Row],[Завершенные]]),source[[#This Row],[Приоритет_]],"Завершено"),"Проверено")</f>
        <v>Проверено</v>
      </c>
      <c r="F978" t="s">
        <v>4423</v>
      </c>
      <c r="G978" t="s">
        <v>806</v>
      </c>
      <c r="H978" t="e">
        <f>VLOOKUP(source[[#This Row],[Отвественный]],тОтветственные[],2,0)</f>
        <v>#N/A</v>
      </c>
      <c r="I978" s="2">
        <v>43825</v>
      </c>
      <c r="J978" s="2">
        <v>43826</v>
      </c>
      <c r="S978" s="1">
        <v>43826.312685185185</v>
      </c>
      <c r="T978" s="1">
        <v>43826.315625000003</v>
      </c>
      <c r="U978" s="1">
        <v>43826.315625000003</v>
      </c>
      <c r="W978" s="1">
        <v>43826.318773148145</v>
      </c>
      <c r="EC978" t="s">
        <v>7432</v>
      </c>
      <c r="ED978" t="s">
        <v>7433</v>
      </c>
      <c r="EE978" t="s">
        <v>7434</v>
      </c>
      <c r="EF978" t="s">
        <v>2280</v>
      </c>
      <c r="EG978" t="s">
        <v>807</v>
      </c>
      <c r="EH978" t="str">
        <f>HYPERLINK("https://d33htgqikc2pj4.cloudfront.net/e84b0d33-5443-4f9e-b144-2b163ce1a6c8.jpeg", "Святослав Грохольский: Ссылка на изображение")</f>
        <v>Святослав Грохольский: Ссылка на изображение</v>
      </c>
      <c r="EI978" t="str">
        <f>HYPERLINK("https://d33htgqikc2pj4.cloudfront.net/4a0166cb-e188-4c2c-95bc-4d6ca9f084ce.jpeg", "Святослав Грохольский: Ссылка на изображение")</f>
        <v>Святослав Грохольский: Ссылка на изображение</v>
      </c>
      <c r="EJ978" t="s">
        <v>7435</v>
      </c>
      <c r="EK978" t="s">
        <v>7404</v>
      </c>
    </row>
    <row r="979" spans="1:147" ht="15" customHeight="1" x14ac:dyDescent="0.35">
      <c r="A979">
        <v>100</v>
      </c>
      <c r="B979" t="s">
        <v>7436</v>
      </c>
      <c r="C979">
        <v>2</v>
      </c>
      <c r="D979" t="str">
        <f>VLOOKUP(source[[#This Row],[Приоритет]],тПриоритеты[],2,0)</f>
        <v>Значительное</v>
      </c>
      <c r="E979" t="str">
        <f>IF(ISBLANK(source[[#This Row],[Проверенные]]),IF(ISBLANK(source[[#This Row],[Завершенные]]),source[[#This Row],[Приоритет_]],"Завершено"),"Проверено")</f>
        <v>Проверено</v>
      </c>
      <c r="F979" t="s">
        <v>4423</v>
      </c>
      <c r="G979" t="s">
        <v>806</v>
      </c>
      <c r="H979" t="e">
        <f>VLOOKUP(source[[#This Row],[Отвественный]],тОтветственные[],2,0)</f>
        <v>#N/A</v>
      </c>
      <c r="I979" s="2">
        <v>43770</v>
      </c>
      <c r="J979" s="2">
        <v>43770</v>
      </c>
      <c r="S979" s="1">
        <v>43770.772812499999</v>
      </c>
      <c r="T979" s="1">
        <v>43770.77988425926</v>
      </c>
      <c r="U979" s="1">
        <v>43776.362118055556</v>
      </c>
      <c r="W979" s="1">
        <v>43776.362118055556</v>
      </c>
      <c r="X979" t="s">
        <v>191</v>
      </c>
      <c r="AH979" t="s">
        <v>7437</v>
      </c>
      <c r="AI979" t="s">
        <v>7438</v>
      </c>
      <c r="AJ979" t="s">
        <v>7439</v>
      </c>
      <c r="AK979" t="s">
        <v>7440</v>
      </c>
      <c r="AL979" t="s">
        <v>7441</v>
      </c>
      <c r="AM979" t="s">
        <v>7442</v>
      </c>
      <c r="AN979" t="s">
        <v>7443</v>
      </c>
      <c r="AO979" t="s">
        <v>7444</v>
      </c>
      <c r="AP979" t="s">
        <v>7445</v>
      </c>
      <c r="AQ979" t="s">
        <v>7446</v>
      </c>
      <c r="AR979" t="s">
        <v>7447</v>
      </c>
      <c r="AS979" t="s">
        <v>7448</v>
      </c>
      <c r="AT979" t="s">
        <v>7449</v>
      </c>
      <c r="AU979" t="s">
        <v>7450</v>
      </c>
      <c r="AV979" t="s">
        <v>7451</v>
      </c>
      <c r="AW979" t="s">
        <v>7452</v>
      </c>
      <c r="AX979" t="s">
        <v>7453</v>
      </c>
      <c r="AY979" t="s">
        <v>7454</v>
      </c>
      <c r="EC979" t="s">
        <v>7455</v>
      </c>
      <c r="ED979" t="s">
        <v>7233</v>
      </c>
      <c r="EE979" t="s">
        <v>7456</v>
      </c>
      <c r="EF979" t="s">
        <v>816</v>
      </c>
      <c r="EG979" t="s">
        <v>7457</v>
      </c>
      <c r="EH979" t="s">
        <v>2280</v>
      </c>
      <c r="EI979" t="s">
        <v>807</v>
      </c>
    </row>
    <row r="980" spans="1:147" ht="15" customHeight="1" x14ac:dyDescent="0.35">
      <c r="A980">
        <v>99</v>
      </c>
      <c r="B980" t="s">
        <v>7458</v>
      </c>
      <c r="C980">
        <v>2</v>
      </c>
      <c r="D980" t="str">
        <f>VLOOKUP(source[[#This Row],[Приоритет]],тПриоритеты[],2,0)</f>
        <v>Значительное</v>
      </c>
      <c r="E980" t="str">
        <f>IF(ISBLANK(source[[#This Row],[Проверенные]]),IF(ISBLANK(source[[#This Row],[Завершенные]]),source[[#This Row],[Приоритет_]],"Завершено"),"Проверено")</f>
        <v>Проверено</v>
      </c>
      <c r="F980" t="s">
        <v>4423</v>
      </c>
      <c r="G980" t="s">
        <v>806</v>
      </c>
      <c r="H980" t="e">
        <f>VLOOKUP(source[[#This Row],[Отвественный]],тОтветственные[],2,0)</f>
        <v>#N/A</v>
      </c>
      <c r="I980" s="2">
        <v>43770</v>
      </c>
      <c r="J980" s="2">
        <v>43770</v>
      </c>
      <c r="P980">
        <v>0</v>
      </c>
      <c r="S980" s="1">
        <v>43770.761759259258</v>
      </c>
      <c r="T980" s="1">
        <v>43770.770289351851</v>
      </c>
      <c r="U980" s="1">
        <v>43776.361967592595</v>
      </c>
      <c r="W980" s="1">
        <v>43777.634618055556</v>
      </c>
      <c r="X980" t="s">
        <v>191</v>
      </c>
      <c r="AH980" t="s">
        <v>7459</v>
      </c>
      <c r="AI980" t="s">
        <v>7460</v>
      </c>
      <c r="AJ980" t="s">
        <v>7461</v>
      </c>
      <c r="AK980" t="s">
        <v>7462</v>
      </c>
      <c r="AL980" t="s">
        <v>7463</v>
      </c>
      <c r="AM980" t="s">
        <v>7464</v>
      </c>
      <c r="AN980" t="s">
        <v>7465</v>
      </c>
      <c r="AO980" t="s">
        <v>7466</v>
      </c>
      <c r="AP980" t="s">
        <v>7445</v>
      </c>
      <c r="AQ980" t="s">
        <v>7467</v>
      </c>
      <c r="AR980" t="s">
        <v>7447</v>
      </c>
      <c r="AS980" t="s">
        <v>7468</v>
      </c>
      <c r="AT980" t="s">
        <v>7469</v>
      </c>
      <c r="AU980" t="s">
        <v>7470</v>
      </c>
      <c r="AV980" t="s">
        <v>7451</v>
      </c>
      <c r="AW980" t="s">
        <v>7452</v>
      </c>
      <c r="AX980" t="s">
        <v>7471</v>
      </c>
      <c r="AY980" t="s">
        <v>7454</v>
      </c>
      <c r="EC980" t="s">
        <v>2280</v>
      </c>
      <c r="ED980" t="s">
        <v>7455</v>
      </c>
      <c r="EE980" t="s">
        <v>7472</v>
      </c>
      <c r="EF980" t="s">
        <v>816</v>
      </c>
      <c r="EG980" t="s">
        <v>7473</v>
      </c>
      <c r="EH980" t="s">
        <v>7474</v>
      </c>
      <c r="EI980" t="s">
        <v>807</v>
      </c>
    </row>
    <row r="981" spans="1:147" ht="15" customHeight="1" x14ac:dyDescent="0.35">
      <c r="A981">
        <v>110</v>
      </c>
      <c r="B981" t="s">
        <v>7226</v>
      </c>
      <c r="C981">
        <v>2</v>
      </c>
      <c r="D981" t="str">
        <f>VLOOKUP(source[[#This Row],[Приоритет]],тПриоритеты[],2,0)</f>
        <v>Значительное</v>
      </c>
      <c r="E981" t="str">
        <f>IF(ISBLANK(source[[#This Row],[Проверенные]]),IF(ISBLANK(source[[#This Row],[Завершенные]]),source[[#This Row],[Приоритет_]],"Завершено"),"Проверено")</f>
        <v>Проверено</v>
      </c>
      <c r="F981" t="s">
        <v>4423</v>
      </c>
      <c r="G981" t="s">
        <v>806</v>
      </c>
      <c r="H981" t="e">
        <f>VLOOKUP(source[[#This Row],[Отвественный]],тОтветственные[],2,0)</f>
        <v>#N/A</v>
      </c>
      <c r="I981" s="2">
        <v>43771</v>
      </c>
      <c r="J981" s="2">
        <v>43771</v>
      </c>
      <c r="S981" s="1">
        <v>43771.704745370371</v>
      </c>
      <c r="T981" s="1">
        <v>43771.705196759256</v>
      </c>
      <c r="U981" s="1">
        <v>43776.362268518518</v>
      </c>
      <c r="W981" s="1">
        <v>43776.362280092595</v>
      </c>
      <c r="X981" t="s">
        <v>2889</v>
      </c>
      <c r="AH981" t="s">
        <v>7475</v>
      </c>
      <c r="AI981" t="s">
        <v>7476</v>
      </c>
      <c r="AJ981" t="s">
        <v>7477</v>
      </c>
      <c r="AK981" t="s">
        <v>7478</v>
      </c>
      <c r="AL981" t="s">
        <v>7479</v>
      </c>
      <c r="AM981" t="s">
        <v>7480</v>
      </c>
      <c r="AN981" t="s">
        <v>7481</v>
      </c>
      <c r="AO981" t="s">
        <v>7482</v>
      </c>
      <c r="AP981" t="s">
        <v>7483</v>
      </c>
      <c r="AQ981" t="s">
        <v>7484</v>
      </c>
      <c r="AR981" t="s">
        <v>7485</v>
      </c>
      <c r="AS981" t="s">
        <v>7486</v>
      </c>
      <c r="AT981" t="s">
        <v>7487</v>
      </c>
      <c r="AU981" t="s">
        <v>7488</v>
      </c>
      <c r="AV981" t="s">
        <v>7489</v>
      </c>
      <c r="AW981" t="s">
        <v>7490</v>
      </c>
      <c r="EC981" t="s">
        <v>816</v>
      </c>
      <c r="ED981" t="s">
        <v>808</v>
      </c>
      <c r="EE981" t="s">
        <v>2280</v>
      </c>
      <c r="EF981" t="s">
        <v>830</v>
      </c>
      <c r="EG981" t="s">
        <v>7491</v>
      </c>
      <c r="EH981" t="s">
        <v>7492</v>
      </c>
      <c r="EI981" t="s">
        <v>7228</v>
      </c>
      <c r="EJ981" t="s">
        <v>7493</v>
      </c>
      <c r="EK981" t="s">
        <v>807</v>
      </c>
    </row>
    <row r="982" spans="1:147" ht="15" customHeight="1" x14ac:dyDescent="0.35">
      <c r="A982">
        <v>540</v>
      </c>
      <c r="B982" t="s">
        <v>7494</v>
      </c>
      <c r="C982">
        <v>3</v>
      </c>
      <c r="D982" t="str">
        <f>VLOOKUP(source[[#This Row],[Приоритет]],тПриоритеты[],2,0)</f>
        <v>Малозначительное</v>
      </c>
      <c r="E982" t="str">
        <f>IF(ISBLANK(source[[#This Row],[Проверенные]]),IF(ISBLANK(source[[#This Row],[Завершенные]]),source[[#This Row],[Приоритет_]],"Завершено"),"Проверено")</f>
        <v>Проверено</v>
      </c>
      <c r="F982" t="s">
        <v>4423</v>
      </c>
      <c r="G982" t="s">
        <v>806</v>
      </c>
      <c r="H982" t="e">
        <f>VLOOKUP(source[[#This Row],[Отвественный]],тОтветственные[],2,0)</f>
        <v>#N/A</v>
      </c>
      <c r="I982" s="2">
        <v>43804</v>
      </c>
      <c r="J982" s="2">
        <v>43804</v>
      </c>
      <c r="S982" s="1">
        <v>43804.430601851855</v>
      </c>
      <c r="T982" s="1">
        <v>43804.4921875</v>
      </c>
      <c r="U982" s="1">
        <v>43804.766979166663</v>
      </c>
      <c r="W982" s="1">
        <v>43804.76699074074</v>
      </c>
      <c r="EC982" t="s">
        <v>7495</v>
      </c>
      <c r="ED982" t="s">
        <v>2280</v>
      </c>
      <c r="EE982" t="s">
        <v>7496</v>
      </c>
      <c r="EF982" t="s">
        <v>2283</v>
      </c>
      <c r="EG982" t="str">
        <f>HYPERLINK("https://d33htgqikc2pj4.cloudfront.net/00f1c98e-5691-45ad-8e6b-02ff79bb713d.jpeg", "Святослав Грохольский: Ссылка на изображение")</f>
        <v>Святослав Грохольский: Ссылка на изображение</v>
      </c>
      <c r="EH982" t="s">
        <v>815</v>
      </c>
      <c r="EI982" t="str">
        <f>HYPERLINK("https://d33htgqikc2pj4.cloudfront.net/d5db741e-c4ee-4c2b-be83-780c52222cab.jpeg", "Святослав Грохольский: Ссылка на изображение")</f>
        <v>Святослав Грохольский: Ссылка на изображение</v>
      </c>
      <c r="EJ982" t="str">
        <f>HYPERLINK("https://d33htgqikc2pj4.cloudfront.net/7f509265-5162-45b7-be93-563ed58bb505.jpeg", "Святослав Грохольский: Ссылка на изображение")</f>
        <v>Святослав Грохольский: Ссылка на изображение</v>
      </c>
      <c r="EK982" t="str">
        <f>HYPERLINK("https://d33htgqikc2pj4.cloudfront.net/bc7c4023-10fe-46f7-b380-ed7b37a3ff2b.jpeg", "Святослав Грохольский: Ссылка на изображение")</f>
        <v>Святослав Грохольский: Ссылка на изображение</v>
      </c>
      <c r="EL982" t="s">
        <v>7497</v>
      </c>
      <c r="EM982" t="s">
        <v>816</v>
      </c>
      <c r="EN982" t="str">
        <f>HYPERLINK("https://d33htgqikc2pj4.cloudfront.net/044ec20b-51c4-4df2-830e-28c3921727c6.jpeg", "Святослав Грохольский: Ссылка на изображение")</f>
        <v>Святослав Грохольский: Ссылка на изображение</v>
      </c>
      <c r="EO982" t="str">
        <f>HYPERLINK("https://d33htgqikc2pj4.cloudfront.net/88ae5083-b361-40b1-862e-d419da3cc49b.jpeg", "Святослав Грохольский: Ссылка на изображение")</f>
        <v>Святослав Грохольский: Ссылка на изображение</v>
      </c>
      <c r="EP982" t="str">
        <f>HYPERLINK("https://d33htgqikc2pj4.cloudfront.net/362024bf-6848-41de-82a4-d37aaa23f774.jpeg", "Святослав Грохольский: Ссылка на изображение")</f>
        <v>Святослав Грохольский: Ссылка на изображение</v>
      </c>
      <c r="EQ982" t="s">
        <v>807</v>
      </c>
    </row>
    <row r="983" spans="1:147" ht="15" customHeight="1" x14ac:dyDescent="0.35">
      <c r="A983">
        <v>541</v>
      </c>
      <c r="B983" t="s">
        <v>7498</v>
      </c>
      <c r="C983">
        <v>3</v>
      </c>
      <c r="D983" t="str">
        <f>VLOOKUP(source[[#This Row],[Приоритет]],тПриоритеты[],2,0)</f>
        <v>Малозначительное</v>
      </c>
      <c r="E983" t="str">
        <f>IF(ISBLANK(source[[#This Row],[Проверенные]]),IF(ISBLANK(source[[#This Row],[Завершенные]]),source[[#This Row],[Приоритет_]],"Завершено"),"Проверено")</f>
        <v>Проверено</v>
      </c>
      <c r="F983" t="s">
        <v>4423</v>
      </c>
      <c r="G983" t="s">
        <v>806</v>
      </c>
      <c r="H983" t="e">
        <f>VLOOKUP(source[[#This Row],[Отвественный]],тОтветственные[],2,0)</f>
        <v>#N/A</v>
      </c>
      <c r="I983" s="2">
        <v>43804</v>
      </c>
      <c r="J983" s="2">
        <v>43804</v>
      </c>
      <c r="S983" s="1">
        <v>43804.582418981481</v>
      </c>
      <c r="T983" s="1">
        <v>43804.766759259262</v>
      </c>
      <c r="U983" s="1">
        <v>43804.766759259262</v>
      </c>
      <c r="W983" s="1">
        <v>43804.77615740741</v>
      </c>
      <c r="EC983" t="s">
        <v>7499</v>
      </c>
      <c r="ED983" t="s">
        <v>2280</v>
      </c>
      <c r="EE983" t="s">
        <v>7496</v>
      </c>
      <c r="EF983" t="s">
        <v>2283</v>
      </c>
      <c r="EG983" t="str">
        <f>HYPERLINK("https://d33htgqikc2pj4.cloudfront.net/be50732f-2d9a-4e62-bb05-ac7c61c69b97.jpeg", "Святослав Грохольский: Ссылка на изображение")</f>
        <v>Святослав Грохольский: Ссылка на изображение</v>
      </c>
      <c r="EH983" t="str">
        <f>HYPERLINK("https://cdn.filestackcontent.com/88L2i2mTjO0NEUE9KAv4", "Святослав Грохольский: Ссылка на файл")</f>
        <v>Святослав Грохольский: Ссылка на файл</v>
      </c>
      <c r="EI983" t="str">
        <f>HYPERLINK("https://d33htgqikc2pj4.cloudfront.net/be6019cc-9dc5-40d4-8646-d9f2368e37fe.jpeg", "Святослав Грохольский: Ссылка на изображение")</f>
        <v>Святослав Грохольский: Ссылка на изображение</v>
      </c>
      <c r="EJ983" t="str">
        <f>HYPERLINK("https://d33htgqikc2pj4.cloudfront.net/403f34f2-0ba1-4bf9-aeb6-db9bbb73b305.jpeg", "Святослав Грохольский: Ссылка на изображение")</f>
        <v>Святослав Грохольский: Ссылка на изображение</v>
      </c>
      <c r="EK983" t="s">
        <v>807</v>
      </c>
      <c r="EL983" t="s">
        <v>7500</v>
      </c>
    </row>
    <row r="984" spans="1:147" ht="15" customHeight="1" x14ac:dyDescent="0.35">
      <c r="A984">
        <v>118</v>
      </c>
      <c r="B984" t="s">
        <v>7501</v>
      </c>
      <c r="C984">
        <v>2</v>
      </c>
      <c r="D984" t="str">
        <f>VLOOKUP(source[[#This Row],[Приоритет]],тПриоритеты[],2,0)</f>
        <v>Значительное</v>
      </c>
      <c r="E984" t="str">
        <f>IF(ISBLANK(source[[#This Row],[Проверенные]]),IF(ISBLANK(source[[#This Row],[Завершенные]]),source[[#This Row],[Приоритет_]],"Завершено"),"Проверено")</f>
        <v>Проверено</v>
      </c>
      <c r="F984" t="s">
        <v>4423</v>
      </c>
      <c r="G984" t="s">
        <v>806</v>
      </c>
      <c r="H984" t="e">
        <f>VLOOKUP(source[[#This Row],[Отвественный]],тОтветственные[],2,0)</f>
        <v>#N/A</v>
      </c>
      <c r="I984" s="2">
        <v>43773</v>
      </c>
      <c r="J984" s="2">
        <v>43773</v>
      </c>
      <c r="S984" s="1">
        <v>43773.724212962959</v>
      </c>
      <c r="T984" s="1">
        <v>43773.728425925925</v>
      </c>
      <c r="U984" s="1">
        <v>43776.362627314818</v>
      </c>
      <c r="W984" s="1">
        <v>43776.362627314818</v>
      </c>
      <c r="X984" t="s">
        <v>7305</v>
      </c>
      <c r="AH984" t="s">
        <v>7306</v>
      </c>
      <c r="AI984" t="s">
        <v>7307</v>
      </c>
      <c r="AJ984" t="s">
        <v>7308</v>
      </c>
      <c r="AK984" t="s">
        <v>7309</v>
      </c>
      <c r="AL984" t="s">
        <v>7310</v>
      </c>
      <c r="AM984" t="s">
        <v>7311</v>
      </c>
      <c r="AN984" t="s">
        <v>7312</v>
      </c>
      <c r="AO984" t="s">
        <v>7313</v>
      </c>
      <c r="AP984" t="s">
        <v>7314</v>
      </c>
      <c r="AQ984" t="s">
        <v>7315</v>
      </c>
      <c r="AR984" t="s">
        <v>7502</v>
      </c>
      <c r="AS984" t="s">
        <v>7317</v>
      </c>
      <c r="EC984" t="s">
        <v>7503</v>
      </c>
      <c r="ED984" t="s">
        <v>7504</v>
      </c>
      <c r="EE984" t="s">
        <v>7505</v>
      </c>
      <c r="EF984" t="s">
        <v>816</v>
      </c>
      <c r="EG984" t="s">
        <v>2280</v>
      </c>
      <c r="EH984" t="s">
        <v>2286</v>
      </c>
      <c r="EI984" t="str">
        <f>HYPERLINK("https://d33htgqikc2pj4.cloudfront.net/ab0b08dc-1c36-4b32-95dc-da036bb82302.jpeg", "Святослав Грохольский: Ссылка на изображение")</f>
        <v>Святослав Грохольский: Ссылка на изображение</v>
      </c>
      <c r="EJ984" t="str">
        <f>HYPERLINK("https://d33htgqikc2pj4.cloudfront.net/4fc6af01d1728c2364e3beef84e2719f/b90c3a1aacf65370a368f57e049c82b7-file.jpeg", "Святослав Грохольский: Ссылка на изображение")</f>
        <v>Святослав Грохольский: Ссылка на изображение</v>
      </c>
      <c r="EK984" t="str">
        <f>HYPERLINK("https://d33htgqikc2pj4.cloudfront.net/503187601da5ef6320a5574509e7e666/97b3263ee5ea917c89f4fb3662b29240-file.jpeg", "Святослав Грохольский: Ссылка на изображение")</f>
        <v>Святослав Грохольский: Ссылка на изображение</v>
      </c>
      <c r="EL984" t="str">
        <f>HYPERLINK("https://d33htgqikc2pj4.cloudfront.net/f7a2476ac3d347fde64423ca6cd03116/80768da4795b7b43eb07c10bcf985b03-file.jpeg", "Святослав Грохольский: Ссылка на изображение")</f>
        <v>Святослав Грохольский: Ссылка на изображение</v>
      </c>
      <c r="EM984" t="str">
        <f>HYPERLINK("https://d33htgqikc2pj4.cloudfront.net/34b87696436821f6830e5d66caad76ba/c8a5a903c1a833868370e35230a14a55-file.jpeg", "Святослав Грохольский: Ссылка на изображение")</f>
        <v>Святослав Грохольский: Ссылка на изображение</v>
      </c>
      <c r="EN984" t="str">
        <f>HYPERLINK("https://d33htgqikc2pj4.cloudfront.net/f6a3be99feabdd04659a27808bfbd4d2/b79c677f5347ba388a59716b3e34306b-file.jpeg", "Святослав Грохольский: Ссылка на изображение")</f>
        <v>Святослав Грохольский: Ссылка на изображение</v>
      </c>
      <c r="EO984" t="s">
        <v>807</v>
      </c>
    </row>
    <row r="985" spans="1:147" ht="15" customHeight="1" x14ac:dyDescent="0.35">
      <c r="A985">
        <v>119</v>
      </c>
      <c r="B985" t="s">
        <v>7506</v>
      </c>
      <c r="C985">
        <v>2</v>
      </c>
      <c r="D985" t="str">
        <f>VLOOKUP(source[[#This Row],[Приоритет]],тПриоритеты[],2,0)</f>
        <v>Значительное</v>
      </c>
      <c r="E985" t="str">
        <f>IF(ISBLANK(source[[#This Row],[Проверенные]]),IF(ISBLANK(source[[#This Row],[Завершенные]]),source[[#This Row],[Приоритет_]],"Завершено"),"Проверено")</f>
        <v>Проверено</v>
      </c>
      <c r="F985" t="s">
        <v>4423</v>
      </c>
      <c r="G985" t="s">
        <v>806</v>
      </c>
      <c r="H985" t="e">
        <f>VLOOKUP(source[[#This Row],[Отвественный]],тОтветственные[],2,0)</f>
        <v>#N/A</v>
      </c>
      <c r="I985" s="2">
        <v>43773</v>
      </c>
      <c r="J985" s="2">
        <v>43773</v>
      </c>
      <c r="S985" s="1">
        <v>43773.736134259256</v>
      </c>
      <c r="T985" s="1">
        <v>43773.740405092591</v>
      </c>
      <c r="U985" s="1">
        <v>43776.362696759257</v>
      </c>
      <c r="W985" s="1">
        <v>43776.362708333334</v>
      </c>
      <c r="EC985" t="s">
        <v>7507</v>
      </c>
      <c r="ED985" t="s">
        <v>7508</v>
      </c>
      <c r="EE985" t="s">
        <v>816</v>
      </c>
      <c r="EF985" t="s">
        <v>2280</v>
      </c>
      <c r="EG985" t="s">
        <v>2286</v>
      </c>
      <c r="EH985" t="str">
        <f>HYPERLINK("https://d33htgqikc2pj4.cloudfront.net/076ccd18-c2e2-4956-a023-1600a49e5579.jpeg", "Святослав Грохольский: Ссылка на изображение")</f>
        <v>Святослав Грохольский: Ссылка на изображение</v>
      </c>
      <c r="EI985" t="str">
        <f>HYPERLINK("https://d33htgqikc2pj4.cloudfront.net/b9ed91d8-a703-4c9d-85e2-14df77b91152.jpeg", "Святослав Грохольский: Ссылка на изображение")</f>
        <v>Святослав Грохольский: Ссылка на изображение</v>
      </c>
      <c r="EJ985" t="s">
        <v>807</v>
      </c>
    </row>
    <row r="986" spans="1:147" ht="15" customHeight="1" x14ac:dyDescent="0.35">
      <c r="A986">
        <v>120</v>
      </c>
      <c r="B986" t="s">
        <v>7226</v>
      </c>
      <c r="C986">
        <v>2</v>
      </c>
      <c r="D986" t="str">
        <f>VLOOKUP(source[[#This Row],[Приоритет]],тПриоритеты[],2,0)</f>
        <v>Значительное</v>
      </c>
      <c r="E986" t="str">
        <f>IF(ISBLANK(source[[#This Row],[Проверенные]]),IF(ISBLANK(source[[#This Row],[Завершенные]]),source[[#This Row],[Приоритет_]],"Завершено"),"Проверено")</f>
        <v>Проверено</v>
      </c>
      <c r="F986" t="s">
        <v>4423</v>
      </c>
      <c r="G986" t="s">
        <v>806</v>
      </c>
      <c r="H986" t="e">
        <f>VLOOKUP(source[[#This Row],[Отвественный]],тОтветственные[],2,0)</f>
        <v>#N/A</v>
      </c>
      <c r="I986" s="2">
        <v>43773</v>
      </c>
      <c r="J986" s="2">
        <v>43773</v>
      </c>
      <c r="S986" s="1">
        <v>43773.743020833332</v>
      </c>
      <c r="T986" s="1">
        <v>43773.75273148148</v>
      </c>
      <c r="U986" s="1">
        <v>43776.36278935185</v>
      </c>
      <c r="W986" s="1">
        <v>43776.36278935185</v>
      </c>
      <c r="X986" t="s">
        <v>2889</v>
      </c>
      <c r="AH986" t="s">
        <v>7509</v>
      </c>
      <c r="AI986" t="s">
        <v>7510</v>
      </c>
      <c r="AJ986" t="s">
        <v>7511</v>
      </c>
      <c r="AK986" t="s">
        <v>7512</v>
      </c>
      <c r="AL986" t="s">
        <v>7513</v>
      </c>
      <c r="AM986" t="s">
        <v>7514</v>
      </c>
      <c r="AN986" t="s">
        <v>7515</v>
      </c>
      <c r="AO986" t="s">
        <v>7516</v>
      </c>
      <c r="AP986" t="s">
        <v>7517</v>
      </c>
      <c r="AQ986" t="s">
        <v>7518</v>
      </c>
      <c r="AR986" t="s">
        <v>7519</v>
      </c>
      <c r="AS986" t="s">
        <v>7520</v>
      </c>
      <c r="AT986" t="s">
        <v>7521</v>
      </c>
      <c r="AU986" t="s">
        <v>7522</v>
      </c>
      <c r="AV986" t="s">
        <v>7523</v>
      </c>
      <c r="AW986" t="s">
        <v>7524</v>
      </c>
      <c r="EC986" t="s">
        <v>7525</v>
      </c>
      <c r="ED986" t="s">
        <v>816</v>
      </c>
      <c r="EE986" t="s">
        <v>2280</v>
      </c>
      <c r="EF986" t="s">
        <v>2286</v>
      </c>
      <c r="EG986" t="s">
        <v>7228</v>
      </c>
      <c r="EH986" t="str">
        <f>HYPERLINK("https://d33htgqikc2pj4.cloudfront.net/d713deca-b847-4865-8c8c-a55fb29a1136.jpeg", "Святослав Грохольский: Ссылка на изображение")</f>
        <v>Святослав Грохольский: Ссылка на изображение</v>
      </c>
      <c r="EI986" t="str">
        <f>HYPERLINK("https://d33htgqikc2pj4.cloudfront.net/586bfe88-594c-4d48-8781-3169eb201a7d.jpeg", "Святослав Грохольский: Ссылка на изображение")</f>
        <v>Святослав Грохольский: Ссылка на изображение</v>
      </c>
      <c r="EJ986" t="s">
        <v>807</v>
      </c>
    </row>
    <row r="987" spans="1:147" ht="15" customHeight="1" x14ac:dyDescent="0.35">
      <c r="A987">
        <v>121</v>
      </c>
      <c r="B987" t="s">
        <v>7526</v>
      </c>
      <c r="C987">
        <v>2</v>
      </c>
      <c r="D987" t="str">
        <f>VLOOKUP(source[[#This Row],[Приоритет]],тПриоритеты[],2,0)</f>
        <v>Значительное</v>
      </c>
      <c r="E987" t="str">
        <f>IF(ISBLANK(source[[#This Row],[Проверенные]]),IF(ISBLANK(source[[#This Row],[Завершенные]]),source[[#This Row],[Приоритет_]],"Завершено"),"Проверено")</f>
        <v>Проверено</v>
      </c>
      <c r="F987" t="s">
        <v>4423</v>
      </c>
      <c r="G987" t="s">
        <v>806</v>
      </c>
      <c r="H987" t="e">
        <f>VLOOKUP(source[[#This Row],[Отвественный]],тОтветственные[],2,0)</f>
        <v>#N/A</v>
      </c>
      <c r="I987" s="2">
        <v>43773</v>
      </c>
      <c r="J987" s="2">
        <v>43773</v>
      </c>
      <c r="S987" s="1">
        <v>43773.800543981481</v>
      </c>
      <c r="T987" s="1">
        <v>43773.804930555554</v>
      </c>
      <c r="U987" s="1">
        <v>43776.362870370373</v>
      </c>
      <c r="W987" s="1">
        <v>43776.362881944442</v>
      </c>
      <c r="X987" t="s">
        <v>3339</v>
      </c>
      <c r="AH987" t="s">
        <v>7527</v>
      </c>
      <c r="AI987" t="s">
        <v>7528</v>
      </c>
      <c r="AJ987" t="s">
        <v>7529</v>
      </c>
      <c r="AK987" t="s">
        <v>7530</v>
      </c>
      <c r="AL987" t="s">
        <v>7531</v>
      </c>
      <c r="AM987" t="s">
        <v>7532</v>
      </c>
      <c r="AN987" t="s">
        <v>7533</v>
      </c>
      <c r="EC987" t="s">
        <v>7534</v>
      </c>
      <c r="ED987" t="s">
        <v>7535</v>
      </c>
      <c r="EE987" t="s">
        <v>816</v>
      </c>
      <c r="EF987" t="s">
        <v>2280</v>
      </c>
      <c r="EG987" t="s">
        <v>2286</v>
      </c>
      <c r="EH987" t="str">
        <f>HYPERLINK("https://d33htgqikc2pj4.cloudfront.net/a6960bac-1d49-45ab-84c3-8ba00ee80bf6.jpeg", "Святослав Грохольский: Ссылка на изображение")</f>
        <v>Святослав Грохольский: Ссылка на изображение</v>
      </c>
      <c r="EI987" t="s">
        <v>807</v>
      </c>
    </row>
    <row r="988" spans="1:147" ht="15" customHeight="1" x14ac:dyDescent="0.35">
      <c r="A988">
        <v>543</v>
      </c>
      <c r="B988" t="s">
        <v>7226</v>
      </c>
      <c r="C988">
        <v>2</v>
      </c>
      <c r="D988" t="str">
        <f>VLOOKUP(source[[#This Row],[Приоритет]],тПриоритеты[],2,0)</f>
        <v>Значительное</v>
      </c>
      <c r="E988" t="str">
        <f>IF(ISBLANK(source[[#This Row],[Проверенные]]),IF(ISBLANK(source[[#This Row],[Завершенные]]),source[[#This Row],[Приоритет_]],"Завершено"),"Проверено")</f>
        <v>Проверено</v>
      </c>
      <c r="F988" t="s">
        <v>4423</v>
      </c>
      <c r="G988" t="s">
        <v>806</v>
      </c>
      <c r="H988" t="e">
        <f>VLOOKUP(source[[#This Row],[Отвественный]],тОтветственные[],2,0)</f>
        <v>#N/A</v>
      </c>
      <c r="I988" s="2">
        <v>43804</v>
      </c>
      <c r="J988" s="2">
        <v>43804</v>
      </c>
      <c r="S988" s="1">
        <v>43804.776875000003</v>
      </c>
      <c r="T988" s="1">
        <v>43804.777766203704</v>
      </c>
      <c r="U988" s="1">
        <v>43804.777766203704</v>
      </c>
      <c r="W988" s="1">
        <v>43804.777916666666</v>
      </c>
      <c r="EC988" t="s">
        <v>7228</v>
      </c>
      <c r="ED988" t="s">
        <v>807</v>
      </c>
      <c r="EE988" t="s">
        <v>2280</v>
      </c>
      <c r="EF988" t="s">
        <v>7536</v>
      </c>
      <c r="EG988" t="s">
        <v>7537</v>
      </c>
    </row>
    <row r="989" spans="1:147" ht="15" customHeight="1" x14ac:dyDescent="0.35">
      <c r="A989">
        <v>544</v>
      </c>
      <c r="B989" t="s">
        <v>2018</v>
      </c>
      <c r="C989">
        <v>2</v>
      </c>
      <c r="D989" t="str">
        <f>VLOOKUP(source[[#This Row],[Приоритет]],тПриоритеты[],2,0)</f>
        <v>Значительное</v>
      </c>
      <c r="E989" t="str">
        <f>IF(ISBLANK(source[[#This Row],[Проверенные]]),IF(ISBLANK(source[[#This Row],[Завершенные]]),source[[#This Row],[Приоритет_]],"Завершено"),"Проверено")</f>
        <v>Проверено</v>
      </c>
      <c r="F989" t="s">
        <v>4423</v>
      </c>
      <c r="G989" t="s">
        <v>806</v>
      </c>
      <c r="H989" t="e">
        <f>VLOOKUP(source[[#This Row],[Отвественный]],тОтветственные[],2,0)</f>
        <v>#N/A</v>
      </c>
      <c r="I989" s="2">
        <v>43804</v>
      </c>
      <c r="J989" s="2">
        <v>43804</v>
      </c>
      <c r="S989" s="1">
        <v>43804.791192129633</v>
      </c>
      <c r="T989" s="1">
        <v>43804.792581018519</v>
      </c>
      <c r="U989" s="1">
        <v>43804.792581018519</v>
      </c>
      <c r="W989" s="1">
        <v>43804.792708333334</v>
      </c>
      <c r="EC989" t="s">
        <v>2022</v>
      </c>
      <c r="ED989" t="s">
        <v>807</v>
      </c>
      <c r="EE989" t="s">
        <v>2280</v>
      </c>
      <c r="EF989" t="s">
        <v>7536</v>
      </c>
      <c r="EG989" t="s">
        <v>7538</v>
      </c>
      <c r="EH989" t="str">
        <f>HYPERLINK("https://d33htgqikc2pj4.cloudfront.net/4cfa4160-bb6d-454b-bfab-a6e228b6af68.jpeg", "Святослав Грохольский: Ссылка на изображение")</f>
        <v>Святослав Грохольский: Ссылка на изображение</v>
      </c>
      <c r="EI989" t="str">
        <f>HYPERLINK("https://d33htgqikc2pj4.cloudfront.net/351a3310-f2d8-46b4-88f1-2b1e0ecf0b72.jpeg", "Святослав Грохольский: Ссылка на изображение")</f>
        <v>Святослав Грохольский: Ссылка на изображение</v>
      </c>
      <c r="EJ989" t="str">
        <f>HYPERLINK("https://d33htgqikc2pj4.cloudfront.net/ccef4a04-1664-423c-a209-f2a2ac87bf69.jpeg", "Святослав Грохольский: Ссылка на изображение")</f>
        <v>Святослав Грохольский: Ссылка на изображение</v>
      </c>
      <c r="EK989" t="str">
        <f>HYPERLINK("https://d33htgqikc2pj4.cloudfront.net/a99b146b-84a0-4507-83dd-69df24c33604.jpeg", "Святослав Грохольский: Ссылка на изображение")</f>
        <v>Святослав Грохольский: Ссылка на изображение</v>
      </c>
      <c r="EL989" t="str">
        <f>HYPERLINK("https://d33htgqikc2pj4.cloudfront.net/970a4bf1-0430-4637-8b5b-71ed25e1bcb5.jpeg", "Святослав Грохольский: Ссылка на изображение")</f>
        <v>Святослав Грохольский: Ссылка на изображение</v>
      </c>
      <c r="EM989" t="s">
        <v>7539</v>
      </c>
    </row>
    <row r="990" spans="1:147" ht="15" customHeight="1" x14ac:dyDescent="0.35">
      <c r="A990">
        <v>548</v>
      </c>
      <c r="B990" t="s">
        <v>7540</v>
      </c>
      <c r="C990">
        <v>3</v>
      </c>
      <c r="D990" t="str">
        <f>VLOOKUP(source[[#This Row],[Приоритет]],тПриоритеты[],2,0)</f>
        <v>Малозначительное</v>
      </c>
      <c r="E990" t="str">
        <f>IF(ISBLANK(source[[#This Row],[Проверенные]]),IF(ISBLANK(source[[#This Row],[Завершенные]]),source[[#This Row],[Приоритет_]],"Завершено"),"Проверено")</f>
        <v>Проверено</v>
      </c>
      <c r="F990" t="s">
        <v>4423</v>
      </c>
      <c r="G990" t="s">
        <v>806</v>
      </c>
      <c r="H990" t="e">
        <f>VLOOKUP(source[[#This Row],[Отвественный]],тОтветственные[],2,0)</f>
        <v>#N/A</v>
      </c>
      <c r="I990" s="2">
        <v>43805</v>
      </c>
      <c r="J990" s="2">
        <v>43805</v>
      </c>
      <c r="S990" s="1">
        <v>43805.698148148149</v>
      </c>
      <c r="T990" s="1">
        <v>43805.71371527778</v>
      </c>
      <c r="U990" s="1">
        <v>43805.713773148149</v>
      </c>
      <c r="W990" s="1">
        <v>43805.713773148149</v>
      </c>
      <c r="EC990" t="s">
        <v>833</v>
      </c>
      <c r="ED990" t="s">
        <v>2280</v>
      </c>
      <c r="EE990" t="s">
        <v>7541</v>
      </c>
      <c r="EF990" t="s">
        <v>7542</v>
      </c>
      <c r="EG990" s="3" t="s">
        <v>7543</v>
      </c>
      <c r="EH990" t="str">
        <f>HYPERLINK("https://d33htgqikc2pj4.cloudfront.net/f67641e0-ebc6-4661-a677-7cbd5394d977.jpeg", "Святослав Грохольский: Ссылка на изображение")</f>
        <v>Святослав Грохольский: Ссылка на изображение</v>
      </c>
      <c r="EI990" t="s">
        <v>816</v>
      </c>
      <c r="EJ990" t="s">
        <v>807</v>
      </c>
    </row>
    <row r="991" spans="1:147" ht="15" customHeight="1" x14ac:dyDescent="0.35">
      <c r="A991">
        <v>553</v>
      </c>
      <c r="B991" t="s">
        <v>7544</v>
      </c>
      <c r="C991">
        <v>3</v>
      </c>
      <c r="D991" t="str">
        <f>VLOOKUP(source[[#This Row],[Приоритет]],тПриоритеты[],2,0)</f>
        <v>Малозначительное</v>
      </c>
      <c r="E991" t="str">
        <f>IF(ISBLANK(source[[#This Row],[Проверенные]]),IF(ISBLANK(source[[#This Row],[Завершенные]]),source[[#This Row],[Приоритет_]],"Завершено"),"Проверено")</f>
        <v>Проверено</v>
      </c>
      <c r="F991" t="s">
        <v>4423</v>
      </c>
      <c r="G991" t="s">
        <v>806</v>
      </c>
      <c r="H991" t="e">
        <f>VLOOKUP(source[[#This Row],[Отвественный]],тОтветственные[],2,0)</f>
        <v>#N/A</v>
      </c>
      <c r="I991" s="2">
        <v>43805</v>
      </c>
      <c r="J991" s="2">
        <v>43805</v>
      </c>
      <c r="S991" s="1">
        <v>43805.737812500003</v>
      </c>
      <c r="T991" s="1">
        <v>43805.742650462962</v>
      </c>
      <c r="U991" s="1">
        <v>43805.742777777778</v>
      </c>
      <c r="W991" s="1">
        <v>43805.742777777778</v>
      </c>
      <c r="EC991" t="s">
        <v>7545</v>
      </c>
      <c r="ED991" t="s">
        <v>833</v>
      </c>
      <c r="EE991" t="s">
        <v>2280</v>
      </c>
      <c r="EF991" t="s">
        <v>7541</v>
      </c>
      <c r="EG991" t="str">
        <f>HYPERLINK("https://d33htgqikc2pj4.cloudfront.net/c790884c-413f-4e68-807d-0fb84e27a503.jpeg", "Святослав Грохольский: Ссылка на изображение")</f>
        <v>Святослав Грохольский: Ссылка на изображение</v>
      </c>
      <c r="EH991" t="str">
        <f>HYPERLINK("https://d33htgqikc2pj4.cloudfront.net/c1f760b3-eb5e-4283-a182-3694e9a5c1f2.jpeg", "Святослав Грохольский: Ссылка на изображение")</f>
        <v>Святослав Грохольский: Ссылка на изображение</v>
      </c>
      <c r="EI991" t="str">
        <f>HYPERLINK("https://d33htgqikc2pj4.cloudfront.net/qvHDimMUqxZcQnsj/4nyzANaSVSMZ2s1OfnSC_6398264f-5800-4d7a-aa37-2b1c2eab59a5.jpg", "Святослав Грохольский: Ссылка на изображение")</f>
        <v>Святослав Грохольский: Ссылка на изображение</v>
      </c>
      <c r="EJ991" t="str">
        <f>HYPERLINK("https://d33htgqikc2pj4.cloudfront.net/58b72909-b995-41a0-9217-c211e25fb79d.jpeg", "Святослав Грохольский: Ссылка на изображение")</f>
        <v>Святослав Грохольский: Ссылка на изображение</v>
      </c>
      <c r="EK991" t="str">
        <f>HYPERLINK("https://d33htgqikc2pj4.cloudfront.net/a3b50c8e-f1c8-46a0-95c1-6e1cf771f593.jpeg", "Святослав Грохольский: Ссылка на изображение")</f>
        <v>Святослав Грохольский: Ссылка на изображение</v>
      </c>
      <c r="EL991" t="str">
        <f>HYPERLINK("https://d33htgqikc2pj4.cloudfront.net/100b0e9b-024a-41a6-803c-8adaa5e66e3e.jpeg", "Святослав Грохольский: Ссылка на изображение")</f>
        <v>Святослав Грохольский: Ссылка на изображение</v>
      </c>
      <c r="EM991" t="str">
        <f>HYPERLINK("https://d33htgqikc2pj4.cloudfront.net/efd6422a-9d40-40bf-ab4e-74d46d9b5f28.jpeg", "Святослав Грохольский: Ссылка на изображение")</f>
        <v>Святослав Грохольский: Ссылка на изображение</v>
      </c>
      <c r="EN991" t="s">
        <v>816</v>
      </c>
      <c r="EO991" t="s">
        <v>807</v>
      </c>
    </row>
    <row r="992" spans="1:147" ht="15" customHeight="1" x14ac:dyDescent="0.35">
      <c r="A992">
        <v>552</v>
      </c>
      <c r="B992" t="s">
        <v>7226</v>
      </c>
      <c r="C992">
        <v>3</v>
      </c>
      <c r="D992" t="str">
        <f>VLOOKUP(source[[#This Row],[Приоритет]],тПриоритеты[],2,0)</f>
        <v>Малозначительное</v>
      </c>
      <c r="E992" t="str">
        <f>IF(ISBLANK(source[[#This Row],[Проверенные]]),IF(ISBLANK(source[[#This Row],[Завершенные]]),source[[#This Row],[Приоритет_]],"Завершено"),"Проверено")</f>
        <v>Проверено</v>
      </c>
      <c r="F992" t="s">
        <v>4423</v>
      </c>
      <c r="G992" t="s">
        <v>806</v>
      </c>
      <c r="H992" t="e">
        <f>VLOOKUP(source[[#This Row],[Отвественный]],тОтветственные[],2,0)</f>
        <v>#N/A</v>
      </c>
      <c r="I992" s="2">
        <v>43805</v>
      </c>
      <c r="J992" s="2">
        <v>43805</v>
      </c>
      <c r="S992" s="1">
        <v>43805.733194444445</v>
      </c>
      <c r="T992" s="1">
        <v>43805.736192129632</v>
      </c>
      <c r="U992" s="1">
        <v>43805.736192129632</v>
      </c>
      <c r="W992" s="1">
        <v>43805.736203703702</v>
      </c>
      <c r="X992" t="s">
        <v>191</v>
      </c>
      <c r="AH992" t="s">
        <v>7546</v>
      </c>
      <c r="AI992" t="s">
        <v>7547</v>
      </c>
      <c r="AJ992" t="s">
        <v>7548</v>
      </c>
      <c r="AK992" t="s">
        <v>7549</v>
      </c>
      <c r="AL992" t="s">
        <v>7550</v>
      </c>
      <c r="AM992" t="s">
        <v>7551</v>
      </c>
      <c r="AN992" t="s">
        <v>7552</v>
      </c>
      <c r="AO992" t="s">
        <v>7553</v>
      </c>
      <c r="AP992" t="s">
        <v>7554</v>
      </c>
      <c r="AQ992" t="s">
        <v>7555</v>
      </c>
      <c r="AR992" t="s">
        <v>7556</v>
      </c>
      <c r="AS992" t="s">
        <v>7557</v>
      </c>
      <c r="AT992" t="s">
        <v>7558</v>
      </c>
      <c r="AU992" t="s">
        <v>7559</v>
      </c>
      <c r="AV992" t="s">
        <v>7560</v>
      </c>
      <c r="AW992" t="s">
        <v>7561</v>
      </c>
      <c r="AX992" t="s">
        <v>7562</v>
      </c>
      <c r="AY992" t="s">
        <v>7563</v>
      </c>
      <c r="EC992" t="s">
        <v>7228</v>
      </c>
      <c r="ED992" t="s">
        <v>833</v>
      </c>
      <c r="EE992" t="s">
        <v>2280</v>
      </c>
      <c r="EF992" t="s">
        <v>7564</v>
      </c>
      <c r="EG992" t="s">
        <v>7541</v>
      </c>
      <c r="EH992" t="s">
        <v>807</v>
      </c>
      <c r="EI992" t="str">
        <f>HYPERLINK("https://d33htgqikc2pj4.cloudfront.net/8d96705a-e9d3-4e5d-9480-00e6833627f4.jpeg", "Святослав Грохольский: Ссылка на изображение")</f>
        <v>Святослав Грохольский: Ссылка на изображение</v>
      </c>
    </row>
    <row r="993" spans="1:151" ht="15" customHeight="1" x14ac:dyDescent="0.35">
      <c r="A993">
        <v>826</v>
      </c>
      <c r="B993" t="s">
        <v>7565</v>
      </c>
      <c r="C993">
        <v>2</v>
      </c>
      <c r="D993" t="str">
        <f>VLOOKUP(source[[#This Row],[Приоритет]],тПриоритеты[],2,0)</f>
        <v>Значительное</v>
      </c>
      <c r="E993" t="str">
        <f>IF(ISBLANK(source[[#This Row],[Проверенные]]),IF(ISBLANK(source[[#This Row],[Завершенные]]),source[[#This Row],[Приоритет_]],"Завершено"),"Проверено")</f>
        <v>Проверено</v>
      </c>
      <c r="F993" t="s">
        <v>4423</v>
      </c>
      <c r="G993" t="s">
        <v>806</v>
      </c>
      <c r="H993" t="e">
        <f>VLOOKUP(source[[#This Row],[Отвественный]],тОтветственные[],2,0)</f>
        <v>#N/A</v>
      </c>
      <c r="I993" s="2">
        <v>43828</v>
      </c>
      <c r="J993" s="2">
        <v>43829</v>
      </c>
      <c r="S993" s="1">
        <v>43829.708287037036</v>
      </c>
      <c r="T993" s="1">
        <v>43829.708356481482</v>
      </c>
      <c r="U993" s="1">
        <v>43829.708356481482</v>
      </c>
      <c r="W993" s="1">
        <v>43829.791342592594</v>
      </c>
      <c r="EC993" t="s">
        <v>807</v>
      </c>
      <c r="ED993" t="s">
        <v>7566</v>
      </c>
      <c r="EE993" t="s">
        <v>7567</v>
      </c>
      <c r="EF993" t="s">
        <v>7568</v>
      </c>
      <c r="EG993" t="str">
        <f>HYPERLINK("https://d33htgqikc2pj4.cloudfront.net/d14b43c7-bae9-4ea3-87e2-258513c390f8.jpeg", "Святослав Грохольский: Ссылка на изображение")</f>
        <v>Святослав Грохольский: Ссылка на изображение</v>
      </c>
      <c r="EH993" t="str">
        <f>HYPERLINK("https://d33htgqikc2pj4.cloudfront.net/435b0d9d-660b-4397-aa06-365e63b719c0.jpeg", "Святослав Грохольский: Ссылка на изображение")</f>
        <v>Святослав Грохольский: Ссылка на изображение</v>
      </c>
      <c r="EI993" t="str">
        <f>HYPERLINK("https://d33htgqikc2pj4.cloudfront.net/cd5e1296-5921-4bba-9d3f-e98c862ec902.jpeg", "Святослав Грохольский: Ссылка на изображение")</f>
        <v>Святослав Грохольский: Ссылка на изображение</v>
      </c>
      <c r="EJ993" t="str">
        <f>HYPERLINK("https://d33htgqikc2pj4.cloudfront.net/57006183-d2af-40c6-b5b6-079cc8cfc48d.jpeg", "Святослав Грохольский: Ссылка на изображение")</f>
        <v>Святослав Грохольский: Ссылка на изображение</v>
      </c>
      <c r="EK993" t="str">
        <f>HYPERLINK("https://d33htgqikc2pj4.cloudfront.net/009ee829-c6e4-43a3-a09f-0bce7f68fe84.jpeg", "Святослав Грохольский: Ссылка на изображение")</f>
        <v>Святослав Грохольский: Ссылка на изображение</v>
      </c>
      <c r="EL993" t="str">
        <f>HYPERLINK("https://d33htgqikc2pj4.cloudfront.net/43cb2952-9476-45b2-956d-50eba1a6cb23.jpeg", "Святослав Грохольский: Ссылка на изображение")</f>
        <v>Святослав Грохольский: Ссылка на изображение</v>
      </c>
      <c r="EM993" t="s">
        <v>2280</v>
      </c>
    </row>
    <row r="994" spans="1:151" ht="15" customHeight="1" x14ac:dyDescent="0.35">
      <c r="A994">
        <v>828</v>
      </c>
      <c r="B994" t="s">
        <v>7569</v>
      </c>
      <c r="C994">
        <v>2</v>
      </c>
      <c r="D994" t="str">
        <f>VLOOKUP(source[[#This Row],[Приоритет]],тПриоритеты[],2,0)</f>
        <v>Значительное</v>
      </c>
      <c r="E994" t="str">
        <f>IF(ISBLANK(source[[#This Row],[Проверенные]]),IF(ISBLANK(source[[#This Row],[Завершенные]]),source[[#This Row],[Приоритет_]],"Завершено"),"Проверено")</f>
        <v>Проверено</v>
      </c>
      <c r="F994" t="s">
        <v>4423</v>
      </c>
      <c r="G994" t="s">
        <v>806</v>
      </c>
      <c r="H994" t="e">
        <f>VLOOKUP(source[[#This Row],[Отвественный]],тОтветственные[],2,0)</f>
        <v>#N/A</v>
      </c>
      <c r="I994" s="2">
        <v>43829</v>
      </c>
      <c r="J994" s="2">
        <v>43829</v>
      </c>
      <c r="S994" s="1">
        <v>43829.785717592589</v>
      </c>
      <c r="T994" s="1">
        <v>43829.789340277777</v>
      </c>
      <c r="U994" s="1">
        <v>43829.789340277777</v>
      </c>
      <c r="W994" s="1">
        <v>43829.793449074074</v>
      </c>
      <c r="EC994" t="s">
        <v>7570</v>
      </c>
      <c r="ED994" s="3" t="s">
        <v>7571</v>
      </c>
      <c r="EE994" t="s">
        <v>807</v>
      </c>
      <c r="EF994" t="s">
        <v>2280</v>
      </c>
      <c r="EG994" t="str">
        <f>HYPERLINK("https://d33htgqikc2pj4.cloudfront.net/ec097375-70b8-4022-b7fa-19a20aac401a.jpeg", "Святослав Грохольский: Ссылка на изображение")</f>
        <v>Святослав Грохольский: Ссылка на изображение</v>
      </c>
      <c r="EH994" t="s">
        <v>837</v>
      </c>
    </row>
    <row r="995" spans="1:151" ht="15" customHeight="1" x14ac:dyDescent="0.35">
      <c r="A995">
        <v>827</v>
      </c>
      <c r="B995" t="s">
        <v>5721</v>
      </c>
      <c r="C995">
        <v>2</v>
      </c>
      <c r="D995" t="str">
        <f>VLOOKUP(source[[#This Row],[Приоритет]],тПриоритеты[],2,0)</f>
        <v>Значительное</v>
      </c>
      <c r="E995" t="str">
        <f>IF(ISBLANK(source[[#This Row],[Проверенные]]),IF(ISBLANK(source[[#This Row],[Завершенные]]),source[[#This Row],[Приоритет_]],"Завершено"),"Проверено")</f>
        <v>Проверено</v>
      </c>
      <c r="F995" t="s">
        <v>4423</v>
      </c>
      <c r="G995" t="s">
        <v>806</v>
      </c>
      <c r="H995" t="e">
        <f>VLOOKUP(source[[#This Row],[Отвественный]],тОтветственные[],2,0)</f>
        <v>#N/A</v>
      </c>
      <c r="S995" s="1">
        <v>43829.762349537035</v>
      </c>
      <c r="T995" s="1">
        <v>43829.762465277781</v>
      </c>
      <c r="U995" s="1">
        <v>43829.762465277781</v>
      </c>
      <c r="W995" s="1">
        <v>43829.770509259259</v>
      </c>
      <c r="EC995" t="s">
        <v>807</v>
      </c>
      <c r="ED995" t="s">
        <v>7235</v>
      </c>
      <c r="EE995" s="3" t="s">
        <v>7572</v>
      </c>
      <c r="EF995" t="str">
        <f>HYPERLINK("https://d33htgqikc2pj4.cloudfront.net/f6e10a6e-3480-403a-83c3-7e7dbd8f5ecc.jpeg", "Святослав Грохольский: Ссылка на изображение")</f>
        <v>Святослав Грохольский: Ссылка на изображение</v>
      </c>
      <c r="EG995" t="str">
        <f>HYPERLINK("https://d33htgqikc2pj4.cloudfront.net/039c4c9b-38c8-4d73-aaef-e7de706a5511.jpeg", "Святослав Грохольский: Ссылка на изображение")</f>
        <v>Святослав Грохольский: Ссылка на изображение</v>
      </c>
      <c r="EH995" t="s">
        <v>2280</v>
      </c>
    </row>
    <row r="996" spans="1:151" ht="15" customHeight="1" x14ac:dyDescent="0.35">
      <c r="A996">
        <v>115</v>
      </c>
      <c r="B996" t="s">
        <v>2267</v>
      </c>
      <c r="C996">
        <v>2</v>
      </c>
      <c r="D996" t="str">
        <f>VLOOKUP(source[[#This Row],[Приоритет]],тПриоритеты[],2,0)</f>
        <v>Значительное</v>
      </c>
      <c r="E996" t="str">
        <f>IF(ISBLANK(source[[#This Row],[Проверенные]]),IF(ISBLANK(source[[#This Row],[Завершенные]]),source[[#This Row],[Приоритет_]],"Завершено"),"Проверено")</f>
        <v>Проверено</v>
      </c>
      <c r="F996" t="s">
        <v>4423</v>
      </c>
      <c r="G996" t="s">
        <v>806</v>
      </c>
      <c r="H996" t="e">
        <f>VLOOKUP(source[[#This Row],[Отвественный]],тОтветственные[],2,0)</f>
        <v>#N/A</v>
      </c>
      <c r="I996" s="2">
        <v>43773</v>
      </c>
      <c r="J996" s="2">
        <v>43773</v>
      </c>
      <c r="S996" s="1">
        <v>43773.476018518515</v>
      </c>
      <c r="T996" s="1">
        <v>43773.476585648146</v>
      </c>
      <c r="U996" s="1">
        <v>43776.362361111111</v>
      </c>
      <c r="W996" s="1">
        <v>43776.362372685187</v>
      </c>
      <c r="X996" t="s">
        <v>7573</v>
      </c>
      <c r="AH996" t="s">
        <v>2269</v>
      </c>
      <c r="AI996" t="s">
        <v>2270</v>
      </c>
      <c r="AJ996" t="s">
        <v>7574</v>
      </c>
      <c r="AK996" t="s">
        <v>7575</v>
      </c>
      <c r="AL996" t="s">
        <v>7576</v>
      </c>
      <c r="AM996" t="s">
        <v>7577</v>
      </c>
      <c r="AN996" t="s">
        <v>2275</v>
      </c>
      <c r="AO996" t="s">
        <v>2276</v>
      </c>
      <c r="AP996" t="s">
        <v>2277</v>
      </c>
      <c r="AQ996" t="s">
        <v>7578</v>
      </c>
      <c r="AR996" t="s">
        <v>2279</v>
      </c>
      <c r="EC996" t="s">
        <v>816</v>
      </c>
      <c r="ED996" t="s">
        <v>2280</v>
      </c>
      <c r="EE996" t="s">
        <v>2282</v>
      </c>
      <c r="EF996" t="s">
        <v>2281</v>
      </c>
      <c r="EG996" t="str">
        <f>HYPERLINK("https://d33htgqikc2pj4.cloudfront.net/066d489b-f866-42f4-8b26-3846755c0bce.jpeg", "Святослав Грохольский: Ссылка на изображение")</f>
        <v>Святослав Грохольский: Ссылка на изображение</v>
      </c>
      <c r="EH996" t="str">
        <f>HYPERLINK("https://d33htgqikc2pj4.cloudfront.net/4f30abd9-085e-4aab-a32d-8eb28fd78884.jpeg", "Святослав Грохольский: Ссылка на изображение")</f>
        <v>Святослав Грохольский: Ссылка на изображение</v>
      </c>
      <c r="EI996" t="s">
        <v>7579</v>
      </c>
      <c r="EJ996" t="s">
        <v>7580</v>
      </c>
      <c r="EK996" t="s">
        <v>807</v>
      </c>
    </row>
    <row r="997" spans="1:151" ht="15" customHeight="1" x14ac:dyDescent="0.35">
      <c r="A997">
        <v>574</v>
      </c>
      <c r="B997" t="s">
        <v>7226</v>
      </c>
      <c r="C997">
        <v>2</v>
      </c>
      <c r="D997" t="str">
        <f>VLOOKUP(source[[#This Row],[Приоритет]],тПриоритеты[],2,0)</f>
        <v>Значительное</v>
      </c>
      <c r="E997" t="str">
        <f>IF(ISBLANK(source[[#This Row],[Проверенные]]),IF(ISBLANK(source[[#This Row],[Завершенные]]),source[[#This Row],[Приоритет_]],"Завершено"),"Проверено")</f>
        <v>Проверено</v>
      </c>
      <c r="F997" t="s">
        <v>4423</v>
      </c>
      <c r="G997" t="s">
        <v>806</v>
      </c>
      <c r="H997" t="e">
        <f>VLOOKUP(source[[#This Row],[Отвественный]],тОтветственные[],2,0)</f>
        <v>#N/A</v>
      </c>
      <c r="I997" s="2">
        <v>43808</v>
      </c>
      <c r="J997" s="2">
        <v>43808</v>
      </c>
      <c r="S997" s="1">
        <v>43808.759629629632</v>
      </c>
      <c r="T997" s="1">
        <v>43808.768252314818</v>
      </c>
      <c r="U997" s="1">
        <v>43808.76829861111</v>
      </c>
      <c r="W997" s="1">
        <v>43808.768310185187</v>
      </c>
      <c r="EC997" t="s">
        <v>7228</v>
      </c>
      <c r="ED997" t="s">
        <v>2280</v>
      </c>
      <c r="EE997" t="s">
        <v>7581</v>
      </c>
      <c r="EF997" s="3" t="s">
        <v>7582</v>
      </c>
      <c r="EG997" t="str">
        <f>HYPERLINK("https://d33htgqikc2pj4.cloudfront.net/e1ab447f-c7e7-41d8-96e2-402feca9e5f4.jpeg", "Святослав Грохольский: Ссылка на изображение")</f>
        <v>Святослав Грохольский: Ссылка на изображение</v>
      </c>
      <c r="EH997" t="str">
        <f>HYPERLINK("https://d33htgqikc2pj4.cloudfront.net/45247486-08ed-41ae-a5b9-780e23a8022c.jpeg", "Святослав Грохольский: Ссылка на изображение")</f>
        <v>Святослав Грохольский: Ссылка на изображение</v>
      </c>
      <c r="EI997" t="str">
        <f>HYPERLINK("https://d33htgqikc2pj4.cloudfront.net/4c5ae62a-221d-4094-95a3-1d53cbd44359.jpeg", "Святослав Грохольский: Ссылка на изображение")</f>
        <v>Святослав Грохольский: Ссылка на изображение</v>
      </c>
      <c r="EJ997" t="s">
        <v>816</v>
      </c>
      <c r="EK997" t="s">
        <v>807</v>
      </c>
    </row>
    <row r="998" spans="1:151" ht="15" customHeight="1" x14ac:dyDescent="0.35">
      <c r="A998">
        <v>575</v>
      </c>
      <c r="B998" t="s">
        <v>7583</v>
      </c>
      <c r="C998">
        <v>2</v>
      </c>
      <c r="D998" t="str">
        <f>VLOOKUP(source[[#This Row],[Приоритет]],тПриоритеты[],2,0)</f>
        <v>Значительное</v>
      </c>
      <c r="E998" t="str">
        <f>IF(ISBLANK(source[[#This Row],[Проверенные]]),IF(ISBLANK(source[[#This Row],[Завершенные]]),source[[#This Row],[Приоритет_]],"Завершено"),"Проверено")</f>
        <v>Проверено</v>
      </c>
      <c r="F998" t="s">
        <v>4423</v>
      </c>
      <c r="G998" t="s">
        <v>806</v>
      </c>
      <c r="H998" t="e">
        <f>VLOOKUP(source[[#This Row],[Отвественный]],тОтветственные[],2,0)</f>
        <v>#N/A</v>
      </c>
      <c r="I998" s="2">
        <v>43808</v>
      </c>
      <c r="J998" s="2">
        <v>43808</v>
      </c>
      <c r="S998" s="1">
        <v>43808.769525462965</v>
      </c>
      <c r="T998" s="1">
        <v>43808.778981481482</v>
      </c>
      <c r="U998" s="1">
        <v>43808.779050925928</v>
      </c>
      <c r="W998" s="1">
        <v>43808.77920138889</v>
      </c>
      <c r="EC998" t="s">
        <v>7584</v>
      </c>
      <c r="ED998" t="s">
        <v>7585</v>
      </c>
      <c r="EE998" t="s">
        <v>2280</v>
      </c>
      <c r="EF998" t="str">
        <f>HYPERLINK("https://d33htgqikc2pj4.cloudfront.net/b97d85a2-dd20-419a-9881-538ae33e5f4e.jpeg", "Святослав Грохольский: Ссылка на изображение")</f>
        <v>Святослав Грохольский: Ссылка на изображение</v>
      </c>
      <c r="EG998" t="str">
        <f>HYPERLINK("https://d33htgqikc2pj4.cloudfront.net/d5fb6e2c-bb56-4f21-abaf-29f3d390391c.jpeg", "Святослав Грохольский: Ссылка на изображение")</f>
        <v>Святослав Грохольский: Ссылка на изображение</v>
      </c>
      <c r="EH998" t="str">
        <f>HYPERLINK("https://d33htgqikc2pj4.cloudfront.net/c903e458-5c9c-4335-b0c5-fc4e0c157c0a.jpeg", "Святослав Грохольский: Ссылка на изображение")</f>
        <v>Святослав Грохольский: Ссылка на изображение</v>
      </c>
      <c r="EI998" t="s">
        <v>816</v>
      </c>
      <c r="EJ998" t="s">
        <v>807</v>
      </c>
      <c r="EK998" t="s">
        <v>7581</v>
      </c>
    </row>
    <row r="999" spans="1:151" ht="15" customHeight="1" x14ac:dyDescent="0.35">
      <c r="A999">
        <v>180</v>
      </c>
      <c r="B999" t="s">
        <v>7226</v>
      </c>
      <c r="C999">
        <v>2</v>
      </c>
      <c r="D999" t="str">
        <f>VLOOKUP(source[[#This Row],[Приоритет]],тПриоритеты[],2,0)</f>
        <v>Значительное</v>
      </c>
      <c r="E999" t="str">
        <f>IF(ISBLANK(source[[#This Row],[Проверенные]]),IF(ISBLANK(source[[#This Row],[Завершенные]]),source[[#This Row],[Приоритет_]],"Завершено"),"Проверено")</f>
        <v>Проверено</v>
      </c>
      <c r="F999" t="s">
        <v>4423</v>
      </c>
      <c r="G999" t="s">
        <v>806</v>
      </c>
      <c r="H999" t="e">
        <f>VLOOKUP(source[[#This Row],[Отвественный]],тОтветственные[],2,0)</f>
        <v>#N/A</v>
      </c>
      <c r="I999" s="2">
        <v>43776</v>
      </c>
      <c r="J999" s="2">
        <v>43776</v>
      </c>
      <c r="S999" s="1">
        <v>43776.703379629631</v>
      </c>
      <c r="T999" s="1">
        <v>43776.703460648147</v>
      </c>
      <c r="U999" s="1">
        <v>43776.734016203707</v>
      </c>
      <c r="W999" s="1">
        <v>43776.734027777777</v>
      </c>
      <c r="X999" t="s">
        <v>191</v>
      </c>
      <c r="AH999" t="s">
        <v>7586</v>
      </c>
      <c r="AI999" t="s">
        <v>7587</v>
      </c>
      <c r="AJ999" t="s">
        <v>7588</v>
      </c>
      <c r="AK999" t="s">
        <v>7589</v>
      </c>
      <c r="AL999" t="s">
        <v>7590</v>
      </c>
      <c r="AM999" t="s">
        <v>7591</v>
      </c>
      <c r="AN999" t="s">
        <v>7592</v>
      </c>
      <c r="AO999" t="s">
        <v>7593</v>
      </c>
      <c r="AP999" t="s">
        <v>7594</v>
      </c>
      <c r="AQ999" t="s">
        <v>7595</v>
      </c>
      <c r="AR999" t="s">
        <v>7596</v>
      </c>
      <c r="AS999" t="s">
        <v>7597</v>
      </c>
      <c r="AT999" t="s">
        <v>7598</v>
      </c>
      <c r="AU999" t="s">
        <v>7599</v>
      </c>
      <c r="AV999" t="s">
        <v>7600</v>
      </c>
      <c r="AW999" t="s">
        <v>7601</v>
      </c>
      <c r="AX999" t="s">
        <v>7602</v>
      </c>
      <c r="AY999" t="s">
        <v>7603</v>
      </c>
      <c r="EC999" t="s">
        <v>816</v>
      </c>
      <c r="ED999" t="s">
        <v>2280</v>
      </c>
      <c r="EE999" t="s">
        <v>7604</v>
      </c>
      <c r="EF999" t="s">
        <v>7228</v>
      </c>
      <c r="EG999" t="s">
        <v>7605</v>
      </c>
      <c r="EH999" t="s">
        <v>807</v>
      </c>
    </row>
    <row r="1000" spans="1:151" ht="15" customHeight="1" x14ac:dyDescent="0.35">
      <c r="A1000">
        <v>181</v>
      </c>
      <c r="B1000" t="s">
        <v>7606</v>
      </c>
      <c r="C1000">
        <v>2</v>
      </c>
      <c r="D1000" t="str">
        <f>VLOOKUP(source[[#This Row],[Приоритет]],тПриоритеты[],2,0)</f>
        <v>Значительное</v>
      </c>
      <c r="E1000" t="str">
        <f>IF(ISBLANK(source[[#This Row],[Проверенные]]),IF(ISBLANK(source[[#This Row],[Завершенные]]),source[[#This Row],[Приоритет_]],"Завершено"),"Проверено")</f>
        <v>Проверено</v>
      </c>
      <c r="F1000" t="s">
        <v>4423</v>
      </c>
      <c r="G1000" t="s">
        <v>806</v>
      </c>
      <c r="H1000" t="e">
        <f>VLOOKUP(source[[#This Row],[Отвественный]],тОтветственные[],2,0)</f>
        <v>#N/A</v>
      </c>
      <c r="I1000" s="2">
        <v>43776</v>
      </c>
      <c r="J1000" s="2">
        <v>43776</v>
      </c>
      <c r="S1000" s="1">
        <v>43776.734340277777</v>
      </c>
      <c r="T1000" s="1">
        <v>43776.734479166669</v>
      </c>
      <c r="U1000" s="1">
        <v>43776.738865740743</v>
      </c>
      <c r="W1000" s="1">
        <v>43776.738865740743</v>
      </c>
      <c r="EC1000" t="s">
        <v>816</v>
      </c>
      <c r="ED1000" t="s">
        <v>2280</v>
      </c>
      <c r="EE1000" t="s">
        <v>7604</v>
      </c>
      <c r="EF1000" t="s">
        <v>7607</v>
      </c>
      <c r="EG1000" t="s">
        <v>7608</v>
      </c>
      <c r="EH1000" t="str">
        <f>HYPERLINK("https://d33htgqikc2pj4.cloudfront.net/716f1041-0ac3-4476-a304-302f58fa5fde.jpeg", "Святослав Грохольский: Ссылка на изображение")</f>
        <v>Святослав Грохольский: Ссылка на изображение</v>
      </c>
      <c r="EI1000" t="s">
        <v>807</v>
      </c>
    </row>
    <row r="1001" spans="1:151" ht="15" customHeight="1" x14ac:dyDescent="0.35">
      <c r="A1001">
        <v>195</v>
      </c>
      <c r="B1001" t="s">
        <v>7226</v>
      </c>
      <c r="C1001">
        <v>2</v>
      </c>
      <c r="D1001" t="str">
        <f>VLOOKUP(source[[#This Row],[Приоритет]],тПриоритеты[],2,0)</f>
        <v>Значительное</v>
      </c>
      <c r="E1001" t="str">
        <f>IF(ISBLANK(source[[#This Row],[Проверенные]]),IF(ISBLANK(source[[#This Row],[Завершенные]]),source[[#This Row],[Приоритет_]],"Завершено"),"Проверено")</f>
        <v>Проверено</v>
      </c>
      <c r="F1001" t="s">
        <v>4423</v>
      </c>
      <c r="G1001" t="s">
        <v>806</v>
      </c>
      <c r="H1001" t="e">
        <f>VLOOKUP(source[[#This Row],[Отвественный]],тОтветственные[],2,0)</f>
        <v>#N/A</v>
      </c>
      <c r="I1001" s="2">
        <v>43777</v>
      </c>
      <c r="J1001" s="2">
        <v>43777</v>
      </c>
      <c r="S1001" s="1">
        <v>43777.810706018521</v>
      </c>
      <c r="T1001" s="1">
        <v>43777.814884259256</v>
      </c>
      <c r="U1001" s="1">
        <v>43777.814884259256</v>
      </c>
      <c r="W1001" s="1">
        <v>43777.815011574072</v>
      </c>
      <c r="X1001" t="s">
        <v>191</v>
      </c>
      <c r="AH1001" t="s">
        <v>7609</v>
      </c>
      <c r="AI1001" t="s">
        <v>7610</v>
      </c>
      <c r="AJ1001" t="s">
        <v>7611</v>
      </c>
      <c r="AK1001" t="s">
        <v>7612</v>
      </c>
      <c r="AL1001" t="s">
        <v>7613</v>
      </c>
      <c r="AM1001" t="s">
        <v>7614</v>
      </c>
      <c r="AN1001" t="s">
        <v>7615</v>
      </c>
      <c r="AO1001" t="s">
        <v>7616</v>
      </c>
      <c r="AP1001" t="s">
        <v>7617</v>
      </c>
      <c r="AQ1001" t="s">
        <v>7618</v>
      </c>
      <c r="AR1001" t="s">
        <v>7619</v>
      </c>
      <c r="AS1001" t="s">
        <v>7620</v>
      </c>
      <c r="AT1001" t="s">
        <v>7621</v>
      </c>
      <c r="AU1001" t="s">
        <v>7622</v>
      </c>
      <c r="AV1001" t="s">
        <v>7623</v>
      </c>
      <c r="AW1001" t="s">
        <v>7624</v>
      </c>
      <c r="AX1001" t="s">
        <v>7625</v>
      </c>
      <c r="AY1001" t="s">
        <v>7626</v>
      </c>
      <c r="EC1001" t="s">
        <v>7627</v>
      </c>
      <c r="ED1001" t="s">
        <v>7228</v>
      </c>
      <c r="EE1001" t="s">
        <v>807</v>
      </c>
      <c r="EF1001" t="s">
        <v>2280</v>
      </c>
      <c r="EG1001" t="s">
        <v>7628</v>
      </c>
    </row>
    <row r="1002" spans="1:151" ht="15" customHeight="1" x14ac:dyDescent="0.35">
      <c r="A1002">
        <v>1119</v>
      </c>
      <c r="B1002" t="s">
        <v>7629</v>
      </c>
      <c r="C1002">
        <v>2</v>
      </c>
      <c r="D1002" t="str">
        <f>VLOOKUP(source[[#This Row],[Приоритет]],тПриоритеты[],2,0)</f>
        <v>Значительное</v>
      </c>
      <c r="E1002" t="str">
        <f>IF(ISBLANK(source[[#This Row],[Проверенные]]),IF(ISBLANK(source[[#This Row],[Завершенные]]),source[[#This Row],[Приоритет_]],"Завершено"),"Проверено")</f>
        <v>Проверено</v>
      </c>
      <c r="F1002" t="s">
        <v>4423</v>
      </c>
      <c r="G1002" t="s">
        <v>806</v>
      </c>
      <c r="H1002" t="e">
        <f>VLOOKUP(source[[#This Row],[Отвественный]],тОтветственные[],2,0)</f>
        <v>#N/A</v>
      </c>
      <c r="I1002" s="2">
        <v>43860</v>
      </c>
      <c r="J1002" s="2">
        <v>43860</v>
      </c>
      <c r="S1002" s="1">
        <v>43860.754803240743</v>
      </c>
      <c r="T1002" s="1">
        <v>43860.755243055559</v>
      </c>
      <c r="U1002" s="1">
        <v>43860.755243055559</v>
      </c>
      <c r="W1002" s="1">
        <v>43860.773148148146</v>
      </c>
      <c r="X1002" t="s">
        <v>191</v>
      </c>
      <c r="AH1002" t="s">
        <v>7630</v>
      </c>
      <c r="AI1002" t="s">
        <v>7631</v>
      </c>
      <c r="AJ1002" t="s">
        <v>7632</v>
      </c>
      <c r="AK1002" t="s">
        <v>7633</v>
      </c>
      <c r="AL1002" t="s">
        <v>7634</v>
      </c>
      <c r="AM1002" t="s">
        <v>7635</v>
      </c>
      <c r="AN1002" t="s">
        <v>7636</v>
      </c>
      <c r="AO1002" t="s">
        <v>7637</v>
      </c>
      <c r="AP1002" t="s">
        <v>7638</v>
      </c>
      <c r="AQ1002" t="s">
        <v>7639</v>
      </c>
      <c r="AR1002" t="s">
        <v>7640</v>
      </c>
      <c r="AS1002" t="s">
        <v>7641</v>
      </c>
      <c r="AT1002" t="s">
        <v>7642</v>
      </c>
      <c r="AU1002" t="s">
        <v>7643</v>
      </c>
      <c r="AV1002" t="s">
        <v>7644</v>
      </c>
      <c r="AW1002" t="s">
        <v>7645</v>
      </c>
      <c r="AX1002" t="s">
        <v>7646</v>
      </c>
      <c r="AY1002" t="s">
        <v>7647</v>
      </c>
      <c r="EC1002" t="s">
        <v>7648</v>
      </c>
      <c r="ED1002" t="s">
        <v>807</v>
      </c>
      <c r="EE1002" t="s">
        <v>2280</v>
      </c>
      <c r="EF1002" s="3" t="s">
        <v>7649</v>
      </c>
      <c r="EG1002" t="str">
        <f>HYPERLINK("https://d33htgqikc2pj4.cloudfront.net/6fc48086-4792-40aa-9efb-afe5b964a6d4.jpeg", "Святослав Грохольский: Ссылка на изображение")</f>
        <v>Святослав Грохольский: Ссылка на изображение</v>
      </c>
      <c r="EH1002" t="str">
        <f>HYPERLINK("https://d33htgqikc2pj4.cloudfront.net/bc2bcb70-738a-4391-80cb-9a41740e7fa7.jpeg", "Святослав Грохольский: Ссылка на изображение")</f>
        <v>Святослав Грохольский: Ссылка на изображение</v>
      </c>
      <c r="EI1002" t="str">
        <f>HYPERLINK("https://d33htgqikc2pj4.cloudfront.net/4e22a0d8-1416-4238-9458-670a2fc276a2.jpeg", "Святослав Грохольский: Ссылка на изображение")</f>
        <v>Святослав Грохольский: Ссылка на изображение</v>
      </c>
      <c r="EJ1002" t="str">
        <f>HYPERLINK("https://d33htgqikc2pj4.cloudfront.net/268a7386-a960-4c84-9de1-f60eaf275837.jpeg", "Святослав Грохольский: Ссылка на изображение")</f>
        <v>Святослав Грохольский: Ссылка на изображение</v>
      </c>
      <c r="EK1002" t="str">
        <f>HYPERLINK("https://d33htgqikc2pj4.cloudfront.net/14a20f89-8040-400c-a02c-87c82c18fece.jpeg", "Святослав Грохольский: Ссылка на изображение")</f>
        <v>Святослав Грохольский: Ссылка на изображение</v>
      </c>
      <c r="EL1002" t="str">
        <f>HYPERLINK("https://d33htgqikc2pj4.cloudfront.net/61c79c7a-2237-470f-b257-9f50caf16197.jpeg", "Святослав Грохольский: Ссылка на изображение")</f>
        <v>Святослав Грохольский: Ссылка на изображение</v>
      </c>
      <c r="EM1002" t="s">
        <v>7650</v>
      </c>
    </row>
    <row r="1003" spans="1:151" ht="15" customHeight="1" x14ac:dyDescent="0.35">
      <c r="A1003">
        <v>1120</v>
      </c>
      <c r="B1003" t="s">
        <v>7651</v>
      </c>
      <c r="C1003">
        <v>2</v>
      </c>
      <c r="D1003" t="str">
        <f>VLOOKUP(source[[#This Row],[Приоритет]],тПриоритеты[],2,0)</f>
        <v>Значительное</v>
      </c>
      <c r="E1003" t="str">
        <f>IF(ISBLANK(source[[#This Row],[Проверенные]]),IF(ISBLANK(source[[#This Row],[Завершенные]]),source[[#This Row],[Приоритет_]],"Завершено"),"Проверено")</f>
        <v>Проверено</v>
      </c>
      <c r="F1003" t="s">
        <v>4423</v>
      </c>
      <c r="G1003" t="s">
        <v>806</v>
      </c>
      <c r="H1003" t="e">
        <f>VLOOKUP(source[[#This Row],[Отвественный]],тОтветственные[],2,0)</f>
        <v>#N/A</v>
      </c>
      <c r="I1003" s="2">
        <v>43860</v>
      </c>
      <c r="J1003" s="2">
        <v>43860</v>
      </c>
      <c r="O1003">
        <v>0</v>
      </c>
      <c r="S1003" s="1">
        <v>43860.774108796293</v>
      </c>
      <c r="T1003" s="1">
        <v>43860.774467592593</v>
      </c>
      <c r="U1003" s="1">
        <v>43860.774467592593</v>
      </c>
      <c r="W1003" s="1">
        <v>43860.774641203701</v>
      </c>
      <c r="EC1003" t="s">
        <v>7652</v>
      </c>
      <c r="ED1003" t="s">
        <v>807</v>
      </c>
      <c r="EE1003" t="s">
        <v>2280</v>
      </c>
      <c r="EF1003" t="s">
        <v>7653</v>
      </c>
      <c r="EG1003" t="s">
        <v>7650</v>
      </c>
      <c r="EH1003" s="3" t="s">
        <v>7654</v>
      </c>
      <c r="EI1003" t="str">
        <f>HYPERLINK("https://d33htgqikc2pj4.cloudfront.net/1ba3dfcc-ebe2-4f16-8150-9295ce306816.jpeg", "Святослав Грохольский: Ссылка на изображение")</f>
        <v>Святослав Грохольский: Ссылка на изображение</v>
      </c>
      <c r="EJ1003" t="str">
        <f>HYPERLINK("https://d33htgqikc2pj4.cloudfront.net/733de59c-0286-45ae-b1db-e4929ce6dc32.jpeg", "Святослав Грохольский: Ссылка на изображение")</f>
        <v>Святослав Грохольский: Ссылка на изображение</v>
      </c>
      <c r="EK1003" t="str">
        <f>HYPERLINK("https://d33htgqikc2pj4.cloudfront.net/328bc469-77fe-47ea-8701-7a703cb29f15.jpeg", "Святослав Грохольский: Ссылка на изображение")</f>
        <v>Святослав Грохольский: Ссылка на изображение</v>
      </c>
      <c r="EL1003" t="str">
        <f>HYPERLINK("https://d33htgqikc2pj4.cloudfront.net/85eebdf7-79f8-4bbf-b64a-d7ea88d8fe18.jpeg", "Святослав Грохольский: Ссылка на изображение")</f>
        <v>Святослав Грохольский: Ссылка на изображение</v>
      </c>
      <c r="EM1003" t="str">
        <f>HYPERLINK("https://d33htgqikc2pj4.cloudfront.net/ced678aa-f46d-4d9c-903f-85991ef9236a.jpeg", "Святослав Грохольский: Ссылка на изображение")</f>
        <v>Святослав Грохольский: Ссылка на изображение</v>
      </c>
      <c r="EN1003" t="str">
        <f>HYPERLINK("https://d33htgqikc2pj4.cloudfront.net/3f8328e0-1d6d-41a9-a2e9-84b52e275a34.jpeg", "Святослав Грохольский: Ссылка на изображение")</f>
        <v>Святослав Грохольский: Ссылка на изображение</v>
      </c>
      <c r="EO1003" t="str">
        <f>HYPERLINK("https://d33htgqikc2pj4.cloudfront.net/ccdce8d4-b316-42b9-baa3-fc5d06f5bc12.jpeg", "Святослав Грохольский: Ссылка на изображение")</f>
        <v>Святослав Грохольский: Ссылка на изображение</v>
      </c>
      <c r="EP1003" t="str">
        <f>HYPERLINK("https://d33htgqikc2pj4.cloudfront.net/a9f1639b-bb10-4fbc-ac6e-8527c42b7bcb.jpeg", "Святослав Грохольский: Ссылка на изображение")</f>
        <v>Святослав Грохольский: Ссылка на изображение</v>
      </c>
      <c r="EQ1003" t="str">
        <f>HYPERLINK("https://d33htgqikc2pj4.cloudfront.net/2d706f3e-6518-49f3-9a49-ca00142dff10.jpeg", "Святослав Грохольский: Ссылка на изображение")</f>
        <v>Святослав Грохольский: Ссылка на изображение</v>
      </c>
      <c r="ER1003" t="str">
        <f>HYPERLINK("https://d33htgqikc2pj4.cloudfront.net/034b2826-2dce-4ebd-a251-0f8d725a3a97.jpeg", "Святослав Грохольский: Ссылка на изображение")</f>
        <v>Святослав Грохольский: Ссылка на изображение</v>
      </c>
      <c r="ES1003" t="str">
        <f>HYPERLINK("https://d33htgqikc2pj4.cloudfront.net/19e21481-706a-4b57-bc50-e30ba8ef57e7.jpeg", "Святослав Грохольский: Ссылка на изображение")</f>
        <v>Святослав Грохольский: Ссылка на изображение</v>
      </c>
      <c r="ET1003" t="str">
        <f>HYPERLINK("https://d33htgqikc2pj4.cloudfront.net/f1c7d3a4-416f-4a38-87e8-21b014ab9fbc.jpeg", "Святослав Грохольский: Ссылка на изображение")</f>
        <v>Святослав Грохольский: Ссылка на изображение</v>
      </c>
      <c r="EU1003" t="str">
        <f>HYPERLINK("https://d33htgqikc2pj4.cloudfront.net/f154b4e2-6b99-43d8-b004-1bf0c4959995.jpeg", "Святослав Грохольский: Ссылка на изображение")</f>
        <v>Святослав Грохольский: Ссылка на изображение</v>
      </c>
    </row>
    <row r="1004" spans="1:151" ht="15" customHeight="1" x14ac:dyDescent="0.35">
      <c r="A1004">
        <v>589</v>
      </c>
      <c r="B1004" t="s">
        <v>7226</v>
      </c>
      <c r="C1004">
        <v>2</v>
      </c>
      <c r="D1004" t="str">
        <f>VLOOKUP(source[[#This Row],[Приоритет]],тПриоритеты[],2,0)</f>
        <v>Значительное</v>
      </c>
      <c r="E1004" t="str">
        <f>IF(ISBLANK(source[[#This Row],[Проверенные]]),IF(ISBLANK(source[[#This Row],[Завершенные]]),source[[#This Row],[Приоритет_]],"Завершено"),"Проверено")</f>
        <v>Проверено</v>
      </c>
      <c r="F1004" t="s">
        <v>4423</v>
      </c>
      <c r="G1004" t="s">
        <v>806</v>
      </c>
      <c r="H1004" t="e">
        <f>VLOOKUP(source[[#This Row],[Отвественный]],тОтветственные[],2,0)</f>
        <v>#N/A</v>
      </c>
      <c r="I1004" s="2">
        <v>43809</v>
      </c>
      <c r="J1004" s="2">
        <v>43809</v>
      </c>
      <c r="S1004" s="1">
        <v>43809.797962962963</v>
      </c>
      <c r="T1004" s="1">
        <v>43809.803495370368</v>
      </c>
      <c r="U1004" s="1">
        <v>43809.803495370368</v>
      </c>
      <c r="W1004" s="1">
        <v>43809.803506944445</v>
      </c>
      <c r="X1004" t="s">
        <v>191</v>
      </c>
      <c r="AH1004" t="s">
        <v>7655</v>
      </c>
      <c r="AI1004" t="s">
        <v>7656</v>
      </c>
      <c r="AJ1004" t="s">
        <v>7657</v>
      </c>
      <c r="AK1004" t="s">
        <v>7658</v>
      </c>
      <c r="AL1004" t="s">
        <v>7659</v>
      </c>
      <c r="AM1004" t="s">
        <v>7660</v>
      </c>
      <c r="AN1004" t="s">
        <v>7661</v>
      </c>
      <c r="AO1004" t="s">
        <v>7662</v>
      </c>
      <c r="AP1004" t="s">
        <v>7663</v>
      </c>
      <c r="AQ1004" t="s">
        <v>7664</v>
      </c>
      <c r="AR1004" t="s">
        <v>7665</v>
      </c>
      <c r="AS1004" t="s">
        <v>7666</v>
      </c>
      <c r="AT1004" t="s">
        <v>7667</v>
      </c>
      <c r="AU1004" t="s">
        <v>7668</v>
      </c>
      <c r="AV1004" t="s">
        <v>7669</v>
      </c>
      <c r="AW1004" t="s">
        <v>7670</v>
      </c>
      <c r="AX1004" t="s">
        <v>7671</v>
      </c>
      <c r="AY1004" t="s">
        <v>7672</v>
      </c>
      <c r="EC1004" t="s">
        <v>7228</v>
      </c>
      <c r="ED1004" t="s">
        <v>2280</v>
      </c>
      <c r="EE1004" t="s">
        <v>7673</v>
      </c>
      <c r="EF1004" t="s">
        <v>7674</v>
      </c>
      <c r="EG1004" t="str">
        <f>HYPERLINK("https://d33htgqikc2pj4.cloudfront.net/b04a3164-efdc-4b9f-9259-d2ebb1605641.jpeg", "Святослав Грохольский: Ссылка на изображение")</f>
        <v>Святослав Грохольский: Ссылка на изображение</v>
      </c>
      <c r="EH1004" t="s">
        <v>807</v>
      </c>
    </row>
    <row r="1005" spans="1:151" ht="15" customHeight="1" x14ac:dyDescent="0.35">
      <c r="A1005">
        <v>622</v>
      </c>
      <c r="B1005" t="s">
        <v>7226</v>
      </c>
      <c r="C1005">
        <v>2</v>
      </c>
      <c r="D1005" t="str">
        <f>VLOOKUP(source[[#This Row],[Приоритет]],тПриоритеты[],2,0)</f>
        <v>Значительное</v>
      </c>
      <c r="E1005" t="str">
        <f>IF(ISBLANK(source[[#This Row],[Проверенные]]),IF(ISBLANK(source[[#This Row],[Завершенные]]),source[[#This Row],[Приоритет_]],"Завершено"),"Проверено")</f>
        <v>Проверено</v>
      </c>
      <c r="F1005" t="s">
        <v>4423</v>
      </c>
      <c r="G1005" t="s">
        <v>806</v>
      </c>
      <c r="H1005" t="e">
        <f>VLOOKUP(source[[#This Row],[Отвественный]],тОтветственные[],2,0)</f>
        <v>#N/A</v>
      </c>
      <c r="I1005" s="2">
        <v>43812</v>
      </c>
      <c r="J1005" s="2">
        <v>43812</v>
      </c>
      <c r="S1005" s="1">
        <v>43812.798425925925</v>
      </c>
      <c r="T1005" s="1">
        <v>43812.805706018517</v>
      </c>
      <c r="U1005" s="1">
        <v>43812.805706018517</v>
      </c>
      <c r="W1005" s="1">
        <v>43812.805706018517</v>
      </c>
      <c r="X1005" t="s">
        <v>191</v>
      </c>
      <c r="AH1005" t="s">
        <v>7675</v>
      </c>
      <c r="AI1005" t="s">
        <v>7676</v>
      </c>
      <c r="AJ1005" t="s">
        <v>7677</v>
      </c>
      <c r="AK1005" t="s">
        <v>7678</v>
      </c>
      <c r="AL1005" t="s">
        <v>7679</v>
      </c>
      <c r="AM1005" t="s">
        <v>7680</v>
      </c>
      <c r="AN1005" t="s">
        <v>7681</v>
      </c>
      <c r="AO1005" t="s">
        <v>7682</v>
      </c>
      <c r="AP1005" t="s">
        <v>7683</v>
      </c>
      <c r="AQ1005" t="s">
        <v>7684</v>
      </c>
      <c r="AR1005" t="s">
        <v>7685</v>
      </c>
      <c r="AS1005" t="s">
        <v>7686</v>
      </c>
      <c r="AT1005" t="s">
        <v>7687</v>
      </c>
      <c r="AU1005" t="s">
        <v>7688</v>
      </c>
      <c r="AV1005" t="s">
        <v>7689</v>
      </c>
      <c r="AW1005" t="s">
        <v>7690</v>
      </c>
      <c r="AX1005" t="s">
        <v>7691</v>
      </c>
      <c r="AY1005" t="s">
        <v>7692</v>
      </c>
      <c r="EC1005" t="s">
        <v>7228</v>
      </c>
      <c r="ED1005" t="s">
        <v>7693</v>
      </c>
      <c r="EE1005" t="s">
        <v>2280</v>
      </c>
      <c r="EF1005" t="s">
        <v>7694</v>
      </c>
      <c r="EG1005" t="s">
        <v>807</v>
      </c>
    </row>
    <row r="1006" spans="1:151" ht="15" customHeight="1" x14ac:dyDescent="0.35">
      <c r="A1006">
        <v>623</v>
      </c>
      <c r="B1006" t="s">
        <v>7232</v>
      </c>
      <c r="C1006">
        <v>2</v>
      </c>
      <c r="D1006" t="str">
        <f>VLOOKUP(source[[#This Row],[Приоритет]],тПриоритеты[],2,0)</f>
        <v>Значительное</v>
      </c>
      <c r="E1006" t="str">
        <f>IF(ISBLANK(source[[#This Row],[Проверенные]]),IF(ISBLANK(source[[#This Row],[Завершенные]]),source[[#This Row],[Приоритет_]],"Завершено"),"Проверено")</f>
        <v>Проверено</v>
      </c>
      <c r="F1006" t="s">
        <v>4423</v>
      </c>
      <c r="G1006" t="s">
        <v>806</v>
      </c>
      <c r="H1006" t="e">
        <f>VLOOKUP(source[[#This Row],[Отвественный]],тОтветственные[],2,0)</f>
        <v>#N/A</v>
      </c>
      <c r="I1006" s="2">
        <v>43812</v>
      </c>
      <c r="J1006" s="2">
        <v>43812</v>
      </c>
      <c r="S1006" s="1">
        <v>43812.806516203702</v>
      </c>
      <c r="T1006" s="1">
        <v>43812.812997685185</v>
      </c>
      <c r="U1006" s="1">
        <v>43812.812997685185</v>
      </c>
      <c r="W1006" s="1">
        <v>43812.812997685185</v>
      </c>
      <c r="EC1006" t="s">
        <v>7233</v>
      </c>
      <c r="ED1006" t="s">
        <v>2280</v>
      </c>
      <c r="EE1006" t="s">
        <v>7694</v>
      </c>
      <c r="EF1006" t="s">
        <v>7695</v>
      </c>
      <c r="EG1006" t="str">
        <f>HYPERLINK("https://d33htgqikc2pj4.cloudfront.net/2283a902-594e-4979-b487-395f968c07f6.jpeg", "Святослав Грохольский: Ссылка на изображение")</f>
        <v>Святослав Грохольский: Ссылка на изображение</v>
      </c>
      <c r="EH1006" t="s">
        <v>807</v>
      </c>
    </row>
    <row r="1007" spans="1:151" ht="15" customHeight="1" x14ac:dyDescent="0.35">
      <c r="A1007">
        <v>216</v>
      </c>
      <c r="B1007" t="s">
        <v>5721</v>
      </c>
      <c r="C1007">
        <v>2</v>
      </c>
      <c r="D1007" t="str">
        <f>VLOOKUP(source[[#This Row],[Приоритет]],тПриоритеты[],2,0)</f>
        <v>Значительное</v>
      </c>
      <c r="E1007" t="str">
        <f>IF(ISBLANK(source[[#This Row],[Проверенные]]),IF(ISBLANK(source[[#This Row],[Завершенные]]),source[[#This Row],[Приоритет_]],"Завершено"),"Проверено")</f>
        <v>Проверено</v>
      </c>
      <c r="F1007" t="s">
        <v>4423</v>
      </c>
      <c r="G1007" t="s">
        <v>806</v>
      </c>
      <c r="H1007" t="e">
        <f>VLOOKUP(source[[#This Row],[Отвественный]],тОтветственные[],2,0)</f>
        <v>#N/A</v>
      </c>
      <c r="I1007" s="2">
        <v>43781</v>
      </c>
      <c r="J1007" s="2">
        <v>43781</v>
      </c>
      <c r="S1007" s="1">
        <v>43781.234131944446</v>
      </c>
      <c r="T1007" s="1">
        <v>43781.234189814815</v>
      </c>
      <c r="U1007" s="1">
        <v>43781.234189814815</v>
      </c>
      <c r="W1007" s="1">
        <v>43781.234594907408</v>
      </c>
      <c r="EC1007" t="s">
        <v>807</v>
      </c>
      <c r="ED1007" t="s">
        <v>7696</v>
      </c>
      <c r="EE1007" t="s">
        <v>2280</v>
      </c>
      <c r="EF1007" t="s">
        <v>7235</v>
      </c>
      <c r="EG1007" t="s">
        <v>7697</v>
      </c>
    </row>
    <row r="1008" spans="1:151" ht="15" customHeight="1" x14ac:dyDescent="0.35">
      <c r="A1008">
        <v>215</v>
      </c>
      <c r="B1008" t="s">
        <v>7226</v>
      </c>
      <c r="C1008">
        <v>2</v>
      </c>
      <c r="D1008" t="str">
        <f>VLOOKUP(source[[#This Row],[Приоритет]],тПриоритеты[],2,0)</f>
        <v>Значительное</v>
      </c>
      <c r="E1008" t="str">
        <f>IF(ISBLANK(source[[#This Row],[Проверенные]]),IF(ISBLANK(source[[#This Row],[Завершенные]]),source[[#This Row],[Приоритет_]],"Завершено"),"Проверено")</f>
        <v>Проверено</v>
      </c>
      <c r="F1008" t="s">
        <v>4423</v>
      </c>
      <c r="G1008" t="s">
        <v>806</v>
      </c>
      <c r="H1008" t="e">
        <f>VLOOKUP(source[[#This Row],[Отвественный]],тОтветственные[],2,0)</f>
        <v>#N/A</v>
      </c>
      <c r="I1008" s="2">
        <v>43781</v>
      </c>
      <c r="J1008" s="2">
        <v>43781</v>
      </c>
      <c r="S1008" s="1">
        <v>43781.229074074072</v>
      </c>
      <c r="T1008" s="1">
        <v>43781.229143518518</v>
      </c>
      <c r="U1008" s="1">
        <v>43781.229143518518</v>
      </c>
      <c r="W1008" s="1">
        <v>43781.229687500003</v>
      </c>
      <c r="X1008" t="s">
        <v>191</v>
      </c>
      <c r="AH1008" t="s">
        <v>7698</v>
      </c>
      <c r="AI1008" t="s">
        <v>7699</v>
      </c>
      <c r="AJ1008" t="s">
        <v>7700</v>
      </c>
      <c r="AK1008" t="s">
        <v>7701</v>
      </c>
      <c r="AL1008" t="s">
        <v>7702</v>
      </c>
      <c r="AM1008" t="s">
        <v>7703</v>
      </c>
      <c r="AN1008" t="s">
        <v>7704</v>
      </c>
      <c r="AO1008" t="s">
        <v>7705</v>
      </c>
      <c r="AP1008" t="s">
        <v>7706</v>
      </c>
      <c r="AQ1008" t="s">
        <v>7707</v>
      </c>
      <c r="AR1008" t="s">
        <v>7708</v>
      </c>
      <c r="AS1008" t="s">
        <v>7709</v>
      </c>
      <c r="AT1008" t="s">
        <v>7710</v>
      </c>
      <c r="AU1008" t="s">
        <v>7711</v>
      </c>
      <c r="AV1008" t="s">
        <v>7712</v>
      </c>
      <c r="AW1008" t="s">
        <v>7713</v>
      </c>
      <c r="AX1008" t="s">
        <v>7714</v>
      </c>
      <c r="AY1008" t="s">
        <v>7715</v>
      </c>
      <c r="EC1008" t="s">
        <v>807</v>
      </c>
      <c r="ED1008" t="s">
        <v>2280</v>
      </c>
      <c r="EE1008" t="s">
        <v>7696</v>
      </c>
      <c r="EF1008" t="s">
        <v>7228</v>
      </c>
      <c r="EG1008" t="s">
        <v>7716</v>
      </c>
    </row>
    <row r="1009" spans="1:151" ht="15" customHeight="1" x14ac:dyDescent="0.35">
      <c r="A1009">
        <v>838</v>
      </c>
      <c r="B1009" t="s">
        <v>7717</v>
      </c>
      <c r="C1009">
        <v>2</v>
      </c>
      <c r="D1009" t="str">
        <f>VLOOKUP(source[[#This Row],[Приоритет]],тПриоритеты[],2,0)</f>
        <v>Значительное</v>
      </c>
      <c r="E1009" t="str">
        <f>IF(ISBLANK(source[[#This Row],[Проверенные]]),IF(ISBLANK(source[[#This Row],[Завершенные]]),source[[#This Row],[Приоритет_]],"Завершено"),"Проверено")</f>
        <v>Проверено</v>
      </c>
      <c r="F1009" t="s">
        <v>4423</v>
      </c>
      <c r="G1009" t="s">
        <v>806</v>
      </c>
      <c r="H1009" t="e">
        <f>VLOOKUP(source[[#This Row],[Отвественный]],тОтветственные[],2,0)</f>
        <v>#N/A</v>
      </c>
      <c r="I1009" s="2">
        <v>43833</v>
      </c>
      <c r="J1009" s="2">
        <v>43833</v>
      </c>
      <c r="S1009" s="1">
        <v>43833.726817129631</v>
      </c>
      <c r="T1009" s="1">
        <v>43833.726886574077</v>
      </c>
      <c r="U1009" s="1">
        <v>43833.726886574077</v>
      </c>
      <c r="W1009" s="1">
        <v>43833.727662037039</v>
      </c>
      <c r="EC1009" t="s">
        <v>807</v>
      </c>
      <c r="ED1009" t="s">
        <v>2280</v>
      </c>
      <c r="EE1009" t="s">
        <v>7718</v>
      </c>
      <c r="EF1009" t="s">
        <v>7719</v>
      </c>
      <c r="EG1009" s="3" t="s">
        <v>7720</v>
      </c>
      <c r="EH1009" s="3" t="s">
        <v>7721</v>
      </c>
      <c r="EI1009" s="3" t="s">
        <v>7722</v>
      </c>
      <c r="EJ1009" s="3" t="s">
        <v>7723</v>
      </c>
      <c r="EK1009" t="str">
        <f>HYPERLINK("https://d33htgqikc2pj4.cloudfront.net/496d7490-427f-4a9f-9b64-3a909e9b6b4d.jpeg", "Святослав Грохольский: Ссылка на изображение")</f>
        <v>Святослав Грохольский: Ссылка на изображение</v>
      </c>
      <c r="EL1009" t="str">
        <f>HYPERLINK("https://d33htgqikc2pj4.cloudfront.net/c68b22eb-67d2-4ca8-b58e-982a44abba5e.jpeg", "Святослав Грохольский: Ссылка на изображение")</f>
        <v>Святослав Грохольский: Ссылка на изображение</v>
      </c>
      <c r="EM1009" t="str">
        <f>HYPERLINK("https://d33htgqikc2pj4.cloudfront.net/0c980c3f-f676-46b1-bd79-c1a24fbdbef1.jpeg", "Святослав Грохольский: Ссылка на изображение")</f>
        <v>Святослав Грохольский: Ссылка на изображение</v>
      </c>
      <c r="EN1009" t="str">
        <f>HYPERLINK("https://d33htgqikc2pj4.cloudfront.net/32297871-8b29-4b3e-9510-44aab985ac33.jpeg", "Святослав Грохольский: Ссылка на изображение")</f>
        <v>Святослав Грохольский: Ссылка на изображение</v>
      </c>
      <c r="EO1009" t="str">
        <f>HYPERLINK("https://d33htgqikc2pj4.cloudfront.net/1a5d0a89-92f1-45a8-8e37-efb3a82230e9.jpeg", "Святослав Грохольский: Ссылка на изображение")</f>
        <v>Святослав Грохольский: Ссылка на изображение</v>
      </c>
      <c r="EP1009" t="str">
        <f>HYPERLINK("https://d33htgqikc2pj4.cloudfront.net/cec1b782-373d-480c-96d8-3d259cf2a9ba.jpeg", "Святослав Грохольский: Ссылка на изображение")</f>
        <v>Святослав Грохольский: Ссылка на изображение</v>
      </c>
      <c r="EQ1009" t="str">
        <f>HYPERLINK("https://d33htgqikc2pj4.cloudfront.net/8455e1b8-4243-43cc-b725-40aaa5f4cf04.jpeg", "Святослав Грохольский: Ссылка на изображение")</f>
        <v>Святослав Грохольский: Ссылка на изображение</v>
      </c>
      <c r="ER1009" t="str">
        <f>HYPERLINK("https://d33htgqikc2pj4.cloudfront.net/97f5232a-638f-4856-a240-b7b484dcdd55.jpeg", "Святослав Грохольский: Ссылка на изображение")</f>
        <v>Святослав Грохольский: Ссылка на изображение</v>
      </c>
      <c r="ES1009" t="str">
        <f>HYPERLINK("https://d33htgqikc2pj4.cloudfront.net/35eb311a-1a42-470d-ab26-7220bf8b6c15.jpeg", "Святослав Грохольский: Ссылка на изображение")</f>
        <v>Святослав Грохольский: Ссылка на изображение</v>
      </c>
      <c r="ET1009" t="str">
        <f>HYPERLINK("https://d33htgqikc2pj4.cloudfront.net/48d345c9-fe81-4c63-8abb-b7948c873772.jpeg", "Святослав Грохольский: Ссылка на изображение")</f>
        <v>Святослав Грохольский: Ссылка на изображение</v>
      </c>
      <c r="EU1009" t="str">
        <f>HYPERLINK("https://d33htgqikc2pj4.cloudfront.net/1444fe41-9688-4ce4-80c5-114ce5993ac7.jpeg", "Святослав Грохольский: Ссылка на изображение")</f>
        <v>Святослав Грохольский: Ссылка на изображение</v>
      </c>
    </row>
    <row r="1010" spans="1:151" ht="15" customHeight="1" x14ac:dyDescent="0.35">
      <c r="A1010">
        <v>628</v>
      </c>
      <c r="B1010" t="s">
        <v>7232</v>
      </c>
      <c r="C1010">
        <v>2</v>
      </c>
      <c r="D1010" t="str">
        <f>VLOOKUP(source[[#This Row],[Приоритет]],тПриоритеты[],2,0)</f>
        <v>Значительное</v>
      </c>
      <c r="E1010" t="str">
        <f>IF(ISBLANK(source[[#This Row],[Проверенные]]),IF(ISBLANK(source[[#This Row],[Завершенные]]),source[[#This Row],[Приоритет_]],"Завершено"),"Проверено")</f>
        <v>Проверено</v>
      </c>
      <c r="F1010" t="s">
        <v>4423</v>
      </c>
      <c r="G1010" t="s">
        <v>806</v>
      </c>
      <c r="H1010" t="e">
        <f>VLOOKUP(source[[#This Row],[Отвественный]],тОтветственные[],2,0)</f>
        <v>#N/A</v>
      </c>
      <c r="S1010" s="1">
        <v>43813.727962962963</v>
      </c>
      <c r="T1010" s="1">
        <v>43813.731087962966</v>
      </c>
      <c r="U1010" s="1">
        <v>43813.731087962966</v>
      </c>
      <c r="W1010" s="1">
        <v>43813.731099537035</v>
      </c>
      <c r="EC1010" t="s">
        <v>7233</v>
      </c>
      <c r="ED1010" t="s">
        <v>2280</v>
      </c>
      <c r="EE1010" s="3" t="s">
        <v>7724</v>
      </c>
      <c r="EF1010" t="str">
        <f>HYPERLINK("https://d33htgqikc2pj4.cloudfront.net/ad633949-96be-4085-afca-3523caa6320c.jpeg", "Святослав Грохольский: Ссылка на изображение")</f>
        <v>Святослав Грохольский: Ссылка на изображение</v>
      </c>
      <c r="EG1010" t="s">
        <v>807</v>
      </c>
      <c r="EH1010" s="3" t="s">
        <v>7725</v>
      </c>
    </row>
    <row r="1011" spans="1:151" ht="15" customHeight="1" x14ac:dyDescent="0.35">
      <c r="A1011">
        <v>626</v>
      </c>
      <c r="B1011" t="s">
        <v>5721</v>
      </c>
      <c r="C1011">
        <v>2</v>
      </c>
      <c r="D1011" t="str">
        <f>VLOOKUP(source[[#This Row],[Приоритет]],тПриоритеты[],2,0)</f>
        <v>Значительное</v>
      </c>
      <c r="E1011" t="str">
        <f>IF(ISBLANK(source[[#This Row],[Проверенные]]),IF(ISBLANK(source[[#This Row],[Завершенные]]),source[[#This Row],[Приоритет_]],"Завершено"),"Проверено")</f>
        <v>Проверено</v>
      </c>
      <c r="F1011" t="s">
        <v>4423</v>
      </c>
      <c r="G1011" t="s">
        <v>806</v>
      </c>
      <c r="H1011" t="e">
        <f>VLOOKUP(source[[#This Row],[Отвественный]],тОтветственные[],2,0)</f>
        <v>#N/A</v>
      </c>
      <c r="I1011" s="2">
        <v>43813</v>
      </c>
      <c r="J1011" s="2">
        <v>43813</v>
      </c>
      <c r="S1011" s="1">
        <v>43813.710011574076</v>
      </c>
      <c r="T1011" s="1">
        <v>43813.722442129627</v>
      </c>
      <c r="U1011" s="1">
        <v>43813.722442129627</v>
      </c>
      <c r="W1011" s="1">
        <v>43813.722442129627</v>
      </c>
      <c r="EC1011" t="s">
        <v>7235</v>
      </c>
      <c r="ED1011" t="s">
        <v>2280</v>
      </c>
      <c r="EE1011" t="s">
        <v>7726</v>
      </c>
      <c r="EF1011" t="str">
        <f>HYPERLINK("https://d33htgqikc2pj4.cloudfront.net/7c6f3642-1b45-4bb6-9de5-285d91356434.jpeg", "Святослав Грохольский: Ссылка на изображение")</f>
        <v>Святослав Грохольский: Ссылка на изображение</v>
      </c>
      <c r="EG1011" t="str">
        <f>HYPERLINK("https://d33htgqikc2pj4.cloudfront.net/aebc554d-4a53-44ba-85bc-6abe1a11eb9a.jpeg", "Святослав Грохольский: Ссылка на изображение")</f>
        <v>Святослав Грохольский: Ссылка на изображение</v>
      </c>
      <c r="EH1011" t="str">
        <f>HYPERLINK("https://d33htgqikc2pj4.cloudfront.net/8ed23420-630c-41c5-b308-c8f905f24dca.jpeg", "Святослав Грохольский: Ссылка на изображение")</f>
        <v>Святослав Грохольский: Ссылка на изображение</v>
      </c>
      <c r="EI1011" t="str">
        <f>HYPERLINK("https://d33htgqikc2pj4.cloudfront.net/d36e5a91-ac86-4203-8cbf-2450d702a2f8.jpeg", "Святослав Грохольский: Ссылка на изображение")</f>
        <v>Святослав Грохольский: Ссылка на изображение</v>
      </c>
      <c r="EJ1011" t="s">
        <v>815</v>
      </c>
      <c r="EK1011" t="s">
        <v>807</v>
      </c>
      <c r="EL1011" s="3" t="s">
        <v>7727</v>
      </c>
      <c r="EM1011" t="str">
        <f>HYPERLINK("https://d33htgqikc2pj4.cloudfront.net/b550e8b8-c478-48e9-bc3a-487e13462174.jpeg", "Святослав Грохольский: Ссылка на изображение")</f>
        <v>Святослав Грохольский: Ссылка на изображение</v>
      </c>
    </row>
    <row r="1012" spans="1:151" ht="15" customHeight="1" x14ac:dyDescent="0.35">
      <c r="A1012">
        <v>627</v>
      </c>
      <c r="B1012" t="s">
        <v>7728</v>
      </c>
      <c r="C1012">
        <v>2</v>
      </c>
      <c r="D1012" t="str">
        <f>VLOOKUP(source[[#This Row],[Приоритет]],тПриоритеты[],2,0)</f>
        <v>Значительное</v>
      </c>
      <c r="E1012" t="str">
        <f>IF(ISBLANK(source[[#This Row],[Проверенные]]),IF(ISBLANK(source[[#This Row],[Завершенные]]),source[[#This Row],[Приоритет_]],"Завершено"),"Проверено")</f>
        <v>Проверено</v>
      </c>
      <c r="F1012" t="s">
        <v>4423</v>
      </c>
      <c r="G1012" t="s">
        <v>806</v>
      </c>
      <c r="H1012" t="e">
        <f>VLOOKUP(source[[#This Row],[Отвественный]],тОтветственные[],2,0)</f>
        <v>#N/A</v>
      </c>
      <c r="I1012" s="2">
        <v>43813</v>
      </c>
      <c r="J1012" s="2">
        <v>43813</v>
      </c>
      <c r="S1012" s="1">
        <v>43813.722696759258</v>
      </c>
      <c r="T1012" s="1">
        <v>43813.727488425924</v>
      </c>
      <c r="U1012" s="1">
        <v>43813.727488425924</v>
      </c>
      <c r="W1012" s="1">
        <v>43813.727488425924</v>
      </c>
      <c r="X1012" t="s">
        <v>191</v>
      </c>
      <c r="AH1012" t="s">
        <v>7729</v>
      </c>
      <c r="AI1012" t="s">
        <v>7730</v>
      </c>
      <c r="AJ1012" t="s">
        <v>7731</v>
      </c>
      <c r="AK1012" t="s">
        <v>7732</v>
      </c>
      <c r="AL1012" t="s">
        <v>7733</v>
      </c>
      <c r="AM1012" t="s">
        <v>7734</v>
      </c>
      <c r="AN1012" t="s">
        <v>7735</v>
      </c>
      <c r="AO1012" t="s">
        <v>7736</v>
      </c>
      <c r="AP1012" t="s">
        <v>7737</v>
      </c>
      <c r="AQ1012" t="s">
        <v>7738</v>
      </c>
      <c r="AR1012" t="s">
        <v>7739</v>
      </c>
      <c r="AS1012" t="s">
        <v>7740</v>
      </c>
      <c r="AT1012" t="s">
        <v>7741</v>
      </c>
      <c r="AU1012" t="s">
        <v>7742</v>
      </c>
      <c r="AV1012" t="s">
        <v>7743</v>
      </c>
      <c r="AW1012" t="s">
        <v>7744</v>
      </c>
      <c r="AX1012" t="s">
        <v>7745</v>
      </c>
      <c r="AY1012" t="s">
        <v>7746</v>
      </c>
      <c r="EC1012" t="s">
        <v>7747</v>
      </c>
      <c r="ED1012" t="s">
        <v>2280</v>
      </c>
      <c r="EE1012" t="s">
        <v>7726</v>
      </c>
      <c r="EF1012" t="str">
        <f>HYPERLINK("https://d33htgqikc2pj4.cloudfront.net/d468d56b-e16b-461f-b7f8-42e9f118a504.jpeg", "Святослав Грохольский: Ссылка на изображение")</f>
        <v>Святослав Грохольский: Ссылка на изображение</v>
      </c>
      <c r="EG1012" t="str">
        <f>HYPERLINK("https://d33htgqikc2pj4.cloudfront.net/8c32c1bb-504e-4cc8-ab6a-3f3dcbf114a8.jpeg", "Святослав Грохольский: Ссылка на изображение")</f>
        <v>Святослав Грохольский: Ссылка на изображение</v>
      </c>
      <c r="EH1012" t="str">
        <f>HYPERLINK("https://d33htgqikc2pj4.cloudfront.net/0a688fb9-a95e-4ca1-82cd-a6b5910708a5.jpeg", "Святослав Грохольский: Ссылка на изображение")</f>
        <v>Святослав Грохольский: Ссылка на изображение</v>
      </c>
      <c r="EI1012" t="str">
        <f>HYPERLINK("https://d33htgqikc2pj4.cloudfront.net/61b85416-cee9-4b7c-9809-0cbc1525bca4.jpeg", "Святослав Грохольский: Ссылка на изображение")</f>
        <v>Святослав Грохольский: Ссылка на изображение</v>
      </c>
      <c r="EJ1012" t="str">
        <f>HYPERLINK("https://d33htgqikc2pj4.cloudfront.net/177bcc39-6dac-4b00-b95c-1a6b07082a72.jpeg", "Святослав Грохольский: Ссылка на изображение")</f>
        <v>Святослав Грохольский: Ссылка на изображение</v>
      </c>
      <c r="EK1012" t="s">
        <v>807</v>
      </c>
    </row>
    <row r="1013" spans="1:151" ht="15" customHeight="1" x14ac:dyDescent="0.35">
      <c r="A1013">
        <v>839</v>
      </c>
      <c r="B1013" t="s">
        <v>5721</v>
      </c>
      <c r="C1013">
        <v>2</v>
      </c>
      <c r="D1013" t="str">
        <f>VLOOKUP(source[[#This Row],[Приоритет]],тПриоритеты[],2,0)</f>
        <v>Значительное</v>
      </c>
      <c r="E1013" t="str">
        <f>IF(ISBLANK(source[[#This Row],[Проверенные]]),IF(ISBLANK(source[[#This Row],[Завершенные]]),source[[#This Row],[Приоритет_]],"Завершено"),"Проверено")</f>
        <v>Проверено</v>
      </c>
      <c r="F1013" t="s">
        <v>4423</v>
      </c>
      <c r="G1013" t="s">
        <v>806</v>
      </c>
      <c r="H1013" t="e">
        <f>VLOOKUP(source[[#This Row],[Отвественный]],тОтветственные[],2,0)</f>
        <v>#N/A</v>
      </c>
      <c r="I1013" s="2">
        <v>43833</v>
      </c>
      <c r="J1013" s="2">
        <v>43833</v>
      </c>
      <c r="S1013" s="1">
        <v>43833.743402777778</v>
      </c>
      <c r="T1013" s="1">
        <v>43833.743703703702</v>
      </c>
      <c r="U1013" s="1">
        <v>43833.743703703702</v>
      </c>
      <c r="W1013" s="1">
        <v>43833.743819444448</v>
      </c>
      <c r="EC1013" t="s">
        <v>7235</v>
      </c>
      <c r="ED1013" t="s">
        <v>807</v>
      </c>
      <c r="EE1013" t="s">
        <v>2280</v>
      </c>
      <c r="EF1013" t="s">
        <v>7718</v>
      </c>
      <c r="EG1013" s="3" t="s">
        <v>7748</v>
      </c>
      <c r="EH1013" s="3" t="s">
        <v>7749</v>
      </c>
      <c r="EI1013" s="3" t="s">
        <v>7750</v>
      </c>
      <c r="EJ1013" s="3" t="s">
        <v>7751</v>
      </c>
      <c r="EK1013" s="3" t="s">
        <v>7752</v>
      </c>
    </row>
    <row r="1014" spans="1:151" ht="15" customHeight="1" x14ac:dyDescent="0.35">
      <c r="A1014">
        <v>234</v>
      </c>
      <c r="B1014" t="s">
        <v>2285</v>
      </c>
      <c r="C1014">
        <v>2</v>
      </c>
      <c r="D1014" t="str">
        <f>VLOOKUP(source[[#This Row],[Приоритет]],тПриоритеты[],2,0)</f>
        <v>Значительное</v>
      </c>
      <c r="E1014" t="str">
        <f>IF(ISBLANK(source[[#This Row],[Проверенные]]),IF(ISBLANK(source[[#This Row],[Завершенные]]),source[[#This Row],[Приоритет_]],"Завершено"),"Проверено")</f>
        <v>Проверено</v>
      </c>
      <c r="F1014" t="s">
        <v>4423</v>
      </c>
      <c r="G1014" t="s">
        <v>806</v>
      </c>
      <c r="H1014" t="e">
        <f>VLOOKUP(source[[#This Row],[Отвественный]],тОтветственные[],2,0)</f>
        <v>#N/A</v>
      </c>
      <c r="I1014" s="2">
        <v>43782</v>
      </c>
      <c r="J1014" s="2">
        <v>43782</v>
      </c>
      <c r="S1014" s="1">
        <v>43782.201111111113</v>
      </c>
      <c r="T1014" s="1">
        <v>43782.201342592591</v>
      </c>
      <c r="U1014" s="1">
        <v>43782.201342592591</v>
      </c>
      <c r="W1014" s="1">
        <v>43782.202187499999</v>
      </c>
      <c r="EC1014" t="s">
        <v>807</v>
      </c>
      <c r="ED1014" t="s">
        <v>2280</v>
      </c>
      <c r="EE1014" t="s">
        <v>840</v>
      </c>
      <c r="EF1014" t="s">
        <v>2287</v>
      </c>
      <c r="EG1014" t="str">
        <f>HYPERLINK("https://d33htgqikc2pj4.cloudfront.net/7703bd1d-70aa-4329-9f72-65dac207d6ef.jpeg", "Святослав Грохольский: Ссылка на изображение")</f>
        <v>Святослав Грохольский: Ссылка на изображение</v>
      </c>
      <c r="EH1014" t="str">
        <f>HYPERLINK("https://d33htgqikc2pj4.cloudfront.net/701f0e4a-df63-4c79-af42-ea4e56298066.jpeg", "Святослав Грохольский: Ссылка на изображение")</f>
        <v>Святослав Грохольский: Ссылка на изображение</v>
      </c>
      <c r="EI1014" t="s">
        <v>817</v>
      </c>
      <c r="EJ1014" t="s">
        <v>817</v>
      </c>
    </row>
    <row r="1015" spans="1:151" ht="15" customHeight="1" x14ac:dyDescent="0.35">
      <c r="A1015">
        <v>236</v>
      </c>
      <c r="B1015" t="s">
        <v>7226</v>
      </c>
      <c r="C1015">
        <v>2</v>
      </c>
      <c r="D1015" t="str">
        <f>VLOOKUP(source[[#This Row],[Приоритет]],тПриоритеты[],2,0)</f>
        <v>Значительное</v>
      </c>
      <c r="E1015" t="str">
        <f>IF(ISBLANK(source[[#This Row],[Проверенные]]),IF(ISBLANK(source[[#This Row],[Завершенные]]),source[[#This Row],[Приоритет_]],"Завершено"),"Проверено")</f>
        <v>Проверено</v>
      </c>
      <c r="F1015" t="s">
        <v>4423</v>
      </c>
      <c r="G1015" t="s">
        <v>806</v>
      </c>
      <c r="H1015" t="e">
        <f>VLOOKUP(source[[#This Row],[Отвественный]],тОтветственные[],2,0)</f>
        <v>#N/A</v>
      </c>
      <c r="I1015" s="2">
        <v>43782</v>
      </c>
      <c r="J1015" s="2">
        <v>43782</v>
      </c>
      <c r="S1015" s="1">
        <v>43782.224212962959</v>
      </c>
      <c r="T1015" s="1">
        <v>43782.224282407406</v>
      </c>
      <c r="U1015" s="1">
        <v>43782.224282407406</v>
      </c>
      <c r="W1015" s="1">
        <v>43782.224641203706</v>
      </c>
      <c r="EC1015" t="s">
        <v>807</v>
      </c>
      <c r="ED1015" t="s">
        <v>2280</v>
      </c>
      <c r="EE1015" t="s">
        <v>840</v>
      </c>
      <c r="EF1015" t="s">
        <v>7228</v>
      </c>
      <c r="EG1015" t="s">
        <v>7753</v>
      </c>
    </row>
    <row r="1016" spans="1:151" ht="15" customHeight="1" x14ac:dyDescent="0.35">
      <c r="A1016">
        <v>1018</v>
      </c>
      <c r="B1016" t="s">
        <v>7226</v>
      </c>
      <c r="C1016">
        <v>2</v>
      </c>
      <c r="D1016" t="str">
        <f>VLOOKUP(source[[#This Row],[Приоритет]],тПриоритеты[],2,0)</f>
        <v>Значительное</v>
      </c>
      <c r="E1016" t="str">
        <f>IF(ISBLANK(source[[#This Row],[Проверенные]]),IF(ISBLANK(source[[#This Row],[Завершенные]]),source[[#This Row],[Приоритет_]],"Завершено"),"Проверено")</f>
        <v>Проверено</v>
      </c>
      <c r="F1016" t="s">
        <v>4423</v>
      </c>
      <c r="G1016" t="s">
        <v>806</v>
      </c>
      <c r="H1016" t="e">
        <f>VLOOKUP(source[[#This Row],[Отвественный]],тОтветственные[],2,0)</f>
        <v>#N/A</v>
      </c>
      <c r="S1016" s="1">
        <v>43853.272847222222</v>
      </c>
      <c r="T1016" s="1">
        <v>43853.273136574076</v>
      </c>
      <c r="U1016" s="1">
        <v>43853.273136574076</v>
      </c>
      <c r="W1016" s="1">
        <v>43853.273194444446</v>
      </c>
      <c r="X1016" t="s">
        <v>191</v>
      </c>
      <c r="AH1016" t="s">
        <v>7754</v>
      </c>
      <c r="AI1016" t="s">
        <v>7755</v>
      </c>
      <c r="AJ1016" t="s">
        <v>7756</v>
      </c>
      <c r="AK1016" t="s">
        <v>7757</v>
      </c>
      <c r="AL1016" t="s">
        <v>7758</v>
      </c>
      <c r="AM1016" t="s">
        <v>7759</v>
      </c>
      <c r="AN1016" t="s">
        <v>7760</v>
      </c>
      <c r="AO1016" t="s">
        <v>7761</v>
      </c>
      <c r="AP1016" t="s">
        <v>7762</v>
      </c>
      <c r="AQ1016" t="s">
        <v>7763</v>
      </c>
      <c r="AR1016" t="s">
        <v>7764</v>
      </c>
      <c r="AS1016" t="s">
        <v>7765</v>
      </c>
      <c r="AT1016" t="s">
        <v>7766</v>
      </c>
      <c r="AU1016" t="s">
        <v>7767</v>
      </c>
      <c r="AV1016" t="s">
        <v>7768</v>
      </c>
      <c r="AW1016" t="s">
        <v>7769</v>
      </c>
      <c r="AX1016" t="s">
        <v>7770</v>
      </c>
      <c r="AY1016" t="s">
        <v>7771</v>
      </c>
      <c r="EC1016" t="s">
        <v>7228</v>
      </c>
      <c r="ED1016" t="s">
        <v>807</v>
      </c>
      <c r="EE1016" t="s">
        <v>2280</v>
      </c>
      <c r="EF1016" s="3" t="s">
        <v>7772</v>
      </c>
    </row>
    <row r="1017" spans="1:151" ht="15" customHeight="1" x14ac:dyDescent="0.35">
      <c r="A1017">
        <v>304</v>
      </c>
      <c r="B1017" t="s">
        <v>5721</v>
      </c>
      <c r="C1017">
        <v>2</v>
      </c>
      <c r="D1017" t="str">
        <f>VLOOKUP(source[[#This Row],[Приоритет]],тПриоритеты[],2,0)</f>
        <v>Значительное</v>
      </c>
      <c r="E1017" t="str">
        <f>IF(ISBLANK(source[[#This Row],[Проверенные]]),IF(ISBLANK(source[[#This Row],[Завершенные]]),source[[#This Row],[Приоритет_]],"Завершено"),"Проверено")</f>
        <v>Проверено</v>
      </c>
      <c r="F1017" t="s">
        <v>4423</v>
      </c>
      <c r="G1017" t="s">
        <v>806</v>
      </c>
      <c r="H1017" t="e">
        <f>VLOOKUP(source[[#This Row],[Отвественный]],тОтветственные[],2,0)</f>
        <v>#N/A</v>
      </c>
      <c r="I1017" s="2">
        <v>43785</v>
      </c>
      <c r="J1017" s="2">
        <v>43785</v>
      </c>
      <c r="S1017" s="1">
        <v>43785.196145833332</v>
      </c>
      <c r="T1017" s="1">
        <v>43785.202384259261</v>
      </c>
      <c r="U1017" s="1">
        <v>43785.202384259261</v>
      </c>
      <c r="W1017" s="1">
        <v>43785.202511574076</v>
      </c>
      <c r="EC1017" t="s">
        <v>7773</v>
      </c>
      <c r="ED1017" t="s">
        <v>7235</v>
      </c>
      <c r="EE1017" t="s">
        <v>7774</v>
      </c>
      <c r="EF1017" t="s">
        <v>807</v>
      </c>
      <c r="EG1017" t="s">
        <v>2280</v>
      </c>
      <c r="EH1017" t="s">
        <v>7775</v>
      </c>
      <c r="EI1017" t="str">
        <f>HYPERLINK("https://d33htgqikc2pj4.cloudfront.net/17699448-54d6-4d21-a2ff-7ce1cddc8b5c.jpeg", "Святослав Грохольский: Ссылка на изображение")</f>
        <v>Святослав Грохольский: Ссылка на изображение</v>
      </c>
      <c r="EJ1017" t="str">
        <f>HYPERLINK("https://d33htgqikc2pj4.cloudfront.net/ccd493fd-a034-4d10-90b8-c006822a8809.jpeg", "Святослав Грохольский: Ссылка на изображение")</f>
        <v>Святослав Грохольский: Ссылка на изображение</v>
      </c>
      <c r="EK1017" t="str">
        <f>HYPERLINK("https://d33htgqikc2pj4.cloudfront.net/fb9ce3dd-8ef2-42f8-84a0-35eef77effa6.jpeg", "Святослав Грохольский: Ссылка на изображение")</f>
        <v>Святослав Грохольский: Ссылка на изображение</v>
      </c>
      <c r="EL1017" t="s">
        <v>815</v>
      </c>
      <c r="EM1017" t="s">
        <v>815</v>
      </c>
      <c r="EN1017" t="str">
        <f>HYPERLINK("https://d33htgqikc2pj4.cloudfront.net/c219a183-9add-4f33-9400-845364c2e2fa.jpeg", "Святослав Грохольский: Ссылка на изображение")</f>
        <v>Святослав Грохольский: Ссылка на изображение</v>
      </c>
      <c r="EO1017" t="str">
        <f>HYPERLINK("https://d33htgqikc2pj4.cloudfront.net/730f97b3-161d-4e76-9ad6-a7deea7eeddb.jpeg", "Святослав Грохольский: Ссылка на изображение")</f>
        <v>Святослав Грохольский: Ссылка на изображение</v>
      </c>
    </row>
    <row r="1018" spans="1:151" ht="15" customHeight="1" x14ac:dyDescent="0.35">
      <c r="A1018">
        <v>303</v>
      </c>
      <c r="B1018" t="s">
        <v>7226</v>
      </c>
      <c r="C1018">
        <v>2</v>
      </c>
      <c r="D1018" t="str">
        <f>VLOOKUP(source[[#This Row],[Приоритет]],тПриоритеты[],2,0)</f>
        <v>Значительное</v>
      </c>
      <c r="E1018" t="str">
        <f>IF(ISBLANK(source[[#This Row],[Проверенные]]),IF(ISBLANK(source[[#This Row],[Завершенные]]),source[[#This Row],[Приоритет_]],"Завершено"),"Проверено")</f>
        <v>Проверено</v>
      </c>
      <c r="F1018" t="s">
        <v>4423</v>
      </c>
      <c r="G1018" t="s">
        <v>806</v>
      </c>
      <c r="H1018" t="e">
        <f>VLOOKUP(source[[#This Row],[Отвественный]],тОтветственные[],2,0)</f>
        <v>#N/A</v>
      </c>
      <c r="I1018" s="2">
        <v>43785</v>
      </c>
      <c r="J1018" s="2">
        <v>43785</v>
      </c>
      <c r="S1018" s="1">
        <v>43785.191736111112</v>
      </c>
      <c r="T1018" s="1">
        <v>43785.193252314813</v>
      </c>
      <c r="U1018" s="1">
        <v>43785.193252314813</v>
      </c>
      <c r="W1018" s="1">
        <v>43785.193449074075</v>
      </c>
      <c r="X1018" t="s">
        <v>191</v>
      </c>
      <c r="AH1018" t="s">
        <v>7776</v>
      </c>
      <c r="AI1018" t="s">
        <v>7777</v>
      </c>
      <c r="AJ1018" t="s">
        <v>7778</v>
      </c>
      <c r="AK1018" t="s">
        <v>7779</v>
      </c>
      <c r="AL1018" t="s">
        <v>7780</v>
      </c>
      <c r="AM1018" t="s">
        <v>7781</v>
      </c>
      <c r="AN1018" t="s">
        <v>7782</v>
      </c>
      <c r="AO1018" t="s">
        <v>7783</v>
      </c>
      <c r="AP1018" t="s">
        <v>7784</v>
      </c>
      <c r="AQ1018" t="s">
        <v>7785</v>
      </c>
      <c r="AR1018" t="s">
        <v>7786</v>
      </c>
      <c r="AS1018" t="s">
        <v>7787</v>
      </c>
      <c r="AT1018" t="s">
        <v>7788</v>
      </c>
      <c r="AU1018" t="s">
        <v>7789</v>
      </c>
      <c r="AV1018" t="s">
        <v>7790</v>
      </c>
      <c r="AW1018" t="s">
        <v>7791</v>
      </c>
      <c r="AX1018" t="s">
        <v>7792</v>
      </c>
      <c r="AY1018" t="s">
        <v>7793</v>
      </c>
      <c r="EC1018" t="s">
        <v>7228</v>
      </c>
      <c r="ED1018" t="s">
        <v>807</v>
      </c>
      <c r="EE1018" t="s">
        <v>2280</v>
      </c>
      <c r="EF1018" t="s">
        <v>7775</v>
      </c>
      <c r="EG1018" t="s">
        <v>7794</v>
      </c>
    </row>
    <row r="1019" spans="1:151" ht="15" customHeight="1" x14ac:dyDescent="0.35">
      <c r="A1019">
        <v>309</v>
      </c>
      <c r="B1019" t="s">
        <v>7795</v>
      </c>
      <c r="C1019">
        <v>2</v>
      </c>
      <c r="D1019" t="str">
        <f>VLOOKUP(source[[#This Row],[Приоритет]],тПриоритеты[],2,0)</f>
        <v>Значительное</v>
      </c>
      <c r="E1019" t="str">
        <f>IF(ISBLANK(source[[#This Row],[Проверенные]]),IF(ISBLANK(source[[#This Row],[Завершенные]]),source[[#This Row],[Приоритет_]],"Завершено"),"Проверено")</f>
        <v>Проверено</v>
      </c>
      <c r="F1019" t="s">
        <v>4423</v>
      </c>
      <c r="G1019" t="s">
        <v>806</v>
      </c>
      <c r="H1019" t="e">
        <f>VLOOKUP(source[[#This Row],[Отвественный]],тОтветственные[],2,0)</f>
        <v>#N/A</v>
      </c>
      <c r="I1019" s="2">
        <v>43786</v>
      </c>
      <c r="J1019" s="2">
        <v>43786</v>
      </c>
      <c r="S1019" s="1">
        <v>43786.123969907407</v>
      </c>
      <c r="T1019" s="1">
        <v>43786.124050925922</v>
      </c>
      <c r="U1019" s="1">
        <v>43786.124050925922</v>
      </c>
      <c r="W1019" s="1">
        <v>43786.127812500003</v>
      </c>
      <c r="EC1019" t="s">
        <v>807</v>
      </c>
      <c r="ED1019" t="s">
        <v>7796</v>
      </c>
      <c r="EE1019" t="s">
        <v>7797</v>
      </c>
      <c r="EF1019" t="s">
        <v>7798</v>
      </c>
      <c r="EG1019" t="s">
        <v>2280</v>
      </c>
      <c r="EH1019" t="s">
        <v>3483</v>
      </c>
      <c r="EI1019" t="s">
        <v>7799</v>
      </c>
      <c r="EJ1019" t="str">
        <f>HYPERLINK("https://d33htgqikc2pj4.cloudfront.net/49f0028e-90c1-471a-9805-e33d79c037af.jpeg", "Святослав Грохольский: Ссылка на изображение")</f>
        <v>Святослав Грохольский: Ссылка на изображение</v>
      </c>
    </row>
    <row r="1020" spans="1:151" ht="15" customHeight="1" x14ac:dyDescent="0.35">
      <c r="A1020">
        <v>306</v>
      </c>
      <c r="B1020" t="s">
        <v>7226</v>
      </c>
      <c r="C1020">
        <v>2</v>
      </c>
      <c r="D1020" t="str">
        <f>VLOOKUP(source[[#This Row],[Приоритет]],тПриоритеты[],2,0)</f>
        <v>Значительное</v>
      </c>
      <c r="E1020" t="str">
        <f>IF(ISBLANK(source[[#This Row],[Проверенные]]),IF(ISBLANK(source[[#This Row],[Завершенные]]),source[[#This Row],[Приоритет_]],"Завершено"),"Проверено")</f>
        <v>Проверено</v>
      </c>
      <c r="F1020" t="s">
        <v>4423</v>
      </c>
      <c r="G1020" t="s">
        <v>806</v>
      </c>
      <c r="H1020" t="e">
        <f>VLOOKUP(source[[#This Row],[Отвественный]],тОтветственные[],2,0)</f>
        <v>#N/A</v>
      </c>
      <c r="I1020" s="2">
        <v>43786</v>
      </c>
      <c r="J1020" s="2">
        <v>43786</v>
      </c>
      <c r="S1020" s="1">
        <v>43786.09814814815</v>
      </c>
      <c r="T1020" s="1">
        <v>43786.098252314812</v>
      </c>
      <c r="U1020" s="1">
        <v>43786.098252314812</v>
      </c>
      <c r="W1020" s="1">
        <v>43786.099421296298</v>
      </c>
      <c r="X1020" t="s">
        <v>191</v>
      </c>
      <c r="AH1020" t="s">
        <v>7800</v>
      </c>
      <c r="AI1020" t="s">
        <v>7801</v>
      </c>
      <c r="AJ1020" t="s">
        <v>7802</v>
      </c>
      <c r="AK1020" t="s">
        <v>7803</v>
      </c>
      <c r="AL1020" t="s">
        <v>7804</v>
      </c>
      <c r="AM1020" t="s">
        <v>7805</v>
      </c>
      <c r="AN1020" t="s">
        <v>7806</v>
      </c>
      <c r="AO1020" t="s">
        <v>7807</v>
      </c>
      <c r="AP1020" t="s">
        <v>7808</v>
      </c>
      <c r="AQ1020" t="s">
        <v>7809</v>
      </c>
      <c r="AR1020" t="s">
        <v>7810</v>
      </c>
      <c r="AS1020" t="s">
        <v>7811</v>
      </c>
      <c r="AT1020" t="s">
        <v>7812</v>
      </c>
      <c r="AU1020" t="s">
        <v>7813</v>
      </c>
      <c r="AV1020" t="s">
        <v>7814</v>
      </c>
      <c r="AW1020" t="s">
        <v>7815</v>
      </c>
      <c r="AX1020" t="s">
        <v>7816</v>
      </c>
      <c r="AY1020" t="s">
        <v>7817</v>
      </c>
      <c r="EC1020" t="s">
        <v>807</v>
      </c>
      <c r="ED1020" t="s">
        <v>2280</v>
      </c>
      <c r="EE1020" t="s">
        <v>3483</v>
      </c>
      <c r="EF1020" t="s">
        <v>7228</v>
      </c>
      <c r="EG1020" t="s">
        <v>7818</v>
      </c>
    </row>
    <row r="1021" spans="1:151" ht="15" customHeight="1" x14ac:dyDescent="0.35">
      <c r="A1021">
        <v>307</v>
      </c>
      <c r="B1021" t="s">
        <v>7819</v>
      </c>
      <c r="C1021">
        <v>2</v>
      </c>
      <c r="D1021" t="str">
        <f>VLOOKUP(source[[#This Row],[Приоритет]],тПриоритеты[],2,0)</f>
        <v>Значительное</v>
      </c>
      <c r="E1021" t="str">
        <f>IF(ISBLANK(source[[#This Row],[Проверенные]]),IF(ISBLANK(source[[#This Row],[Завершенные]]),source[[#This Row],[Приоритет_]],"Завершено"),"Проверено")</f>
        <v>Проверено</v>
      </c>
      <c r="F1021" t="s">
        <v>4423</v>
      </c>
      <c r="G1021" t="s">
        <v>806</v>
      </c>
      <c r="H1021" t="e">
        <f>VLOOKUP(source[[#This Row],[Отвественный]],тОтветственные[],2,0)</f>
        <v>#N/A</v>
      </c>
      <c r="I1021" s="2">
        <v>43786</v>
      </c>
      <c r="J1021" s="2">
        <v>43786</v>
      </c>
      <c r="S1021" s="1">
        <v>43786.110162037039</v>
      </c>
      <c r="T1021" s="1">
        <v>43786.110613425924</v>
      </c>
      <c r="U1021" s="1">
        <v>43786.110613425924</v>
      </c>
      <c r="W1021" s="1">
        <v>43786.110706018517</v>
      </c>
      <c r="X1021" t="s">
        <v>191</v>
      </c>
      <c r="AH1021" t="s">
        <v>7820</v>
      </c>
      <c r="AI1021" t="s">
        <v>7821</v>
      </c>
      <c r="AJ1021" t="s">
        <v>7822</v>
      </c>
      <c r="AK1021" t="s">
        <v>7823</v>
      </c>
      <c r="AL1021" t="s">
        <v>7824</v>
      </c>
      <c r="AM1021" t="s">
        <v>7825</v>
      </c>
      <c r="AN1021" t="s">
        <v>7826</v>
      </c>
      <c r="AO1021" t="s">
        <v>7827</v>
      </c>
      <c r="AP1021" t="s">
        <v>7828</v>
      </c>
      <c r="AQ1021" t="s">
        <v>7829</v>
      </c>
      <c r="AR1021" t="s">
        <v>7810</v>
      </c>
      <c r="AS1021" t="s">
        <v>7830</v>
      </c>
      <c r="AT1021" t="s">
        <v>7812</v>
      </c>
      <c r="AU1021" t="s">
        <v>7831</v>
      </c>
      <c r="AV1021" t="s">
        <v>7814</v>
      </c>
      <c r="AW1021" t="s">
        <v>7832</v>
      </c>
      <c r="AX1021" t="s">
        <v>7833</v>
      </c>
      <c r="AY1021" t="s">
        <v>7817</v>
      </c>
      <c r="EC1021" t="s">
        <v>7834</v>
      </c>
      <c r="ED1021" t="s">
        <v>807</v>
      </c>
      <c r="EE1021" t="s">
        <v>2280</v>
      </c>
      <c r="EF1021" t="s">
        <v>3483</v>
      </c>
      <c r="EG1021" t="s">
        <v>7835</v>
      </c>
    </row>
    <row r="1022" spans="1:151" ht="15" customHeight="1" x14ac:dyDescent="0.35">
      <c r="A1022">
        <v>1164</v>
      </c>
      <c r="B1022" t="s">
        <v>7836</v>
      </c>
      <c r="C1022">
        <v>2</v>
      </c>
      <c r="D1022" t="str">
        <f>VLOOKUP(source[[#This Row],[Приоритет]],тПриоритеты[],2,0)</f>
        <v>Значительное</v>
      </c>
      <c r="E1022" t="str">
        <f>IF(ISBLANK(source[[#This Row],[Проверенные]]),IF(ISBLANK(source[[#This Row],[Завершенные]]),source[[#This Row],[Приоритет_]],"Завершено"),"Проверено")</f>
        <v>Проверено</v>
      </c>
      <c r="F1022" t="s">
        <v>4423</v>
      </c>
      <c r="G1022" t="s">
        <v>806</v>
      </c>
      <c r="H1022" t="e">
        <f>VLOOKUP(source[[#This Row],[Отвественный]],тОтветственные[],2,0)</f>
        <v>#N/A</v>
      </c>
      <c r="I1022" s="2">
        <v>43864</v>
      </c>
      <c r="J1022" s="2">
        <v>43864</v>
      </c>
      <c r="S1022" s="1">
        <v>43864.757002314815</v>
      </c>
      <c r="T1022" s="1">
        <v>43864.758043981485</v>
      </c>
      <c r="U1022" s="1">
        <v>43864.758043981485</v>
      </c>
      <c r="W1022" s="1">
        <v>43864.760787037034</v>
      </c>
      <c r="X1022" t="s">
        <v>191</v>
      </c>
      <c r="AH1022" t="s">
        <v>7837</v>
      </c>
      <c r="AI1022" t="s">
        <v>7838</v>
      </c>
      <c r="AJ1022" t="s">
        <v>7839</v>
      </c>
      <c r="AK1022" t="s">
        <v>7840</v>
      </c>
      <c r="AL1022" t="s">
        <v>7841</v>
      </c>
      <c r="AM1022" t="s">
        <v>7842</v>
      </c>
      <c r="AN1022" t="s">
        <v>7843</v>
      </c>
      <c r="AO1022" t="s">
        <v>7844</v>
      </c>
      <c r="AP1022" t="s">
        <v>7845</v>
      </c>
      <c r="AQ1022" t="s">
        <v>7846</v>
      </c>
      <c r="AR1022" t="s">
        <v>7847</v>
      </c>
      <c r="AS1022" t="s">
        <v>7848</v>
      </c>
      <c r="AT1022" t="s">
        <v>7849</v>
      </c>
      <c r="AU1022" t="s">
        <v>7850</v>
      </c>
      <c r="AV1022" t="s">
        <v>7851</v>
      </c>
      <c r="AW1022" t="s">
        <v>7852</v>
      </c>
      <c r="AX1022" t="s">
        <v>7853</v>
      </c>
      <c r="AY1022" t="s">
        <v>7854</v>
      </c>
      <c r="EC1022" t="s">
        <v>7855</v>
      </c>
      <c r="ED1022" t="s">
        <v>807</v>
      </c>
      <c r="EE1022" t="s">
        <v>2280</v>
      </c>
      <c r="EF1022" t="s">
        <v>7856</v>
      </c>
      <c r="EG1022" s="3" t="s">
        <v>7857</v>
      </c>
      <c r="EH1022" t="str">
        <f>HYPERLINK("https://d33htgqikc2pj4.cloudfront.net/49ea9a2e-bde9-4a3b-882c-0b23cf082825.jpeg", "Святослав Грохольский: Ссылка на изображение")</f>
        <v>Святослав Грохольский: Ссылка на изображение</v>
      </c>
      <c r="EI1022" t="str">
        <f>HYPERLINK("https://d33htgqikc2pj4.cloudfront.net/a049f325-a2f8-4a53-b20b-d7b0c68bbbfb.jpeg", "Святослав Грохольский: Ссылка на изображение")</f>
        <v>Святослав Грохольский: Ссылка на изображение</v>
      </c>
      <c r="EJ1022" t="str">
        <f>HYPERLINK("https://d33htgqikc2pj4.cloudfront.net/3a890730-939d-466e-a115-494f4c688c71.jpeg", "Святослав Грохольский: Ссылка на изображение")</f>
        <v>Святослав Грохольский: Ссылка на изображение</v>
      </c>
      <c r="EK1022" t="str">
        <f>HYPERLINK("https://d33htgqikc2pj4.cloudfront.net/1dd8661b-4e52-4db8-ab2b-be4331eaa903.jpeg", "Святослав Грохольский: Ссылка на изображение")</f>
        <v>Святослав Грохольский: Ссылка на изображение</v>
      </c>
      <c r="EL1022" t="str">
        <f>HYPERLINK("https://d33htgqikc2pj4.cloudfront.net/0bfd7fe0-fd93-4533-9910-0048cdc46d4f.jpeg", "Святослав Грохольский: Ссылка на изображение")</f>
        <v>Святослав Грохольский: Ссылка на изображение</v>
      </c>
      <c r="EM1022" t="str">
        <f>HYPERLINK("https://d33htgqikc2pj4.cloudfront.net/c6b8a678-5001-4a5b-8dfe-31d19bc69269.jpeg", "Святослав Грохольский: Ссылка на изображение")</f>
        <v>Святослав Грохольский: Ссылка на изображение</v>
      </c>
      <c r="EN1022" t="str">
        <f>HYPERLINK("https://d33htgqikc2pj4.cloudfront.net/e43da653-121c-4faf-add0-032af05fe3c2.jpeg", "Святослав Грохольский: Ссылка на изображение")</f>
        <v>Святослав Грохольский: Ссылка на изображение</v>
      </c>
      <c r="EO1022" t="str">
        <f>HYPERLINK("https://d33htgqikc2pj4.cloudfront.net/8bc642b0-b8c2-4648-bcef-246a89d5f392.jpeg", "Святослав Грохольский: Ссылка на изображение")</f>
        <v>Святослав Грохольский: Ссылка на изображение</v>
      </c>
      <c r="EP1022" t="str">
        <f>HYPERLINK("https://d33htgqikc2pj4.cloudfront.net/66b36538-81d0-4e3d-97e1-d71f20b9895b.jpeg", "Святослав Грохольский: Ссылка на изображение")</f>
        <v>Святослав Грохольский: Ссылка на изображение</v>
      </c>
      <c r="EQ1022" t="str">
        <f>HYPERLINK("https://d33htgqikc2pj4.cloudfront.net/a53c1612-3953-4f31-aae2-4442a7e8f57e.jpeg", "Святослав Грохольский: Ссылка на изображение")</f>
        <v>Святослав Грохольский: Ссылка на изображение</v>
      </c>
      <c r="ER1022" t="str">
        <f>HYPERLINK("https://d33htgqikc2pj4.cloudfront.net/e60cac6e-c650-4e24-a80c-89d520f98a8d.jpeg", "Святослав Грохольский: Ссылка на изображение")</f>
        <v>Святослав Грохольский: Ссылка на изображение</v>
      </c>
    </row>
    <row r="1023" spans="1:151" ht="15" customHeight="1" x14ac:dyDescent="0.35">
      <c r="A1023">
        <v>860</v>
      </c>
      <c r="B1023" t="s">
        <v>7858</v>
      </c>
      <c r="C1023">
        <v>2</v>
      </c>
      <c r="D1023" t="str">
        <f>VLOOKUP(source[[#This Row],[Приоритет]],тПриоритеты[],2,0)</f>
        <v>Значительное</v>
      </c>
      <c r="E1023" t="str">
        <f>IF(ISBLANK(source[[#This Row],[Проверенные]]),IF(ISBLANK(source[[#This Row],[Завершенные]]),source[[#This Row],[Приоритет_]],"Завершено"),"Проверено")</f>
        <v>Проверено</v>
      </c>
      <c r="F1023" t="s">
        <v>4423</v>
      </c>
      <c r="G1023" t="s">
        <v>806</v>
      </c>
      <c r="H1023" t="e">
        <f>VLOOKUP(source[[#This Row],[Отвественный]],тОтветственные[],2,0)</f>
        <v>#N/A</v>
      </c>
      <c r="I1023" s="2">
        <v>43838</v>
      </c>
      <c r="J1023" s="2">
        <v>43838</v>
      </c>
      <c r="S1023" s="1">
        <v>43838.590578703705</v>
      </c>
      <c r="T1023" s="1">
        <v>43838.594849537039</v>
      </c>
      <c r="U1023" s="1">
        <v>43838.594849537039</v>
      </c>
      <c r="W1023" s="1">
        <v>43838.594976851855</v>
      </c>
      <c r="EC1023" t="s">
        <v>7859</v>
      </c>
      <c r="ED1023" s="3" t="s">
        <v>7860</v>
      </c>
      <c r="EE1023" t="str">
        <f>HYPERLINK("https://d33htgqikc2pj4.cloudfront.net/b2ef8b83-e5e3-4141-a0ba-3792f758abf9.jpeg", "Святослав Грохольский: Ссылка на изображение")</f>
        <v>Святослав Грохольский: Ссылка на изображение</v>
      </c>
      <c r="EF1023" t="str">
        <f>HYPERLINK("https://d33htgqikc2pj4.cloudfront.net/878d4beb-b3da-4f29-a5e3-c1a653e0e40b.jpeg", "Святослав Грохольский: Ссылка на изображение")</f>
        <v>Святослав Грохольский: Ссылка на изображение</v>
      </c>
      <c r="EG1023" t="str">
        <f>HYPERLINK("https://d33htgqikc2pj4.cloudfront.net/9e715a36-91e0-4d45-9d49-feeb946204cf.jpeg", "Святослав Грохольский: Ссылка на изображение")</f>
        <v>Святослав Грохольский: Ссылка на изображение</v>
      </c>
      <c r="EH1023" t="str">
        <f>HYPERLINK("https://d33htgqikc2pj4.cloudfront.net/873dd750-1f18-4640-ad83-9a2e355e3209.jpeg", "Святослав Грохольский: Ссылка на изображение")</f>
        <v>Святослав Грохольский: Ссылка на изображение</v>
      </c>
      <c r="EI1023" t="str">
        <f>HYPERLINK("https://d33htgqikc2pj4.cloudfront.net/636e3bff-6542-4e3a-ba13-08662e577177.jpeg", "Святослав Грохольский: Ссылка на изображение")</f>
        <v>Святослав Грохольский: Ссылка на изображение</v>
      </c>
      <c r="EJ1023" t="s">
        <v>807</v>
      </c>
      <c r="EK1023" t="s">
        <v>2280</v>
      </c>
      <c r="EL1023" t="s">
        <v>3487</v>
      </c>
      <c r="EM1023" t="str">
        <f>HYPERLINK("https://d33htgqikc2pj4.cloudfront.net/23b9c547-be22-4bb3-a30e-145ddab9681c.jpeg", "Святослав Грохольский: Ссылка на изображение")</f>
        <v>Святослав Грохольский: Ссылка на изображение</v>
      </c>
    </row>
    <row r="1024" spans="1:151" ht="15" customHeight="1" x14ac:dyDescent="0.35">
      <c r="A1024">
        <v>861</v>
      </c>
      <c r="B1024" t="s">
        <v>7861</v>
      </c>
      <c r="C1024">
        <v>2</v>
      </c>
      <c r="D1024" t="str">
        <f>VLOOKUP(source[[#This Row],[Приоритет]],тПриоритеты[],2,0)</f>
        <v>Значительное</v>
      </c>
      <c r="E1024" t="str">
        <f>IF(ISBLANK(source[[#This Row],[Проверенные]]),IF(ISBLANK(source[[#This Row],[Завершенные]]),source[[#This Row],[Приоритет_]],"Завершено"),"Проверено")</f>
        <v>Проверено</v>
      </c>
      <c r="F1024" t="s">
        <v>4423</v>
      </c>
      <c r="G1024" t="s">
        <v>806</v>
      </c>
      <c r="H1024" t="e">
        <f>VLOOKUP(source[[#This Row],[Отвественный]],тОтветственные[],2,0)</f>
        <v>#N/A</v>
      </c>
      <c r="I1024" s="2">
        <v>43838</v>
      </c>
      <c r="J1024" s="2">
        <v>43838</v>
      </c>
      <c r="S1024" s="1">
        <v>43838.701874999999</v>
      </c>
      <c r="T1024" s="1">
        <v>43838.709988425922</v>
      </c>
      <c r="U1024" s="1">
        <v>43838.709988425922</v>
      </c>
      <c r="W1024" s="1">
        <v>43838.710057870368</v>
      </c>
      <c r="EC1024" t="s">
        <v>7862</v>
      </c>
      <c r="ED1024" s="3" t="s">
        <v>7863</v>
      </c>
      <c r="EE1024" t="s">
        <v>2280</v>
      </c>
      <c r="EF1024" t="str">
        <f>HYPERLINK("https://d33htgqikc2pj4.cloudfront.net/9893a3e7-dc4c-4585-aedf-18235a6b41f5.jpeg", "Святослав Грохольский: Ссылка на изображение")</f>
        <v>Святослав Грохольский: Ссылка на изображение</v>
      </c>
      <c r="EG1024" t="str">
        <f>HYPERLINK("https://d33htgqikc2pj4.cloudfront.net/040f890b-a3d5-49b1-add4-121b190db91e.jpeg", "Святослав Грохольский: Ссылка на изображение")</f>
        <v>Святослав Грохольский: Ссылка на изображение</v>
      </c>
      <c r="EH1024" t="str">
        <f>HYPERLINK("https://d33htgqikc2pj4.cloudfront.net/6a1afda5-7f3b-4f6d-aef6-9806c4b44db5.jpeg", "Святослав Грохольский: Ссылка на изображение")</f>
        <v>Святослав Грохольский: Ссылка на изображение</v>
      </c>
      <c r="EI1024" t="str">
        <f>HYPERLINK("https://d33htgqikc2pj4.cloudfront.net/c32360d7-7830-4eac-af7e-4875d86c5b71.jpeg", "Святослав Грохольский: Ссылка на изображение")</f>
        <v>Святослав Грохольский: Ссылка на изображение</v>
      </c>
      <c r="EJ1024" t="str">
        <f>HYPERLINK("https://d33htgqikc2pj4.cloudfront.net/ca32e629-d7be-41c9-8bb4-76c4f9decaeb.jpeg", "Святослав Грохольский: Ссылка на изображение")</f>
        <v>Святослав Грохольский: Ссылка на изображение</v>
      </c>
      <c r="EK1024" t="str">
        <f>HYPERLINK("https://d33htgqikc2pj4.cloudfront.net/5387b8f0-6523-4ed4-a917-baf6a86f2ff0.jpeg", "Святослав Грохольский: Ссылка на изображение")</f>
        <v>Святослав Грохольский: Ссылка на изображение</v>
      </c>
      <c r="EL1024" t="str">
        <f>HYPERLINK("https://d33htgqikc2pj4.cloudfront.net/a25645eb-d1bd-44aa-9c3e-95604cf8c7c7.jpeg", "Святослав Грохольский: Ссылка на изображение")</f>
        <v>Святослав Грохольский: Ссылка на изображение</v>
      </c>
      <c r="EM1024" t="str">
        <f>HYPERLINK("https://d33htgqikc2pj4.cloudfront.net/ecfa9ff6-32cf-4202-a7ef-350e3a6d1e73.jpeg", "Святослав Грохольский: Ссылка на изображение")</f>
        <v>Святослав Грохольский: Ссылка на изображение</v>
      </c>
      <c r="EN1024" t="s">
        <v>807</v>
      </c>
      <c r="EO1024" t="s">
        <v>3487</v>
      </c>
      <c r="EP1024" t="s">
        <v>7864</v>
      </c>
    </row>
    <row r="1025" spans="1:148" ht="15" customHeight="1" x14ac:dyDescent="0.35">
      <c r="A1025">
        <v>1179</v>
      </c>
      <c r="B1025" t="s">
        <v>7865</v>
      </c>
      <c r="C1025">
        <v>2</v>
      </c>
      <c r="D1025" t="str">
        <f>VLOOKUP(source[[#This Row],[Приоритет]],тПриоритеты[],2,0)</f>
        <v>Значительное</v>
      </c>
      <c r="E1025" t="str">
        <f>IF(ISBLANK(source[[#This Row],[Проверенные]]),IF(ISBLANK(source[[#This Row],[Завершенные]]),source[[#This Row],[Приоритет_]],"Завершено"),"Проверено")</f>
        <v>Проверено</v>
      </c>
      <c r="F1025" t="s">
        <v>4423</v>
      </c>
      <c r="G1025" t="s">
        <v>806</v>
      </c>
      <c r="H1025" t="e">
        <f>VLOOKUP(source[[#This Row],[Отвественный]],тОтветственные[],2,0)</f>
        <v>#N/A</v>
      </c>
      <c r="I1025" s="2">
        <v>43865</v>
      </c>
      <c r="J1025" s="2">
        <v>43865</v>
      </c>
      <c r="S1025" s="1">
        <v>43865.760451388887</v>
      </c>
      <c r="T1025" s="1">
        <v>43865.761192129627</v>
      </c>
      <c r="U1025" s="1">
        <v>43865.761192129627</v>
      </c>
      <c r="W1025" s="1">
        <v>43865.765509259261</v>
      </c>
      <c r="EC1025" t="s">
        <v>7534</v>
      </c>
      <c r="ED1025" t="s">
        <v>807</v>
      </c>
      <c r="EE1025" s="3" t="s">
        <v>7866</v>
      </c>
      <c r="EF1025" t="s">
        <v>7867</v>
      </c>
      <c r="EG1025" t="str">
        <f>HYPERLINK("https://d33htgqikc2pj4.cloudfront.net/ff8e4a3d-f28d-4af4-ba3a-8cc4816e7ad2.jpeg", "Святослав Грохольский: Ссылка на изображение")</f>
        <v>Святослав Грохольский: Ссылка на изображение</v>
      </c>
      <c r="EH1025" t="str">
        <f>HYPERLINK("https://d33htgqikc2pj4.cloudfront.net/6f7809a1-8214-4eaf-bd8c-75151cccb32e.jpeg", "Святослав Грохольский: Ссылка на изображение")</f>
        <v>Святослав Грохольский: Ссылка на изображение</v>
      </c>
      <c r="EI1025" t="str">
        <f>HYPERLINK("https://d33htgqikc2pj4.cloudfront.net/f00234ce-c84d-4a4a-915c-1ed17d9a244b.jpeg", "Святослав Грохольский: Ссылка на изображение")</f>
        <v>Святослав Грохольский: Ссылка на изображение</v>
      </c>
      <c r="EJ1025" t="str">
        <f>HYPERLINK("https://d33htgqikc2pj4.cloudfront.net/42e206e0-b9e1-49f3-ac6a-4e13bf2866e7.jpeg", "Святослав Грохольский: Ссылка на изображение")</f>
        <v>Святослав Грохольский: Ссылка на изображение</v>
      </c>
      <c r="EK1025" t="str">
        <f>HYPERLINK("https://d33htgqikc2pj4.cloudfront.net/b68c1681-f430-4d91-8fa6-cfcb3fbf403f.jpeg", "Святослав Грохольский: Ссылка на изображение")</f>
        <v>Святослав Грохольский: Ссылка на изображение</v>
      </c>
      <c r="EL1025" t="s">
        <v>7868</v>
      </c>
      <c r="EM1025" t="s">
        <v>2280</v>
      </c>
      <c r="EN1025" t="s">
        <v>7867</v>
      </c>
    </row>
    <row r="1026" spans="1:148" ht="15" customHeight="1" x14ac:dyDescent="0.35">
      <c r="A1026">
        <v>1180</v>
      </c>
      <c r="B1026" t="s">
        <v>7869</v>
      </c>
      <c r="C1026">
        <v>2</v>
      </c>
      <c r="D1026" t="str">
        <f>VLOOKUP(source[[#This Row],[Приоритет]],тПриоритеты[],2,0)</f>
        <v>Значительное</v>
      </c>
      <c r="E1026" t="str">
        <f>IF(ISBLANK(source[[#This Row],[Проверенные]]),IF(ISBLANK(source[[#This Row],[Завершенные]]),source[[#This Row],[Приоритет_]],"Завершено"),"Проверено")</f>
        <v>Проверено</v>
      </c>
      <c r="F1026" t="s">
        <v>4423</v>
      </c>
      <c r="G1026" t="s">
        <v>806</v>
      </c>
      <c r="H1026" t="e">
        <f>VLOOKUP(source[[#This Row],[Отвественный]],тОтветственные[],2,0)</f>
        <v>#N/A</v>
      </c>
      <c r="I1026" s="2">
        <v>43865</v>
      </c>
      <c r="J1026" s="2">
        <v>43865</v>
      </c>
      <c r="S1026" s="1">
        <v>43865.768993055557</v>
      </c>
      <c r="T1026" s="1">
        <v>43865.769444444442</v>
      </c>
      <c r="U1026" s="1">
        <v>43865.769444444442</v>
      </c>
      <c r="W1026" s="1">
        <v>43865.784895833334</v>
      </c>
      <c r="X1026" t="s">
        <v>191</v>
      </c>
      <c r="AH1026" t="s">
        <v>7870</v>
      </c>
      <c r="AI1026" t="s">
        <v>7871</v>
      </c>
      <c r="AJ1026" t="s">
        <v>7872</v>
      </c>
      <c r="AK1026" t="s">
        <v>7873</v>
      </c>
      <c r="AL1026" t="s">
        <v>7874</v>
      </c>
      <c r="AM1026" t="s">
        <v>7875</v>
      </c>
      <c r="AN1026" t="s">
        <v>7876</v>
      </c>
      <c r="AO1026" t="s">
        <v>7877</v>
      </c>
      <c r="AP1026" t="s">
        <v>7878</v>
      </c>
      <c r="AQ1026" t="s">
        <v>7879</v>
      </c>
      <c r="AR1026" t="s">
        <v>7880</v>
      </c>
      <c r="AS1026" t="s">
        <v>7881</v>
      </c>
      <c r="AT1026" t="s">
        <v>7882</v>
      </c>
      <c r="AU1026" t="s">
        <v>7883</v>
      </c>
      <c r="AV1026" t="s">
        <v>7884</v>
      </c>
      <c r="AW1026" t="s">
        <v>7885</v>
      </c>
      <c r="AX1026" t="s">
        <v>7886</v>
      </c>
      <c r="AY1026" t="s">
        <v>7887</v>
      </c>
      <c r="EC1026" t="s">
        <v>7888</v>
      </c>
      <c r="ED1026" t="s">
        <v>807</v>
      </c>
      <c r="EE1026" t="s">
        <v>2280</v>
      </c>
      <c r="EF1026" s="3" t="s">
        <v>7889</v>
      </c>
      <c r="EG1026" t="str">
        <f>HYPERLINK("https://d33htgqikc2pj4.cloudfront.net/45e11a33-5381-46e3-8557-1e39b6969ca4.jpeg", "Святослав Грохольский: Ссылка на изображение")</f>
        <v>Святослав Грохольский: Ссылка на изображение</v>
      </c>
      <c r="EH1026" t="str">
        <f>HYPERLINK("https://d33htgqikc2pj4.cloudfront.net/a54c40b5-65cf-47cc-9f17-3f17556cc738.jpeg", "Святослав Грохольский: Ссылка на изображение")</f>
        <v>Святослав Грохольский: Ссылка на изображение</v>
      </c>
      <c r="EI1026" t="str">
        <f>HYPERLINK("https://d33htgqikc2pj4.cloudfront.net/5e67c8c7-5111-4b54-bd03-1f5112cff8ff.jpeg", "Святослав Грохольский: Ссылка на изображение")</f>
        <v>Святослав Грохольский: Ссылка на изображение</v>
      </c>
      <c r="EJ1026" t="s">
        <v>7868</v>
      </c>
    </row>
    <row r="1027" spans="1:148" ht="15" customHeight="1" x14ac:dyDescent="0.35">
      <c r="A1027">
        <v>893</v>
      </c>
      <c r="B1027" t="s">
        <v>7890</v>
      </c>
      <c r="C1027">
        <v>2</v>
      </c>
      <c r="D1027" t="str">
        <f>VLOOKUP(source[[#This Row],[Приоритет]],тПриоритеты[],2,0)</f>
        <v>Значительное</v>
      </c>
      <c r="E1027" t="str">
        <f>IF(ISBLANK(source[[#This Row],[Проверенные]]),IF(ISBLANK(source[[#This Row],[Завершенные]]),source[[#This Row],[Приоритет_]],"Завершено"),"Проверено")</f>
        <v>Проверено</v>
      </c>
      <c r="F1027" t="s">
        <v>4423</v>
      </c>
      <c r="G1027" t="s">
        <v>806</v>
      </c>
      <c r="H1027" t="e">
        <f>VLOOKUP(source[[#This Row],[Отвественный]],тОтветственные[],2,0)</f>
        <v>#N/A</v>
      </c>
      <c r="I1027" s="2">
        <v>43841</v>
      </c>
      <c r="J1027" s="2">
        <v>43841</v>
      </c>
      <c r="S1027" s="1">
        <v>43841.706724537034</v>
      </c>
      <c r="T1027" s="1">
        <v>43841.720555555556</v>
      </c>
      <c r="U1027" s="1">
        <v>43841.720555555556</v>
      </c>
      <c r="W1027" s="1">
        <v>43841.720555555556</v>
      </c>
      <c r="EC1027" t="s">
        <v>7891</v>
      </c>
      <c r="ED1027" t="s">
        <v>2280</v>
      </c>
      <c r="EE1027" s="3" t="s">
        <v>7892</v>
      </c>
      <c r="EF1027" t="s">
        <v>7893</v>
      </c>
      <c r="EG1027" t="str">
        <f>HYPERLINK("https://d33htgqikc2pj4.cloudfront.net/43b8547a-10da-4b20-b29f-76d117318c85.jpeg", "Святослав Грохольский: Ссылка на изображение")</f>
        <v>Святослав Грохольский: Ссылка на изображение</v>
      </c>
      <c r="EH1027" t="str">
        <f>HYPERLINK("https://d33htgqikc2pj4.cloudfront.net/0e927ed9-449e-4491-be8c-0c61bf9db2d9.jpeg", "Святослав Грохольский: Ссылка на изображение")</f>
        <v>Святослав Грохольский: Ссылка на изображение</v>
      </c>
      <c r="EI1027" t="str">
        <f>HYPERLINK("https://d33htgqikc2pj4.cloudfront.net/df16ec11-8032-4f18-a814-035a88c6e453.jpeg", "Святослав Грохольский: Ссылка на изображение")</f>
        <v>Святослав Грохольский: Ссылка на изображение</v>
      </c>
      <c r="EJ1027" t="str">
        <f>HYPERLINK("https://d33htgqikc2pj4.cloudfront.net/1abc39c6-8314-4761-b515-2e6dacf4b303.jpeg", "Святослав Грохольский: Ссылка на изображение")</f>
        <v>Святослав Грохольский: Ссылка на изображение</v>
      </c>
      <c r="EK1027" t="s">
        <v>813</v>
      </c>
      <c r="EL1027" t="s">
        <v>807</v>
      </c>
    </row>
    <row r="1028" spans="1:148" ht="15" customHeight="1" x14ac:dyDescent="0.35">
      <c r="A1028">
        <v>896</v>
      </c>
      <c r="B1028" t="s">
        <v>7894</v>
      </c>
      <c r="C1028">
        <v>2</v>
      </c>
      <c r="D1028" t="str">
        <f>VLOOKUP(source[[#This Row],[Приоритет]],тПриоритеты[],2,0)</f>
        <v>Значительное</v>
      </c>
      <c r="E1028" t="str">
        <f>IF(ISBLANK(source[[#This Row],[Проверенные]]),IF(ISBLANK(source[[#This Row],[Завершенные]]),source[[#This Row],[Приоритет_]],"Завершено"),"Проверено")</f>
        <v>Проверено</v>
      </c>
      <c r="F1028" t="s">
        <v>4423</v>
      </c>
      <c r="G1028" t="s">
        <v>806</v>
      </c>
      <c r="H1028" t="e">
        <f>VLOOKUP(source[[#This Row],[Отвественный]],тОтветственные[],2,0)</f>
        <v>#N/A</v>
      </c>
      <c r="S1028" s="1">
        <v>43841.736851851849</v>
      </c>
      <c r="T1028" s="1">
        <v>43841.741863425923</v>
      </c>
      <c r="U1028" s="1">
        <v>43841.741863425923</v>
      </c>
      <c r="W1028" s="1">
        <v>43841.741863425923</v>
      </c>
      <c r="EC1028" t="s">
        <v>7895</v>
      </c>
      <c r="ED1028" t="s">
        <v>2280</v>
      </c>
      <c r="EE1028" s="3" t="s">
        <v>7896</v>
      </c>
      <c r="EF1028" t="s">
        <v>807</v>
      </c>
    </row>
    <row r="1029" spans="1:148" ht="15" customHeight="1" x14ac:dyDescent="0.35">
      <c r="A1029">
        <v>1242</v>
      </c>
      <c r="B1029" t="s">
        <v>7226</v>
      </c>
      <c r="C1029">
        <v>2</v>
      </c>
      <c r="D1029" t="str">
        <f>VLOOKUP(source[[#This Row],[Приоритет]],тПриоритеты[],2,0)</f>
        <v>Значительное</v>
      </c>
      <c r="E1029" t="str">
        <f>IF(ISBLANK(source[[#This Row],[Проверенные]]),IF(ISBLANK(source[[#This Row],[Завершенные]]),source[[#This Row],[Приоритет_]],"Завершено"),"Проверено")</f>
        <v>Проверено</v>
      </c>
      <c r="F1029" t="s">
        <v>4423</v>
      </c>
      <c r="G1029" t="s">
        <v>806</v>
      </c>
      <c r="H1029" t="e">
        <f>VLOOKUP(source[[#This Row],[Отвественный]],тОтветственные[],2,0)</f>
        <v>#N/A</v>
      </c>
      <c r="I1029" s="2">
        <v>43868</v>
      </c>
      <c r="J1029" s="2">
        <v>43869</v>
      </c>
      <c r="S1029" s="1">
        <v>43869.267418981479</v>
      </c>
      <c r="T1029" s="1">
        <v>43869.267731481479</v>
      </c>
      <c r="U1029" s="1">
        <v>43869.267731481479</v>
      </c>
      <c r="W1029" s="1">
        <v>43869.267928240741</v>
      </c>
      <c r="X1029" t="s">
        <v>191</v>
      </c>
      <c r="AH1029" t="s">
        <v>7897</v>
      </c>
      <c r="AI1029" t="s">
        <v>7898</v>
      </c>
      <c r="AJ1029" t="s">
        <v>7899</v>
      </c>
      <c r="AK1029" t="s">
        <v>7900</v>
      </c>
      <c r="AL1029" t="s">
        <v>7901</v>
      </c>
      <c r="AM1029" t="s">
        <v>7902</v>
      </c>
      <c r="AN1029" t="s">
        <v>7903</v>
      </c>
      <c r="AO1029" t="s">
        <v>7904</v>
      </c>
      <c r="AP1029" t="s">
        <v>7905</v>
      </c>
      <c r="AQ1029" t="s">
        <v>7906</v>
      </c>
      <c r="AR1029" t="s">
        <v>7907</v>
      </c>
      <c r="AS1029" t="s">
        <v>7908</v>
      </c>
      <c r="AT1029" t="s">
        <v>7909</v>
      </c>
      <c r="AU1029" t="s">
        <v>7910</v>
      </c>
      <c r="AV1029" t="s">
        <v>7911</v>
      </c>
      <c r="AW1029" t="s">
        <v>7912</v>
      </c>
      <c r="AX1029" t="s">
        <v>7913</v>
      </c>
      <c r="AY1029" t="s">
        <v>7914</v>
      </c>
      <c r="EC1029" t="s">
        <v>7228</v>
      </c>
      <c r="ED1029" t="s">
        <v>807</v>
      </c>
      <c r="EE1029" t="s">
        <v>2280</v>
      </c>
      <c r="EF1029" t="s">
        <v>3502</v>
      </c>
      <c r="EG1029" t="s">
        <v>848</v>
      </c>
      <c r="EH1029" t="s">
        <v>7915</v>
      </c>
      <c r="EI1029" t="str">
        <f>HYPERLINK("https://d33htgqikc2pj4.cloudfront.net/9015c0ee-d4db-470c-80d0-d9c2f158faef.jpeg", "Святослав Грохольский: Ссылка на изображение")</f>
        <v>Святослав Грохольский: Ссылка на изображение</v>
      </c>
      <c r="EJ1029" t="str">
        <f>HYPERLINK("https://d33htgqikc2pj4.cloudfront.net/d984140b-305b-4d22-89a0-005d255803ee.jpeg", "Святослав Грохольский: Ссылка на изображение")</f>
        <v>Святослав Грохольский: Ссылка на изображение</v>
      </c>
    </row>
    <row r="1030" spans="1:148" ht="15" customHeight="1" x14ac:dyDescent="0.35">
      <c r="A1030">
        <v>1244</v>
      </c>
      <c r="B1030" t="s">
        <v>7916</v>
      </c>
      <c r="C1030">
        <v>2</v>
      </c>
      <c r="D1030" t="str">
        <f>VLOOKUP(source[[#This Row],[Приоритет]],тПриоритеты[],2,0)</f>
        <v>Значительное</v>
      </c>
      <c r="E1030" t="str">
        <f>IF(ISBLANK(source[[#This Row],[Проверенные]]),IF(ISBLANK(source[[#This Row],[Завершенные]]),source[[#This Row],[Приоритет_]],"Завершено"),"Проверено")</f>
        <v>Проверено</v>
      </c>
      <c r="F1030" t="s">
        <v>4423</v>
      </c>
      <c r="G1030" t="s">
        <v>806</v>
      </c>
      <c r="H1030" t="e">
        <f>VLOOKUP(source[[#This Row],[Отвественный]],тОтветственные[],2,0)</f>
        <v>#N/A</v>
      </c>
      <c r="I1030" s="2">
        <v>43868</v>
      </c>
      <c r="J1030" s="2">
        <v>43869</v>
      </c>
      <c r="S1030" s="1">
        <v>43869.285162037035</v>
      </c>
      <c r="T1030" s="1">
        <v>43869.285451388889</v>
      </c>
      <c r="U1030" s="1">
        <v>43869.285451388889</v>
      </c>
      <c r="W1030" s="1">
        <v>43869.285601851851</v>
      </c>
      <c r="EC1030" t="s">
        <v>7917</v>
      </c>
      <c r="ED1030" t="s">
        <v>807</v>
      </c>
      <c r="EE1030" t="s">
        <v>2280</v>
      </c>
      <c r="EF1030" t="s">
        <v>848</v>
      </c>
      <c r="EG1030" t="s">
        <v>849</v>
      </c>
      <c r="EH1030" s="3" t="s">
        <v>7918</v>
      </c>
      <c r="EI1030" t="str">
        <f>HYPERLINK("https://d33htgqikc2pj4.cloudfront.net/3c3911e0-3824-4a31-96ff-534acd986363.jpeg", "Святослав Грохольский: Ссылка на изображение")</f>
        <v>Святослав Грохольский: Ссылка на изображение</v>
      </c>
      <c r="EJ1030" t="str">
        <f>HYPERLINK("https://d33htgqikc2pj4.cloudfront.net/8d4d8572-3518-4c44-bec9-455303669180.jpeg", "Святослав Грохольский: Ссылка на изображение")</f>
        <v>Святослав Грохольский: Ссылка на изображение</v>
      </c>
      <c r="EK1030" t="str">
        <f>HYPERLINK("https://d33htgqikc2pj4.cloudfront.net/25dcdc39-90f8-4db3-9c36-eb57911554bb.jpeg", "Святослав Грохольский: Ссылка на изображение")</f>
        <v>Святослав Грохольский: Ссылка на изображение</v>
      </c>
      <c r="EL1030" t="str">
        <f>HYPERLINK("https://d33htgqikc2pj4.cloudfront.net/8b32be9e-ac2d-491e-a8d8-41add6dbb014.jpeg", "Святослав Грохольский: Ссылка на изображение")</f>
        <v>Святослав Грохольский: Ссылка на изображение</v>
      </c>
      <c r="EM1030" t="str">
        <f>HYPERLINK("https://d33htgqikc2pj4.cloudfront.net/d010a626-82af-44aa-82b3-c2699a67b46c.jpeg", "Святослав Грохольский: Ссылка на изображение")</f>
        <v>Святослав Грохольский: Ссылка на изображение</v>
      </c>
      <c r="EN1030" t="str">
        <f>HYPERLINK("https://d33htgqikc2pj4.cloudfront.net/a4a9c149-e6a2-4341-8b37-d5dc987c5244.jpeg", "Святослав Грохольский: Ссылка на изображение")</f>
        <v>Святослав Грохольский: Ссылка на изображение</v>
      </c>
      <c r="EO1030" t="str">
        <f>HYPERLINK("https://d33htgqikc2pj4.cloudfront.net/d4e5ccca-cf54-4725-a7fc-7fe9cca7641e.jpeg", "Святослав Грохольский: Ссылка на изображение")</f>
        <v>Святослав Грохольский: Ссылка на изображение</v>
      </c>
      <c r="EP1030" t="str">
        <f>HYPERLINK("https://d33htgqikc2pj4.cloudfront.net/43098b43-1975-4f9e-acff-d61aee0a3359.jpeg", "Святослав Грохольский: Ссылка на изображение")</f>
        <v>Святослав Грохольский: Ссылка на изображение</v>
      </c>
      <c r="EQ1030" t="str">
        <f>HYPERLINK("https://d33htgqikc2pj4.cloudfront.net/95cb86c6-8306-43cf-b723-98c71ae855e7.jpeg", "Святослав Грохольский: Ссылка на изображение")</f>
        <v>Святослав Грохольский: Ссылка на изображение</v>
      </c>
    </row>
    <row r="1031" spans="1:148" ht="15" customHeight="1" x14ac:dyDescent="0.35">
      <c r="A1031">
        <v>1245</v>
      </c>
      <c r="B1031" t="s">
        <v>7526</v>
      </c>
      <c r="C1031">
        <v>2</v>
      </c>
      <c r="D1031" t="str">
        <f>VLOOKUP(source[[#This Row],[Приоритет]],тПриоритеты[],2,0)</f>
        <v>Значительное</v>
      </c>
      <c r="E1031" t="str">
        <f>IF(ISBLANK(source[[#This Row],[Проверенные]]),IF(ISBLANK(source[[#This Row],[Завершенные]]),source[[#This Row],[Приоритет_]],"Завершено"),"Проверено")</f>
        <v>Проверено</v>
      </c>
      <c r="F1031" t="s">
        <v>4423</v>
      </c>
      <c r="G1031" t="s">
        <v>806</v>
      </c>
      <c r="H1031" t="e">
        <f>VLOOKUP(source[[#This Row],[Отвественный]],тОтветственные[],2,0)</f>
        <v>#N/A</v>
      </c>
      <c r="I1031" s="2">
        <v>43868</v>
      </c>
      <c r="J1031" s="2">
        <v>43869</v>
      </c>
      <c r="S1031" s="1">
        <v>43869.2971412037</v>
      </c>
      <c r="T1031" s="1">
        <v>43869.297673611109</v>
      </c>
      <c r="U1031" s="1">
        <v>43869.297673611109</v>
      </c>
      <c r="W1031" s="1">
        <v>43869.298368055555</v>
      </c>
      <c r="EC1031" t="s">
        <v>7534</v>
      </c>
      <c r="ED1031" t="s">
        <v>807</v>
      </c>
      <c r="EE1031" t="s">
        <v>2280</v>
      </c>
      <c r="EF1031" t="s">
        <v>848</v>
      </c>
      <c r="EG1031" t="s">
        <v>849</v>
      </c>
      <c r="EH1031" s="3" t="s">
        <v>7919</v>
      </c>
      <c r="EI1031" t="str">
        <f>HYPERLINK("https://d33htgqikc2pj4.cloudfront.net/ff6f50b5-ca94-4603-95de-598424385407.jpeg", "Святослав Грохольский: Ссылка на изображение")</f>
        <v>Святослав Грохольский: Ссылка на изображение</v>
      </c>
      <c r="EJ1031" t="str">
        <f>HYPERLINK("https://d33htgqikc2pj4.cloudfront.net/96402cef-2020-4fbe-9e91-ad3b4dabf24c.jpeg", "Святослав Грохольский: Ссылка на изображение")</f>
        <v>Святослав Грохольский: Ссылка на изображение</v>
      </c>
      <c r="EK1031" t="str">
        <f>HYPERLINK("https://d33htgqikc2pj4.cloudfront.net/e8743295-97d0-42ab-8584-06cf2e362340.jpeg", "Святослав Грохольский: Ссылка на изображение")</f>
        <v>Святослав Грохольский: Ссылка на изображение</v>
      </c>
      <c r="EL1031" t="s">
        <v>7920</v>
      </c>
    </row>
    <row r="1032" spans="1:148" ht="15" customHeight="1" x14ac:dyDescent="0.35">
      <c r="A1032">
        <v>1246</v>
      </c>
      <c r="B1032" t="s">
        <v>7921</v>
      </c>
      <c r="C1032">
        <v>2</v>
      </c>
      <c r="D1032" t="str">
        <f>VLOOKUP(source[[#This Row],[Приоритет]],тПриоритеты[],2,0)</f>
        <v>Значительное</v>
      </c>
      <c r="E1032" t="str">
        <f>IF(ISBLANK(source[[#This Row],[Проверенные]]),IF(ISBLANK(source[[#This Row],[Завершенные]]),source[[#This Row],[Приоритет_]],"Завершено"),"Проверено")</f>
        <v>Проверено</v>
      </c>
      <c r="F1032" t="s">
        <v>4423</v>
      </c>
      <c r="G1032" t="s">
        <v>806</v>
      </c>
      <c r="H1032" t="e">
        <f>VLOOKUP(source[[#This Row],[Отвественный]],тОтветственные[],2,0)</f>
        <v>#N/A</v>
      </c>
      <c r="I1032" s="2">
        <v>43868</v>
      </c>
      <c r="J1032" s="2">
        <v>43869</v>
      </c>
      <c r="S1032" s="1">
        <v>43869.302187499998</v>
      </c>
      <c r="T1032" s="1">
        <v>43869.304236111115</v>
      </c>
      <c r="U1032" s="1">
        <v>43869.304236111115</v>
      </c>
      <c r="W1032" s="1">
        <v>43869.309537037036</v>
      </c>
      <c r="EC1032" t="s">
        <v>7922</v>
      </c>
      <c r="ED1032" t="s">
        <v>807</v>
      </c>
      <c r="EE1032" t="s">
        <v>2280</v>
      </c>
      <c r="EF1032" s="3" t="s">
        <v>7923</v>
      </c>
      <c r="EG1032" t="s">
        <v>7924</v>
      </c>
      <c r="EH1032" t="s">
        <v>7924</v>
      </c>
      <c r="EI1032" t="s">
        <v>848</v>
      </c>
      <c r="EJ1032" t="s">
        <v>849</v>
      </c>
      <c r="EK1032" t="str">
        <f>HYPERLINK("https://d33htgqikc2pj4.cloudfront.net/507c8735-f4c2-4721-8df1-8d6559d3c65f.jpeg", "Святослав Грохольский: Ссылка на изображение")</f>
        <v>Святослав Грохольский: Ссылка на изображение</v>
      </c>
      <c r="EL1032" t="str">
        <f>HYPERLINK("https://d33htgqikc2pj4.cloudfront.net/d86eb9e7-ec90-4d74-8c3c-8f92dbd69601.jpeg", "Святослав Грохольский: Ссылка на изображение")</f>
        <v>Святослав Грохольский: Ссылка на изображение</v>
      </c>
      <c r="EM1032" t="str">
        <f>HYPERLINK("https://d33htgqikc2pj4.cloudfront.net/73868a32-d988-43b3-9383-84d1b1cbe0a0.jpeg", "Святослав Грохольский: Ссылка на изображение")</f>
        <v>Святослав Грохольский: Ссылка на изображение</v>
      </c>
      <c r="EN1032" t="str">
        <f>HYPERLINK("https://d33htgqikc2pj4.cloudfront.net/124a0fb9-625f-4952-a282-92b679b32036.jpeg", "Святослав Грохольский: Ссылка на изображение")</f>
        <v>Святослав Грохольский: Ссылка на изображение</v>
      </c>
      <c r="EO1032" t="str">
        <f>HYPERLINK("https://d33htgqikc2pj4.cloudfront.net/2c220148-9a2f-451a-a18a-1e5220cbb494.jpeg", "Святослав Грохольский: Ссылка на изображение")</f>
        <v>Святослав Грохольский: Ссылка на изображение</v>
      </c>
      <c r="EP1032" t="s">
        <v>7924</v>
      </c>
    </row>
    <row r="1033" spans="1:148" ht="15" customHeight="1" x14ac:dyDescent="0.35">
      <c r="A1033">
        <v>1254</v>
      </c>
      <c r="B1033" t="s">
        <v>5721</v>
      </c>
      <c r="C1033">
        <v>2</v>
      </c>
      <c r="D1033" t="str">
        <f>VLOOKUP(source[[#This Row],[Приоритет]],тПриоритеты[],2,0)</f>
        <v>Значительное</v>
      </c>
      <c r="E1033" t="str">
        <f>IF(ISBLANK(source[[#This Row],[Проверенные]]),IF(ISBLANK(source[[#This Row],[Завершенные]]),source[[#This Row],[Приоритет_]],"Завершено"),"Проверено")</f>
        <v>Проверено</v>
      </c>
      <c r="F1033" t="s">
        <v>4423</v>
      </c>
      <c r="G1033" t="s">
        <v>806</v>
      </c>
      <c r="H1033" t="e">
        <f>VLOOKUP(source[[#This Row],[Отвественный]],тОтветственные[],2,0)</f>
        <v>#N/A</v>
      </c>
      <c r="I1033" s="2">
        <v>43869</v>
      </c>
      <c r="J1033" s="2">
        <v>43870</v>
      </c>
      <c r="S1033" s="1">
        <v>43870.285312499997</v>
      </c>
      <c r="T1033" s="1">
        <v>43870.285370370373</v>
      </c>
      <c r="U1033" s="1">
        <v>43870.285370370373</v>
      </c>
      <c r="W1033" s="1">
        <v>43870.286192129628</v>
      </c>
      <c r="EC1033" t="s">
        <v>807</v>
      </c>
      <c r="ED1033" t="s">
        <v>7235</v>
      </c>
      <c r="EE1033" t="s">
        <v>2280</v>
      </c>
      <c r="EF1033" t="s">
        <v>7925</v>
      </c>
      <c r="EG1033" t="s">
        <v>7926</v>
      </c>
      <c r="EH1033" t="str">
        <f>HYPERLINK("https://d33htgqikc2pj4.cloudfront.net/42612747-cf20-4c93-9b51-3cc5be6c83ea.jpeg", "Святослав Грохольский: Ссылка на изображение")</f>
        <v>Святослав Грохольский: Ссылка на изображение</v>
      </c>
      <c r="EI1033" t="str">
        <f>HYPERLINK("https://d33htgqikc2pj4.cloudfront.net/5b7f7ece-af3c-46b7-aae0-2829395f6b19.jpeg", "Святослав Грохольский: Ссылка на изображение")</f>
        <v>Святослав Грохольский: Ссылка на изображение</v>
      </c>
      <c r="EJ1033" s="3" t="s">
        <v>7927</v>
      </c>
    </row>
    <row r="1034" spans="1:148" ht="15" customHeight="1" x14ac:dyDescent="0.35">
      <c r="A1034">
        <v>922</v>
      </c>
      <c r="B1034" t="s">
        <v>7583</v>
      </c>
      <c r="C1034">
        <v>2</v>
      </c>
      <c r="D1034" t="str">
        <f>VLOOKUP(source[[#This Row],[Приоритет]],тПриоритеты[],2,0)</f>
        <v>Значительное</v>
      </c>
      <c r="E1034" t="str">
        <f>IF(ISBLANK(source[[#This Row],[Проверенные]]),IF(ISBLANK(source[[#This Row],[Завершенные]]),source[[#This Row],[Приоритет_]],"Завершено"),"Проверено")</f>
        <v>Проверено</v>
      </c>
      <c r="F1034" t="s">
        <v>4423</v>
      </c>
      <c r="G1034" t="s">
        <v>806</v>
      </c>
      <c r="H1034" t="e">
        <f>VLOOKUP(source[[#This Row],[Отвественный]],тОтветственные[],2,0)</f>
        <v>#N/A</v>
      </c>
      <c r="I1034" s="2">
        <v>43845</v>
      </c>
      <c r="J1034" s="2">
        <v>43845</v>
      </c>
      <c r="S1034" s="1">
        <v>43845.750752314816</v>
      </c>
      <c r="T1034" s="1">
        <v>43845.751354166663</v>
      </c>
      <c r="U1034" s="1">
        <v>43845.751354166663</v>
      </c>
      <c r="W1034" s="1">
        <v>43845.751481481479</v>
      </c>
      <c r="X1034" t="s">
        <v>191</v>
      </c>
      <c r="AH1034" t="s">
        <v>7928</v>
      </c>
      <c r="AI1034" t="s">
        <v>7929</v>
      </c>
      <c r="AJ1034" t="s">
        <v>7930</v>
      </c>
      <c r="AK1034" t="s">
        <v>7931</v>
      </c>
      <c r="AL1034" t="s">
        <v>7932</v>
      </c>
      <c r="AM1034" t="s">
        <v>7933</v>
      </c>
      <c r="AN1034" t="s">
        <v>7934</v>
      </c>
      <c r="AO1034" t="s">
        <v>7935</v>
      </c>
      <c r="AP1034" t="s">
        <v>7936</v>
      </c>
      <c r="AQ1034" t="s">
        <v>7937</v>
      </c>
      <c r="AR1034" t="s">
        <v>7938</v>
      </c>
      <c r="AS1034" t="s">
        <v>7939</v>
      </c>
      <c r="AT1034" t="s">
        <v>7940</v>
      </c>
      <c r="AU1034" t="s">
        <v>7941</v>
      </c>
      <c r="AV1034" t="s">
        <v>7942</v>
      </c>
      <c r="AW1034" t="s">
        <v>7943</v>
      </c>
      <c r="AX1034" t="s">
        <v>7944</v>
      </c>
      <c r="AY1034" t="s">
        <v>7945</v>
      </c>
      <c r="EC1034" t="s">
        <v>7585</v>
      </c>
      <c r="ED1034" t="s">
        <v>807</v>
      </c>
      <c r="EE1034" t="s">
        <v>2280</v>
      </c>
      <c r="EF1034" t="s">
        <v>3523</v>
      </c>
      <c r="EG1034" t="s">
        <v>7946</v>
      </c>
      <c r="EH1034" t="str">
        <f>HYPERLINK("https://d33htgqikc2pj4.cloudfront.net/5c8aee65-8e1d-4fdd-8ac8-6b1fcd98275f.jpeg", "Святослав Грохольский: Ссылка на изображение")</f>
        <v>Святослав Грохольский: Ссылка на изображение</v>
      </c>
      <c r="EI1034" t="str">
        <f>HYPERLINK("https://d33htgqikc2pj4.cloudfront.net/028c2df7-9289-4954-81ee-5713d89b1cff.jpeg", "Святослав Грохольский: Ссылка на изображение")</f>
        <v>Святослав Грохольский: Ссылка на изображение</v>
      </c>
      <c r="EJ1034" t="str">
        <f>HYPERLINK("https://d33htgqikc2pj4.cloudfront.net/700e8d91-08a0-4062-9fee-7c7b891dad5b.jpeg", "Святослав Грохольский: Ссылка на изображение")</f>
        <v>Святослав Грохольский: Ссылка на изображение</v>
      </c>
    </row>
    <row r="1035" spans="1:148" ht="15" customHeight="1" x14ac:dyDescent="0.35">
      <c r="A1035">
        <v>931</v>
      </c>
      <c r="B1035" t="s">
        <v>7494</v>
      </c>
      <c r="C1035">
        <v>2</v>
      </c>
      <c r="D1035" t="str">
        <f>VLOOKUP(source[[#This Row],[Приоритет]],тПриоритеты[],2,0)</f>
        <v>Значительное</v>
      </c>
      <c r="E1035" t="str">
        <f>IF(ISBLANK(source[[#This Row],[Проверенные]]),IF(ISBLANK(source[[#This Row],[Завершенные]]),source[[#This Row],[Приоритет_]],"Завершено"),"Проверено")</f>
        <v>Проверено</v>
      </c>
      <c r="F1035" t="s">
        <v>4423</v>
      </c>
      <c r="G1035" t="s">
        <v>806</v>
      </c>
      <c r="H1035" t="e">
        <f>VLOOKUP(source[[#This Row],[Отвественный]],тОтветственные[],2,0)</f>
        <v>#N/A</v>
      </c>
      <c r="I1035" s="2">
        <v>43846</v>
      </c>
      <c r="J1035" s="2">
        <v>43846</v>
      </c>
      <c r="S1035" s="1">
        <v>43846.803101851852</v>
      </c>
      <c r="T1035" s="1">
        <v>43846.808379629627</v>
      </c>
      <c r="U1035" s="1">
        <v>43846.808379629627</v>
      </c>
      <c r="W1035" s="1">
        <v>43846.808391203704</v>
      </c>
      <c r="EC1035" t="s">
        <v>7495</v>
      </c>
      <c r="ED1035" t="s">
        <v>2280</v>
      </c>
      <c r="EE1035" s="3" t="s">
        <v>7947</v>
      </c>
      <c r="EF1035" t="s">
        <v>7948</v>
      </c>
      <c r="EG1035" t="s">
        <v>7949</v>
      </c>
      <c r="EH1035" t="str">
        <f>HYPERLINK("https://d33htgqikc2pj4.cloudfront.net/9423605a-b5ad-4e8a-bf35-339659291d7f.jpeg", "Святослав Грохольский: Ссылка на изображение")</f>
        <v>Святослав Грохольский: Ссылка на изображение</v>
      </c>
      <c r="EI1035" t="str">
        <f>HYPERLINK("https://d33htgqikc2pj4.cloudfront.net/29ba62fc-216d-496c-b007-a0c75c7e904b.jpeg", "Святослав Грохольский: Ссылка на изображение")</f>
        <v>Святослав Грохольский: Ссылка на изображение</v>
      </c>
      <c r="EJ1035" t="str">
        <f>HYPERLINK("https://d33htgqikc2pj4.cloudfront.net/2ada143f-fcb8-4a76-9920-db6152b56a3e.jpeg", "Святослав Грохольский: Ссылка на изображение")</f>
        <v>Святослав Грохольский: Ссылка на изображение</v>
      </c>
      <c r="EK1035" t="s">
        <v>807</v>
      </c>
    </row>
    <row r="1036" spans="1:148" ht="15" customHeight="1" x14ac:dyDescent="0.35">
      <c r="A1036">
        <v>948</v>
      </c>
      <c r="B1036" t="s">
        <v>7950</v>
      </c>
      <c r="C1036">
        <v>2</v>
      </c>
      <c r="D1036" t="str">
        <f>VLOOKUP(source[[#This Row],[Приоритет]],тПриоритеты[],2,0)</f>
        <v>Значительное</v>
      </c>
      <c r="E1036" t="str">
        <f>IF(ISBLANK(source[[#This Row],[Проверенные]]),IF(ISBLANK(source[[#This Row],[Завершенные]]),source[[#This Row],[Приоритет_]],"Завершено"),"Проверено")</f>
        <v>Проверено</v>
      </c>
      <c r="F1036" t="s">
        <v>4423</v>
      </c>
      <c r="G1036" t="s">
        <v>806</v>
      </c>
      <c r="H1036" t="e">
        <f>VLOOKUP(source[[#This Row],[Отвественный]],тОтветственные[],2,0)</f>
        <v>#N/A</v>
      </c>
      <c r="I1036" s="2">
        <v>43848</v>
      </c>
      <c r="J1036" s="2">
        <v>43849</v>
      </c>
      <c r="S1036" s="1">
        <v>43849.271990740737</v>
      </c>
      <c r="T1036" s="1">
        <v>43849.272557870368</v>
      </c>
      <c r="U1036" s="1">
        <v>43849.272557870368</v>
      </c>
      <c r="W1036" s="1">
        <v>43849.272766203707</v>
      </c>
      <c r="EC1036" t="s">
        <v>7951</v>
      </c>
      <c r="ED1036" t="s">
        <v>807</v>
      </c>
      <c r="EE1036" t="s">
        <v>2280</v>
      </c>
      <c r="EF1036" t="s">
        <v>7952</v>
      </c>
      <c r="EG1036" t="s">
        <v>3461</v>
      </c>
      <c r="EH1036" s="3" t="s">
        <v>7953</v>
      </c>
      <c r="EI1036" t="str">
        <f>HYPERLINK("https://d33htgqikc2pj4.cloudfront.net/766e29c0-8ee7-4d9f-ad4b-9bd21cbc71c9.jpeg", "Святослав Грохольский: Ссылка на изображение")</f>
        <v>Святослав Грохольский: Ссылка на изображение</v>
      </c>
      <c r="EJ1036" t="str">
        <f>HYPERLINK("https://d33htgqikc2pj4.cloudfront.net/a6aab529-b397-4983-9af4-f0f27e02752e.jpeg", "Святослав Грохольский: Ссылка на изображение")</f>
        <v>Святослав Грохольский: Ссылка на изображение</v>
      </c>
      <c r="EK1036" t="str">
        <f>HYPERLINK("https://d33htgqikc2pj4.cloudfront.net/9f3a4a33-25bf-49e5-8c88-9857f73e18e8.jpeg", "Святослав Грохольский: Ссылка на изображение")</f>
        <v>Святослав Грохольский: Ссылка на изображение</v>
      </c>
      <c r="EL1036" t="s">
        <v>817</v>
      </c>
      <c r="EM1036" t="str">
        <f>HYPERLINK("https://d33htgqikc2pj4.cloudfront.net/0c1a2c6d-9ae0-46c7-9e06-8e03a5ecbb02.jpeg", "Святослав Грохольский: Ссылка на изображение")</f>
        <v>Святослав Грохольский: Ссылка на изображение</v>
      </c>
    </row>
    <row r="1037" spans="1:148" ht="15" customHeight="1" x14ac:dyDescent="0.35">
      <c r="A1037">
        <v>1016</v>
      </c>
      <c r="B1037" t="s">
        <v>7954</v>
      </c>
      <c r="C1037">
        <v>2</v>
      </c>
      <c r="D1037" t="str">
        <f>VLOOKUP(source[[#This Row],[Приоритет]],тПриоритеты[],2,0)</f>
        <v>Значительное</v>
      </c>
      <c r="E1037" t="str">
        <f>IF(ISBLANK(source[[#This Row],[Проверенные]]),IF(ISBLANK(source[[#This Row],[Завершенные]]),source[[#This Row],[Приоритет_]],"Завершено"),"Проверено")</f>
        <v>Проверено</v>
      </c>
      <c r="F1037" t="s">
        <v>4423</v>
      </c>
      <c r="G1037" t="s">
        <v>806</v>
      </c>
      <c r="H1037" t="e">
        <f>VLOOKUP(source[[#This Row],[Отвественный]],тОтветственные[],2,0)</f>
        <v>#N/A</v>
      </c>
      <c r="I1037" s="2">
        <v>43852</v>
      </c>
      <c r="J1037" s="2">
        <v>43853</v>
      </c>
      <c r="S1037" s="1">
        <v>43853.260069444441</v>
      </c>
      <c r="T1037" s="1">
        <v>43853.26152777778</v>
      </c>
      <c r="U1037" s="1">
        <v>43853.26152777778</v>
      </c>
      <c r="W1037" s="1">
        <v>43853.265729166669</v>
      </c>
      <c r="EC1037" t="s">
        <v>7955</v>
      </c>
      <c r="ED1037" t="s">
        <v>807</v>
      </c>
      <c r="EE1037" t="s">
        <v>2280</v>
      </c>
      <c r="EF1037" t="s">
        <v>853</v>
      </c>
      <c r="EG1037" t="s">
        <v>854</v>
      </c>
      <c r="EH1037" t="s">
        <v>7956</v>
      </c>
      <c r="EI1037" t="s">
        <v>7957</v>
      </c>
      <c r="EJ1037" s="3" t="s">
        <v>7958</v>
      </c>
    </row>
    <row r="1038" spans="1:148" ht="15" customHeight="1" x14ac:dyDescent="0.35">
      <c r="A1038">
        <v>412</v>
      </c>
      <c r="B1038" t="s">
        <v>7959</v>
      </c>
      <c r="C1038">
        <v>2</v>
      </c>
      <c r="D1038" t="str">
        <f>VLOOKUP(source[[#This Row],[Приоритет]],тПриоритеты[],2,0)</f>
        <v>Значительное</v>
      </c>
      <c r="E1038" t="str">
        <f>IF(ISBLANK(source[[#This Row],[Проверенные]]),IF(ISBLANK(source[[#This Row],[Завершенные]]),source[[#This Row],[Приоритет_]],"Завершено"),"Проверено")</f>
        <v>Проверено</v>
      </c>
      <c r="F1038" t="s">
        <v>4423</v>
      </c>
      <c r="G1038" t="s">
        <v>856</v>
      </c>
      <c r="H1038" t="e">
        <f>VLOOKUP(source[[#This Row],[Отвественный]],тОтветственные[],2,0)</f>
        <v>#N/A</v>
      </c>
      <c r="I1038" s="2">
        <v>43792</v>
      </c>
      <c r="J1038" s="2">
        <v>43793</v>
      </c>
      <c r="S1038" s="1">
        <v>43792.552152777775</v>
      </c>
      <c r="T1038" s="1">
        <v>43793.729745370372</v>
      </c>
      <c r="U1038" s="1">
        <v>43812.624641203707</v>
      </c>
      <c r="W1038" s="1">
        <v>43812.624675925923</v>
      </c>
      <c r="EC1038" t="s">
        <v>7960</v>
      </c>
      <c r="ED1038" t="s">
        <v>3441</v>
      </c>
      <c r="EE1038" t="s">
        <v>860</v>
      </c>
      <c r="EF1038" t="s">
        <v>6627</v>
      </c>
      <c r="EG1038" t="s">
        <v>6628</v>
      </c>
      <c r="EH1038" t="s">
        <v>6623</v>
      </c>
      <c r="EI1038" t="s">
        <v>800</v>
      </c>
      <c r="EJ1038" t="s">
        <v>7961</v>
      </c>
      <c r="EK1038" t="str">
        <f>HYPERLINK("https://d33htgqikc2pj4.cloudfront.net/qvHDimMUqxZcQnsj/2e24ff44-6078-4a16-9221-af42f7aa9e96.jpeg", "Вячеслав Сорокин: Ссылка на изображение")</f>
        <v>Вячеслав Сорокин: Ссылка на изображение</v>
      </c>
      <c r="EL1038" t="s">
        <v>864</v>
      </c>
      <c r="EM1038" t="s">
        <v>836</v>
      </c>
    </row>
    <row r="1039" spans="1:148" ht="15" customHeight="1" x14ac:dyDescent="0.35">
      <c r="A1039">
        <v>419</v>
      </c>
      <c r="B1039" t="s">
        <v>7962</v>
      </c>
      <c r="C1039">
        <v>1</v>
      </c>
      <c r="D1039" t="str">
        <f>VLOOKUP(source[[#This Row],[Приоритет]],тПриоритеты[],2,0)</f>
        <v>КРИТИЧЕСКОЕ</v>
      </c>
      <c r="E1039" t="str">
        <f>IF(ISBLANK(source[[#This Row],[Проверенные]]),IF(ISBLANK(source[[#This Row],[Завершенные]]),source[[#This Row],[Приоритет_]],"Завершено"),"Проверено")</f>
        <v>Проверено</v>
      </c>
      <c r="F1039" t="s">
        <v>4423</v>
      </c>
      <c r="G1039" t="s">
        <v>856</v>
      </c>
      <c r="H1039" t="e">
        <f>VLOOKUP(source[[#This Row],[Отвественный]],тОтветственные[],2,0)</f>
        <v>#N/A</v>
      </c>
      <c r="I1039" s="2">
        <v>43792</v>
      </c>
      <c r="J1039" s="2">
        <v>43799</v>
      </c>
      <c r="K1039" t="s">
        <v>7963</v>
      </c>
      <c r="L1039">
        <v>0</v>
      </c>
      <c r="M1039">
        <v>0</v>
      </c>
      <c r="Q1039" t="s">
        <v>858</v>
      </c>
      <c r="R1039" t="str">
        <f>HYPERLINK("https://d28ji4sm1vmprj.cloudfront.net/af12ed69666eb60f9955bb2bba4a1ecd/2e9da78e60e091423c0d30248f595664.jpeg", "Ссылка на план")</f>
        <v>Ссылка на план</v>
      </c>
      <c r="S1039" s="1">
        <v>43793.760312500002</v>
      </c>
      <c r="T1039" s="1">
        <v>43797.728043981479</v>
      </c>
      <c r="U1039" s="1">
        <v>43812.624641203707</v>
      </c>
      <c r="W1039" s="1">
        <v>43812.624675925923</v>
      </c>
      <c r="EC1039" t="s">
        <v>7964</v>
      </c>
      <c r="ED1039" t="s">
        <v>7965</v>
      </c>
      <c r="EE1039" t="s">
        <v>1924</v>
      </c>
      <c r="EF1039" t="s">
        <v>7966</v>
      </c>
      <c r="EG1039" t="s">
        <v>7967</v>
      </c>
      <c r="EH1039" t="s">
        <v>6627</v>
      </c>
      <c r="EI1039" t="s">
        <v>7968</v>
      </c>
      <c r="EJ1039" t="s">
        <v>3441</v>
      </c>
      <c r="EK1039" s="3" t="s">
        <v>7969</v>
      </c>
      <c r="EL1039" t="str">
        <f>HYPERLINK("https://d33htgqikc2pj4.cloudfront.net/qvHDimMUqxZcQnsj/218b5e60-6eba-4512-becf-c68a9656af29.jpeg", "Вячеслав Сорокин: Ссылка на изображение")</f>
        <v>Вячеслав Сорокин: Ссылка на изображение</v>
      </c>
      <c r="EM1039" t="str">
        <f>HYPERLINK("https://d33htgqikc2pj4.cloudfront.net/qvHDimMUqxZcQnsj/8e7af08c-27d6-4c20-81d9-908a92189e0c.jpeg", "Вячеслав Сорокин: Ссылка на изображение")</f>
        <v>Вячеслав Сорокин: Ссылка на изображение</v>
      </c>
      <c r="EN1039" t="str">
        <f>HYPERLINK("https://d33htgqikc2pj4.cloudfront.net/qvHDimMUqxZcQnsj/1f56c18b-e4c9-4098-ac5c-b9f561606873.jpeg", "Вячеслав Сорокин: Ссылка на изображение")</f>
        <v>Вячеслав Сорокин: Ссылка на изображение</v>
      </c>
      <c r="EO1039" t="str">
        <f>HYPERLINK("https://d33htgqikc2pj4.cloudfront.net/qvHDimMUqxZcQnsj/bd847066-4746-427c-aff8-b7512c2703ef.jpeg", "Вячеслав Сорокин: Ссылка на изображение")</f>
        <v>Вячеслав Сорокин: Ссылка на изображение</v>
      </c>
      <c r="EP1039" t="str">
        <f>HYPERLINK("https://d33htgqikc2pj4.cloudfront.net/qvHDimMUqxZcQnsj/3c7b4fd5-4151-488c-986a-b42b10ae4bc0.jpeg", "Вячеслав Сорокин: Ссылка на изображение")</f>
        <v>Вячеслав Сорокин: Ссылка на изображение</v>
      </c>
      <c r="EQ1039" t="s">
        <v>800</v>
      </c>
      <c r="ER1039" t="s">
        <v>836</v>
      </c>
    </row>
    <row r="1040" spans="1:148" ht="15" customHeight="1" x14ac:dyDescent="0.35">
      <c r="A1040">
        <v>830</v>
      </c>
      <c r="B1040" t="s">
        <v>7970</v>
      </c>
      <c r="C1040">
        <v>2</v>
      </c>
      <c r="D1040" t="str">
        <f>VLOOKUP(source[[#This Row],[Приоритет]],тПриоритеты[],2,0)</f>
        <v>Значительное</v>
      </c>
      <c r="E1040" t="str">
        <f>IF(ISBLANK(source[[#This Row],[Проверенные]]),IF(ISBLANK(source[[#This Row],[Завершенные]]),source[[#This Row],[Приоритет_]],"Завершено"),"Проверено")</f>
        <v>Проверено</v>
      </c>
      <c r="F1040" t="s">
        <v>4423</v>
      </c>
      <c r="G1040" t="s">
        <v>856</v>
      </c>
      <c r="H1040" t="e">
        <f>VLOOKUP(source[[#This Row],[Отвественный]],тОтветственные[],2,0)</f>
        <v>#N/A</v>
      </c>
      <c r="I1040" s="2">
        <v>43832</v>
      </c>
      <c r="J1040" s="2">
        <v>43832</v>
      </c>
      <c r="S1040" s="1">
        <v>43832.712939814817</v>
      </c>
      <c r="T1040" s="1">
        <v>43832.717395833337</v>
      </c>
      <c r="U1040" s="1">
        <v>43832.717395833337</v>
      </c>
      <c r="W1040" s="1">
        <v>43832.717407407406</v>
      </c>
      <c r="EC1040" t="s">
        <v>7971</v>
      </c>
      <c r="ED1040" t="s">
        <v>7967</v>
      </c>
      <c r="EE1040" t="s">
        <v>7972</v>
      </c>
      <c r="EF1040" t="s">
        <v>3441</v>
      </c>
      <c r="EG1040" t="str">
        <f>HYPERLINK("https://d33htgqikc2pj4.cloudfront.net/0601ef6736d9c89f0f13c104478be33c/70b99cf354c4c8f0a940ef464bf0bf46-file.jpeg", "Вячеслав Сорокин: Ссылка на изображение")</f>
        <v>Вячеслав Сорокин: Ссылка на изображение</v>
      </c>
      <c r="EH1040" t="str">
        <f>HYPERLINK("https://d33htgqikc2pj4.cloudfront.net/qvHDimMUqxZcQnsj/c42f97e0-fa9c-4471-b4d6-92d20cbf6b53.jpeg", "Вячеслав Сорокин: Ссылка на изображение")</f>
        <v>Вячеслав Сорокин: Ссылка на изображение</v>
      </c>
      <c r="EI1040" t="s">
        <v>265</v>
      </c>
    </row>
    <row r="1041" spans="1:146" ht="15" customHeight="1" x14ac:dyDescent="0.35">
      <c r="A1041">
        <v>499</v>
      </c>
      <c r="B1041" t="s">
        <v>7973</v>
      </c>
      <c r="C1041">
        <v>2</v>
      </c>
      <c r="D1041" t="str">
        <f>VLOOKUP(source[[#This Row],[Приоритет]],тПриоритеты[],2,0)</f>
        <v>Значительное</v>
      </c>
      <c r="E1041" t="str">
        <f>IF(ISBLANK(source[[#This Row],[Проверенные]]),IF(ISBLANK(source[[#This Row],[Завершенные]]),source[[#This Row],[Приоритет_]],"Завершено"),"Проверено")</f>
        <v>Проверено</v>
      </c>
      <c r="F1041" t="s">
        <v>4423</v>
      </c>
      <c r="G1041" t="s">
        <v>856</v>
      </c>
      <c r="H1041" t="e">
        <f>VLOOKUP(source[[#This Row],[Отвественный]],тОтветственные[],2,0)</f>
        <v>#N/A</v>
      </c>
      <c r="I1041" s="2">
        <v>43800</v>
      </c>
      <c r="J1041" s="2">
        <v>43801</v>
      </c>
      <c r="S1041" s="1">
        <v>43801.42596064815</v>
      </c>
      <c r="T1041" s="1">
        <v>43801.430543981478</v>
      </c>
      <c r="U1041" s="1">
        <v>43815.713541666664</v>
      </c>
      <c r="W1041" s="1">
        <v>43815.713541666664</v>
      </c>
      <c r="EC1041" t="str">
        <f>HYPERLINK("https://d33htgqikc2pj4.cloudfront.net/qvHDimMUqxZcQnsj/701aefb9-25cb-4987-bc56-c6916e01a385.jpeg", "Вячеслав Сорокин: Ссылка на изображение")</f>
        <v>Вячеслав Сорокин: Ссылка на изображение</v>
      </c>
      <c r="ED1041" t="str">
        <f>HYPERLINK("https://d33htgqikc2pj4.cloudfront.net/qvHDimMUqxZcQnsj/ec19de8a-f7c6-4d6f-ab73-52e4a84d08e6.jpeg", "Вячеслав Сорокин: Ссылка на изображение")</f>
        <v>Вячеслав Сорокин: Ссылка на изображение</v>
      </c>
      <c r="EE1041" t="str">
        <f>HYPERLINK("https://d33htgqikc2pj4.cloudfront.net/qvHDimMUqxZcQnsj/9b6188d5-7b91-4140-a1fd-47789bbd3cb3.jpeg", "Вячеслав Сорокин: Ссылка на изображение")</f>
        <v>Вячеслав Сорокин: Ссылка на изображение</v>
      </c>
      <c r="EF1041" t="str">
        <f>HYPERLINK("https://d33htgqikc2pj4.cloudfront.net/qvHDimMUqxZcQnsj/529d73a1-11a5-4ced-bd9f-0eb6a4114a30.jpeg", "Вячеслав Сорокин: Ссылка на изображение")</f>
        <v>Вячеслав Сорокин: Ссылка на изображение</v>
      </c>
      <c r="EG1041" t="str">
        <f>HYPERLINK("https://d33htgqikc2pj4.cloudfront.net/qvHDimMUqxZcQnsj/1f35103b-1a9b-4c36-be15-c4689a40d989.jpeg", "Вячеслав Сорокин: Ссылка на изображение")</f>
        <v>Вячеслав Сорокин: Ссылка на изображение</v>
      </c>
      <c r="EH1041" t="s">
        <v>7974</v>
      </c>
      <c r="EI1041" t="s">
        <v>7975</v>
      </c>
      <c r="EJ1041" t="s">
        <v>6846</v>
      </c>
      <c r="EK1041" t="str">
        <f>HYPERLINK("https://d33htgqikc2pj4.cloudfront.net/qvHDimMUqxZcQnsj/f8f43ace-4b19-40b4-bb79-be67735611e2.jpeg", "Вячеслав Сорокин: Ссылка на изображение")</f>
        <v>Вячеслав Сорокин: Ссылка на изображение</v>
      </c>
      <c r="EL1041" t="s">
        <v>7976</v>
      </c>
      <c r="EM1041" t="s">
        <v>7967</v>
      </c>
      <c r="EN1041" t="s">
        <v>3441</v>
      </c>
      <c r="EO1041" t="s">
        <v>800</v>
      </c>
      <c r="EP1041" t="s">
        <v>836</v>
      </c>
    </row>
    <row r="1042" spans="1:146" ht="15" customHeight="1" x14ac:dyDescent="0.35">
      <c r="A1042">
        <v>1053</v>
      </c>
      <c r="B1042" t="s">
        <v>7977</v>
      </c>
      <c r="C1042">
        <v>2</v>
      </c>
      <c r="D1042" t="str">
        <f>VLOOKUP(source[[#This Row],[Приоритет]],тПриоритеты[],2,0)</f>
        <v>Значительное</v>
      </c>
      <c r="E1042" t="str">
        <f>IF(ISBLANK(source[[#This Row],[Проверенные]]),IF(ISBLANK(source[[#This Row],[Завершенные]]),source[[#This Row],[Приоритет_]],"Завершено"),"Проверено")</f>
        <v>Проверено</v>
      </c>
      <c r="F1042" t="s">
        <v>4423</v>
      </c>
      <c r="G1042" t="s">
        <v>426</v>
      </c>
      <c r="H1042" t="e">
        <f>VLOOKUP(source[[#This Row],[Отвественный]],тОтветственные[],2,0)</f>
        <v>#N/A</v>
      </c>
      <c r="S1042" s="1">
        <v>43854.802939814814</v>
      </c>
      <c r="T1042" s="1">
        <v>43854.804201388892</v>
      </c>
      <c r="U1042" s="1">
        <v>43854.804201388892</v>
      </c>
      <c r="W1042" s="1">
        <v>43854.804212962961</v>
      </c>
      <c r="EC1042" t="s">
        <v>7978</v>
      </c>
      <c r="ED1042" t="s">
        <v>428</v>
      </c>
      <c r="EE1042" t="str">
        <f>HYPERLINK("https://d33htgqikc2pj4.cloudfront.net/f4f28de5-c241-4602-8545-f04afea02e8e.jpeg", "Юрий Прасолов: Ссылка на изображение")</f>
        <v>Юрий Прасолов: Ссылка на изображение</v>
      </c>
    </row>
    <row r="1043" spans="1:146" ht="15" customHeight="1" x14ac:dyDescent="0.35">
      <c r="A1043">
        <v>1057</v>
      </c>
      <c r="B1043" t="s">
        <v>7979</v>
      </c>
      <c r="C1043">
        <v>2</v>
      </c>
      <c r="D1043" t="str">
        <f>VLOOKUP(source[[#This Row],[Приоритет]],тПриоритеты[],2,0)</f>
        <v>Значительное</v>
      </c>
      <c r="E1043" t="str">
        <f>IF(ISBLANK(source[[#This Row],[Проверенные]]),IF(ISBLANK(source[[#This Row],[Завершенные]]),source[[#This Row],[Приоритет_]],"Завершено"),"Проверено")</f>
        <v>Проверено</v>
      </c>
      <c r="F1043" t="s">
        <v>4423</v>
      </c>
      <c r="G1043" t="s">
        <v>426</v>
      </c>
      <c r="H1043" t="e">
        <f>VLOOKUP(source[[#This Row],[Отвественный]],тОтветственные[],2,0)</f>
        <v>#N/A</v>
      </c>
      <c r="S1043" s="1">
        <v>43855.781030092592</v>
      </c>
      <c r="T1043" s="1">
        <v>43855.783831018518</v>
      </c>
      <c r="U1043" s="1">
        <v>43855.783831018518</v>
      </c>
      <c r="W1043" s="1">
        <v>43855.783842592595</v>
      </c>
      <c r="EC1043" t="s">
        <v>7980</v>
      </c>
      <c r="ED1043" t="str">
        <f>HYPERLINK("https://d33htgqikc2pj4.cloudfront.net/2522ab67-e98c-4b23-88c4-9b1bfdbe2fab.jpeg", "Юрий Прасолов: Ссылка на изображение")</f>
        <v>Юрий Прасолов: Ссылка на изображение</v>
      </c>
      <c r="EE1043" t="s">
        <v>7981</v>
      </c>
      <c r="EF1043" t="s">
        <v>428</v>
      </c>
    </row>
    <row r="1044" spans="1:146" ht="15" customHeight="1" x14ac:dyDescent="0.35">
      <c r="A1044">
        <v>1058</v>
      </c>
      <c r="B1044" t="s">
        <v>7982</v>
      </c>
      <c r="C1044">
        <v>2</v>
      </c>
      <c r="D1044" t="str">
        <f>VLOOKUP(source[[#This Row],[Приоритет]],тПриоритеты[],2,0)</f>
        <v>Значительное</v>
      </c>
      <c r="E1044" t="str">
        <f>IF(ISBLANK(source[[#This Row],[Проверенные]]),IF(ISBLANK(source[[#This Row],[Завершенные]]),source[[#This Row],[Приоритет_]],"Завершено"),"Проверено")</f>
        <v>Проверено</v>
      </c>
      <c r="F1044" t="s">
        <v>4423</v>
      </c>
      <c r="G1044" t="s">
        <v>426</v>
      </c>
      <c r="H1044" t="e">
        <f>VLOOKUP(source[[#This Row],[Отвественный]],тОтветственные[],2,0)</f>
        <v>#N/A</v>
      </c>
      <c r="S1044" s="1">
        <v>43855.781886574077</v>
      </c>
      <c r="T1044" s="1">
        <v>43855.783761574072</v>
      </c>
      <c r="U1044" s="1">
        <v>43855.783761574072</v>
      </c>
      <c r="W1044" s="1">
        <v>43855.783773148149</v>
      </c>
      <c r="EC1044" t="s">
        <v>7983</v>
      </c>
      <c r="ED1044" t="str">
        <f>HYPERLINK("https://d33htgqikc2pj4.cloudfront.net/56451bc6-04f2-406b-ba74-897350b19107.jpeg", "Юрий Прасолов: Ссылка на изображение")</f>
        <v>Юрий Прасолов: Ссылка на изображение</v>
      </c>
      <c r="EE1044" t="s">
        <v>7981</v>
      </c>
      <c r="EF1044" t="s">
        <v>428</v>
      </c>
    </row>
    <row r="1045" spans="1:146" ht="15" customHeight="1" x14ac:dyDescent="0.35">
      <c r="A1045">
        <v>671</v>
      </c>
      <c r="B1045" t="s">
        <v>7984</v>
      </c>
      <c r="C1045">
        <v>2</v>
      </c>
      <c r="D1045" t="str">
        <f>VLOOKUP(source[[#This Row],[Приоритет]],тПриоритеты[],2,0)</f>
        <v>Значительное</v>
      </c>
      <c r="E1045" t="str">
        <f>IF(ISBLANK(source[[#This Row],[Проверенные]]),IF(ISBLANK(source[[#This Row],[Завершенные]]),source[[#This Row],[Приоритет_]],"Завершено"),"Проверено")</f>
        <v>Проверено</v>
      </c>
      <c r="F1045" t="s">
        <v>4423</v>
      </c>
      <c r="G1045" t="s">
        <v>426</v>
      </c>
      <c r="H1045" t="e">
        <f>VLOOKUP(source[[#This Row],[Отвественный]],тОтветственные[],2,0)</f>
        <v>#N/A</v>
      </c>
      <c r="S1045" s="1">
        <v>43817.816481481481</v>
      </c>
      <c r="T1045" s="1">
        <v>43817.836643518516</v>
      </c>
      <c r="U1045" s="1">
        <v>43817.836643518516</v>
      </c>
      <c r="W1045" s="1">
        <v>43817.836643518516</v>
      </c>
      <c r="X1045" t="s">
        <v>191</v>
      </c>
      <c r="AH1045" t="s">
        <v>7985</v>
      </c>
      <c r="AI1045" t="s">
        <v>7986</v>
      </c>
      <c r="AJ1045" t="s">
        <v>7987</v>
      </c>
      <c r="AK1045" t="s">
        <v>7988</v>
      </c>
      <c r="AL1045" t="s">
        <v>7989</v>
      </c>
      <c r="AM1045" t="s">
        <v>7990</v>
      </c>
      <c r="AN1045" t="s">
        <v>7991</v>
      </c>
      <c r="AO1045" t="s">
        <v>7992</v>
      </c>
      <c r="AP1045" t="s">
        <v>7993</v>
      </c>
      <c r="AQ1045" t="s">
        <v>7994</v>
      </c>
      <c r="AR1045" t="s">
        <v>7995</v>
      </c>
      <c r="AS1045" t="s">
        <v>7996</v>
      </c>
      <c r="AT1045" t="s">
        <v>7997</v>
      </c>
      <c r="AU1045" t="s">
        <v>7998</v>
      </c>
      <c r="AV1045" t="s">
        <v>7999</v>
      </c>
      <c r="AW1045" t="s">
        <v>8000</v>
      </c>
      <c r="AX1045" t="s">
        <v>8001</v>
      </c>
      <c r="AY1045" t="s">
        <v>8002</v>
      </c>
      <c r="EC1045" t="s">
        <v>8003</v>
      </c>
      <c r="ED1045" t="s">
        <v>8004</v>
      </c>
      <c r="EE1045" t="s">
        <v>428</v>
      </c>
    </row>
    <row r="1046" spans="1:146" ht="15" customHeight="1" x14ac:dyDescent="0.35">
      <c r="A1046">
        <v>672</v>
      </c>
      <c r="B1046" t="s">
        <v>8005</v>
      </c>
      <c r="C1046">
        <v>2</v>
      </c>
      <c r="D1046" t="str">
        <f>VLOOKUP(source[[#This Row],[Приоритет]],тПриоритеты[],2,0)</f>
        <v>Значительное</v>
      </c>
      <c r="E1046" t="str">
        <f>IF(ISBLANK(source[[#This Row],[Проверенные]]),IF(ISBLANK(source[[#This Row],[Завершенные]]),source[[#This Row],[Приоритет_]],"Завершено"),"Проверено")</f>
        <v>Проверено</v>
      </c>
      <c r="F1046" t="s">
        <v>4423</v>
      </c>
      <c r="G1046" t="s">
        <v>426</v>
      </c>
      <c r="H1046" t="e">
        <f>VLOOKUP(source[[#This Row],[Отвественный]],тОтветственные[],2,0)</f>
        <v>#N/A</v>
      </c>
      <c r="S1046" s="1">
        <v>43817.821319444447</v>
      </c>
      <c r="T1046" s="1">
        <v>43817.83662037037</v>
      </c>
      <c r="U1046" s="1">
        <v>43817.83662037037</v>
      </c>
      <c r="W1046" s="1">
        <v>43817.83662037037</v>
      </c>
      <c r="EC1046" t="s">
        <v>8006</v>
      </c>
      <c r="ED1046" t="s">
        <v>8007</v>
      </c>
      <c r="EE1046" t="str">
        <f>HYPERLINK("https://d33htgqikc2pj4.cloudfront.net/qvHDimMUqxZcQnsj/c4abda27-6053-4c49-bd41-a6f6b0fb1653.jpeg", "Юрий Прасолов: Ссылка на изображение")</f>
        <v>Юрий Прасолов: Ссылка на изображение</v>
      </c>
      <c r="EF1046" t="s">
        <v>428</v>
      </c>
    </row>
    <row r="1047" spans="1:146" ht="15" customHeight="1" x14ac:dyDescent="0.35">
      <c r="A1047">
        <v>670</v>
      </c>
      <c r="B1047" t="s">
        <v>8008</v>
      </c>
      <c r="C1047">
        <v>2</v>
      </c>
      <c r="D1047" t="str">
        <f>VLOOKUP(source[[#This Row],[Приоритет]],тПриоритеты[],2,0)</f>
        <v>Значительное</v>
      </c>
      <c r="E1047" t="str">
        <f>IF(ISBLANK(source[[#This Row],[Проверенные]]),IF(ISBLANK(source[[#This Row],[Завершенные]]),source[[#This Row],[Приоритет_]],"Завершено"),"Проверено")</f>
        <v>Проверено</v>
      </c>
      <c r="F1047" t="s">
        <v>4423</v>
      </c>
      <c r="G1047" t="s">
        <v>426</v>
      </c>
      <c r="H1047" t="e">
        <f>VLOOKUP(source[[#This Row],[Отвественный]],тОтветственные[],2,0)</f>
        <v>#N/A</v>
      </c>
      <c r="S1047" s="1">
        <v>43817.812743055554</v>
      </c>
      <c r="T1047" s="1">
        <v>43817.836678240739</v>
      </c>
      <c r="U1047" s="1">
        <v>43817.836678240739</v>
      </c>
      <c r="W1047" s="1">
        <v>43817.836678240739</v>
      </c>
      <c r="X1047" t="s">
        <v>191</v>
      </c>
      <c r="AH1047" t="s">
        <v>7985</v>
      </c>
      <c r="AI1047" t="s">
        <v>7986</v>
      </c>
      <c r="AJ1047" t="s">
        <v>8009</v>
      </c>
      <c r="AK1047" t="s">
        <v>7988</v>
      </c>
      <c r="AL1047" t="s">
        <v>7989</v>
      </c>
      <c r="AM1047" t="s">
        <v>7990</v>
      </c>
      <c r="AN1047" t="s">
        <v>7991</v>
      </c>
      <c r="AO1047" t="s">
        <v>7992</v>
      </c>
      <c r="AP1047" t="s">
        <v>7993</v>
      </c>
      <c r="AQ1047" t="s">
        <v>7994</v>
      </c>
      <c r="AR1047" t="s">
        <v>7995</v>
      </c>
      <c r="AS1047" t="s">
        <v>7996</v>
      </c>
      <c r="AT1047" t="s">
        <v>7997</v>
      </c>
      <c r="AU1047" t="s">
        <v>7998</v>
      </c>
      <c r="AV1047" t="s">
        <v>7999</v>
      </c>
      <c r="AW1047" t="s">
        <v>8000</v>
      </c>
      <c r="AX1047" t="s">
        <v>8001</v>
      </c>
      <c r="AY1047" t="s">
        <v>8002</v>
      </c>
      <c r="EC1047" t="s">
        <v>7981</v>
      </c>
      <c r="ED1047" t="s">
        <v>8010</v>
      </c>
      <c r="EE1047" t="s">
        <v>8011</v>
      </c>
      <c r="EF1047" t="s">
        <v>428</v>
      </c>
    </row>
    <row r="1048" spans="1:146" ht="15" customHeight="1" x14ac:dyDescent="0.35">
      <c r="A1048">
        <v>707</v>
      </c>
      <c r="B1048" t="s">
        <v>8012</v>
      </c>
      <c r="C1048">
        <v>2</v>
      </c>
      <c r="D1048" t="str">
        <f>VLOOKUP(source[[#This Row],[Приоритет]],тПриоритеты[],2,0)</f>
        <v>Значительное</v>
      </c>
      <c r="E1048" t="str">
        <f>IF(ISBLANK(source[[#This Row],[Проверенные]]),IF(ISBLANK(source[[#This Row],[Завершенные]]),source[[#This Row],[Приоритет_]],"Завершено"),"Проверено")</f>
        <v>Проверено</v>
      </c>
      <c r="F1048" t="s">
        <v>4423</v>
      </c>
      <c r="G1048" t="s">
        <v>426</v>
      </c>
      <c r="H1048" t="e">
        <f>VLOOKUP(source[[#This Row],[Отвественный]],тОтветственные[],2,0)</f>
        <v>#N/A</v>
      </c>
      <c r="S1048" s="1">
        <v>43821.726504629631</v>
      </c>
      <c r="T1048" s="1">
        <v>43821.732164351852</v>
      </c>
      <c r="U1048" s="1">
        <v>43821.732164351852</v>
      </c>
      <c r="W1048" s="1">
        <v>43821.732164351852</v>
      </c>
      <c r="X1048" t="s">
        <v>8013</v>
      </c>
      <c r="AH1048" t="s">
        <v>8014</v>
      </c>
      <c r="AI1048" t="s">
        <v>8015</v>
      </c>
      <c r="AJ1048" t="s">
        <v>8016</v>
      </c>
      <c r="AK1048" t="s">
        <v>8017</v>
      </c>
      <c r="AL1048" t="s">
        <v>8018</v>
      </c>
      <c r="AM1048" t="s">
        <v>8019</v>
      </c>
      <c r="AN1048" t="s">
        <v>8020</v>
      </c>
      <c r="EC1048" t="s">
        <v>8021</v>
      </c>
      <c r="ED1048" t="s">
        <v>8022</v>
      </c>
      <c r="EE1048" t="s">
        <v>8023</v>
      </c>
      <c r="EF1048" t="s">
        <v>428</v>
      </c>
    </row>
    <row r="1049" spans="1:146" ht="15" customHeight="1" x14ac:dyDescent="0.35">
      <c r="A1049">
        <v>708</v>
      </c>
      <c r="B1049" t="s">
        <v>8024</v>
      </c>
      <c r="C1049">
        <v>2</v>
      </c>
      <c r="D1049" t="str">
        <f>VLOOKUP(source[[#This Row],[Приоритет]],тПриоритеты[],2,0)</f>
        <v>Значительное</v>
      </c>
      <c r="E1049" t="str">
        <f>IF(ISBLANK(source[[#This Row],[Проверенные]]),IF(ISBLANK(source[[#This Row],[Завершенные]]),source[[#This Row],[Приоритет_]],"Завершено"),"Проверено")</f>
        <v>Проверено</v>
      </c>
      <c r="F1049" t="s">
        <v>4423</v>
      </c>
      <c r="G1049" t="s">
        <v>426</v>
      </c>
      <c r="H1049" t="e">
        <f>VLOOKUP(source[[#This Row],[Отвественный]],тОтветственные[],2,0)</f>
        <v>#N/A</v>
      </c>
      <c r="S1049" s="1">
        <v>43821.730069444442</v>
      </c>
      <c r="T1049" s="1">
        <v>43821.732175925928</v>
      </c>
      <c r="U1049" s="1">
        <v>43821.732175925928</v>
      </c>
      <c r="W1049" s="1">
        <v>43821.732187499998</v>
      </c>
      <c r="X1049" t="s">
        <v>4578</v>
      </c>
      <c r="AH1049" t="s">
        <v>8025</v>
      </c>
      <c r="AI1049" t="s">
        <v>8026</v>
      </c>
      <c r="AJ1049" t="s">
        <v>8027</v>
      </c>
      <c r="AK1049" t="s">
        <v>8028</v>
      </c>
      <c r="AL1049" t="s">
        <v>8029</v>
      </c>
      <c r="AM1049" t="s">
        <v>8030</v>
      </c>
      <c r="AN1049" t="s">
        <v>8031</v>
      </c>
      <c r="EC1049" t="s">
        <v>8032</v>
      </c>
      <c r="ED1049" t="s">
        <v>428</v>
      </c>
    </row>
    <row r="1050" spans="1:146" ht="15" customHeight="1" x14ac:dyDescent="0.35">
      <c r="A1050">
        <v>752</v>
      </c>
      <c r="B1050" t="s">
        <v>8033</v>
      </c>
      <c r="C1050">
        <v>2</v>
      </c>
      <c r="D1050" t="str">
        <f>VLOOKUP(source[[#This Row],[Приоритет]],тПриоритеты[],2,0)</f>
        <v>Значительное</v>
      </c>
      <c r="E1050" t="str">
        <f>IF(ISBLANK(source[[#This Row],[Проверенные]]),IF(ISBLANK(source[[#This Row],[Завершенные]]),source[[#This Row],[Приоритет_]],"Завершено"),"Проверено")</f>
        <v>Проверено</v>
      </c>
      <c r="F1050" t="s">
        <v>4423</v>
      </c>
      <c r="G1050" t="s">
        <v>426</v>
      </c>
      <c r="H1050" t="e">
        <f>VLOOKUP(source[[#This Row],[Отвественный]],тОтветственные[],2,0)</f>
        <v>#N/A</v>
      </c>
      <c r="S1050" s="1">
        <v>43822.828946759262</v>
      </c>
      <c r="T1050" s="1">
        <v>43822.831307870372</v>
      </c>
      <c r="U1050" s="1">
        <v>43822.831307870372</v>
      </c>
      <c r="W1050" s="1">
        <v>43822.831307870372</v>
      </c>
      <c r="X1050" t="s">
        <v>191</v>
      </c>
      <c r="AH1050" t="s">
        <v>8034</v>
      </c>
      <c r="AI1050" t="s">
        <v>8035</v>
      </c>
      <c r="AJ1050" t="s">
        <v>8036</v>
      </c>
      <c r="AK1050" t="s">
        <v>8037</v>
      </c>
      <c r="AL1050" t="s">
        <v>8038</v>
      </c>
      <c r="AM1050" t="s">
        <v>8039</v>
      </c>
      <c r="AN1050" t="s">
        <v>8040</v>
      </c>
      <c r="AO1050" t="s">
        <v>8041</v>
      </c>
      <c r="AP1050" t="s">
        <v>8042</v>
      </c>
      <c r="AQ1050" t="s">
        <v>8043</v>
      </c>
      <c r="AR1050" t="s">
        <v>8044</v>
      </c>
      <c r="AS1050" t="s">
        <v>8045</v>
      </c>
      <c r="AT1050" t="s">
        <v>8046</v>
      </c>
      <c r="AU1050" t="s">
        <v>8047</v>
      </c>
      <c r="AV1050" t="s">
        <v>8048</v>
      </c>
      <c r="AW1050" t="s">
        <v>8049</v>
      </c>
      <c r="AX1050" t="s">
        <v>8050</v>
      </c>
      <c r="AY1050" t="s">
        <v>8051</v>
      </c>
      <c r="EC1050" t="s">
        <v>8052</v>
      </c>
      <c r="ED1050" t="s">
        <v>428</v>
      </c>
    </row>
    <row r="1051" spans="1:146" ht="15" customHeight="1" x14ac:dyDescent="0.35">
      <c r="A1051">
        <v>796</v>
      </c>
      <c r="B1051" t="s">
        <v>8053</v>
      </c>
      <c r="C1051">
        <v>2</v>
      </c>
      <c r="D1051" t="str">
        <f>VLOOKUP(source[[#This Row],[Приоритет]],тПриоритеты[],2,0)</f>
        <v>Значительное</v>
      </c>
      <c r="E1051" t="str">
        <f>IF(ISBLANK(source[[#This Row],[Проверенные]]),IF(ISBLANK(source[[#This Row],[Завершенные]]),source[[#This Row],[Приоритет_]],"Завершено"),"Проверено")</f>
        <v>Проверено</v>
      </c>
      <c r="F1051" t="s">
        <v>4423</v>
      </c>
      <c r="G1051" t="s">
        <v>426</v>
      </c>
      <c r="H1051" t="e">
        <f>VLOOKUP(source[[#This Row],[Отвественный]],тОтветственные[],2,0)</f>
        <v>#N/A</v>
      </c>
      <c r="S1051" s="1">
        <v>43824.84851851852</v>
      </c>
      <c r="T1051" s="1">
        <v>43824.849895833337</v>
      </c>
      <c r="U1051" s="1">
        <v>43824.849895833337</v>
      </c>
      <c r="W1051" s="1">
        <v>43824.849895833337</v>
      </c>
      <c r="X1051" t="s">
        <v>191</v>
      </c>
      <c r="AH1051" t="s">
        <v>8054</v>
      </c>
      <c r="AI1051" t="s">
        <v>8055</v>
      </c>
      <c r="AJ1051" t="s">
        <v>8056</v>
      </c>
      <c r="AK1051" t="s">
        <v>8057</v>
      </c>
      <c r="AL1051" t="s">
        <v>8058</v>
      </c>
      <c r="AM1051" t="s">
        <v>8059</v>
      </c>
      <c r="AN1051" t="s">
        <v>8060</v>
      </c>
      <c r="AO1051" t="s">
        <v>8061</v>
      </c>
      <c r="AP1051" t="s">
        <v>8062</v>
      </c>
      <c r="AQ1051" t="s">
        <v>8063</v>
      </c>
      <c r="AR1051" t="s">
        <v>8064</v>
      </c>
      <c r="AS1051" t="s">
        <v>8065</v>
      </c>
      <c r="AT1051" t="s">
        <v>8066</v>
      </c>
      <c r="AU1051" t="s">
        <v>8067</v>
      </c>
      <c r="AV1051" t="s">
        <v>8068</v>
      </c>
      <c r="AW1051" t="s">
        <v>8069</v>
      </c>
      <c r="AX1051" t="s">
        <v>8070</v>
      </c>
      <c r="AY1051" t="s">
        <v>8071</v>
      </c>
      <c r="EC1051" t="s">
        <v>8072</v>
      </c>
      <c r="ED1051" t="s">
        <v>428</v>
      </c>
    </row>
    <row r="1052" spans="1:146" ht="15" customHeight="1" x14ac:dyDescent="0.35">
      <c r="A1052">
        <v>797</v>
      </c>
      <c r="B1052" t="s">
        <v>8073</v>
      </c>
      <c r="C1052">
        <v>2</v>
      </c>
      <c r="D1052" t="str">
        <f>VLOOKUP(source[[#This Row],[Приоритет]],тПриоритеты[],2,0)</f>
        <v>Значительное</v>
      </c>
      <c r="E1052" t="str">
        <f>IF(ISBLANK(source[[#This Row],[Проверенные]]),IF(ISBLANK(source[[#This Row],[Завершенные]]),source[[#This Row],[Приоритет_]],"Завершено"),"Проверено")</f>
        <v>Проверено</v>
      </c>
      <c r="F1052" t="s">
        <v>4423</v>
      </c>
      <c r="G1052" t="s">
        <v>426</v>
      </c>
      <c r="H1052" t="e">
        <f>VLOOKUP(source[[#This Row],[Отвественный]],тОтветственные[],2,0)</f>
        <v>#N/A</v>
      </c>
      <c r="S1052" s="1">
        <v>43824.850891203707</v>
      </c>
      <c r="T1052" s="1">
        <v>43824.857812499999</v>
      </c>
      <c r="U1052" s="1">
        <v>43824.857812499999</v>
      </c>
      <c r="W1052" s="1">
        <v>43824.857812499999</v>
      </c>
      <c r="X1052" t="s">
        <v>191</v>
      </c>
      <c r="AH1052" t="s">
        <v>8054</v>
      </c>
      <c r="AI1052" t="s">
        <v>8055</v>
      </c>
      <c r="AJ1052" t="s">
        <v>8056</v>
      </c>
      <c r="AK1052" t="s">
        <v>8057</v>
      </c>
      <c r="AL1052" t="s">
        <v>8058</v>
      </c>
      <c r="AM1052" t="s">
        <v>8059</v>
      </c>
      <c r="AN1052" t="s">
        <v>8060</v>
      </c>
      <c r="AO1052" t="s">
        <v>8061</v>
      </c>
      <c r="AP1052" t="s">
        <v>8062</v>
      </c>
      <c r="AQ1052" t="s">
        <v>8063</v>
      </c>
      <c r="AR1052" t="s">
        <v>8064</v>
      </c>
      <c r="AS1052" t="s">
        <v>8065</v>
      </c>
      <c r="AT1052" t="s">
        <v>8066</v>
      </c>
      <c r="AU1052" t="s">
        <v>8067</v>
      </c>
      <c r="AV1052" t="s">
        <v>8068</v>
      </c>
      <c r="AW1052" t="s">
        <v>8069</v>
      </c>
      <c r="AX1052" t="s">
        <v>8070</v>
      </c>
      <c r="AY1052" t="s">
        <v>8074</v>
      </c>
      <c r="EC1052" t="s">
        <v>8075</v>
      </c>
      <c r="ED1052" t="s">
        <v>8076</v>
      </c>
      <c r="EE1052" t="s">
        <v>428</v>
      </c>
    </row>
    <row r="1053" spans="1:146" ht="15" customHeight="1" x14ac:dyDescent="0.35">
      <c r="A1053">
        <v>802</v>
      </c>
      <c r="B1053" t="s">
        <v>8077</v>
      </c>
      <c r="C1053">
        <v>2</v>
      </c>
      <c r="D1053" t="str">
        <f>VLOOKUP(source[[#This Row],[Приоритет]],тПриоритеты[],2,0)</f>
        <v>Значительное</v>
      </c>
      <c r="E1053" t="str">
        <f>IF(ISBLANK(source[[#This Row],[Проверенные]]),IF(ISBLANK(source[[#This Row],[Завершенные]]),source[[#This Row],[Приоритет_]],"Завершено"),"Проверено")</f>
        <v>Проверено</v>
      </c>
      <c r="F1053" t="s">
        <v>4423</v>
      </c>
      <c r="G1053" t="s">
        <v>426</v>
      </c>
      <c r="H1053" t="e">
        <f>VLOOKUP(source[[#This Row],[Отвественный]],тОтветственные[],2,0)</f>
        <v>#N/A</v>
      </c>
      <c r="S1053" s="1">
        <v>43825.783946759257</v>
      </c>
      <c r="T1053" s="1">
        <v>43825.788981481484</v>
      </c>
      <c r="U1053" s="1">
        <v>43825.788981481484</v>
      </c>
      <c r="W1053" s="1">
        <v>43825.788993055554</v>
      </c>
      <c r="X1053" t="s">
        <v>3339</v>
      </c>
      <c r="Y1053" t="s">
        <v>8078</v>
      </c>
      <c r="AH1053" t="s">
        <v>8079</v>
      </c>
      <c r="AI1053" t="s">
        <v>8080</v>
      </c>
      <c r="AJ1053" t="s">
        <v>8081</v>
      </c>
      <c r="AK1053" t="s">
        <v>8082</v>
      </c>
      <c r="AL1053" t="s">
        <v>8083</v>
      </c>
      <c r="AM1053" t="s">
        <v>8084</v>
      </c>
      <c r="AN1053" t="s">
        <v>8085</v>
      </c>
      <c r="AO1053" t="s">
        <v>8086</v>
      </c>
      <c r="AP1053" t="s">
        <v>8087</v>
      </c>
      <c r="AQ1053" t="s">
        <v>8088</v>
      </c>
      <c r="AR1053" t="s">
        <v>8089</v>
      </c>
      <c r="AS1053" t="s">
        <v>8090</v>
      </c>
      <c r="AT1053" t="s">
        <v>8091</v>
      </c>
      <c r="AU1053" t="s">
        <v>8092</v>
      </c>
      <c r="AV1053" s="3" t="s">
        <v>8093</v>
      </c>
      <c r="AW1053" t="s">
        <v>8094</v>
      </c>
      <c r="AX1053" t="s">
        <v>8095</v>
      </c>
      <c r="AY1053" t="s">
        <v>8096</v>
      </c>
      <c r="AZ1053" t="s">
        <v>8097</v>
      </c>
      <c r="BA1053" t="s">
        <v>8098</v>
      </c>
      <c r="BB1053" t="s">
        <v>8099</v>
      </c>
      <c r="BC1053" t="s">
        <v>8100</v>
      </c>
      <c r="EC1053" t="s">
        <v>8101</v>
      </c>
      <c r="ED1053" t="s">
        <v>428</v>
      </c>
    </row>
    <row r="1054" spans="1:146" ht="15" customHeight="1" x14ac:dyDescent="0.35">
      <c r="A1054">
        <v>803</v>
      </c>
      <c r="B1054" t="s">
        <v>8102</v>
      </c>
      <c r="C1054">
        <v>2</v>
      </c>
      <c r="D1054" t="str">
        <f>VLOOKUP(source[[#This Row],[Приоритет]],тПриоритеты[],2,0)</f>
        <v>Значительное</v>
      </c>
      <c r="E1054" t="str">
        <f>IF(ISBLANK(source[[#This Row],[Проверенные]]),IF(ISBLANK(source[[#This Row],[Завершенные]]),source[[#This Row],[Приоритет_]],"Завершено"),"Проверено")</f>
        <v>Проверено</v>
      </c>
      <c r="F1054" t="s">
        <v>4423</v>
      </c>
      <c r="G1054" t="s">
        <v>426</v>
      </c>
      <c r="H1054" t="e">
        <f>VLOOKUP(source[[#This Row],[Отвественный]],тОтветственные[],2,0)</f>
        <v>#N/A</v>
      </c>
      <c r="S1054" s="1">
        <v>43825.817037037035</v>
      </c>
      <c r="T1054" s="1">
        <v>43825.819513888891</v>
      </c>
      <c r="U1054" s="1">
        <v>43825.819513888891</v>
      </c>
      <c r="W1054" s="1">
        <v>43825.819513888891</v>
      </c>
      <c r="EC1054" t="s">
        <v>8103</v>
      </c>
      <c r="ED1054" t="str">
        <f>HYPERLINK("https://d33htgqikc2pj4.cloudfront.net/qvHDimMUqxZcQnsj/9aa93f38-d2c2-4939-b921-b5a31701871a.jpeg", "Юрий Прасолов: Ссылка на изображение")</f>
        <v>Юрий Прасолов: Ссылка на изображение</v>
      </c>
      <c r="EE1054" t="s">
        <v>8104</v>
      </c>
      <c r="EF1054" t="s">
        <v>428</v>
      </c>
    </row>
    <row r="1055" spans="1:146" ht="15" customHeight="1" x14ac:dyDescent="0.35">
      <c r="A1055">
        <v>804</v>
      </c>
      <c r="B1055" t="s">
        <v>8105</v>
      </c>
      <c r="C1055">
        <v>2</v>
      </c>
      <c r="D1055" t="str">
        <f>VLOOKUP(source[[#This Row],[Приоритет]],тПриоритеты[],2,0)</f>
        <v>Значительное</v>
      </c>
      <c r="E1055" t="str">
        <f>IF(ISBLANK(source[[#This Row],[Проверенные]]),IF(ISBLANK(source[[#This Row],[Завершенные]]),source[[#This Row],[Приоритет_]],"Завершено"),"Проверено")</f>
        <v>Проверено</v>
      </c>
      <c r="F1055" t="s">
        <v>4423</v>
      </c>
      <c r="G1055" t="s">
        <v>426</v>
      </c>
      <c r="H1055" t="e">
        <f>VLOOKUP(source[[#This Row],[Отвественный]],тОтветственные[],2,0)</f>
        <v>#N/A</v>
      </c>
      <c r="S1055" s="1">
        <v>43825.845069444447</v>
      </c>
      <c r="T1055" s="1">
        <v>43825.847291666665</v>
      </c>
      <c r="U1055" s="1">
        <v>43825.847291666665</v>
      </c>
      <c r="W1055" s="1">
        <v>43825.847291666665</v>
      </c>
      <c r="X1055" t="s">
        <v>191</v>
      </c>
      <c r="AH1055" t="s">
        <v>8106</v>
      </c>
      <c r="AI1055" t="s">
        <v>8107</v>
      </c>
      <c r="AJ1055" t="s">
        <v>8108</v>
      </c>
      <c r="AK1055" t="s">
        <v>8109</v>
      </c>
      <c r="AL1055" t="s">
        <v>8110</v>
      </c>
      <c r="AM1055" t="s">
        <v>8111</v>
      </c>
      <c r="AN1055" t="s">
        <v>8112</v>
      </c>
      <c r="AO1055" t="s">
        <v>8113</v>
      </c>
      <c r="AP1055" t="s">
        <v>8114</v>
      </c>
      <c r="AQ1055" t="s">
        <v>8115</v>
      </c>
      <c r="AR1055" t="s">
        <v>8116</v>
      </c>
      <c r="AS1055" t="s">
        <v>8117</v>
      </c>
      <c r="AT1055" t="s">
        <v>8118</v>
      </c>
      <c r="AU1055" t="s">
        <v>8119</v>
      </c>
      <c r="AV1055" t="s">
        <v>8120</v>
      </c>
      <c r="AW1055" t="s">
        <v>8121</v>
      </c>
      <c r="AX1055" t="s">
        <v>8122</v>
      </c>
      <c r="AY1055" t="s">
        <v>8123</v>
      </c>
      <c r="EC1055" t="s">
        <v>8124</v>
      </c>
      <c r="ED1055" t="s">
        <v>428</v>
      </c>
    </row>
    <row r="1056" spans="1:146" ht="15" customHeight="1" x14ac:dyDescent="0.35">
      <c r="A1056">
        <v>1079</v>
      </c>
      <c r="B1056" t="s">
        <v>8125</v>
      </c>
      <c r="C1056">
        <v>2</v>
      </c>
      <c r="D1056" t="str">
        <f>VLOOKUP(source[[#This Row],[Приоритет]],тПриоритеты[],2,0)</f>
        <v>Значительное</v>
      </c>
      <c r="E1056" t="str">
        <f>IF(ISBLANK(source[[#This Row],[Проверенные]]),IF(ISBLANK(source[[#This Row],[Завершенные]]),source[[#This Row],[Приоритет_]],"Завершено"),"Проверено")</f>
        <v>Проверено</v>
      </c>
      <c r="F1056" t="s">
        <v>4423</v>
      </c>
      <c r="G1056" t="s">
        <v>426</v>
      </c>
      <c r="H1056" t="e">
        <f>VLOOKUP(source[[#This Row],[Отвественный]],тОтветственные[],2,0)</f>
        <v>#N/A</v>
      </c>
      <c r="S1056" s="1">
        <v>43859.226342592592</v>
      </c>
      <c r="T1056" s="1">
        <v>43859.226956018516</v>
      </c>
      <c r="U1056" s="1">
        <v>43859.226956018516</v>
      </c>
      <c r="W1056" s="1">
        <v>43859.226967592593</v>
      </c>
      <c r="EC1056" t="s">
        <v>8126</v>
      </c>
      <c r="ED1056" t="s">
        <v>428</v>
      </c>
    </row>
    <row r="1057" spans="1:139" ht="15" customHeight="1" x14ac:dyDescent="0.35">
      <c r="A1057">
        <v>824</v>
      </c>
      <c r="B1057" t="s">
        <v>8127</v>
      </c>
      <c r="C1057">
        <v>2</v>
      </c>
      <c r="D1057" t="str">
        <f>VLOOKUP(source[[#This Row],[Приоритет]],тПриоритеты[],2,0)</f>
        <v>Значительное</v>
      </c>
      <c r="E1057" t="str">
        <f>IF(ISBLANK(source[[#This Row],[Проверенные]]),IF(ISBLANK(source[[#This Row],[Завершенные]]),source[[#This Row],[Приоритет_]],"Завершено"),"Проверено")</f>
        <v>Проверено</v>
      </c>
      <c r="F1057" t="s">
        <v>4423</v>
      </c>
      <c r="G1057" t="s">
        <v>426</v>
      </c>
      <c r="H1057" t="e">
        <f>VLOOKUP(source[[#This Row],[Отвественный]],тОтветственные[],2,0)</f>
        <v>#N/A</v>
      </c>
      <c r="S1057" s="1">
        <v>43829.061064814814</v>
      </c>
      <c r="T1057" s="1">
        <v>43829.063750000001</v>
      </c>
      <c r="U1057" s="1">
        <v>43829.063750000001</v>
      </c>
      <c r="W1057" s="1">
        <v>43829.063750000001</v>
      </c>
      <c r="EC1057" t="s">
        <v>8128</v>
      </c>
      <c r="ED1057" t="str">
        <f>HYPERLINK("https://d33htgqikc2pj4.cloudfront.net/qvHDimMUqxZcQnsj/8b3562ef-5b56-4cd8-91d1-caab6509e9f7.jpeg", "Юрий Прасолов: Ссылка на изображение")</f>
        <v>Юрий Прасолов: Ссылка на изображение</v>
      </c>
      <c r="EE1057" t="s">
        <v>428</v>
      </c>
    </row>
    <row r="1058" spans="1:139" ht="15" customHeight="1" x14ac:dyDescent="0.35">
      <c r="A1058">
        <v>1060</v>
      </c>
      <c r="B1058" t="s">
        <v>8129</v>
      </c>
      <c r="C1058">
        <v>2</v>
      </c>
      <c r="D1058" t="str">
        <f>VLOOKUP(source[[#This Row],[Приоритет]],тПриоритеты[],2,0)</f>
        <v>Значительное</v>
      </c>
      <c r="E1058" t="str">
        <f>IF(ISBLANK(source[[#This Row],[Проверенные]]),IF(ISBLANK(source[[#This Row],[Завершенные]]),source[[#This Row],[Приоритет_]],"Завершено"),"Проверено")</f>
        <v>Проверено</v>
      </c>
      <c r="F1058" t="s">
        <v>4423</v>
      </c>
      <c r="G1058" t="s">
        <v>426</v>
      </c>
      <c r="H1058" t="e">
        <f>VLOOKUP(source[[#This Row],[Отвественный]],тОтветственные[],2,0)</f>
        <v>#N/A</v>
      </c>
      <c r="S1058" s="1">
        <v>43855.783900462964</v>
      </c>
      <c r="T1058" s="1">
        <v>43855.784641203703</v>
      </c>
      <c r="U1058" s="1">
        <v>43855.784641203703</v>
      </c>
      <c r="W1058" s="1">
        <v>43860.382523148146</v>
      </c>
      <c r="X1058" t="s">
        <v>444</v>
      </c>
      <c r="AH1058" t="s">
        <v>8130</v>
      </c>
      <c r="AI1058" t="s">
        <v>8131</v>
      </c>
      <c r="AJ1058" t="s">
        <v>8132</v>
      </c>
      <c r="AK1058" t="s">
        <v>8133</v>
      </c>
      <c r="AL1058" t="s">
        <v>8134</v>
      </c>
      <c r="AM1058" t="s">
        <v>8135</v>
      </c>
      <c r="AN1058" t="s">
        <v>8136</v>
      </c>
      <c r="EC1058" t="s">
        <v>8137</v>
      </c>
      <c r="ED1058" t="s">
        <v>428</v>
      </c>
      <c r="EE1058" t="s">
        <v>7981</v>
      </c>
    </row>
    <row r="1059" spans="1:139" ht="15" customHeight="1" x14ac:dyDescent="0.35">
      <c r="A1059">
        <v>1110</v>
      </c>
      <c r="B1059" t="s">
        <v>8138</v>
      </c>
      <c r="C1059">
        <v>2</v>
      </c>
      <c r="D1059" t="str">
        <f>VLOOKUP(source[[#This Row],[Приоритет]],тПриоритеты[],2,0)</f>
        <v>Значительное</v>
      </c>
      <c r="E1059" t="str">
        <f>IF(ISBLANK(source[[#This Row],[Проверенные]]),IF(ISBLANK(source[[#This Row],[Завершенные]]),source[[#This Row],[Приоритет_]],"Завершено"),"Проверено")</f>
        <v>Проверено</v>
      </c>
      <c r="F1059" t="s">
        <v>4423</v>
      </c>
      <c r="G1059" t="s">
        <v>426</v>
      </c>
      <c r="H1059" t="e">
        <f>VLOOKUP(source[[#This Row],[Отвественный]],тОтветственные[],2,0)</f>
        <v>#N/A</v>
      </c>
      <c r="S1059" s="1">
        <v>43860.354039351849</v>
      </c>
      <c r="T1059" s="1">
        <v>43860.35460648148</v>
      </c>
      <c r="U1059" s="1">
        <v>43860.35460648148</v>
      </c>
      <c r="W1059" s="1">
        <v>43860.382037037038</v>
      </c>
      <c r="EC1059" t="str">
        <f>HYPERLINK("https://d33htgqikc2pj4.cloudfront.net/aaddd2bc-1cbc-4007-9957-d3959effd534.jpeg", "Юрий Прасолов: Ссылка на изображение")</f>
        <v>Юрий Прасолов: Ссылка на изображение</v>
      </c>
      <c r="ED1059" t="s">
        <v>428</v>
      </c>
      <c r="EE1059" t="s">
        <v>8139</v>
      </c>
      <c r="EF1059" t="s">
        <v>7981</v>
      </c>
    </row>
    <row r="1060" spans="1:139" ht="15" customHeight="1" x14ac:dyDescent="0.35">
      <c r="A1060">
        <v>337</v>
      </c>
      <c r="B1060" t="s">
        <v>8140</v>
      </c>
      <c r="C1060">
        <v>2</v>
      </c>
      <c r="D1060" t="str">
        <f>VLOOKUP(source[[#This Row],[Приоритет]],тПриоритеты[],2,0)</f>
        <v>Значительное</v>
      </c>
      <c r="E1060" t="str">
        <f>IF(ISBLANK(source[[#This Row],[Проверенные]]),IF(ISBLANK(source[[#This Row],[Завершенные]]),source[[#This Row],[Приоритет_]],"Завершено"),"Проверено")</f>
        <v>Проверено</v>
      </c>
      <c r="F1060" t="s">
        <v>4423</v>
      </c>
      <c r="G1060" t="s">
        <v>426</v>
      </c>
      <c r="H1060" t="e">
        <f>VLOOKUP(source[[#This Row],[Отвественный]],тОтветственные[],2,0)</f>
        <v>#N/A</v>
      </c>
      <c r="S1060" s="1">
        <v>43788.248761574076</v>
      </c>
      <c r="T1060" s="1">
        <v>43811.578321759262</v>
      </c>
      <c r="U1060" s="1">
        <v>43811.578321759262</v>
      </c>
      <c r="W1060" s="1">
        <v>43811.578321759262</v>
      </c>
      <c r="EC1060" t="s">
        <v>8141</v>
      </c>
      <c r="ED1060" t="str">
        <f>HYPERLINK("https://d33htgqikc2pj4.cloudfront.net/qvHDimMUqxZcQnsj/a3b20be3-d9ae-4947-8b4b-1ad813cb4d90.jpeg", "Юрий Прасолов: Ссылка на изображение")</f>
        <v>Юрий Прасолов: Ссылка на изображение</v>
      </c>
      <c r="EE1060" t="s">
        <v>5339</v>
      </c>
      <c r="EF1060" t="s">
        <v>836</v>
      </c>
    </row>
    <row r="1061" spans="1:139" ht="15" customHeight="1" x14ac:dyDescent="0.35">
      <c r="A1061">
        <v>262</v>
      </c>
      <c r="B1061" t="s">
        <v>8142</v>
      </c>
      <c r="C1061">
        <v>2</v>
      </c>
      <c r="D1061" t="str">
        <f>VLOOKUP(source[[#This Row],[Приоритет]],тПриоритеты[],2,0)</f>
        <v>Значительное</v>
      </c>
      <c r="E1061" t="str">
        <f>IF(ISBLANK(source[[#This Row],[Проверенные]]),IF(ISBLANK(source[[#This Row],[Завершенные]]),source[[#This Row],[Приоритет_]],"Завершено"),"Проверено")</f>
        <v>Проверено</v>
      </c>
      <c r="F1061" t="s">
        <v>4423</v>
      </c>
      <c r="G1061" t="s">
        <v>426</v>
      </c>
      <c r="H1061" t="e">
        <f>VLOOKUP(source[[#This Row],[Отвественный]],тОтветственные[],2,0)</f>
        <v>#N/A</v>
      </c>
      <c r="S1061" s="1">
        <v>43783.019363425927</v>
      </c>
      <c r="T1061" s="1">
        <v>43783.035833333335</v>
      </c>
      <c r="U1061" s="1">
        <v>43812.624641203707</v>
      </c>
      <c r="W1061" s="1">
        <v>43812.624652777777</v>
      </c>
      <c r="X1061" t="s">
        <v>3339</v>
      </c>
      <c r="AH1061" t="s">
        <v>8143</v>
      </c>
      <c r="AI1061" t="s">
        <v>8144</v>
      </c>
      <c r="AJ1061" t="s">
        <v>8145</v>
      </c>
      <c r="AK1061" t="s">
        <v>8146</v>
      </c>
      <c r="AL1061" t="s">
        <v>8147</v>
      </c>
      <c r="AM1061" t="s">
        <v>8148</v>
      </c>
      <c r="AN1061" t="s">
        <v>8149</v>
      </c>
      <c r="EC1061" t="s">
        <v>8150</v>
      </c>
      <c r="ED1061" t="s">
        <v>8151</v>
      </c>
      <c r="EE1061" t="s">
        <v>457</v>
      </c>
      <c r="EF1061" t="s">
        <v>836</v>
      </c>
    </row>
    <row r="1062" spans="1:139" ht="15" customHeight="1" x14ac:dyDescent="0.35">
      <c r="A1062">
        <v>264</v>
      </c>
      <c r="B1062" t="s">
        <v>8152</v>
      </c>
      <c r="C1062">
        <v>2</v>
      </c>
      <c r="D1062" t="str">
        <f>VLOOKUP(source[[#This Row],[Приоритет]],тПриоритеты[],2,0)</f>
        <v>Значительное</v>
      </c>
      <c r="E1062" t="str">
        <f>IF(ISBLANK(source[[#This Row],[Проверенные]]),IF(ISBLANK(source[[#This Row],[Завершенные]]),source[[#This Row],[Приоритет_]],"Завершено"),"Проверено")</f>
        <v>Проверено</v>
      </c>
      <c r="F1062" t="s">
        <v>4423</v>
      </c>
      <c r="G1062" t="s">
        <v>426</v>
      </c>
      <c r="H1062" t="e">
        <f>VLOOKUP(source[[#This Row],[Отвественный]],тОтветственные[],2,0)</f>
        <v>#N/A</v>
      </c>
      <c r="S1062" s="1">
        <v>43783.036261574074</v>
      </c>
      <c r="T1062" s="1">
        <v>43783.037685185183</v>
      </c>
      <c r="U1062" s="1">
        <v>43812.624641203707</v>
      </c>
      <c r="W1062" s="1">
        <v>43812.624652777777</v>
      </c>
      <c r="X1062" t="s">
        <v>2889</v>
      </c>
      <c r="AH1062" t="s">
        <v>8153</v>
      </c>
      <c r="AI1062" t="s">
        <v>8154</v>
      </c>
      <c r="AJ1062" t="s">
        <v>8155</v>
      </c>
      <c r="AK1062" t="s">
        <v>8156</v>
      </c>
      <c r="AL1062" t="s">
        <v>8157</v>
      </c>
      <c r="AM1062" t="s">
        <v>8158</v>
      </c>
      <c r="AN1062" t="s">
        <v>8159</v>
      </c>
      <c r="AO1062" t="s">
        <v>8160</v>
      </c>
      <c r="AP1062" t="s">
        <v>8161</v>
      </c>
      <c r="AQ1062" t="s">
        <v>8162</v>
      </c>
      <c r="AR1062" t="s">
        <v>8163</v>
      </c>
      <c r="AS1062" t="s">
        <v>8164</v>
      </c>
      <c r="AT1062" t="s">
        <v>8165</v>
      </c>
      <c r="AU1062" t="s">
        <v>8166</v>
      </c>
      <c r="AV1062" t="s">
        <v>8167</v>
      </c>
      <c r="AW1062" t="s">
        <v>8168</v>
      </c>
      <c r="EC1062" t="s">
        <v>8169</v>
      </c>
      <c r="ED1062" t="s">
        <v>457</v>
      </c>
      <c r="EE1062" t="s">
        <v>836</v>
      </c>
    </row>
    <row r="1063" spans="1:139" ht="15" customHeight="1" x14ac:dyDescent="0.35">
      <c r="A1063">
        <v>624</v>
      </c>
      <c r="B1063" t="s">
        <v>8170</v>
      </c>
      <c r="C1063">
        <v>3</v>
      </c>
      <c r="D1063" t="str">
        <f>VLOOKUP(source[[#This Row],[Приоритет]],тПриоритеты[],2,0)</f>
        <v>Малозначительное</v>
      </c>
      <c r="E1063" t="str">
        <f>IF(ISBLANK(source[[#This Row],[Проверенные]]),IF(ISBLANK(source[[#This Row],[Завершенные]]),source[[#This Row],[Приоритет_]],"Завершено"),"Проверено")</f>
        <v>Проверено</v>
      </c>
      <c r="F1063" t="s">
        <v>4423</v>
      </c>
      <c r="G1063" t="s">
        <v>426</v>
      </c>
      <c r="H1063" t="e">
        <f>VLOOKUP(source[[#This Row],[Отвественный]],тОтветственные[],2,0)</f>
        <v>#N/A</v>
      </c>
      <c r="S1063" s="1">
        <v>43813.344641203701</v>
      </c>
      <c r="T1063" s="1">
        <v>43813.348055555558</v>
      </c>
      <c r="U1063" s="1">
        <v>43813.348055555558</v>
      </c>
      <c r="W1063" s="1">
        <v>43813.348055555558</v>
      </c>
      <c r="X1063" t="s">
        <v>191</v>
      </c>
      <c r="AH1063" t="s">
        <v>8171</v>
      </c>
      <c r="AI1063" t="s">
        <v>8172</v>
      </c>
      <c r="AJ1063" t="s">
        <v>8173</v>
      </c>
      <c r="AK1063" t="s">
        <v>8174</v>
      </c>
      <c r="AL1063" t="s">
        <v>8175</v>
      </c>
      <c r="AM1063" t="s">
        <v>8176</v>
      </c>
      <c r="AN1063" t="s">
        <v>8177</v>
      </c>
      <c r="AO1063" t="s">
        <v>8178</v>
      </c>
      <c r="AP1063" t="s">
        <v>8179</v>
      </c>
      <c r="AQ1063" t="s">
        <v>8180</v>
      </c>
      <c r="AR1063" t="s">
        <v>8181</v>
      </c>
      <c r="AS1063" t="s">
        <v>8182</v>
      </c>
      <c r="AT1063" t="s">
        <v>8183</v>
      </c>
      <c r="AU1063" t="s">
        <v>8184</v>
      </c>
      <c r="AV1063" t="s">
        <v>8185</v>
      </c>
      <c r="AW1063" t="s">
        <v>8186</v>
      </c>
      <c r="AX1063" t="s">
        <v>8187</v>
      </c>
      <c r="AY1063" t="s">
        <v>8188</v>
      </c>
      <c r="EC1063" t="s">
        <v>7981</v>
      </c>
      <c r="ED1063" t="s">
        <v>8189</v>
      </c>
      <c r="EE1063" t="s">
        <v>8190</v>
      </c>
      <c r="EF1063" t="s">
        <v>8191</v>
      </c>
      <c r="EG1063" t="s">
        <v>8192</v>
      </c>
      <c r="EH1063" t="s">
        <v>8193</v>
      </c>
      <c r="EI1063" t="s">
        <v>428</v>
      </c>
    </row>
    <row r="1064" spans="1:139" ht="15" customHeight="1" x14ac:dyDescent="0.35">
      <c r="A1064">
        <v>625</v>
      </c>
      <c r="B1064" t="s">
        <v>8194</v>
      </c>
      <c r="C1064">
        <v>3</v>
      </c>
      <c r="D1064" t="str">
        <f>VLOOKUP(source[[#This Row],[Приоритет]],тПриоритеты[],2,0)</f>
        <v>Малозначительное</v>
      </c>
      <c r="E1064" t="str">
        <f>IF(ISBLANK(source[[#This Row],[Проверенные]]),IF(ISBLANK(source[[#This Row],[Завершенные]]),source[[#This Row],[Приоритет_]],"Завершено"),"Проверено")</f>
        <v>Проверено</v>
      </c>
      <c r="F1064" t="s">
        <v>4423</v>
      </c>
      <c r="G1064" t="s">
        <v>426</v>
      </c>
      <c r="H1064" t="e">
        <f>VLOOKUP(source[[#This Row],[Отвественный]],тОтветственные[],2,0)</f>
        <v>#N/A</v>
      </c>
      <c r="S1064" s="1">
        <v>43813.34815972222</v>
      </c>
      <c r="T1064" s="1">
        <v>43813.349953703706</v>
      </c>
      <c r="U1064" s="1">
        <v>43813.349953703706</v>
      </c>
      <c r="W1064" s="1">
        <v>43813.349953703706</v>
      </c>
      <c r="X1064" t="s">
        <v>191</v>
      </c>
      <c r="AH1064" t="s">
        <v>8171</v>
      </c>
      <c r="AI1064" t="s">
        <v>8172</v>
      </c>
      <c r="AJ1064" t="s">
        <v>8173</v>
      </c>
      <c r="AK1064" t="s">
        <v>8174</v>
      </c>
      <c r="AL1064" t="s">
        <v>8175</v>
      </c>
      <c r="AM1064" t="s">
        <v>8176</v>
      </c>
      <c r="AN1064" t="s">
        <v>8177</v>
      </c>
      <c r="AO1064" t="s">
        <v>8178</v>
      </c>
      <c r="AP1064" t="s">
        <v>8179</v>
      </c>
      <c r="AQ1064" t="s">
        <v>8180</v>
      </c>
      <c r="AR1064" t="s">
        <v>8181</v>
      </c>
      <c r="AS1064" t="s">
        <v>8182</v>
      </c>
      <c r="AT1064" t="s">
        <v>8183</v>
      </c>
      <c r="AU1064" t="s">
        <v>8184</v>
      </c>
      <c r="AV1064" t="s">
        <v>8185</v>
      </c>
      <c r="AW1064" t="s">
        <v>8186</v>
      </c>
      <c r="AX1064" t="s">
        <v>8187</v>
      </c>
      <c r="AY1064" t="s">
        <v>8195</v>
      </c>
      <c r="EC1064" t="s">
        <v>8196</v>
      </c>
      <c r="ED1064" t="s">
        <v>7981</v>
      </c>
      <c r="EE1064" t="s">
        <v>8193</v>
      </c>
      <c r="EF1064" t="s">
        <v>428</v>
      </c>
    </row>
    <row r="1065" spans="1:139" ht="15" customHeight="1" x14ac:dyDescent="0.35">
      <c r="A1065">
        <v>283</v>
      </c>
      <c r="B1065" t="s">
        <v>8197</v>
      </c>
      <c r="C1065">
        <v>2</v>
      </c>
      <c r="D1065" t="str">
        <f>VLOOKUP(source[[#This Row],[Приоритет]],тПриоритеты[],2,0)</f>
        <v>Значительное</v>
      </c>
      <c r="E1065" t="str">
        <f>IF(ISBLANK(source[[#This Row],[Проверенные]]),IF(ISBLANK(source[[#This Row],[Завершенные]]),source[[#This Row],[Приоритет_]],"Завершено"),"Проверено")</f>
        <v>Проверено</v>
      </c>
      <c r="F1065" t="s">
        <v>4423</v>
      </c>
      <c r="G1065" t="s">
        <v>426</v>
      </c>
      <c r="H1065" t="e">
        <f>VLOOKUP(source[[#This Row],[Отвественный]],тОтветственные[],2,0)</f>
        <v>#N/A</v>
      </c>
      <c r="S1065" s="1">
        <v>43784.128657407404</v>
      </c>
      <c r="T1065" s="1">
        <v>43784.13045138889</v>
      </c>
      <c r="U1065" s="1">
        <v>43812.624641203707</v>
      </c>
      <c r="W1065" s="1">
        <v>43812.624652777777</v>
      </c>
      <c r="X1065" t="s">
        <v>2889</v>
      </c>
      <c r="AH1065" t="s">
        <v>8198</v>
      </c>
      <c r="AI1065" t="s">
        <v>8199</v>
      </c>
      <c r="AJ1065" t="s">
        <v>8200</v>
      </c>
      <c r="AK1065" t="s">
        <v>8201</v>
      </c>
      <c r="AL1065" t="s">
        <v>8202</v>
      </c>
      <c r="AM1065" t="s">
        <v>8203</v>
      </c>
      <c r="AN1065" t="s">
        <v>8204</v>
      </c>
      <c r="AO1065" t="s">
        <v>8205</v>
      </c>
      <c r="AP1065" t="s">
        <v>8206</v>
      </c>
      <c r="AQ1065" t="s">
        <v>8207</v>
      </c>
      <c r="AR1065" t="s">
        <v>8208</v>
      </c>
      <c r="AS1065" t="s">
        <v>8209</v>
      </c>
      <c r="AT1065" t="s">
        <v>8210</v>
      </c>
      <c r="AU1065" t="s">
        <v>8211</v>
      </c>
      <c r="AV1065" t="s">
        <v>8212</v>
      </c>
      <c r="AW1065" t="s">
        <v>8213</v>
      </c>
      <c r="EC1065" t="s">
        <v>8214</v>
      </c>
      <c r="ED1065" t="s">
        <v>457</v>
      </c>
      <c r="EE1065" t="s">
        <v>836</v>
      </c>
    </row>
    <row r="1066" spans="1:139" ht="15" customHeight="1" x14ac:dyDescent="0.35">
      <c r="A1066">
        <v>282</v>
      </c>
      <c r="B1066" t="s">
        <v>8215</v>
      </c>
      <c r="C1066">
        <v>2</v>
      </c>
      <c r="D1066" t="str">
        <f>VLOOKUP(source[[#This Row],[Приоритет]],тПриоритеты[],2,0)</f>
        <v>Значительное</v>
      </c>
      <c r="E1066" t="str">
        <f>IF(ISBLANK(source[[#This Row],[Проверенные]]),IF(ISBLANK(source[[#This Row],[Завершенные]]),source[[#This Row],[Приоритет_]],"Завершено"),"Проверено")</f>
        <v>Проверено</v>
      </c>
      <c r="F1066" t="s">
        <v>4423</v>
      </c>
      <c r="G1066" t="s">
        <v>426</v>
      </c>
      <c r="H1066" t="e">
        <f>VLOOKUP(source[[#This Row],[Отвественный]],тОтветственные[],2,0)</f>
        <v>#N/A</v>
      </c>
      <c r="S1066" s="1">
        <v>43784.126527777778</v>
      </c>
      <c r="T1066" s="1">
        <v>43784.128483796296</v>
      </c>
      <c r="U1066" s="1">
        <v>43812.624641203707</v>
      </c>
      <c r="W1066" s="1">
        <v>43812.624652777777</v>
      </c>
      <c r="X1066" t="s">
        <v>191</v>
      </c>
      <c r="AH1066" t="s">
        <v>8216</v>
      </c>
      <c r="AI1066" t="s">
        <v>8217</v>
      </c>
      <c r="AJ1066" t="s">
        <v>8218</v>
      </c>
      <c r="AK1066" t="s">
        <v>8219</v>
      </c>
      <c r="AL1066" t="s">
        <v>8220</v>
      </c>
      <c r="AM1066" t="s">
        <v>8221</v>
      </c>
      <c r="AN1066" t="s">
        <v>8222</v>
      </c>
      <c r="AO1066" t="s">
        <v>8223</v>
      </c>
      <c r="AP1066" t="s">
        <v>8224</v>
      </c>
      <c r="AQ1066" t="s">
        <v>8225</v>
      </c>
      <c r="AR1066" t="s">
        <v>8226</v>
      </c>
      <c r="AS1066" t="s">
        <v>8227</v>
      </c>
      <c r="AT1066" t="s">
        <v>8228</v>
      </c>
      <c r="AU1066" t="s">
        <v>8229</v>
      </c>
      <c r="AV1066" t="s">
        <v>8230</v>
      </c>
      <c r="AW1066" t="s">
        <v>8231</v>
      </c>
      <c r="AX1066" t="s">
        <v>8232</v>
      </c>
      <c r="AY1066" t="s">
        <v>8233</v>
      </c>
      <c r="EC1066" t="s">
        <v>8234</v>
      </c>
      <c r="ED1066" t="s">
        <v>457</v>
      </c>
      <c r="EE1066" t="s">
        <v>836</v>
      </c>
    </row>
    <row r="1067" spans="1:139" ht="15" customHeight="1" x14ac:dyDescent="0.35">
      <c r="A1067">
        <v>1156</v>
      </c>
      <c r="B1067" t="s">
        <v>8235</v>
      </c>
      <c r="C1067">
        <v>2</v>
      </c>
      <c r="D1067" t="str">
        <f>VLOOKUP(source[[#This Row],[Приоритет]],тПриоритеты[],2,0)</f>
        <v>Значительное</v>
      </c>
      <c r="E1067" t="str">
        <f>IF(ISBLANK(source[[#This Row],[Проверенные]]),IF(ISBLANK(source[[#This Row],[Завершенные]]),source[[#This Row],[Приоритет_]],"Завершено"),"Проверено")</f>
        <v>Проверено</v>
      </c>
      <c r="F1067" t="s">
        <v>4423</v>
      </c>
      <c r="G1067" t="s">
        <v>426</v>
      </c>
      <c r="H1067" t="e">
        <f>VLOOKUP(source[[#This Row],[Отвественный]],тОтветственные[],2,0)</f>
        <v>#N/A</v>
      </c>
      <c r="S1067" s="1">
        <v>43863.290902777779</v>
      </c>
      <c r="T1067" s="1">
        <v>43863.292523148149</v>
      </c>
      <c r="U1067" s="1">
        <v>43863.292523148149</v>
      </c>
      <c r="W1067" s="1">
        <v>43863.292534722219</v>
      </c>
      <c r="EC1067" t="str">
        <f>HYPERLINK("https://d33htgqikc2pj4.cloudfront.net/c0a7b5a101b14da18d076bfcdfc1c45f/77bdd59125a8019f1d4a1a0aba10289d-file.jpeg", "Юрий Прасолов: Ссылка на изображение")</f>
        <v>Юрий Прасолов: Ссылка на изображение</v>
      </c>
      <c r="ED1067" t="s">
        <v>8236</v>
      </c>
      <c r="EE1067" t="s">
        <v>8237</v>
      </c>
      <c r="EF1067" t="s">
        <v>8238</v>
      </c>
      <c r="EG1067" t="s">
        <v>8239</v>
      </c>
      <c r="EH1067" t="s">
        <v>428</v>
      </c>
    </row>
    <row r="1068" spans="1:139" ht="15" customHeight="1" x14ac:dyDescent="0.35">
      <c r="A1068">
        <v>1157</v>
      </c>
      <c r="B1068" t="s">
        <v>8240</v>
      </c>
      <c r="C1068">
        <v>2</v>
      </c>
      <c r="D1068" t="str">
        <f>VLOOKUP(source[[#This Row],[Приоритет]],тПриоритеты[],2,0)</f>
        <v>Значительное</v>
      </c>
      <c r="E1068" t="str">
        <f>IF(ISBLANK(source[[#This Row],[Проверенные]]),IF(ISBLANK(source[[#This Row],[Завершенные]]),source[[#This Row],[Приоритет_]],"Завершено"),"Проверено")</f>
        <v>Проверено</v>
      </c>
      <c r="F1068" t="s">
        <v>4423</v>
      </c>
      <c r="G1068" t="s">
        <v>426</v>
      </c>
      <c r="H1068" t="e">
        <f>VLOOKUP(source[[#This Row],[Отвественный]],тОтветственные[],2,0)</f>
        <v>#N/A</v>
      </c>
      <c r="S1068" s="1">
        <v>43863.292569444442</v>
      </c>
      <c r="T1068" s="1">
        <v>43863.293680555558</v>
      </c>
      <c r="U1068" s="1">
        <v>43863.293680555558</v>
      </c>
      <c r="W1068" s="1">
        <v>43863.293692129628</v>
      </c>
      <c r="EC1068" t="str">
        <f>HYPERLINK("https://d33htgqikc2pj4.cloudfront.net/c58acfeadf629470ff6c2f650167256e/c6793195114f102641afbb7bf0b29ae6-file.jpeg", "Юрий Прасолов: Ссылка на изображение")</f>
        <v>Юрий Прасолов: Ссылка на изображение</v>
      </c>
      <c r="ED1068" t="s">
        <v>8241</v>
      </c>
      <c r="EE1068" t="s">
        <v>428</v>
      </c>
    </row>
    <row r="1069" spans="1:139" ht="15" customHeight="1" x14ac:dyDescent="0.35">
      <c r="A1069">
        <v>1158</v>
      </c>
      <c r="B1069" t="s">
        <v>8242</v>
      </c>
      <c r="C1069">
        <v>2</v>
      </c>
      <c r="D1069" t="str">
        <f>VLOOKUP(source[[#This Row],[Приоритет]],тПриоритеты[],2,0)</f>
        <v>Значительное</v>
      </c>
      <c r="E1069" t="str">
        <f>IF(ISBLANK(source[[#This Row],[Проверенные]]),IF(ISBLANK(source[[#This Row],[Завершенные]]),source[[#This Row],[Приоритет_]],"Завершено"),"Проверено")</f>
        <v>Проверено</v>
      </c>
      <c r="F1069" t="s">
        <v>4423</v>
      </c>
      <c r="G1069" t="s">
        <v>426</v>
      </c>
      <c r="H1069" t="e">
        <f>VLOOKUP(source[[#This Row],[Отвественный]],тОтветственные[],2,0)</f>
        <v>#N/A</v>
      </c>
      <c r="S1069" s="1">
        <v>43863.293738425928</v>
      </c>
      <c r="T1069" s="1">
        <v>43863.294409722221</v>
      </c>
      <c r="U1069" s="1">
        <v>43863.294409722221</v>
      </c>
      <c r="W1069" s="1">
        <v>43863.294409722221</v>
      </c>
      <c r="EC1069" t="str">
        <f>HYPERLINK("https://d33htgqikc2pj4.cloudfront.net/00cde79cfe231ada204b3eb533dfd43f/1ebdd86099f31cf1d249308f1d326322-file.jpeg", "Юрий Прасолов: Ссылка на изображение")</f>
        <v>Юрий Прасолов: Ссылка на изображение</v>
      </c>
      <c r="ED1069" t="s">
        <v>8243</v>
      </c>
      <c r="EE1069" t="s">
        <v>428</v>
      </c>
    </row>
    <row r="1070" spans="1:139" ht="15" customHeight="1" x14ac:dyDescent="0.35">
      <c r="A1070">
        <v>315</v>
      </c>
      <c r="B1070" t="s">
        <v>8244</v>
      </c>
      <c r="C1070">
        <v>3</v>
      </c>
      <c r="D1070" t="str">
        <f>VLOOKUP(source[[#This Row],[Приоритет]],тПриоритеты[],2,0)</f>
        <v>Малозначительное</v>
      </c>
      <c r="E1070" t="str">
        <f>IF(ISBLANK(source[[#This Row],[Проверенные]]),IF(ISBLANK(source[[#This Row],[Завершенные]]),source[[#This Row],[Приоритет_]],"Завершено"),"Проверено")</f>
        <v>Проверено</v>
      </c>
      <c r="F1070" t="s">
        <v>4423</v>
      </c>
      <c r="G1070" t="s">
        <v>426</v>
      </c>
      <c r="H1070" t="e">
        <f>VLOOKUP(source[[#This Row],[Отвественный]],тОтветственные[],2,0)</f>
        <v>#N/A</v>
      </c>
      <c r="S1070" s="1">
        <v>43787.137499999997</v>
      </c>
      <c r="T1070" s="1">
        <v>43787.13821759259</v>
      </c>
      <c r="U1070" s="1">
        <v>43812.624641203707</v>
      </c>
      <c r="W1070" s="1">
        <v>43812.624652777777</v>
      </c>
      <c r="X1070" t="s">
        <v>4760</v>
      </c>
      <c r="AH1070" t="s">
        <v>8245</v>
      </c>
      <c r="AI1070" t="s">
        <v>8246</v>
      </c>
      <c r="AJ1070" t="s">
        <v>8247</v>
      </c>
      <c r="AK1070" t="s">
        <v>8248</v>
      </c>
      <c r="AL1070" t="s">
        <v>8249</v>
      </c>
      <c r="AM1070" t="s">
        <v>8250</v>
      </c>
      <c r="AN1070" t="s">
        <v>8251</v>
      </c>
      <c r="AO1070" t="s">
        <v>8252</v>
      </c>
      <c r="AP1070" t="s">
        <v>8253</v>
      </c>
      <c r="AQ1070" t="s">
        <v>8254</v>
      </c>
      <c r="AR1070" t="s">
        <v>8255</v>
      </c>
      <c r="AS1070" t="s">
        <v>8256</v>
      </c>
      <c r="AT1070" t="s">
        <v>8257</v>
      </c>
      <c r="AU1070" t="s">
        <v>8258</v>
      </c>
      <c r="AV1070" t="s">
        <v>8259</v>
      </c>
      <c r="AW1070" t="s">
        <v>8260</v>
      </c>
      <c r="AX1070" t="s">
        <v>8261</v>
      </c>
      <c r="AY1070" t="s">
        <v>8262</v>
      </c>
      <c r="EC1070" t="s">
        <v>3532</v>
      </c>
      <c r="ED1070" t="s">
        <v>457</v>
      </c>
      <c r="EE1070" t="s">
        <v>8263</v>
      </c>
      <c r="EF1070" t="str">
        <f>HYPERLINK("https://d33htgqikc2pj4.cloudfront.net/qvHDimMUqxZcQnsj/be1f3ae2-017c-43b1-8ca5-97cba2e76f78.jpeg", "Юрий Прасолов: Ссылка на изображение")</f>
        <v>Юрий Прасолов: Ссылка на изображение</v>
      </c>
      <c r="EG1070" t="s">
        <v>836</v>
      </c>
    </row>
    <row r="1071" spans="1:139" ht="15" customHeight="1" x14ac:dyDescent="0.35">
      <c r="A1071">
        <v>874</v>
      </c>
      <c r="B1071" t="s">
        <v>8264</v>
      </c>
      <c r="C1071">
        <v>2</v>
      </c>
      <c r="D1071" t="str">
        <f>VLOOKUP(source[[#This Row],[Приоритет]],тПриоритеты[],2,0)</f>
        <v>Значительное</v>
      </c>
      <c r="E1071" t="str">
        <f>IF(ISBLANK(source[[#This Row],[Проверенные]]),IF(ISBLANK(source[[#This Row],[Завершенные]]),source[[#This Row],[Приоритет_]],"Завершено"),"Проверено")</f>
        <v>Проверено</v>
      </c>
      <c r="F1071" t="s">
        <v>4423</v>
      </c>
      <c r="G1071" t="s">
        <v>426</v>
      </c>
      <c r="H1071" t="e">
        <f>VLOOKUP(source[[#This Row],[Отвественный]],тОтветственные[],2,0)</f>
        <v>#N/A</v>
      </c>
      <c r="S1071" s="1">
        <v>43840.168877314813</v>
      </c>
      <c r="T1071" s="1">
        <v>43840.171134259261</v>
      </c>
      <c r="U1071" s="1">
        <v>43840.171134259261</v>
      </c>
      <c r="W1071" s="1">
        <v>43840.171122685184</v>
      </c>
      <c r="EC1071" t="s">
        <v>8265</v>
      </c>
      <c r="ED1071" t="str">
        <f>HYPERLINK("https://d33htgqikc2pj4.cloudfront.net/097ba742-71b1-4e4e-8caf-7adcc08e1ad2.jpeg", "Юрий Прасолов: Ссылка на изображение")</f>
        <v>Юрий Прасолов: Ссылка на изображение</v>
      </c>
      <c r="EE1071" t="s">
        <v>428</v>
      </c>
    </row>
    <row r="1072" spans="1:139" ht="15" customHeight="1" x14ac:dyDescent="0.35">
      <c r="A1072">
        <v>1218</v>
      </c>
      <c r="B1072" t="s">
        <v>8266</v>
      </c>
      <c r="C1072">
        <v>2</v>
      </c>
      <c r="D1072" t="str">
        <f>VLOOKUP(source[[#This Row],[Приоритет]],тПриоритеты[],2,0)</f>
        <v>Значительное</v>
      </c>
      <c r="E1072" t="str">
        <f>IF(ISBLANK(source[[#This Row],[Проверенные]]),IF(ISBLANK(source[[#This Row],[Завершенные]]),source[[#This Row],[Приоритет_]],"Завершено"),"Проверено")</f>
        <v>Проверено</v>
      </c>
      <c r="F1072" t="s">
        <v>4423</v>
      </c>
      <c r="G1072" t="s">
        <v>426</v>
      </c>
      <c r="H1072" t="e">
        <f>VLOOKUP(source[[#This Row],[Отвественный]],тОтветственные[],2,0)</f>
        <v>#N/A</v>
      </c>
      <c r="S1072" s="1">
        <v>43867.738946759258</v>
      </c>
      <c r="T1072" s="1">
        <v>43867.745173611111</v>
      </c>
      <c r="U1072" s="1">
        <v>43867.745173611111</v>
      </c>
      <c r="W1072" s="1">
        <v>43867.74560185185</v>
      </c>
      <c r="X1072" t="s">
        <v>8267</v>
      </c>
      <c r="AH1072" t="s">
        <v>8268</v>
      </c>
      <c r="AI1072" t="s">
        <v>8269</v>
      </c>
      <c r="AJ1072" t="s">
        <v>8270</v>
      </c>
      <c r="AK1072" t="s">
        <v>8271</v>
      </c>
      <c r="AL1072" t="s">
        <v>8272</v>
      </c>
      <c r="AM1072" t="s">
        <v>8273</v>
      </c>
      <c r="AN1072" t="s">
        <v>8274</v>
      </c>
      <c r="AO1072" t="s">
        <v>8275</v>
      </c>
      <c r="EC1072" t="s">
        <v>8276</v>
      </c>
      <c r="ED1072" t="s">
        <v>8277</v>
      </c>
      <c r="EE1072" t="s">
        <v>428</v>
      </c>
      <c r="EF1072" t="s">
        <v>7981</v>
      </c>
    </row>
    <row r="1073" spans="1:139" ht="15" customHeight="1" x14ac:dyDescent="0.35">
      <c r="A1073">
        <v>1219</v>
      </c>
      <c r="B1073" t="s">
        <v>8278</v>
      </c>
      <c r="C1073">
        <v>2</v>
      </c>
      <c r="D1073" t="str">
        <f>VLOOKUP(source[[#This Row],[Приоритет]],тПриоритеты[],2,0)</f>
        <v>Значительное</v>
      </c>
      <c r="E1073" t="str">
        <f>IF(ISBLANK(source[[#This Row],[Проверенные]]),IF(ISBLANK(source[[#This Row],[Завершенные]]),source[[#This Row],[Приоритет_]],"Завершено"),"Проверено")</f>
        <v>Проверено</v>
      </c>
      <c r="F1073" t="s">
        <v>4423</v>
      </c>
      <c r="G1073" t="s">
        <v>426</v>
      </c>
      <c r="H1073" t="e">
        <f>VLOOKUP(source[[#This Row],[Отвественный]],тОтветственные[],2,0)</f>
        <v>#N/A</v>
      </c>
      <c r="S1073" s="1">
        <v>43867.745729166665</v>
      </c>
      <c r="T1073" s="1">
        <v>43867.751423611109</v>
      </c>
      <c r="U1073" s="1">
        <v>43867.751423611109</v>
      </c>
      <c r="W1073" s="1">
        <v>43867.751423611109</v>
      </c>
      <c r="X1073" t="s">
        <v>4578</v>
      </c>
      <c r="AH1073" t="s">
        <v>8279</v>
      </c>
      <c r="AI1073" t="s">
        <v>8280</v>
      </c>
      <c r="AJ1073" t="s">
        <v>8281</v>
      </c>
      <c r="AK1073" t="s">
        <v>8282</v>
      </c>
      <c r="AL1073" t="s">
        <v>8283</v>
      </c>
      <c r="AM1073" t="s">
        <v>8284</v>
      </c>
      <c r="AN1073" t="s">
        <v>8285</v>
      </c>
      <c r="EC1073" t="s">
        <v>8286</v>
      </c>
      <c r="ED1073" t="s">
        <v>8287</v>
      </c>
      <c r="EE1073" t="s">
        <v>8288</v>
      </c>
      <c r="EF1073" t="s">
        <v>428</v>
      </c>
    </row>
    <row r="1074" spans="1:139" ht="15" customHeight="1" x14ac:dyDescent="0.35">
      <c r="A1074">
        <v>1221</v>
      </c>
      <c r="B1074" t="s">
        <v>8289</v>
      </c>
      <c r="C1074">
        <v>2</v>
      </c>
      <c r="D1074" t="str">
        <f>VLOOKUP(source[[#This Row],[Приоритет]],тПриоритеты[],2,0)</f>
        <v>Значительное</v>
      </c>
      <c r="E1074" t="str">
        <f>IF(ISBLANK(source[[#This Row],[Проверенные]]),IF(ISBLANK(source[[#This Row],[Завершенные]]),source[[#This Row],[Приоритет_]],"Завершено"),"Проверено")</f>
        <v>Проверено</v>
      </c>
      <c r="F1074" t="s">
        <v>4423</v>
      </c>
      <c r="G1074" t="s">
        <v>426</v>
      </c>
      <c r="H1074" t="e">
        <f>VLOOKUP(source[[#This Row],[Отвественный]],тОтветственные[],2,0)</f>
        <v>#N/A</v>
      </c>
      <c r="S1074" s="1">
        <v>43867.751516203702</v>
      </c>
      <c r="T1074" s="1">
        <v>43867.760821759257</v>
      </c>
      <c r="U1074" s="1">
        <v>43867.760821759257</v>
      </c>
      <c r="W1074" s="1">
        <v>43867.760821759257</v>
      </c>
      <c r="X1074" t="s">
        <v>8290</v>
      </c>
      <c r="AH1074" t="s">
        <v>8291</v>
      </c>
      <c r="AI1074" t="s">
        <v>8292</v>
      </c>
      <c r="AJ1074" t="s">
        <v>8293</v>
      </c>
      <c r="AK1074" t="s">
        <v>8294</v>
      </c>
      <c r="AL1074" t="s">
        <v>8295</v>
      </c>
      <c r="AM1074" t="s">
        <v>8296</v>
      </c>
      <c r="EC1074" t="s">
        <v>8297</v>
      </c>
      <c r="ED1074" t="s">
        <v>8298</v>
      </c>
      <c r="EE1074" t="s">
        <v>8299</v>
      </c>
      <c r="EF1074" t="s">
        <v>428</v>
      </c>
    </row>
    <row r="1075" spans="1:139" ht="15" customHeight="1" x14ac:dyDescent="0.35">
      <c r="A1075">
        <v>901</v>
      </c>
      <c r="B1075" t="s">
        <v>8300</v>
      </c>
      <c r="C1075">
        <v>2</v>
      </c>
      <c r="D1075" t="str">
        <f>VLOOKUP(source[[#This Row],[Приоритет]],тПриоритеты[],2,0)</f>
        <v>Значительное</v>
      </c>
      <c r="E1075" t="str">
        <f>IF(ISBLANK(source[[#This Row],[Проверенные]]),IF(ISBLANK(source[[#This Row],[Завершенные]]),source[[#This Row],[Приоритет_]],"Завершено"),"Проверено")</f>
        <v>Проверено</v>
      </c>
      <c r="F1075" t="s">
        <v>4423</v>
      </c>
      <c r="G1075" t="s">
        <v>426</v>
      </c>
      <c r="H1075" t="e">
        <f>VLOOKUP(source[[#This Row],[Отвественный]],тОтветственные[],2,0)</f>
        <v>#N/A</v>
      </c>
      <c r="S1075" s="1">
        <v>43843.107291666667</v>
      </c>
      <c r="T1075" s="1">
        <v>43843.110277777778</v>
      </c>
      <c r="U1075" s="1">
        <v>43843.110277777778</v>
      </c>
      <c r="W1075" s="1">
        <v>43843.110277777778</v>
      </c>
      <c r="EC1075" t="s">
        <v>8301</v>
      </c>
      <c r="ED1075" t="str">
        <f>HYPERLINK("https://d33htgqikc2pj4.cloudfront.net/cfd8b87e-f5c5-4c4b-8a69-987229882abb.jpeg", "Юрий Прасолов: Ссылка на изображение")</f>
        <v>Юрий Прасолов: Ссылка на изображение</v>
      </c>
      <c r="EE1075" t="str">
        <f>HYPERLINK("https://d33htgqikc2pj4.cloudfront.net/d0274e6b-b05f-4d00-83b5-5e936ec2772f.jpeg", "Юрий Прасолов: Ссылка на изображение")</f>
        <v>Юрий Прасолов: Ссылка на изображение</v>
      </c>
      <c r="EF1075" t="str">
        <f>HYPERLINK("https://d33htgqikc2pj4.cloudfront.net/874a05b2-338b-4c93-8dcc-6b1d65642427.jpeg", "Юрий Прасолов: Ссылка на изображение")</f>
        <v>Юрий Прасолов: Ссылка на изображение</v>
      </c>
      <c r="EG1075" t="str">
        <f>HYPERLINK("https://d33htgqikc2pj4.cloudfront.net/6071c918-d1bd-4db7-8bc8-597601d62c7a.jpeg", "Юрий Прасолов: Ссылка на изображение")</f>
        <v>Юрий Прасолов: Ссылка на изображение</v>
      </c>
      <c r="EH1075" t="str">
        <f>HYPERLINK("https://d33htgqikc2pj4.cloudfront.net/2ac645bf-68fe-4ed0-90bd-2ba8a7ceeb0c.jpeg", "Юрий Прасолов: Ссылка на изображение")</f>
        <v>Юрий Прасолов: Ссылка на изображение</v>
      </c>
      <c r="EI1075" t="s">
        <v>428</v>
      </c>
    </row>
    <row r="1076" spans="1:139" ht="15" customHeight="1" x14ac:dyDescent="0.35">
      <c r="A1076">
        <v>1260</v>
      </c>
      <c r="B1076" t="s">
        <v>8302</v>
      </c>
      <c r="C1076">
        <v>2</v>
      </c>
      <c r="D1076" t="str">
        <f>VLOOKUP(source[[#This Row],[Приоритет]],тПриоритеты[],2,0)</f>
        <v>Значительное</v>
      </c>
      <c r="E1076" t="str">
        <f>IF(ISBLANK(source[[#This Row],[Проверенные]]),IF(ISBLANK(source[[#This Row],[Завершенные]]),source[[#This Row],[Приоритет_]],"Завершено"),"Проверено")</f>
        <v>Проверено</v>
      </c>
      <c r="F1076" t="s">
        <v>4423</v>
      </c>
      <c r="G1076" t="s">
        <v>426</v>
      </c>
      <c r="H1076" t="e">
        <f>VLOOKUP(source[[#This Row],[Отвественный]],тОтветственные[],2,0)</f>
        <v>#N/A</v>
      </c>
      <c r="S1076" s="1">
        <v>43870.835694444446</v>
      </c>
      <c r="T1076" s="1">
        <v>43870.836446759262</v>
      </c>
      <c r="U1076" s="1">
        <v>43870.836446759262</v>
      </c>
      <c r="W1076" s="1">
        <v>43870.836435185185</v>
      </c>
      <c r="EC1076" t="s">
        <v>8303</v>
      </c>
      <c r="ED1076" t="s">
        <v>428</v>
      </c>
    </row>
    <row r="1077" spans="1:139" ht="15" customHeight="1" x14ac:dyDescent="0.35">
      <c r="A1077">
        <v>933</v>
      </c>
      <c r="B1077" t="s">
        <v>8304</v>
      </c>
      <c r="C1077">
        <v>2</v>
      </c>
      <c r="D1077" t="str">
        <f>VLOOKUP(source[[#This Row],[Приоритет]],тПриоритеты[],2,0)</f>
        <v>Значительное</v>
      </c>
      <c r="E1077" t="str">
        <f>IF(ISBLANK(source[[#This Row],[Проверенные]]),IF(ISBLANK(source[[#This Row],[Завершенные]]),source[[#This Row],[Приоритет_]],"Завершено"),"Проверено")</f>
        <v>Проверено</v>
      </c>
      <c r="F1077" t="s">
        <v>4423</v>
      </c>
      <c r="G1077" t="s">
        <v>426</v>
      </c>
      <c r="H1077" t="e">
        <f>VLOOKUP(source[[#This Row],[Отвественный]],тОтветственные[],2,0)</f>
        <v>#N/A</v>
      </c>
      <c r="S1077" s="1">
        <v>43847.341296296298</v>
      </c>
      <c r="T1077" s="1">
        <v>43847.342650462961</v>
      </c>
      <c r="U1077" s="1">
        <v>43847.342650462961</v>
      </c>
      <c r="W1077" s="1">
        <v>43847.342662037037</v>
      </c>
      <c r="EC1077" t="str">
        <f>HYPERLINK("https://d33htgqikc2pj4.cloudfront.net/7863115a-9f00-40b9-a469-331483c5bef0.jpeg", "Юрий Прасолов: Ссылка на изображение")</f>
        <v>Юрий Прасолов: Ссылка на изображение</v>
      </c>
      <c r="ED1077" t="str">
        <f>HYPERLINK("https://d33htgqikc2pj4.cloudfront.net/df2dea38-7cfb-4bfe-82ca-ca1e718e0f64.jpeg", "Юрий Прасолов: Ссылка на изображение")</f>
        <v>Юрий Прасолов: Ссылка на изображение</v>
      </c>
      <c r="EE1077" t="str">
        <f>HYPERLINK("https://d33htgqikc2pj4.cloudfront.net/a9c5d59b-7273-4415-b088-7f01eb7c144a.jpeg", "Юрий Прасолов: Ссылка на изображение")</f>
        <v>Юрий Прасолов: Ссылка на изображение</v>
      </c>
      <c r="EF1077" t="s">
        <v>8305</v>
      </c>
      <c r="EG1077" t="s">
        <v>428</v>
      </c>
    </row>
    <row r="1078" spans="1:139" ht="15" customHeight="1" x14ac:dyDescent="0.35">
      <c r="A1078">
        <v>932</v>
      </c>
      <c r="B1078" t="s">
        <v>8306</v>
      </c>
      <c r="C1078">
        <v>2</v>
      </c>
      <c r="D1078" t="str">
        <f>VLOOKUP(source[[#This Row],[Приоритет]],тПриоритеты[],2,0)</f>
        <v>Значительное</v>
      </c>
      <c r="E1078" t="str">
        <f>IF(ISBLANK(source[[#This Row],[Проверенные]]),IF(ISBLANK(source[[#This Row],[Завершенные]]),source[[#This Row],[Приоритет_]],"Завершено"),"Проверено")</f>
        <v>Проверено</v>
      </c>
      <c r="F1078" t="s">
        <v>4423</v>
      </c>
      <c r="G1078" t="s">
        <v>426</v>
      </c>
      <c r="H1078" t="e">
        <f>VLOOKUP(source[[#This Row],[Отвественный]],тОтветственные[],2,0)</f>
        <v>#N/A</v>
      </c>
      <c r="S1078" s="1">
        <v>43847.340416666666</v>
      </c>
      <c r="T1078" s="1">
        <v>43847.341157407405</v>
      </c>
      <c r="U1078" s="1">
        <v>43847.341157407405</v>
      </c>
      <c r="W1078" s="1">
        <v>43847.341168981482</v>
      </c>
      <c r="EC1078" t="str">
        <f>HYPERLINK("https://d33htgqikc2pj4.cloudfront.net/8eb12563-ac55-43f0-88eb-97834529ce75.jpeg", "Юрий Прасолов: Ссылка на изображение")</f>
        <v>Юрий Прасолов: Ссылка на изображение</v>
      </c>
      <c r="ED1078" t="s">
        <v>8307</v>
      </c>
      <c r="EE1078" t="s">
        <v>428</v>
      </c>
    </row>
    <row r="1079" spans="1:139" ht="15" customHeight="1" x14ac:dyDescent="0.35">
      <c r="A1079">
        <v>934</v>
      </c>
      <c r="B1079" t="s">
        <v>8308</v>
      </c>
      <c r="C1079">
        <v>2</v>
      </c>
      <c r="D1079" t="str">
        <f>VLOOKUP(source[[#This Row],[Приоритет]],тПриоритеты[],2,0)</f>
        <v>Значительное</v>
      </c>
      <c r="E1079" t="str">
        <f>IF(ISBLANK(source[[#This Row],[Проверенные]]),IF(ISBLANK(source[[#This Row],[Завершенные]]),source[[#This Row],[Приоритет_]],"Завершено"),"Проверено")</f>
        <v>Проверено</v>
      </c>
      <c r="F1079" t="s">
        <v>4423</v>
      </c>
      <c r="G1079" t="s">
        <v>426</v>
      </c>
      <c r="H1079" t="e">
        <f>VLOOKUP(source[[#This Row],[Отвественный]],тОтветственные[],2,0)</f>
        <v>#N/A</v>
      </c>
      <c r="S1079" s="1">
        <v>43847.34337962963</v>
      </c>
      <c r="T1079" s="1">
        <v>43847.344884259262</v>
      </c>
      <c r="U1079" s="1">
        <v>43847.344884259262</v>
      </c>
      <c r="W1079" s="1">
        <v>43847.344895833332</v>
      </c>
      <c r="X1079" t="s">
        <v>444</v>
      </c>
      <c r="AH1079" t="s">
        <v>8309</v>
      </c>
      <c r="AI1079" t="s">
        <v>8310</v>
      </c>
      <c r="AJ1079" t="s">
        <v>8311</v>
      </c>
      <c r="AK1079" t="s">
        <v>8312</v>
      </c>
      <c r="AL1079" t="s">
        <v>8313</v>
      </c>
      <c r="AM1079" t="s">
        <v>8314</v>
      </c>
      <c r="AN1079" t="s">
        <v>8315</v>
      </c>
      <c r="EC1079" t="s">
        <v>8316</v>
      </c>
      <c r="ED1079" t="s">
        <v>428</v>
      </c>
    </row>
    <row r="1080" spans="1:139" ht="15" customHeight="1" x14ac:dyDescent="0.35">
      <c r="A1080">
        <v>968</v>
      </c>
      <c r="B1080" t="s">
        <v>8317</v>
      </c>
      <c r="C1080">
        <v>2</v>
      </c>
      <c r="D1080" t="str">
        <f>VLOOKUP(source[[#This Row],[Приоритет]],тПриоритеты[],2,0)</f>
        <v>Значительное</v>
      </c>
      <c r="E1080" t="str">
        <f>IF(ISBLANK(source[[#This Row],[Проверенные]]),IF(ISBLANK(source[[#This Row],[Завершенные]]),source[[#This Row],[Приоритет_]],"Завершено"),"Проверено")</f>
        <v>Проверено</v>
      </c>
      <c r="F1080" t="s">
        <v>4423</v>
      </c>
      <c r="G1080" t="s">
        <v>426</v>
      </c>
      <c r="H1080" t="e">
        <f>VLOOKUP(source[[#This Row],[Отвественный]],тОтветственные[],2,0)</f>
        <v>#N/A</v>
      </c>
      <c r="S1080" s="1">
        <v>43850.814664351848</v>
      </c>
      <c r="T1080" s="1">
        <v>43850.815717592595</v>
      </c>
      <c r="U1080" s="1">
        <v>43850.815717592595</v>
      </c>
      <c r="W1080" s="1">
        <v>43850.816377314812</v>
      </c>
      <c r="EC1080" t="s">
        <v>8318</v>
      </c>
      <c r="ED1080" t="s">
        <v>428</v>
      </c>
      <c r="EE1080" t="str">
        <f>HYPERLINK("https://d33htgqikc2pj4.cloudfront.net/qvHDimMUqxZcQnsj/rOWbVEbSOyhZX2xe4GNQ_20200120182146430 3.pdf", "Юрий Прасолов: Ссылка на файл")</f>
        <v>Юрий Прасолов: Ссылка на файл</v>
      </c>
      <c r="EF1080" t="s">
        <v>8319</v>
      </c>
    </row>
    <row r="1081" spans="1:139" ht="15" customHeight="1" x14ac:dyDescent="0.35">
      <c r="A1081">
        <v>967</v>
      </c>
      <c r="B1081" t="s">
        <v>8320</v>
      </c>
      <c r="C1081">
        <v>2</v>
      </c>
      <c r="D1081" t="str">
        <f>VLOOKUP(source[[#This Row],[Приоритет]],тПриоритеты[],2,0)</f>
        <v>Значительное</v>
      </c>
      <c r="E1081" t="str">
        <f>IF(ISBLANK(source[[#This Row],[Проверенные]]),IF(ISBLANK(source[[#This Row],[Завершенные]]),source[[#This Row],[Приоритет_]],"Завершено"),"Проверено")</f>
        <v>Проверено</v>
      </c>
      <c r="F1081" t="s">
        <v>4423</v>
      </c>
      <c r="G1081" t="s">
        <v>426</v>
      </c>
      <c r="H1081" t="e">
        <f>VLOOKUP(source[[#This Row],[Отвественный]],тОтветственные[],2,0)</f>
        <v>#N/A</v>
      </c>
      <c r="S1081" s="1">
        <v>43850.812731481485</v>
      </c>
      <c r="T1081" s="1">
        <v>43850.814375000002</v>
      </c>
      <c r="U1081" s="1">
        <v>43850.814375000002</v>
      </c>
      <c r="W1081" s="1">
        <v>43850.814386574071</v>
      </c>
      <c r="EC1081" t="s">
        <v>8321</v>
      </c>
      <c r="ED1081" t="s">
        <v>428</v>
      </c>
      <c r="EE1081" t="str">
        <f>HYPERLINK("https://d33htgqikc2pj4.cloudfront.net/qvHDimMUqxZcQnsj/lmk0wSTXQzu9a14K7b51_20200120182146430 2.pdf", "Юрий Прасолов: Ссылка на файл")</f>
        <v>Юрий Прасолов: Ссылка на файл</v>
      </c>
    </row>
    <row r="1082" spans="1:139" ht="15" customHeight="1" x14ac:dyDescent="0.35">
      <c r="A1082">
        <v>969</v>
      </c>
      <c r="B1082" t="s">
        <v>8322</v>
      </c>
      <c r="C1082">
        <v>2</v>
      </c>
      <c r="D1082" t="str">
        <f>VLOOKUP(source[[#This Row],[Приоритет]],тПриоритеты[],2,0)</f>
        <v>Значительное</v>
      </c>
      <c r="E1082" t="str">
        <f>IF(ISBLANK(source[[#This Row],[Проверенные]]),IF(ISBLANK(source[[#This Row],[Завершенные]]),source[[#This Row],[Приоритет_]],"Завершено"),"Проверено")</f>
        <v>Проверено</v>
      </c>
      <c r="F1082" t="s">
        <v>4423</v>
      </c>
      <c r="G1082" t="s">
        <v>426</v>
      </c>
      <c r="H1082" t="e">
        <f>VLOOKUP(source[[#This Row],[Отвественный]],тОтветственные[],2,0)</f>
        <v>#N/A</v>
      </c>
      <c r="S1082" s="1">
        <v>43850.816874999997</v>
      </c>
      <c r="T1082" s="1">
        <v>43850.822893518518</v>
      </c>
      <c r="U1082" s="1">
        <v>43850.822893518518</v>
      </c>
      <c r="W1082" s="1">
        <v>43850.823576388888</v>
      </c>
      <c r="EC1082" t="s">
        <v>8323</v>
      </c>
      <c r="ED1082" t="s">
        <v>8324</v>
      </c>
      <c r="EE1082" t="s">
        <v>428</v>
      </c>
      <c r="EF1082" t="str">
        <f>HYPERLINK("https://d33htgqikc2pj4.cloudfront.net/qvHDimMUqxZcQnsj/RXSFWfzMRX6ynKIMiUVR_20200120182146430 4.pdf", "Юрий Прасолов: Ссылка на файл")</f>
        <v>Юрий Прасолов: Ссылка на файл</v>
      </c>
      <c r="EG1082" t="s">
        <v>8325</v>
      </c>
      <c r="EH1082" t="s">
        <v>8326</v>
      </c>
    </row>
    <row r="1083" spans="1:139" ht="15" customHeight="1" x14ac:dyDescent="0.35">
      <c r="A1083">
        <v>966</v>
      </c>
      <c r="B1083" t="s">
        <v>8327</v>
      </c>
      <c r="C1083">
        <v>2</v>
      </c>
      <c r="D1083" t="str">
        <f>VLOOKUP(source[[#This Row],[Приоритет]],тПриоритеты[],2,0)</f>
        <v>Значительное</v>
      </c>
      <c r="E1083" t="str">
        <f>IF(ISBLANK(source[[#This Row],[Проверенные]]),IF(ISBLANK(source[[#This Row],[Завершенные]]),source[[#This Row],[Приоритет_]],"Завершено"),"Проверено")</f>
        <v>Проверено</v>
      </c>
      <c r="F1083" t="s">
        <v>4423</v>
      </c>
      <c r="G1083" t="s">
        <v>426</v>
      </c>
      <c r="H1083" t="e">
        <f>VLOOKUP(source[[#This Row],[Отвественный]],тОтветственные[],2,0)</f>
        <v>#N/A</v>
      </c>
      <c r="S1083" s="1">
        <v>43850.809212962966</v>
      </c>
      <c r="T1083" s="1">
        <v>43850.812662037039</v>
      </c>
      <c r="U1083" s="1">
        <v>43850.812662037039</v>
      </c>
      <c r="W1083" s="1">
        <v>43850.812662037039</v>
      </c>
      <c r="EC1083" t="s">
        <v>8328</v>
      </c>
      <c r="ED1083" t="str">
        <f>HYPERLINK("https://d33htgqikc2pj4.cloudfront.net/qvHDimMUqxZcQnsj/hN8V2fK7TZmdn3yqxvC3_20200120182146430 1.pdf", "Юрий Прасолов: Ссылка на файл")</f>
        <v>Юрий Прасолов: Ссылка на файл</v>
      </c>
      <c r="EE1083" t="s">
        <v>428</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3:H72"/>
  <sheetViews>
    <sheetView tabSelected="1" workbookViewId="0"/>
  </sheetViews>
  <sheetFormatPr defaultRowHeight="14.5" x14ac:dyDescent="0.35"/>
  <cols>
    <col min="3" max="3" width="17.6328125" bestFit="1" customWidth="1"/>
    <col min="4" max="962" width="4.6328125" customWidth="1"/>
    <col min="963" max="963" width="11.1796875" bestFit="1" customWidth="1"/>
  </cols>
  <sheetData>
    <row r="3" spans="1:8" x14ac:dyDescent="0.35">
      <c r="A3" s="4" t="s">
        <v>8362</v>
      </c>
      <c r="D3" s="4" t="s">
        <v>8363</v>
      </c>
      <c r="E3" s="4" t="s">
        <v>17</v>
      </c>
    </row>
    <row r="4" spans="1:8" x14ac:dyDescent="0.35">
      <c r="D4" t="s">
        <v>8364</v>
      </c>
      <c r="F4" t="s">
        <v>8365</v>
      </c>
      <c r="H4" t="s">
        <v>8357</v>
      </c>
    </row>
    <row r="5" spans="1:8" x14ac:dyDescent="0.35">
      <c r="A5" s="4" t="s">
        <v>5</v>
      </c>
      <c r="B5" s="4" t="s">
        <v>8356</v>
      </c>
      <c r="C5" s="4" t="s">
        <v>8355</v>
      </c>
      <c r="D5" s="1" t="s">
        <v>8366</v>
      </c>
      <c r="E5" s="1" t="s">
        <v>8367</v>
      </c>
      <c r="F5" s="1" t="s">
        <v>8368</v>
      </c>
      <c r="G5" s="1" t="s">
        <v>8369</v>
      </c>
    </row>
    <row r="6" spans="1:8" x14ac:dyDescent="0.35">
      <c r="A6" t="s">
        <v>477</v>
      </c>
      <c r="D6" s="5"/>
      <c r="E6" s="5"/>
      <c r="F6" s="5">
        <v>23</v>
      </c>
      <c r="G6" s="5"/>
      <c r="H6" s="5">
        <v>23</v>
      </c>
    </row>
    <row r="7" spans="1:8" x14ac:dyDescent="0.35">
      <c r="B7" t="s">
        <v>8358</v>
      </c>
      <c r="D7" s="5"/>
      <c r="E7" s="5"/>
      <c r="F7" s="5">
        <v>23</v>
      </c>
      <c r="G7" s="5"/>
      <c r="H7" s="5">
        <v>23</v>
      </c>
    </row>
    <row r="8" spans="1:8" x14ac:dyDescent="0.35">
      <c r="C8" t="s">
        <v>8335</v>
      </c>
      <c r="D8" s="5"/>
      <c r="E8" s="5"/>
      <c r="F8" s="5">
        <v>3</v>
      </c>
      <c r="G8" s="5"/>
      <c r="H8" s="5">
        <v>3</v>
      </c>
    </row>
    <row r="9" spans="1:8" x14ac:dyDescent="0.35">
      <c r="C9" t="s">
        <v>8332</v>
      </c>
      <c r="D9" s="5"/>
      <c r="E9" s="5"/>
      <c r="F9" s="5">
        <v>20</v>
      </c>
      <c r="G9" s="5"/>
      <c r="H9" s="5">
        <v>20</v>
      </c>
    </row>
    <row r="10" spans="1:8" x14ac:dyDescent="0.35">
      <c r="A10" t="s">
        <v>738</v>
      </c>
      <c r="D10" s="5">
        <v>7</v>
      </c>
      <c r="E10" s="5">
        <v>4</v>
      </c>
      <c r="F10" s="5">
        <v>4</v>
      </c>
      <c r="G10" s="5">
        <v>1</v>
      </c>
      <c r="H10" s="5">
        <v>16</v>
      </c>
    </row>
    <row r="11" spans="1:8" x14ac:dyDescent="0.35">
      <c r="B11" t="s">
        <v>8336</v>
      </c>
      <c r="D11" s="5">
        <v>1</v>
      </c>
      <c r="E11" s="5">
        <v>2</v>
      </c>
      <c r="F11" s="5"/>
      <c r="G11" s="5"/>
      <c r="H11" s="5">
        <v>3</v>
      </c>
    </row>
    <row r="12" spans="1:8" x14ac:dyDescent="0.35">
      <c r="C12" t="s">
        <v>8359</v>
      </c>
      <c r="D12" s="5">
        <v>1</v>
      </c>
      <c r="E12" s="5">
        <v>2</v>
      </c>
      <c r="F12" s="5"/>
      <c r="G12" s="5"/>
      <c r="H12" s="5">
        <v>3</v>
      </c>
    </row>
    <row r="13" spans="1:8" x14ac:dyDescent="0.35">
      <c r="B13" t="s">
        <v>8358</v>
      </c>
      <c r="D13" s="5">
        <v>6</v>
      </c>
      <c r="E13" s="5">
        <v>2</v>
      </c>
      <c r="F13" s="5">
        <v>4</v>
      </c>
      <c r="G13" s="5">
        <v>1</v>
      </c>
      <c r="H13" s="5">
        <v>13</v>
      </c>
    </row>
    <row r="14" spans="1:8" x14ac:dyDescent="0.35">
      <c r="C14" t="s">
        <v>8359</v>
      </c>
      <c r="D14" s="5">
        <v>6</v>
      </c>
      <c r="E14" s="5">
        <v>2</v>
      </c>
      <c r="F14" s="5">
        <v>4</v>
      </c>
      <c r="G14" s="5">
        <v>1</v>
      </c>
      <c r="H14" s="5">
        <v>13</v>
      </c>
    </row>
    <row r="15" spans="1:8" x14ac:dyDescent="0.35">
      <c r="A15" t="s">
        <v>866</v>
      </c>
      <c r="D15" s="5">
        <v>109</v>
      </c>
      <c r="E15" s="5">
        <v>26</v>
      </c>
      <c r="F15" s="5">
        <v>24</v>
      </c>
      <c r="G15" s="5">
        <v>8</v>
      </c>
      <c r="H15" s="5">
        <v>167</v>
      </c>
    </row>
    <row r="16" spans="1:8" x14ac:dyDescent="0.35">
      <c r="B16" t="s">
        <v>8358</v>
      </c>
      <c r="D16" s="5">
        <v>109</v>
      </c>
      <c r="E16" s="5">
        <v>26</v>
      </c>
      <c r="F16" s="5">
        <v>24</v>
      </c>
      <c r="G16" s="5">
        <v>8</v>
      </c>
      <c r="H16" s="5">
        <v>167</v>
      </c>
    </row>
    <row r="17" spans="1:8" x14ac:dyDescent="0.35">
      <c r="C17" t="s">
        <v>8360</v>
      </c>
      <c r="D17" s="5">
        <v>4</v>
      </c>
      <c r="E17" s="5"/>
      <c r="F17" s="5"/>
      <c r="G17" s="5"/>
      <c r="H17" s="5">
        <v>4</v>
      </c>
    </row>
    <row r="18" spans="1:8" x14ac:dyDescent="0.35">
      <c r="C18" t="s">
        <v>8335</v>
      </c>
      <c r="D18" s="5">
        <v>21</v>
      </c>
      <c r="E18" s="5">
        <v>2</v>
      </c>
      <c r="F18" s="5">
        <v>5</v>
      </c>
      <c r="G18" s="5">
        <v>8</v>
      </c>
      <c r="H18" s="5">
        <v>36</v>
      </c>
    </row>
    <row r="19" spans="1:8" x14ac:dyDescent="0.35">
      <c r="C19" t="s">
        <v>8332</v>
      </c>
      <c r="D19" s="5">
        <v>1</v>
      </c>
      <c r="E19" s="5"/>
      <c r="F19" s="5">
        <v>1</v>
      </c>
      <c r="G19" s="5"/>
      <c r="H19" s="5">
        <v>2</v>
      </c>
    </row>
    <row r="20" spans="1:8" x14ac:dyDescent="0.35">
      <c r="C20" t="s">
        <v>8359</v>
      </c>
      <c r="D20" s="5">
        <v>83</v>
      </c>
      <c r="E20" s="5">
        <v>24</v>
      </c>
      <c r="F20" s="5">
        <v>18</v>
      </c>
      <c r="G20" s="5"/>
      <c r="H20" s="5">
        <v>125</v>
      </c>
    </row>
    <row r="21" spans="1:8" x14ac:dyDescent="0.35">
      <c r="A21" t="s">
        <v>1668</v>
      </c>
      <c r="D21" s="5">
        <v>29</v>
      </c>
      <c r="E21" s="5">
        <v>29</v>
      </c>
      <c r="F21" s="5">
        <v>30</v>
      </c>
      <c r="G21" s="5">
        <v>10</v>
      </c>
      <c r="H21" s="5">
        <v>98</v>
      </c>
    </row>
    <row r="22" spans="1:8" x14ac:dyDescent="0.35">
      <c r="B22" t="s">
        <v>8358</v>
      </c>
      <c r="D22" s="5">
        <v>29</v>
      </c>
      <c r="E22" s="5">
        <v>29</v>
      </c>
      <c r="F22" s="5">
        <v>30</v>
      </c>
      <c r="G22" s="5">
        <v>10</v>
      </c>
      <c r="H22" s="5">
        <v>98</v>
      </c>
    </row>
    <row r="23" spans="1:8" x14ac:dyDescent="0.35">
      <c r="C23" t="s">
        <v>8360</v>
      </c>
      <c r="D23" s="5"/>
      <c r="E23" s="5">
        <v>2</v>
      </c>
      <c r="F23" s="5">
        <v>1</v>
      </c>
      <c r="G23" s="5">
        <v>1</v>
      </c>
      <c r="H23" s="5">
        <v>4</v>
      </c>
    </row>
    <row r="24" spans="1:8" x14ac:dyDescent="0.35">
      <c r="C24" t="s">
        <v>8335</v>
      </c>
      <c r="D24" s="5">
        <v>2</v>
      </c>
      <c r="E24" s="5">
        <v>1</v>
      </c>
      <c r="F24" s="5">
        <v>3</v>
      </c>
      <c r="G24" s="5">
        <v>2</v>
      </c>
      <c r="H24" s="5">
        <v>8</v>
      </c>
    </row>
    <row r="25" spans="1:8" x14ac:dyDescent="0.35">
      <c r="C25" t="s">
        <v>8332</v>
      </c>
      <c r="D25" s="5">
        <v>3</v>
      </c>
      <c r="E25" s="5">
        <v>4</v>
      </c>
      <c r="F25" s="5">
        <v>8</v>
      </c>
      <c r="G25" s="5">
        <v>6</v>
      </c>
      <c r="H25" s="5">
        <v>21</v>
      </c>
    </row>
    <row r="26" spans="1:8" x14ac:dyDescent="0.35">
      <c r="C26" t="s">
        <v>8337</v>
      </c>
      <c r="D26" s="5"/>
      <c r="E26" s="5">
        <v>1</v>
      </c>
      <c r="F26" s="5">
        <v>1</v>
      </c>
      <c r="G26" s="5"/>
      <c r="H26" s="5">
        <v>2</v>
      </c>
    </row>
    <row r="27" spans="1:8" x14ac:dyDescent="0.35">
      <c r="C27" t="s">
        <v>8359</v>
      </c>
      <c r="D27" s="5">
        <v>24</v>
      </c>
      <c r="E27" s="5">
        <v>21</v>
      </c>
      <c r="F27" s="5">
        <v>17</v>
      </c>
      <c r="G27" s="5">
        <v>1</v>
      </c>
      <c r="H27" s="5">
        <v>63</v>
      </c>
    </row>
    <row r="28" spans="1:8" x14ac:dyDescent="0.35">
      <c r="A28" t="s">
        <v>2414</v>
      </c>
      <c r="D28" s="5">
        <v>22</v>
      </c>
      <c r="E28" s="5">
        <v>7</v>
      </c>
      <c r="F28" s="5">
        <v>4</v>
      </c>
      <c r="G28" s="5">
        <v>5</v>
      </c>
      <c r="H28" s="5">
        <v>38</v>
      </c>
    </row>
    <row r="29" spans="1:8" x14ac:dyDescent="0.35">
      <c r="B29" t="s">
        <v>8358</v>
      </c>
      <c r="D29" s="5">
        <v>22</v>
      </c>
      <c r="E29" s="5">
        <v>7</v>
      </c>
      <c r="F29" s="5">
        <v>4</v>
      </c>
      <c r="G29" s="5">
        <v>5</v>
      </c>
      <c r="H29" s="5">
        <v>38</v>
      </c>
    </row>
    <row r="30" spans="1:8" x14ac:dyDescent="0.35">
      <c r="C30" t="s">
        <v>8335</v>
      </c>
      <c r="D30" s="5">
        <v>17</v>
      </c>
      <c r="E30" s="5">
        <v>2</v>
      </c>
      <c r="F30" s="5">
        <v>4</v>
      </c>
      <c r="G30" s="5">
        <v>5</v>
      </c>
      <c r="H30" s="5">
        <v>28</v>
      </c>
    </row>
    <row r="31" spans="1:8" x14ac:dyDescent="0.35">
      <c r="C31" t="s">
        <v>8332</v>
      </c>
      <c r="D31" s="5">
        <v>3</v>
      </c>
      <c r="E31" s="5"/>
      <c r="F31" s="5"/>
      <c r="G31" s="5"/>
      <c r="H31" s="5">
        <v>3</v>
      </c>
    </row>
    <row r="32" spans="1:8" x14ac:dyDescent="0.35">
      <c r="C32" t="s">
        <v>8337</v>
      </c>
      <c r="D32" s="5"/>
      <c r="E32" s="5">
        <v>1</v>
      </c>
      <c r="F32" s="5"/>
      <c r="G32" s="5"/>
      <c r="H32" s="5">
        <v>1</v>
      </c>
    </row>
    <row r="33" spans="1:8" x14ac:dyDescent="0.35">
      <c r="C33" t="s">
        <v>8359</v>
      </c>
      <c r="D33" s="5">
        <v>2</v>
      </c>
      <c r="E33" s="5">
        <v>4</v>
      </c>
      <c r="F33" s="5"/>
      <c r="G33" s="5"/>
      <c r="H33" s="5">
        <v>6</v>
      </c>
    </row>
    <row r="34" spans="1:8" x14ac:dyDescent="0.35">
      <c r="A34" t="s">
        <v>2659</v>
      </c>
      <c r="D34" s="5">
        <v>14</v>
      </c>
      <c r="E34" s="5">
        <v>9</v>
      </c>
      <c r="F34" s="5">
        <v>2</v>
      </c>
      <c r="G34" s="5">
        <v>1</v>
      </c>
      <c r="H34" s="5">
        <v>26</v>
      </c>
    </row>
    <row r="35" spans="1:8" x14ac:dyDescent="0.35">
      <c r="B35" t="s">
        <v>8358</v>
      </c>
      <c r="D35" s="5">
        <v>14</v>
      </c>
      <c r="E35" s="5">
        <v>9</v>
      </c>
      <c r="F35" s="5">
        <v>2</v>
      </c>
      <c r="G35" s="5">
        <v>1</v>
      </c>
      <c r="H35" s="5">
        <v>26</v>
      </c>
    </row>
    <row r="36" spans="1:8" x14ac:dyDescent="0.35">
      <c r="C36" t="s">
        <v>8360</v>
      </c>
      <c r="D36" s="5">
        <v>1</v>
      </c>
      <c r="E36" s="5">
        <v>1</v>
      </c>
      <c r="F36" s="5">
        <v>1</v>
      </c>
      <c r="G36" s="5"/>
      <c r="H36" s="5">
        <v>3</v>
      </c>
    </row>
    <row r="37" spans="1:8" x14ac:dyDescent="0.35">
      <c r="C37" t="s">
        <v>8335</v>
      </c>
      <c r="D37" s="5">
        <v>5</v>
      </c>
      <c r="E37" s="5">
        <v>3</v>
      </c>
      <c r="F37" s="5"/>
      <c r="G37" s="5">
        <v>1</v>
      </c>
      <c r="H37" s="5">
        <v>9</v>
      </c>
    </row>
    <row r="38" spans="1:8" x14ac:dyDescent="0.35">
      <c r="C38" t="s">
        <v>8332</v>
      </c>
      <c r="D38" s="5">
        <v>1</v>
      </c>
      <c r="E38" s="5"/>
      <c r="F38" s="5"/>
      <c r="G38" s="5"/>
      <c r="H38" s="5">
        <v>1</v>
      </c>
    </row>
    <row r="39" spans="1:8" x14ac:dyDescent="0.35">
      <c r="C39" t="s">
        <v>8359</v>
      </c>
      <c r="D39" s="5">
        <v>7</v>
      </c>
      <c r="E39" s="5">
        <v>5</v>
      </c>
      <c r="F39" s="5">
        <v>1</v>
      </c>
      <c r="G39" s="5"/>
      <c r="H39" s="5">
        <v>13</v>
      </c>
    </row>
    <row r="40" spans="1:8" x14ac:dyDescent="0.35">
      <c r="A40" t="s">
        <v>2814</v>
      </c>
      <c r="D40" s="5">
        <v>1</v>
      </c>
      <c r="E40" s="5"/>
      <c r="F40" s="5">
        <v>1</v>
      </c>
      <c r="G40" s="5">
        <v>3</v>
      </c>
      <c r="H40" s="5">
        <v>5</v>
      </c>
    </row>
    <row r="41" spans="1:8" x14ac:dyDescent="0.35">
      <c r="B41" t="s">
        <v>8358</v>
      </c>
      <c r="D41" s="5">
        <v>1</v>
      </c>
      <c r="E41" s="5"/>
      <c r="F41" s="5">
        <v>1</v>
      </c>
      <c r="G41" s="5">
        <v>3</v>
      </c>
      <c r="H41" s="5">
        <v>5</v>
      </c>
    </row>
    <row r="42" spans="1:8" x14ac:dyDescent="0.35">
      <c r="C42" t="s">
        <v>8335</v>
      </c>
      <c r="D42" s="5"/>
      <c r="E42" s="5"/>
      <c r="F42" s="5"/>
      <c r="G42" s="5">
        <v>1</v>
      </c>
      <c r="H42" s="5">
        <v>1</v>
      </c>
    </row>
    <row r="43" spans="1:8" x14ac:dyDescent="0.35">
      <c r="C43" t="s">
        <v>8332</v>
      </c>
      <c r="D43" s="5"/>
      <c r="E43" s="5"/>
      <c r="F43" s="5"/>
      <c r="G43" s="5">
        <v>1</v>
      </c>
      <c r="H43" s="5">
        <v>1</v>
      </c>
    </row>
    <row r="44" spans="1:8" x14ac:dyDescent="0.35">
      <c r="C44" t="s">
        <v>8337</v>
      </c>
      <c r="D44" s="5"/>
      <c r="E44" s="5"/>
      <c r="F44" s="5"/>
      <c r="G44" s="5"/>
      <c r="H44" s="5"/>
    </row>
    <row r="45" spans="1:8" x14ac:dyDescent="0.35">
      <c r="C45" t="s">
        <v>8359</v>
      </c>
      <c r="D45" s="5">
        <v>1</v>
      </c>
      <c r="E45" s="5"/>
      <c r="F45" s="5">
        <v>1</v>
      </c>
      <c r="G45" s="5">
        <v>1</v>
      </c>
      <c r="H45" s="5">
        <v>3</v>
      </c>
    </row>
    <row r="46" spans="1:8" x14ac:dyDescent="0.35">
      <c r="A46" t="s">
        <v>2870</v>
      </c>
      <c r="D46" s="5">
        <v>10</v>
      </c>
      <c r="E46" s="5">
        <v>29</v>
      </c>
      <c r="F46" s="5">
        <v>60</v>
      </c>
      <c r="G46" s="5">
        <v>12</v>
      </c>
      <c r="H46" s="5">
        <v>111</v>
      </c>
    </row>
    <row r="47" spans="1:8" x14ac:dyDescent="0.35">
      <c r="B47" t="s">
        <v>8336</v>
      </c>
      <c r="D47" s="5"/>
      <c r="E47" s="5">
        <v>2</v>
      </c>
      <c r="F47" s="5">
        <v>2</v>
      </c>
      <c r="G47" s="5"/>
      <c r="H47" s="5">
        <v>4</v>
      </c>
    </row>
    <row r="48" spans="1:8" x14ac:dyDescent="0.35">
      <c r="C48" t="s">
        <v>8359</v>
      </c>
      <c r="D48" s="5"/>
      <c r="E48" s="5">
        <v>2</v>
      </c>
      <c r="F48" s="5">
        <v>2</v>
      </c>
      <c r="G48" s="5"/>
      <c r="H48" s="5">
        <v>4</v>
      </c>
    </row>
    <row r="49" spans="1:8" x14ac:dyDescent="0.35">
      <c r="B49" t="s">
        <v>8358</v>
      </c>
      <c r="D49" s="5">
        <v>10</v>
      </c>
      <c r="E49" s="5">
        <v>27</v>
      </c>
      <c r="F49" s="5">
        <v>58</v>
      </c>
      <c r="G49" s="5">
        <v>12</v>
      </c>
      <c r="H49" s="5">
        <v>107</v>
      </c>
    </row>
    <row r="50" spans="1:8" x14ac:dyDescent="0.35">
      <c r="C50" t="s">
        <v>8360</v>
      </c>
      <c r="D50" s="5"/>
      <c r="E50" s="5"/>
      <c r="F50" s="5">
        <v>10</v>
      </c>
      <c r="G50" s="5">
        <v>3</v>
      </c>
      <c r="H50" s="5">
        <v>13</v>
      </c>
    </row>
    <row r="51" spans="1:8" x14ac:dyDescent="0.35">
      <c r="C51" t="s">
        <v>8335</v>
      </c>
      <c r="D51" s="5"/>
      <c r="E51" s="5">
        <v>1</v>
      </c>
      <c r="F51" s="5">
        <v>1</v>
      </c>
      <c r="G51" s="5"/>
      <c r="H51" s="5">
        <v>2</v>
      </c>
    </row>
    <row r="52" spans="1:8" x14ac:dyDescent="0.35">
      <c r="C52" t="s">
        <v>8332</v>
      </c>
      <c r="D52" s="5"/>
      <c r="E52" s="5">
        <v>1</v>
      </c>
      <c r="F52" s="5"/>
      <c r="G52" s="5">
        <v>1</v>
      </c>
      <c r="H52" s="5">
        <v>2</v>
      </c>
    </row>
    <row r="53" spans="1:8" x14ac:dyDescent="0.35">
      <c r="C53" t="s">
        <v>8359</v>
      </c>
      <c r="D53" s="5">
        <v>10</v>
      </c>
      <c r="E53" s="5">
        <v>25</v>
      </c>
      <c r="F53" s="5">
        <v>47</v>
      </c>
      <c r="G53" s="5">
        <v>8</v>
      </c>
      <c r="H53" s="5">
        <v>90</v>
      </c>
    </row>
    <row r="54" spans="1:8" x14ac:dyDescent="0.35">
      <c r="A54" t="s">
        <v>3550</v>
      </c>
      <c r="D54" s="5">
        <v>10</v>
      </c>
      <c r="E54" s="5">
        <v>5</v>
      </c>
      <c r="F54" s="5"/>
      <c r="G54" s="5">
        <v>1</v>
      </c>
      <c r="H54" s="5">
        <v>16</v>
      </c>
    </row>
    <row r="55" spans="1:8" x14ac:dyDescent="0.35">
      <c r="B55" t="s">
        <v>8358</v>
      </c>
      <c r="D55" s="5">
        <v>10</v>
      </c>
      <c r="E55" s="5">
        <v>5</v>
      </c>
      <c r="F55" s="5"/>
      <c r="G55" s="5">
        <v>1</v>
      </c>
      <c r="H55" s="5">
        <v>16</v>
      </c>
    </row>
    <row r="56" spans="1:8" x14ac:dyDescent="0.35">
      <c r="C56" t="s">
        <v>8337</v>
      </c>
      <c r="D56" s="5"/>
      <c r="E56" s="5"/>
      <c r="F56" s="5"/>
      <c r="G56" s="5">
        <v>1</v>
      </c>
      <c r="H56" s="5">
        <v>1</v>
      </c>
    </row>
    <row r="57" spans="1:8" x14ac:dyDescent="0.35">
      <c r="C57" t="s">
        <v>8359</v>
      </c>
      <c r="D57" s="5">
        <v>10</v>
      </c>
      <c r="E57" s="5">
        <v>5</v>
      </c>
      <c r="F57" s="5"/>
      <c r="G57" s="5"/>
      <c r="H57" s="5">
        <v>15</v>
      </c>
    </row>
    <row r="58" spans="1:8" x14ac:dyDescent="0.35">
      <c r="A58" t="s">
        <v>4423</v>
      </c>
      <c r="D58" s="5">
        <v>151</v>
      </c>
      <c r="E58" s="5">
        <v>131</v>
      </c>
      <c r="F58" s="5">
        <v>138</v>
      </c>
      <c r="G58" s="5">
        <v>61</v>
      </c>
      <c r="H58" s="5">
        <v>481</v>
      </c>
    </row>
    <row r="59" spans="1:8" x14ac:dyDescent="0.35">
      <c r="B59" t="s">
        <v>8336</v>
      </c>
      <c r="D59" s="5">
        <v>7</v>
      </c>
      <c r="E59" s="5">
        <v>5</v>
      </c>
      <c r="F59" s="5">
        <v>8</v>
      </c>
      <c r="G59" s="5">
        <v>4</v>
      </c>
      <c r="H59" s="5">
        <v>24</v>
      </c>
    </row>
    <row r="60" spans="1:8" x14ac:dyDescent="0.35">
      <c r="C60" t="s">
        <v>8359</v>
      </c>
      <c r="D60" s="5">
        <v>7</v>
      </c>
      <c r="E60" s="5">
        <v>5</v>
      </c>
      <c r="F60" s="5">
        <v>8</v>
      </c>
      <c r="G60" s="5">
        <v>4</v>
      </c>
      <c r="H60" s="5">
        <v>24</v>
      </c>
    </row>
    <row r="61" spans="1:8" x14ac:dyDescent="0.35">
      <c r="B61" t="s">
        <v>8358</v>
      </c>
      <c r="D61" s="5">
        <v>144</v>
      </c>
      <c r="E61" s="5">
        <v>126</v>
      </c>
      <c r="F61" s="5">
        <v>130</v>
      </c>
      <c r="G61" s="5">
        <v>57</v>
      </c>
      <c r="H61" s="5">
        <v>457</v>
      </c>
    </row>
    <row r="62" spans="1:8" x14ac:dyDescent="0.35">
      <c r="C62" t="s">
        <v>8360</v>
      </c>
      <c r="D62" s="5"/>
      <c r="E62" s="5">
        <v>2</v>
      </c>
      <c r="F62" s="5"/>
      <c r="G62" s="5">
        <v>3</v>
      </c>
      <c r="H62" s="5">
        <v>5</v>
      </c>
    </row>
    <row r="63" spans="1:8" x14ac:dyDescent="0.35">
      <c r="C63" t="s">
        <v>8335</v>
      </c>
      <c r="D63" s="5"/>
      <c r="E63" s="5"/>
      <c r="F63" s="5">
        <v>3</v>
      </c>
      <c r="G63" s="5">
        <v>2</v>
      </c>
      <c r="H63" s="5">
        <v>5</v>
      </c>
    </row>
    <row r="64" spans="1:8" x14ac:dyDescent="0.35">
      <c r="C64" t="s">
        <v>8359</v>
      </c>
      <c r="D64" s="5">
        <v>144</v>
      </c>
      <c r="E64" s="5">
        <v>124</v>
      </c>
      <c r="F64" s="5">
        <v>127</v>
      </c>
      <c r="G64" s="5">
        <v>52</v>
      </c>
      <c r="H64" s="5">
        <v>447</v>
      </c>
    </row>
    <row r="65" spans="1:8" x14ac:dyDescent="0.35">
      <c r="A65" t="s">
        <v>8361</v>
      </c>
      <c r="D65" s="5">
        <v>3</v>
      </c>
      <c r="E65" s="5">
        <v>56</v>
      </c>
      <c r="F65" s="5">
        <v>15</v>
      </c>
      <c r="G65" s="5">
        <v>10</v>
      </c>
      <c r="H65" s="5">
        <v>84</v>
      </c>
    </row>
    <row r="66" spans="1:8" x14ac:dyDescent="0.35">
      <c r="B66" t="s">
        <v>8336</v>
      </c>
      <c r="D66" s="5"/>
      <c r="E66" s="5"/>
      <c r="F66" s="5"/>
      <c r="G66" s="5">
        <v>1</v>
      </c>
      <c r="H66" s="5">
        <v>1</v>
      </c>
    </row>
    <row r="67" spans="1:8" x14ac:dyDescent="0.35">
      <c r="C67" t="s">
        <v>8359</v>
      </c>
      <c r="D67" s="5"/>
      <c r="E67" s="5"/>
      <c r="F67" s="5"/>
      <c r="G67" s="5">
        <v>1</v>
      </c>
      <c r="H67" s="5">
        <v>1</v>
      </c>
    </row>
    <row r="68" spans="1:8" x14ac:dyDescent="0.35">
      <c r="B68" t="s">
        <v>8358</v>
      </c>
      <c r="D68" s="5">
        <v>3</v>
      </c>
      <c r="E68" s="5">
        <v>56</v>
      </c>
      <c r="F68" s="5">
        <v>15</v>
      </c>
      <c r="G68" s="5">
        <v>9</v>
      </c>
      <c r="H68" s="5">
        <v>83</v>
      </c>
    </row>
    <row r="69" spans="1:8" x14ac:dyDescent="0.35">
      <c r="C69" t="s">
        <v>8360</v>
      </c>
      <c r="D69" s="5"/>
      <c r="E69" s="5"/>
      <c r="F69" s="5"/>
      <c r="G69" s="5">
        <v>1</v>
      </c>
      <c r="H69" s="5">
        <v>1</v>
      </c>
    </row>
    <row r="70" spans="1:8" x14ac:dyDescent="0.35">
      <c r="C70" t="s">
        <v>8335</v>
      </c>
      <c r="D70" s="5">
        <v>3</v>
      </c>
      <c r="E70" s="5">
        <v>56</v>
      </c>
      <c r="F70" s="5">
        <v>1</v>
      </c>
      <c r="G70" s="5">
        <v>4</v>
      </c>
      <c r="H70" s="5">
        <v>64</v>
      </c>
    </row>
    <row r="71" spans="1:8" x14ac:dyDescent="0.35">
      <c r="C71" t="s">
        <v>8359</v>
      </c>
      <c r="D71" s="5"/>
      <c r="E71" s="5"/>
      <c r="F71" s="5">
        <v>14</v>
      </c>
      <c r="G71" s="5">
        <v>4</v>
      </c>
      <c r="H71" s="5">
        <v>18</v>
      </c>
    </row>
    <row r="72" spans="1:8" x14ac:dyDescent="0.35">
      <c r="A72" t="s">
        <v>8357</v>
      </c>
      <c r="D72" s="5">
        <v>356</v>
      </c>
      <c r="E72" s="5">
        <v>296</v>
      </c>
      <c r="F72" s="5">
        <v>301</v>
      </c>
      <c r="G72" s="5">
        <v>112</v>
      </c>
      <c r="H72" s="5">
        <v>1065</v>
      </c>
    </row>
  </sheetData>
  <conditionalFormatting sqref="A3:H72">
    <cfRule type="expression" dxfId="3" priority="1" stopIfTrue="1">
      <formula>$C3="КРИТИЧЕСКОЕ"</formula>
    </cfRule>
    <cfRule type="expression" dxfId="2" priority="2" stopIfTrue="1">
      <formula>$C3="Проверено"</formula>
    </cfRule>
    <cfRule type="expression" dxfId="1" priority="3" stopIfTrue="1">
      <formula>$C3="Завершено"</formula>
    </cfRule>
    <cfRule type="expression" dxfId="0" priority="4" stopIfTrue="1">
      <formula>$C3="Значительное"</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B2:F12"/>
  <sheetViews>
    <sheetView showGridLines="0" workbookViewId="0">
      <selection activeCell="C4" sqref="C4"/>
    </sheetView>
  </sheetViews>
  <sheetFormatPr defaultRowHeight="14.5" x14ac:dyDescent="0.35"/>
  <cols>
    <col min="3" max="3" width="17.6328125" bestFit="1" customWidth="1"/>
    <col min="5" max="5" width="22.54296875" bestFit="1" customWidth="1"/>
    <col min="6" max="6" width="16.1796875" customWidth="1"/>
  </cols>
  <sheetData>
    <row r="2" spans="2:6" x14ac:dyDescent="0.35">
      <c r="B2" t="s">
        <v>8329</v>
      </c>
      <c r="C2" t="s">
        <v>4</v>
      </c>
      <c r="E2" t="s">
        <v>8330</v>
      </c>
      <c r="F2" t="s">
        <v>8331</v>
      </c>
    </row>
    <row r="3" spans="2:6" x14ac:dyDescent="0.35">
      <c r="B3">
        <v>1</v>
      </c>
      <c r="C3" t="s">
        <v>8332</v>
      </c>
      <c r="E3" t="s">
        <v>8333</v>
      </c>
      <c r="F3" t="s">
        <v>8334</v>
      </c>
    </row>
    <row r="4" spans="2:6" x14ac:dyDescent="0.35">
      <c r="B4">
        <v>2</v>
      </c>
      <c r="C4" t="s">
        <v>8335</v>
      </c>
      <c r="E4" t="s">
        <v>189</v>
      </c>
      <c r="F4" t="s">
        <v>8336</v>
      </c>
    </row>
    <row r="5" spans="2:6" x14ac:dyDescent="0.35">
      <c r="B5">
        <v>3</v>
      </c>
      <c r="C5" t="s">
        <v>8337</v>
      </c>
      <c r="E5" t="s">
        <v>8338</v>
      </c>
      <c r="F5" t="s">
        <v>8339</v>
      </c>
    </row>
    <row r="6" spans="2:6" x14ac:dyDescent="0.35">
      <c r="E6" t="s">
        <v>8340</v>
      </c>
      <c r="F6" t="s">
        <v>8341</v>
      </c>
    </row>
    <row r="7" spans="2:6" x14ac:dyDescent="0.35">
      <c r="E7" t="s">
        <v>8342</v>
      </c>
      <c r="F7" t="s">
        <v>8343</v>
      </c>
    </row>
    <row r="8" spans="2:6" x14ac:dyDescent="0.35">
      <c r="E8" t="s">
        <v>8344</v>
      </c>
      <c r="F8" t="s">
        <v>8345</v>
      </c>
    </row>
    <row r="9" spans="2:6" x14ac:dyDescent="0.35">
      <c r="E9" t="s">
        <v>8346</v>
      </c>
      <c r="F9" t="s">
        <v>8347</v>
      </c>
    </row>
    <row r="10" spans="2:6" x14ac:dyDescent="0.35">
      <c r="E10" t="s">
        <v>8348</v>
      </c>
      <c r="F10" t="s">
        <v>8349</v>
      </c>
    </row>
    <row r="11" spans="2:6" x14ac:dyDescent="0.35">
      <c r="E11" t="s">
        <v>8350</v>
      </c>
      <c r="F11" t="s">
        <v>8351</v>
      </c>
    </row>
    <row r="12" spans="2:6" x14ac:dyDescent="0.35">
      <c r="E12" t="s">
        <v>8352</v>
      </c>
      <c r="F12" t="s">
        <v>8353</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raw.data</vt:lpstr>
      <vt:lpstr>Свод</vt:lpstr>
      <vt:lpstr>Справочники</vt:lpstr>
    </vt:vector>
  </TitlesOfParts>
  <Company>Группа компаний Спектрум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Created by Excel toolbox(c) by Spectrum Group_x000d_
www.spgr.ru_x000d_
10-февраля-2020</dc:description>
  <cp:lastModifiedBy>Акимов Дмитрий Александрович</cp:lastModifiedBy>
  <dcterms:created xsi:type="dcterms:W3CDTF">2020-02-10T16:03:09Z</dcterms:created>
  <dcterms:modified xsi:type="dcterms:W3CDTF">2020-02-10T16:03:12Z</dcterms:modified>
</cp:coreProperties>
</file>