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H:\tools\excel.toolbox\excel.fieldwire\Отчёт\"/>
    </mc:Choice>
  </mc:AlternateContent>
  <bookViews>
    <workbookView xWindow="0" yWindow="0" windowWidth="38400" windowHeight="17890" activeTab="1"/>
  </bookViews>
  <sheets>
    <sheet name="raw.data" sheetId="1" r:id="rId1"/>
    <sheet name="Свод" sheetId="3" r:id="rId2"/>
    <sheet name="Справочники" sheetId="2" r:id="rId3"/>
  </sheets>
  <calcPr calcId="162913" calcMode="manual" refMode="R1C1"/>
  <pivotCaches>
    <pivotCache cacheId="6" r:id="rId4"/>
  </pivotCaches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2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7" i="1"/>
  <c r="E198" i="1"/>
  <c r="E199" i="1"/>
  <c r="E200" i="1"/>
  <c r="E201" i="1"/>
  <c r="E202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8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E119" i="1" s="1"/>
  <c r="D120" i="1"/>
  <c r="E120" i="1" s="1"/>
  <c r="D121" i="1"/>
  <c r="E121" i="1" s="1"/>
  <c r="D122" i="1"/>
  <c r="D123" i="1"/>
  <c r="E123" i="1" s="1"/>
  <c r="D124" i="1"/>
  <c r="E124" i="1" s="1"/>
  <c r="D125" i="1"/>
  <c r="E125" i="1" s="1"/>
  <c r="D126" i="1"/>
  <c r="D127" i="1"/>
  <c r="E127" i="1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E195" i="1" s="1"/>
  <c r="D196" i="1"/>
  <c r="E196" i="1" s="1"/>
  <c r="D197" i="1"/>
  <c r="D198" i="1"/>
  <c r="D199" i="1"/>
  <c r="D200" i="1"/>
  <c r="D201" i="1"/>
  <c r="D202" i="1"/>
  <c r="D203" i="1"/>
  <c r="E203" i="1" s="1"/>
  <c r="D204" i="1"/>
  <c r="E204" i="1" s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E256" i="1" s="1"/>
  <c r="D257" i="1"/>
  <c r="E257" i="1" s="1"/>
  <c r="D258" i="1"/>
  <c r="D259" i="1"/>
  <c r="E259" i="1" s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E279" i="1" s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E336" i="1" s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BF5" i="1" l="1"/>
  <c r="BG5" i="1"/>
  <c r="BH5" i="1"/>
  <c r="BI5" i="1"/>
  <c r="R6" i="1"/>
  <c r="BK6" i="1"/>
  <c r="BL6" i="1"/>
  <c r="BM6" i="1"/>
  <c r="R7" i="1"/>
  <c r="BJ7" i="1"/>
  <c r="BN7" i="1"/>
  <c r="BI8" i="1"/>
  <c r="BJ8" i="1"/>
  <c r="BK8" i="1"/>
  <c r="BK9" i="1"/>
  <c r="BL9" i="1"/>
  <c r="BM9" i="1"/>
  <c r="R10" i="1"/>
  <c r="BJ10" i="1"/>
  <c r="BK10" i="1"/>
  <c r="BL10" i="1"/>
  <c r="BM10" i="1"/>
  <c r="BN10" i="1"/>
  <c r="R11" i="1"/>
  <c r="BK11" i="1"/>
  <c r="BL11" i="1"/>
  <c r="BM11" i="1"/>
  <c r="BN11" i="1"/>
  <c r="R12" i="1"/>
  <c r="BJ12" i="1"/>
  <c r="BK12" i="1"/>
  <c r="BL12" i="1"/>
  <c r="BM12" i="1"/>
  <c r="BN12" i="1"/>
  <c r="R13" i="1"/>
  <c r="BI13" i="1"/>
  <c r="BJ13" i="1"/>
  <c r="R14" i="1"/>
  <c r="BI14" i="1"/>
  <c r="BJ14" i="1"/>
  <c r="R15" i="1"/>
  <c r="BJ15" i="1"/>
  <c r="BK15" i="1"/>
  <c r="BL15" i="1"/>
  <c r="R16" i="1"/>
  <c r="BF16" i="1"/>
  <c r="BG16" i="1"/>
  <c r="BH16" i="1"/>
  <c r="BI16" i="1"/>
  <c r="BJ16" i="1"/>
  <c r="BK16" i="1"/>
  <c r="BL16" i="1"/>
  <c r="BM16" i="1"/>
  <c r="R17" i="1"/>
  <c r="BI17" i="1"/>
  <c r="BJ17" i="1"/>
  <c r="BK17" i="1"/>
  <c r="R18" i="1"/>
  <c r="BJ18" i="1"/>
  <c r="BK18" i="1"/>
  <c r="BL18" i="1"/>
  <c r="R19" i="1"/>
  <c r="BJ19" i="1"/>
  <c r="BK19" i="1"/>
  <c r="BL19" i="1"/>
  <c r="R20" i="1"/>
  <c r="BH20" i="1"/>
  <c r="BI20" i="1"/>
  <c r="R21" i="1"/>
  <c r="BH21" i="1"/>
  <c r="BJ21" i="1"/>
  <c r="R22" i="1"/>
  <c r="BJ22" i="1"/>
  <c r="BK22" i="1"/>
  <c r="BL22" i="1"/>
  <c r="R23" i="1"/>
  <c r="BI23" i="1"/>
  <c r="BJ23" i="1"/>
  <c r="R24" i="1"/>
  <c r="BI24" i="1"/>
  <c r="BJ24" i="1"/>
  <c r="R25" i="1"/>
  <c r="BK25" i="1"/>
  <c r="BL25" i="1"/>
  <c r="BM25" i="1"/>
  <c r="R26" i="1"/>
  <c r="BK26" i="1"/>
  <c r="BL26" i="1"/>
  <c r="R27" i="1"/>
  <c r="BJ27" i="1"/>
  <c r="BK27" i="1"/>
  <c r="BL27" i="1"/>
  <c r="BM27" i="1"/>
  <c r="BN27" i="1"/>
  <c r="BO27" i="1"/>
  <c r="R28" i="1"/>
  <c r="BL28" i="1"/>
  <c r="BM28" i="1"/>
  <c r="R29" i="1"/>
  <c r="R30" i="1"/>
  <c r="BK30" i="1"/>
  <c r="BL30" i="1"/>
  <c r="BM30" i="1"/>
  <c r="R31" i="1"/>
  <c r="BI31" i="1"/>
  <c r="BJ31" i="1"/>
  <c r="BK31" i="1"/>
  <c r="BL31" i="1"/>
  <c r="R32" i="1"/>
  <c r="BI32" i="1"/>
  <c r="BJ32" i="1"/>
  <c r="BK32" i="1"/>
  <c r="BL32" i="1"/>
  <c r="BM32" i="1"/>
  <c r="BN32" i="1"/>
  <c r="R33" i="1"/>
  <c r="BK33" i="1"/>
  <c r="BL33" i="1"/>
  <c r="R34" i="1"/>
  <c r="BH34" i="1"/>
  <c r="BI34" i="1"/>
  <c r="BK34" i="1"/>
  <c r="R35" i="1"/>
  <c r="BI35" i="1"/>
  <c r="BJ35" i="1"/>
  <c r="BK35" i="1"/>
  <c r="R36" i="1"/>
  <c r="BI36" i="1"/>
  <c r="BJ36" i="1"/>
  <c r="BK36" i="1"/>
  <c r="BL36" i="1"/>
  <c r="BM36" i="1"/>
  <c r="R37" i="1"/>
  <c r="BI37" i="1"/>
  <c r="BJ37" i="1"/>
  <c r="BK37" i="1"/>
  <c r="BL37" i="1"/>
  <c r="BO37" i="1"/>
  <c r="BP37" i="1"/>
  <c r="R38" i="1"/>
  <c r="BI38" i="1"/>
  <c r="R39" i="1"/>
  <c r="BJ39" i="1"/>
  <c r="BK39" i="1"/>
  <c r="BL39" i="1"/>
  <c r="R40" i="1"/>
  <c r="BJ40" i="1"/>
  <c r="BK40" i="1"/>
  <c r="R41" i="1"/>
  <c r="BI41" i="1"/>
  <c r="BJ41" i="1"/>
  <c r="R42" i="1"/>
  <c r="BI42" i="1"/>
  <c r="BJ42" i="1"/>
  <c r="BK42" i="1"/>
  <c r="BL42" i="1"/>
  <c r="R43" i="1"/>
  <c r="BH43" i="1"/>
  <c r="BI43" i="1"/>
  <c r="BJ43" i="1"/>
  <c r="R44" i="1"/>
  <c r="BI44" i="1"/>
  <c r="BJ44" i="1"/>
  <c r="BK44" i="1"/>
  <c r="BL44" i="1"/>
  <c r="R45" i="1"/>
  <c r="BI45" i="1"/>
  <c r="BJ45" i="1"/>
  <c r="R46" i="1"/>
  <c r="BI46" i="1"/>
  <c r="BJ46" i="1"/>
  <c r="R47" i="1"/>
  <c r="BH47" i="1"/>
  <c r="BI47" i="1"/>
  <c r="R48" i="1"/>
  <c r="R49" i="1"/>
  <c r="BI49" i="1"/>
  <c r="BJ49" i="1"/>
  <c r="R50" i="1"/>
  <c r="BI50" i="1"/>
  <c r="BJ50" i="1"/>
  <c r="BK50" i="1"/>
  <c r="R51" i="1"/>
  <c r="BI51" i="1"/>
  <c r="BJ51" i="1"/>
  <c r="BK51" i="1"/>
  <c r="R52" i="1"/>
  <c r="BJ52" i="1"/>
  <c r="R53" i="1"/>
  <c r="BI53" i="1"/>
  <c r="BJ53" i="1"/>
  <c r="R54" i="1"/>
  <c r="BH54" i="1"/>
  <c r="BI54" i="1"/>
  <c r="BJ54" i="1"/>
  <c r="BK54" i="1"/>
  <c r="BL54" i="1"/>
  <c r="BM54" i="1"/>
  <c r="BN54" i="1"/>
  <c r="BO54" i="1"/>
  <c r="BP54" i="1"/>
  <c r="BQ54" i="1"/>
  <c r="R55" i="1"/>
  <c r="BI55" i="1"/>
  <c r="BJ55" i="1"/>
  <c r="R56" i="1"/>
  <c r="BI56" i="1"/>
  <c r="BK56" i="1"/>
  <c r="BL56" i="1"/>
  <c r="R57" i="1"/>
  <c r="BI57" i="1"/>
  <c r="BJ57" i="1"/>
  <c r="R58" i="1"/>
  <c r="BI58" i="1"/>
  <c r="BJ58" i="1"/>
  <c r="R59" i="1"/>
  <c r="BI59" i="1"/>
  <c r="BJ59" i="1"/>
  <c r="BK59" i="1"/>
  <c r="BL59" i="1"/>
  <c r="BN59" i="1"/>
  <c r="BO59" i="1"/>
  <c r="R60" i="1"/>
  <c r="BI60" i="1"/>
  <c r="BJ60" i="1"/>
  <c r="R61" i="1"/>
  <c r="BI61" i="1"/>
  <c r="BJ61" i="1"/>
  <c r="R62" i="1"/>
  <c r="BI62" i="1"/>
  <c r="BJ62" i="1"/>
  <c r="R63" i="1"/>
  <c r="BK63" i="1"/>
  <c r="BL63" i="1"/>
  <c r="R64" i="1"/>
  <c r="BH64" i="1"/>
  <c r="BI64" i="1"/>
  <c r="BJ64" i="1"/>
  <c r="R65" i="1"/>
  <c r="BI65" i="1"/>
  <c r="BJ65" i="1"/>
  <c r="BK65" i="1"/>
  <c r="R66" i="1"/>
  <c r="BI66" i="1"/>
  <c r="BJ66" i="1"/>
  <c r="R67" i="1"/>
  <c r="BI67" i="1"/>
  <c r="BJ67" i="1"/>
  <c r="R68" i="1"/>
  <c r="BI68" i="1"/>
  <c r="BJ68" i="1"/>
  <c r="R69" i="1"/>
  <c r="BJ69" i="1"/>
  <c r="BK69" i="1"/>
  <c r="R70" i="1"/>
  <c r="BI70" i="1"/>
  <c r="BJ70" i="1"/>
  <c r="R71" i="1"/>
  <c r="BI71" i="1"/>
  <c r="BJ71" i="1"/>
  <c r="R72" i="1"/>
  <c r="BJ72" i="1"/>
  <c r="R73" i="1"/>
  <c r="BI73" i="1"/>
  <c r="BJ73" i="1"/>
  <c r="R74" i="1"/>
  <c r="BI74" i="1"/>
  <c r="BJ74" i="1"/>
  <c r="R75" i="1"/>
  <c r="BI75" i="1"/>
  <c r="BJ75" i="1"/>
  <c r="BK75" i="1"/>
  <c r="R76" i="1"/>
  <c r="BJ76" i="1"/>
  <c r="BK76" i="1"/>
  <c r="BL76" i="1"/>
  <c r="R77" i="1"/>
  <c r="BI77" i="1"/>
  <c r="BJ77" i="1"/>
  <c r="R78" i="1"/>
  <c r="BI78" i="1"/>
  <c r="BJ78" i="1"/>
  <c r="R79" i="1"/>
  <c r="BI79" i="1"/>
  <c r="BJ79" i="1"/>
  <c r="R80" i="1"/>
  <c r="BI80" i="1"/>
  <c r="BJ80" i="1"/>
  <c r="R81" i="1"/>
  <c r="BI81" i="1"/>
  <c r="BJ81" i="1"/>
  <c r="R82" i="1"/>
  <c r="BI82" i="1"/>
  <c r="BJ82" i="1"/>
  <c r="R83" i="1"/>
  <c r="BI83" i="1"/>
  <c r="BJ83" i="1"/>
  <c r="R84" i="1"/>
  <c r="BI84" i="1"/>
  <c r="BJ84" i="1"/>
  <c r="R85" i="1"/>
  <c r="BJ85" i="1"/>
  <c r="BK85" i="1"/>
  <c r="BL85" i="1"/>
  <c r="R86" i="1"/>
  <c r="BH86" i="1"/>
  <c r="BI86" i="1"/>
  <c r="BJ86" i="1"/>
  <c r="BK86" i="1"/>
  <c r="R87" i="1"/>
  <c r="BI87" i="1"/>
  <c r="BJ87" i="1"/>
  <c r="BK87" i="1"/>
  <c r="R88" i="1"/>
  <c r="BI88" i="1"/>
  <c r="BJ88" i="1"/>
  <c r="BK88" i="1"/>
  <c r="R89" i="1"/>
  <c r="BI89" i="1"/>
  <c r="BJ89" i="1"/>
  <c r="BK89" i="1"/>
  <c r="BL89" i="1"/>
  <c r="R90" i="1"/>
  <c r="BK90" i="1"/>
  <c r="BL90" i="1"/>
  <c r="R91" i="1"/>
  <c r="BK91" i="1"/>
  <c r="BL91" i="1"/>
  <c r="BM91" i="1"/>
  <c r="R92" i="1"/>
  <c r="BI92" i="1"/>
  <c r="BJ92" i="1"/>
  <c r="BL92" i="1"/>
  <c r="R93" i="1"/>
  <c r="BI93" i="1"/>
  <c r="BJ93" i="1"/>
  <c r="R94" i="1"/>
  <c r="BI94" i="1"/>
  <c r="BJ94" i="1"/>
  <c r="BK94" i="1"/>
  <c r="R95" i="1"/>
  <c r="BI95" i="1"/>
  <c r="BJ95" i="1"/>
  <c r="R96" i="1"/>
  <c r="BI96" i="1"/>
  <c r="BJ96" i="1"/>
  <c r="R97" i="1"/>
  <c r="BJ97" i="1"/>
  <c r="BK97" i="1"/>
  <c r="R98" i="1"/>
  <c r="BI98" i="1"/>
  <c r="BJ98" i="1"/>
  <c r="R99" i="1"/>
  <c r="BI99" i="1"/>
  <c r="BJ99" i="1"/>
  <c r="R100" i="1"/>
  <c r="BI100" i="1"/>
  <c r="BJ100" i="1"/>
  <c r="BK100" i="1"/>
  <c r="R101" i="1"/>
  <c r="BJ101" i="1"/>
  <c r="BK101" i="1"/>
  <c r="BL101" i="1"/>
  <c r="R102" i="1"/>
  <c r="BI102" i="1"/>
  <c r="BJ102" i="1"/>
  <c r="R103" i="1"/>
  <c r="BI103" i="1"/>
  <c r="BJ103" i="1"/>
  <c r="BK103" i="1"/>
  <c r="R104" i="1"/>
  <c r="BJ104" i="1"/>
  <c r="BK104" i="1"/>
  <c r="R105" i="1"/>
  <c r="BI105" i="1"/>
  <c r="BJ105" i="1"/>
  <c r="R106" i="1"/>
  <c r="BI106" i="1"/>
  <c r="BJ106" i="1"/>
  <c r="R107" i="1"/>
  <c r="BG107" i="1"/>
  <c r="BH107" i="1"/>
  <c r="R108" i="1"/>
  <c r="BI108" i="1"/>
  <c r="BJ108" i="1"/>
  <c r="R109" i="1"/>
  <c r="BI109" i="1"/>
  <c r="BJ109" i="1"/>
  <c r="BK109" i="1"/>
  <c r="R110" i="1"/>
  <c r="BI110" i="1"/>
  <c r="BJ110" i="1"/>
  <c r="R111" i="1"/>
  <c r="BI111" i="1"/>
  <c r="R112" i="1"/>
  <c r="BI112" i="1"/>
  <c r="BJ112" i="1"/>
  <c r="R113" i="1"/>
  <c r="BI113" i="1"/>
  <c r="BJ113" i="1"/>
  <c r="R114" i="1"/>
  <c r="BI114" i="1"/>
  <c r="BJ114" i="1"/>
  <c r="R115" i="1"/>
  <c r="BI115" i="1"/>
  <c r="BJ115" i="1"/>
  <c r="BK115" i="1"/>
  <c r="R116" i="1"/>
  <c r="BP116" i="1"/>
  <c r="R117" i="1"/>
  <c r="BI117" i="1"/>
  <c r="BJ117" i="1"/>
  <c r="R118" i="1"/>
  <c r="BK118" i="1"/>
  <c r="BL118" i="1"/>
  <c r="BM118" i="1"/>
  <c r="BN118" i="1"/>
  <c r="BO118" i="1"/>
  <c r="R119" i="1"/>
  <c r="BP119" i="1"/>
  <c r="BY119" i="1"/>
  <c r="R120" i="1"/>
  <c r="R121" i="1"/>
  <c r="R122" i="1"/>
  <c r="BK122" i="1"/>
  <c r="BL122" i="1"/>
  <c r="R123" i="1"/>
  <c r="R124" i="1"/>
  <c r="R125" i="1"/>
  <c r="BJ125" i="1"/>
  <c r="R126" i="1"/>
  <c r="BK126" i="1"/>
  <c r="BL126" i="1"/>
  <c r="R127" i="1"/>
  <c r="BJ127" i="1"/>
  <c r="BK127" i="1"/>
  <c r="BL127" i="1"/>
  <c r="R128" i="1"/>
  <c r="BK128" i="1"/>
  <c r="BL128" i="1"/>
  <c r="BM128" i="1"/>
  <c r="BN128" i="1"/>
  <c r="BO128" i="1"/>
  <c r="BP128" i="1"/>
  <c r="BQ128" i="1"/>
  <c r="BR128" i="1"/>
  <c r="BS128" i="1"/>
  <c r="BY128" i="1"/>
  <c r="BZ128" i="1"/>
  <c r="CA128" i="1"/>
  <c r="CB128" i="1"/>
  <c r="CC128" i="1"/>
  <c r="CD128" i="1"/>
  <c r="R129" i="1"/>
  <c r="BK129" i="1"/>
  <c r="R130" i="1"/>
  <c r="BJ130" i="1"/>
  <c r="BL130" i="1"/>
  <c r="BM130" i="1"/>
  <c r="R131" i="1"/>
  <c r="BK131" i="1"/>
  <c r="BL131" i="1"/>
  <c r="BM131" i="1"/>
  <c r="R132" i="1"/>
  <c r="BI132" i="1"/>
  <c r="BK132" i="1"/>
  <c r="BL132" i="1"/>
  <c r="BO132" i="1"/>
  <c r="R133" i="1"/>
  <c r="BL133" i="1"/>
  <c r="BM133" i="1"/>
  <c r="BN133" i="1"/>
  <c r="BP133" i="1"/>
  <c r="BS133" i="1"/>
  <c r="R134" i="1"/>
  <c r="BI134" i="1"/>
  <c r="BJ134" i="1"/>
  <c r="BK134" i="1"/>
  <c r="BO134" i="1"/>
  <c r="BS134" i="1"/>
  <c r="R135" i="1"/>
  <c r="R136" i="1"/>
  <c r="R137" i="1"/>
  <c r="BO137" i="1"/>
  <c r="BV137" i="1"/>
  <c r="R138" i="1"/>
  <c r="BL138" i="1"/>
  <c r="BM138" i="1"/>
  <c r="BN138" i="1"/>
  <c r="BO138" i="1"/>
  <c r="R139" i="1"/>
  <c r="BL139" i="1"/>
  <c r="BM139" i="1"/>
  <c r="BN139" i="1"/>
  <c r="BP139" i="1"/>
  <c r="BV139" i="1"/>
  <c r="R140" i="1"/>
  <c r="BL140" i="1"/>
  <c r="BM140" i="1"/>
  <c r="R141" i="1"/>
  <c r="BI141" i="1"/>
  <c r="BJ141" i="1"/>
  <c r="BK141" i="1"/>
  <c r="BL141" i="1"/>
  <c r="BM141" i="1"/>
  <c r="BN141" i="1"/>
  <c r="BO141" i="1"/>
  <c r="R142" i="1"/>
  <c r="R143" i="1"/>
  <c r="R144" i="1"/>
  <c r="BJ144" i="1"/>
  <c r="BM144" i="1"/>
  <c r="R145" i="1"/>
  <c r="BJ145" i="1"/>
  <c r="BN145" i="1"/>
  <c r="BS145" i="1"/>
  <c r="R146" i="1"/>
  <c r="BH146" i="1"/>
  <c r="BI146" i="1"/>
  <c r="BJ146" i="1"/>
  <c r="BK146" i="1"/>
  <c r="R147" i="1"/>
  <c r="BI147" i="1"/>
  <c r="R148" i="1"/>
  <c r="BL148" i="1"/>
  <c r="BM148" i="1"/>
  <c r="R149" i="1"/>
  <c r="BU149" i="1"/>
  <c r="R150" i="1"/>
  <c r="BI150" i="1"/>
  <c r="BJ150" i="1"/>
  <c r="BK150" i="1"/>
  <c r="BL150" i="1"/>
  <c r="BM150" i="1"/>
  <c r="R151" i="1"/>
  <c r="BL151" i="1"/>
  <c r="BM151" i="1"/>
  <c r="BN151" i="1"/>
  <c r="BQ151" i="1"/>
  <c r="BU151" i="1"/>
  <c r="R152" i="1"/>
  <c r="BL152" i="1"/>
  <c r="BM152" i="1"/>
  <c r="BN152" i="1"/>
  <c r="BQ152" i="1"/>
  <c r="R153" i="1"/>
  <c r="BI153" i="1"/>
  <c r="BJ153" i="1"/>
  <c r="BK153" i="1"/>
  <c r="BN153" i="1"/>
  <c r="R154" i="1"/>
  <c r="BL154" i="1"/>
  <c r="BP154" i="1"/>
  <c r="R155" i="1"/>
  <c r="BK155" i="1"/>
  <c r="BL155" i="1"/>
  <c r="BM155" i="1"/>
  <c r="BN155" i="1"/>
  <c r="BQ155" i="1"/>
  <c r="BR155" i="1"/>
  <c r="BS155" i="1"/>
  <c r="R156" i="1"/>
  <c r="BI156" i="1"/>
  <c r="BL156" i="1"/>
  <c r="R157" i="1"/>
  <c r="BK157" i="1"/>
  <c r="BL157" i="1"/>
  <c r="BM157" i="1"/>
  <c r="BQ157" i="1"/>
  <c r="BU157" i="1"/>
  <c r="R158" i="1"/>
  <c r="BI158" i="1"/>
  <c r="BJ158" i="1"/>
  <c r="BL158" i="1"/>
  <c r="R159" i="1"/>
  <c r="BM159" i="1"/>
  <c r="BN159" i="1"/>
  <c r="BO159" i="1"/>
  <c r="BP159" i="1"/>
  <c r="BR159" i="1"/>
  <c r="R160" i="1"/>
  <c r="BK160" i="1"/>
  <c r="BP160" i="1"/>
  <c r="BQ160" i="1"/>
  <c r="BR160" i="1"/>
  <c r="R161" i="1"/>
  <c r="BJ161" i="1"/>
  <c r="BK161" i="1"/>
  <c r="BL161" i="1"/>
  <c r="BM161" i="1"/>
  <c r="BN161" i="1"/>
  <c r="BP161" i="1"/>
  <c r="BQ161" i="1"/>
  <c r="BR161" i="1"/>
  <c r="BS161" i="1"/>
  <c r="R162" i="1"/>
  <c r="BL162" i="1"/>
  <c r="BM162" i="1"/>
  <c r="BN162" i="1"/>
  <c r="BO162" i="1"/>
  <c r="R163" i="1"/>
  <c r="BK163" i="1"/>
  <c r="BL163" i="1"/>
  <c r="BN163" i="1"/>
  <c r="BQ163" i="1"/>
  <c r="BT163" i="1"/>
  <c r="BY163" i="1"/>
  <c r="R164" i="1"/>
  <c r="BK164" i="1"/>
  <c r="BM164" i="1"/>
  <c r="BN164" i="1"/>
  <c r="R165" i="1"/>
  <c r="R166" i="1"/>
  <c r="BJ166" i="1"/>
  <c r="BK166" i="1"/>
  <c r="BN166" i="1"/>
  <c r="R167" i="1"/>
  <c r="BK167" i="1"/>
  <c r="BL167" i="1"/>
  <c r="BM167" i="1"/>
  <c r="BN167" i="1"/>
  <c r="BP167" i="1"/>
  <c r="R168" i="1"/>
  <c r="BJ168" i="1"/>
  <c r="R169" i="1"/>
  <c r="BP169" i="1"/>
  <c r="BG170" i="1"/>
  <c r="BH170" i="1"/>
  <c r="BI170" i="1"/>
  <c r="BJ170" i="1"/>
  <c r="BK170" i="1"/>
  <c r="BL170" i="1"/>
  <c r="R171" i="1"/>
  <c r="BJ171" i="1"/>
  <c r="BK171" i="1"/>
  <c r="BL171" i="1"/>
  <c r="BM171" i="1"/>
  <c r="BT171" i="1"/>
  <c r="BU171" i="1"/>
  <c r="BV171" i="1"/>
  <c r="BW171" i="1"/>
  <c r="BX171" i="1"/>
  <c r="BY171" i="1"/>
  <c r="BZ171" i="1"/>
  <c r="CA171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BH173" i="1"/>
  <c r="BJ173" i="1"/>
  <c r="BH174" i="1"/>
  <c r="BI174" i="1"/>
  <c r="BJ174" i="1"/>
  <c r="BK174" i="1"/>
  <c r="BL174" i="1"/>
  <c r="BM174" i="1"/>
  <c r="BN174" i="1"/>
  <c r="BO174" i="1"/>
  <c r="BP174" i="1"/>
  <c r="BQ174" i="1"/>
  <c r="BR174" i="1"/>
  <c r="BJ175" i="1"/>
  <c r="BK175" i="1"/>
  <c r="BL175" i="1"/>
  <c r="BM175" i="1"/>
  <c r="BN175" i="1"/>
  <c r="BO175" i="1"/>
  <c r="BP175" i="1"/>
  <c r="BQ175" i="1"/>
  <c r="BG176" i="1"/>
  <c r="BJ176" i="1"/>
  <c r="BK176" i="1"/>
  <c r="BI177" i="1"/>
  <c r="BM177" i="1"/>
  <c r="BN177" i="1"/>
  <c r="BO177" i="1"/>
  <c r="BP177" i="1"/>
  <c r="BQ177" i="1"/>
  <c r="BR177" i="1"/>
  <c r="R178" i="1"/>
  <c r="BL178" i="1"/>
  <c r="BM178" i="1"/>
  <c r="BN178" i="1"/>
  <c r="BR178" i="1"/>
  <c r="BS178" i="1"/>
  <c r="BX178" i="1"/>
  <c r="BF179" i="1"/>
  <c r="BG179" i="1"/>
  <c r="BH179" i="1"/>
  <c r="BI179" i="1"/>
  <c r="BJ179" i="1"/>
  <c r="BK179" i="1"/>
  <c r="BH180" i="1"/>
  <c r="BI180" i="1"/>
  <c r="BJ180" i="1"/>
  <c r="BK180" i="1"/>
  <c r="BL181" i="1"/>
  <c r="BH182" i="1"/>
  <c r="BI182" i="1"/>
  <c r="BJ182" i="1"/>
  <c r="BK182" i="1"/>
  <c r="BQ182" i="1"/>
  <c r="BR182" i="1"/>
  <c r="BS182" i="1"/>
  <c r="BX182" i="1"/>
  <c r="BY182" i="1"/>
  <c r="BZ182" i="1"/>
  <c r="CA182" i="1"/>
  <c r="CB182" i="1"/>
  <c r="BG183" i="1"/>
  <c r="BH183" i="1"/>
  <c r="BI183" i="1"/>
  <c r="BH184" i="1"/>
  <c r="BI184" i="1"/>
  <c r="BJ184" i="1"/>
  <c r="BK184" i="1"/>
  <c r="BL184" i="1"/>
  <c r="BM184" i="1"/>
  <c r="BN184" i="1"/>
  <c r="BP184" i="1"/>
  <c r="BQ184" i="1"/>
  <c r="BR184" i="1"/>
  <c r="BY184" i="1"/>
  <c r="BZ184" i="1"/>
  <c r="CA184" i="1"/>
  <c r="CB184" i="1"/>
  <c r="CC184" i="1"/>
  <c r="CD184" i="1"/>
  <c r="CE184" i="1"/>
  <c r="CF184" i="1"/>
  <c r="CG184" i="1"/>
  <c r="CH184" i="1"/>
  <c r="CI184" i="1"/>
  <c r="BI185" i="1"/>
  <c r="R186" i="1"/>
  <c r="BJ186" i="1"/>
  <c r="BK186" i="1"/>
  <c r="BU186" i="1"/>
  <c r="BH187" i="1"/>
  <c r="BI187" i="1"/>
  <c r="BQ187" i="1"/>
  <c r="BS187" i="1"/>
  <c r="BU187" i="1"/>
  <c r="BV187" i="1"/>
  <c r="BW187" i="1"/>
  <c r="BX187" i="1"/>
  <c r="BY187" i="1"/>
  <c r="CA187" i="1"/>
  <c r="R188" i="1"/>
  <c r="BK188" i="1"/>
  <c r="BL188" i="1"/>
  <c r="BM188" i="1"/>
  <c r="BN188" i="1"/>
  <c r="BO188" i="1"/>
  <c r="BP188" i="1"/>
  <c r="BQ188" i="1"/>
  <c r="BR188" i="1"/>
  <c r="BI189" i="1"/>
  <c r="BH190" i="1"/>
  <c r="BI190" i="1"/>
  <c r="BJ190" i="1"/>
  <c r="BK190" i="1"/>
  <c r="BP190" i="1"/>
  <c r="BQ190" i="1"/>
  <c r="BR190" i="1"/>
  <c r="BS190" i="1"/>
  <c r="BT190" i="1"/>
  <c r="BU190" i="1"/>
  <c r="BV190" i="1"/>
  <c r="CD190" i="1"/>
  <c r="CE190" i="1"/>
  <c r="CG190" i="1"/>
  <c r="CH190" i="1"/>
  <c r="CJ190" i="1"/>
  <c r="CK190" i="1"/>
  <c r="CL190" i="1"/>
  <c r="CM190" i="1"/>
  <c r="CN190" i="1"/>
  <c r="CO190" i="1"/>
  <c r="CP190" i="1"/>
  <c r="BG191" i="1"/>
  <c r="BJ191" i="1"/>
  <c r="BK191" i="1"/>
  <c r="BL191" i="1"/>
  <c r="BM191" i="1"/>
  <c r="BO191" i="1"/>
  <c r="BR191" i="1"/>
  <c r="BS191" i="1"/>
  <c r="BT191" i="1"/>
  <c r="BU191" i="1"/>
  <c r="BV191" i="1"/>
  <c r="BW191" i="1"/>
  <c r="BX191" i="1"/>
  <c r="BY191" i="1"/>
  <c r="BZ191" i="1"/>
  <c r="CA191" i="1"/>
  <c r="BF192" i="1"/>
  <c r="BG192" i="1"/>
  <c r="BH192" i="1"/>
  <c r="BI192" i="1"/>
  <c r="BG193" i="1"/>
  <c r="BH193" i="1"/>
  <c r="BI193" i="1"/>
  <c r="BJ193" i="1"/>
  <c r="BQ193" i="1"/>
  <c r="BR193" i="1"/>
  <c r="BS193" i="1"/>
  <c r="BT193" i="1"/>
  <c r="BU193" i="1"/>
  <c r="BV193" i="1"/>
  <c r="BW193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G197" i="1"/>
  <c r="BK197" i="1"/>
  <c r="BG198" i="1"/>
  <c r="BF199" i="1"/>
  <c r="BG199" i="1"/>
  <c r="BH199" i="1"/>
  <c r="BI200" i="1"/>
  <c r="BJ200" i="1"/>
  <c r="BK200" i="1"/>
  <c r="BL200" i="1"/>
  <c r="BM200" i="1"/>
  <c r="BI201" i="1"/>
  <c r="BK202" i="1"/>
  <c r="BG203" i="1"/>
  <c r="BH203" i="1"/>
  <c r="BI203" i="1"/>
  <c r="BJ203" i="1"/>
  <c r="BK203" i="1"/>
  <c r="BG205" i="1"/>
  <c r="BM205" i="1"/>
  <c r="BN205" i="1"/>
  <c r="R206" i="1"/>
  <c r="BK206" i="1"/>
  <c r="BN206" i="1"/>
  <c r="BO206" i="1"/>
  <c r="BG209" i="1"/>
  <c r="BH209" i="1"/>
  <c r="BI209" i="1"/>
  <c r="BH210" i="1"/>
  <c r="BI210" i="1"/>
  <c r="BJ210" i="1"/>
  <c r="BH211" i="1"/>
  <c r="BI211" i="1"/>
  <c r="BJ211" i="1"/>
  <c r="BG212" i="1"/>
  <c r="BH212" i="1"/>
  <c r="BH214" i="1"/>
  <c r="BJ214" i="1"/>
  <c r="BH215" i="1"/>
  <c r="BI215" i="1"/>
  <c r="BW215" i="1"/>
  <c r="BZ215" i="1"/>
  <c r="CA215" i="1"/>
  <c r="BI216" i="1"/>
  <c r="BJ216" i="1"/>
  <c r="BK216" i="1"/>
  <c r="BI217" i="1"/>
  <c r="BQ217" i="1"/>
  <c r="BH219" i="1"/>
  <c r="BL219" i="1"/>
  <c r="BM219" i="1"/>
  <c r="BH220" i="1"/>
  <c r="BI220" i="1"/>
  <c r="BJ220" i="1"/>
  <c r="BK220" i="1"/>
  <c r="BL220" i="1"/>
  <c r="BH222" i="1"/>
  <c r="BI222" i="1"/>
  <c r="BJ222" i="1"/>
  <c r="BM224" i="1"/>
  <c r="BJ226" i="1"/>
  <c r="BK226" i="1"/>
  <c r="BL226" i="1"/>
  <c r="BO226" i="1"/>
  <c r="BI228" i="1"/>
  <c r="BG229" i="1"/>
  <c r="BH229" i="1"/>
  <c r="BH230" i="1"/>
  <c r="BI230" i="1"/>
  <c r="BG231" i="1"/>
  <c r="BF233" i="1"/>
  <c r="BG233" i="1"/>
  <c r="BH233" i="1"/>
  <c r="BI233" i="1"/>
  <c r="BF234" i="1"/>
  <c r="BK235" i="1"/>
  <c r="BG236" i="1"/>
  <c r="BK236" i="1"/>
  <c r="BG237" i="1"/>
  <c r="BH237" i="1"/>
  <c r="BI237" i="1"/>
  <c r="BM237" i="1"/>
  <c r="BK238" i="1"/>
  <c r="BL238" i="1"/>
  <c r="BK239" i="1"/>
  <c r="BL239" i="1"/>
  <c r="BH240" i="1"/>
  <c r="BL240" i="1"/>
  <c r="BG241" i="1"/>
  <c r="BH241" i="1"/>
  <c r="BO241" i="1"/>
  <c r="BP241" i="1"/>
  <c r="BI242" i="1"/>
  <c r="BK242" i="1"/>
  <c r="BH243" i="1"/>
  <c r="BI243" i="1"/>
  <c r="BJ243" i="1"/>
  <c r="BK243" i="1"/>
  <c r="BL243" i="1"/>
  <c r="BM243" i="1"/>
  <c r="BN243" i="1"/>
  <c r="BF245" i="1"/>
  <c r="BF247" i="1"/>
  <c r="BI248" i="1"/>
  <c r="BJ248" i="1"/>
  <c r="BK248" i="1"/>
  <c r="BL248" i="1"/>
  <c r="BG249" i="1"/>
  <c r="BN249" i="1"/>
  <c r="BI250" i="1"/>
  <c r="BJ250" i="1"/>
  <c r="BG251" i="1"/>
  <c r="BH251" i="1"/>
  <c r="BI251" i="1"/>
  <c r="BJ251" i="1"/>
  <c r="BS251" i="1"/>
  <c r="BX251" i="1"/>
  <c r="BK254" i="1"/>
  <c r="BI255" i="1"/>
  <c r="BJ255" i="1"/>
  <c r="BG256" i="1"/>
  <c r="BH256" i="1"/>
  <c r="BI256" i="1"/>
  <c r="BJ256" i="1"/>
  <c r="BG258" i="1"/>
  <c r="BH258" i="1"/>
  <c r="BI258" i="1"/>
  <c r="BJ258" i="1"/>
  <c r="BK258" i="1"/>
  <c r="BL258" i="1"/>
  <c r="BM258" i="1"/>
  <c r="BG260" i="1"/>
  <c r="BH260" i="1"/>
  <c r="BK260" i="1"/>
  <c r="BL260" i="1"/>
  <c r="BG261" i="1"/>
  <c r="BH261" i="1"/>
  <c r="BI262" i="1"/>
  <c r="BL262" i="1"/>
  <c r="BG263" i="1"/>
  <c r="BH263" i="1"/>
  <c r="BI263" i="1"/>
  <c r="BJ263" i="1"/>
  <c r="BK263" i="1"/>
  <c r="BG265" i="1"/>
  <c r="BH265" i="1"/>
  <c r="BI265" i="1"/>
  <c r="BJ265" i="1"/>
  <c r="BO265" i="1"/>
  <c r="BP265" i="1"/>
  <c r="BI266" i="1"/>
  <c r="BJ266" i="1"/>
  <c r="BK266" i="1"/>
  <c r="BL266" i="1"/>
  <c r="BM266" i="1"/>
  <c r="BN266" i="1"/>
  <c r="BG267" i="1"/>
  <c r="BH267" i="1"/>
  <c r="BI267" i="1"/>
  <c r="BJ267" i="1"/>
  <c r="BP267" i="1"/>
  <c r="BQ267" i="1"/>
  <c r="BG268" i="1"/>
  <c r="BL268" i="1"/>
  <c r="BM268" i="1"/>
  <c r="BG269" i="1"/>
  <c r="BH269" i="1"/>
  <c r="BK270" i="1"/>
  <c r="BL270" i="1"/>
  <c r="BM270" i="1"/>
  <c r="BN270" i="1"/>
  <c r="BO270" i="1"/>
  <c r="BG271" i="1"/>
  <c r="BH271" i="1"/>
  <c r="BF272" i="1"/>
  <c r="BG272" i="1"/>
  <c r="BG273" i="1"/>
  <c r="BF274" i="1"/>
  <c r="BG274" i="1"/>
  <c r="BH274" i="1"/>
  <c r="BF275" i="1"/>
  <c r="BG275" i="1"/>
  <c r="BH275" i="1"/>
  <c r="BI276" i="1"/>
  <c r="BJ276" i="1"/>
  <c r="BH278" i="1"/>
  <c r="BI278" i="1"/>
  <c r="BG280" i="1"/>
  <c r="BG281" i="1"/>
  <c r="BH281" i="1"/>
  <c r="BG285" i="1"/>
  <c r="BG286" i="1"/>
  <c r="BH286" i="1"/>
  <c r="BG288" i="1"/>
  <c r="BH288" i="1"/>
  <c r="BI288" i="1"/>
  <c r="BG289" i="1"/>
  <c r="BH289" i="1"/>
  <c r="BI289" i="1"/>
  <c r="BG290" i="1"/>
  <c r="BH290" i="1"/>
  <c r="BI290" i="1"/>
  <c r="BM290" i="1"/>
  <c r="BN290" i="1"/>
  <c r="BO290" i="1"/>
  <c r="BH291" i="1"/>
  <c r="BI291" i="1"/>
  <c r="BP291" i="1"/>
  <c r="BQ291" i="1"/>
  <c r="BR291" i="1"/>
  <c r="BF292" i="1"/>
  <c r="BG292" i="1"/>
  <c r="BH292" i="1"/>
  <c r="BI292" i="1"/>
  <c r="BP292" i="1"/>
  <c r="BQ292" i="1"/>
  <c r="BR292" i="1"/>
  <c r="BS292" i="1"/>
  <c r="BT292" i="1"/>
  <c r="BU292" i="1"/>
  <c r="BV292" i="1"/>
  <c r="BG293" i="1"/>
  <c r="BH293" i="1"/>
  <c r="R294" i="1"/>
  <c r="BG294" i="1"/>
  <c r="BI296" i="1"/>
  <c r="BL296" i="1"/>
  <c r="BM296" i="1"/>
  <c r="BN296" i="1"/>
  <c r="BO296" i="1"/>
  <c r="BH297" i="1"/>
  <c r="BJ298" i="1"/>
  <c r="BK298" i="1"/>
  <c r="BL298" i="1"/>
  <c r="BG299" i="1"/>
  <c r="BH299" i="1"/>
  <c r="BI299" i="1"/>
  <c r="BJ299" i="1"/>
  <c r="BJ300" i="1"/>
  <c r="BK300" i="1"/>
  <c r="BL300" i="1"/>
  <c r="BM300" i="1"/>
  <c r="BN300" i="1"/>
  <c r="BI301" i="1"/>
  <c r="BJ301" i="1"/>
  <c r="BK301" i="1"/>
  <c r="BM301" i="1"/>
  <c r="BG303" i="1"/>
  <c r="BG304" i="1"/>
  <c r="BH304" i="1"/>
  <c r="BI305" i="1"/>
  <c r="BJ305" i="1"/>
  <c r="BK305" i="1"/>
  <c r="BL305" i="1"/>
  <c r="BM305" i="1"/>
  <c r="BN305" i="1"/>
  <c r="BO305" i="1"/>
  <c r="BH306" i="1"/>
  <c r="BI306" i="1"/>
  <c r="BJ306" i="1"/>
  <c r="BG308" i="1"/>
  <c r="BH308" i="1"/>
  <c r="BI308" i="1"/>
  <c r="BJ308" i="1"/>
  <c r="BG309" i="1"/>
  <c r="BH309" i="1"/>
  <c r="BG312" i="1"/>
  <c r="BG314" i="1"/>
  <c r="BH314" i="1"/>
  <c r="BG315" i="1"/>
  <c r="BI316" i="1"/>
  <c r="BJ316" i="1"/>
  <c r="BK316" i="1"/>
  <c r="BH317" i="1"/>
  <c r="BI317" i="1"/>
  <c r="BG318" i="1"/>
  <c r="BH318" i="1"/>
  <c r="BI318" i="1"/>
  <c r="BJ318" i="1"/>
  <c r="BK318" i="1"/>
  <c r="BL318" i="1"/>
  <c r="BM318" i="1"/>
  <c r="BN318" i="1"/>
  <c r="BG319" i="1"/>
  <c r="BH319" i="1"/>
  <c r="BJ319" i="1"/>
  <c r="BK319" i="1"/>
  <c r="BL319" i="1"/>
  <c r="BM319" i="1"/>
  <c r="BG320" i="1"/>
  <c r="BH320" i="1"/>
  <c r="BP320" i="1"/>
  <c r="BF322" i="1"/>
  <c r="BG324" i="1"/>
  <c r="BH324" i="1"/>
  <c r="BI324" i="1"/>
  <c r="BH325" i="1"/>
  <c r="BI325" i="1"/>
  <c r="BJ325" i="1"/>
  <c r="BH326" i="1"/>
  <c r="BI326" i="1"/>
  <c r="BJ326" i="1"/>
  <c r="BG327" i="1"/>
  <c r="BH327" i="1"/>
  <c r="BH329" i="1"/>
  <c r="BI332" i="1"/>
  <c r="BJ332" i="1"/>
  <c r="BI333" i="1"/>
  <c r="BJ333" i="1"/>
  <c r="BG334" i="1"/>
  <c r="BH334" i="1"/>
  <c r="BI334" i="1"/>
  <c r="BJ334" i="1"/>
  <c r="BG336" i="1"/>
  <c r="BH336" i="1"/>
  <c r="BI337" i="1"/>
  <c r="BJ337" i="1"/>
  <c r="BI338" i="1"/>
  <c r="BJ338" i="1"/>
  <c r="BK338" i="1"/>
  <c r="BL338" i="1"/>
  <c r="BH341" i="1"/>
  <c r="BI341" i="1"/>
  <c r="BJ341" i="1"/>
  <c r="R342" i="1"/>
  <c r="BJ342" i="1"/>
  <c r="R343" i="1"/>
  <c r="BI343" i="1"/>
  <c r="BJ343" i="1"/>
  <c r="BK343" i="1"/>
  <c r="BL343" i="1"/>
  <c r="BM343" i="1"/>
  <c r="BQ343" i="1"/>
  <c r="BR343" i="1"/>
  <c r="BS343" i="1"/>
  <c r="BT343" i="1"/>
  <c r="BU343" i="1"/>
  <c r="BV343" i="1"/>
  <c r="R344" i="1"/>
  <c r="BJ344" i="1"/>
  <c r="BK344" i="1"/>
  <c r="R345" i="1"/>
  <c r="BF345" i="1"/>
  <c r="BG345" i="1"/>
  <c r="R346" i="1"/>
  <c r="BJ346" i="1"/>
  <c r="BK346" i="1"/>
  <c r="BL346" i="1"/>
  <c r="BM346" i="1"/>
  <c r="R347" i="1"/>
  <c r="BI347" i="1"/>
  <c r="BJ347" i="1"/>
  <c r="BK347" i="1"/>
  <c r="R348" i="1"/>
  <c r="BK348" i="1"/>
  <c r="BL348" i="1"/>
  <c r="R349" i="1"/>
  <c r="BL349" i="1"/>
  <c r="BM349" i="1"/>
  <c r="R350" i="1"/>
  <c r="BJ350" i="1"/>
  <c r="BK350" i="1"/>
  <c r="R351" i="1"/>
  <c r="BJ351" i="1"/>
  <c r="BK351" i="1"/>
  <c r="R352" i="1"/>
  <c r="R353" i="1"/>
  <c r="BJ353" i="1"/>
  <c r="BK353" i="1"/>
  <c r="BL353" i="1"/>
  <c r="R354" i="1"/>
  <c r="BI354" i="1"/>
  <c r="BJ354" i="1"/>
  <c r="R355" i="1"/>
  <c r="BI355" i="1"/>
  <c r="R356" i="1"/>
  <c r="BL356" i="1"/>
  <c r="BM356" i="1"/>
  <c r="BN356" i="1"/>
  <c r="R357" i="1"/>
  <c r="BJ357" i="1"/>
  <c r="BK357" i="1"/>
  <c r="BL357" i="1"/>
  <c r="R358" i="1"/>
  <c r="BI358" i="1"/>
  <c r="BJ358" i="1"/>
  <c r="BK358" i="1"/>
  <c r="BL358" i="1"/>
  <c r="BM358" i="1"/>
  <c r="R359" i="1"/>
  <c r="BJ359" i="1"/>
  <c r="BK359" i="1"/>
  <c r="BL359" i="1"/>
  <c r="BM359" i="1"/>
  <c r="BN359" i="1"/>
  <c r="R360" i="1"/>
  <c r="BI360" i="1"/>
  <c r="BJ360" i="1"/>
  <c r="BK360" i="1"/>
  <c r="R361" i="1"/>
  <c r="BJ361" i="1"/>
  <c r="BK361" i="1"/>
  <c r="BL361" i="1"/>
  <c r="BM361" i="1"/>
  <c r="BN361" i="1"/>
  <c r="BO361" i="1"/>
  <c r="BP361" i="1"/>
  <c r="R362" i="1"/>
  <c r="BJ362" i="1"/>
  <c r="R363" i="1"/>
  <c r="BL363" i="1"/>
  <c r="BM363" i="1"/>
  <c r="R364" i="1"/>
  <c r="BJ364" i="1"/>
  <c r="BK364" i="1"/>
  <c r="BL364" i="1"/>
  <c r="BM364" i="1"/>
  <c r="R365" i="1"/>
  <c r="BI365" i="1"/>
  <c r="BJ365" i="1"/>
  <c r="BK365" i="1"/>
  <c r="R366" i="1"/>
  <c r="BH366" i="1"/>
  <c r="BI366" i="1"/>
  <c r="BJ366" i="1"/>
  <c r="BK366" i="1"/>
  <c r="BL366" i="1"/>
  <c r="BM366" i="1"/>
  <c r="BN366" i="1"/>
  <c r="BO366" i="1"/>
  <c r="BP366" i="1"/>
  <c r="R367" i="1"/>
  <c r="BK367" i="1"/>
  <c r="BL367" i="1"/>
  <c r="BM367" i="1"/>
  <c r="BN367" i="1"/>
  <c r="BO367" i="1"/>
  <c r="R368" i="1"/>
  <c r="BI368" i="1"/>
  <c r="BJ368" i="1"/>
  <c r="BK368" i="1"/>
  <c r="R369" i="1"/>
  <c r="BJ369" i="1"/>
  <c r="BK369" i="1"/>
  <c r="BL369" i="1"/>
  <c r="BM369" i="1"/>
  <c r="R370" i="1"/>
  <c r="BK370" i="1"/>
  <c r="R371" i="1"/>
  <c r="BJ371" i="1"/>
  <c r="BK371" i="1"/>
  <c r="R372" i="1"/>
  <c r="BI372" i="1"/>
  <c r="R373" i="1"/>
  <c r="BI373" i="1"/>
  <c r="BJ373" i="1"/>
  <c r="BK373" i="1"/>
  <c r="BL373" i="1"/>
  <c r="R374" i="1"/>
  <c r="BI374" i="1"/>
  <c r="BJ374" i="1"/>
  <c r="R375" i="1"/>
  <c r="BI375" i="1"/>
  <c r="R376" i="1"/>
  <c r="BI376" i="1"/>
  <c r="BJ376" i="1"/>
  <c r="BK376" i="1"/>
  <c r="R377" i="1"/>
  <c r="BI377" i="1"/>
  <c r="BJ377" i="1"/>
  <c r="R378" i="1"/>
  <c r="BJ378" i="1"/>
  <c r="BK378" i="1"/>
  <c r="BL378" i="1"/>
  <c r="BM378" i="1"/>
  <c r="BN378" i="1"/>
  <c r="BO378" i="1"/>
  <c r="BP378" i="1"/>
  <c r="R379" i="1"/>
  <c r="BI379" i="1"/>
  <c r="BJ379" i="1"/>
  <c r="BK379" i="1"/>
  <c r="R380" i="1"/>
  <c r="BI380" i="1"/>
  <c r="BJ380" i="1"/>
  <c r="BK380" i="1"/>
  <c r="BL380" i="1"/>
  <c r="R381" i="1"/>
  <c r="R382" i="1"/>
  <c r="BJ382" i="1"/>
  <c r="BK382" i="1"/>
  <c r="BL382" i="1"/>
  <c r="BM382" i="1"/>
  <c r="BN382" i="1"/>
  <c r="BO382" i="1"/>
  <c r="BP382" i="1"/>
  <c r="BQ382" i="1"/>
  <c r="BR382" i="1"/>
  <c r="BS382" i="1"/>
  <c r="R383" i="1"/>
  <c r="BM383" i="1"/>
  <c r="BN383" i="1"/>
  <c r="BO383" i="1"/>
  <c r="BP383" i="1"/>
  <c r="BQ383" i="1"/>
  <c r="BR383" i="1"/>
  <c r="BS383" i="1"/>
  <c r="BT383" i="1"/>
  <c r="BU383" i="1"/>
  <c r="BV383" i="1"/>
  <c r="BW383" i="1"/>
  <c r="R384" i="1"/>
  <c r="BJ384" i="1"/>
  <c r="BK384" i="1"/>
  <c r="BL384" i="1"/>
  <c r="BM384" i="1"/>
  <c r="BN384" i="1"/>
  <c r="BO384" i="1"/>
  <c r="R385" i="1"/>
  <c r="BJ385" i="1"/>
  <c r="BK385" i="1"/>
  <c r="BL385" i="1"/>
  <c r="BM385" i="1"/>
  <c r="BN385" i="1"/>
  <c r="BO385" i="1"/>
  <c r="BP385" i="1"/>
  <c r="BQ385" i="1"/>
  <c r="R386" i="1"/>
  <c r="BI386" i="1"/>
  <c r="BJ386" i="1"/>
  <c r="BK386" i="1"/>
  <c r="BL386" i="1"/>
  <c r="R387" i="1"/>
  <c r="BI387" i="1"/>
  <c r="BJ387" i="1"/>
  <c r="BK387" i="1"/>
  <c r="R388" i="1"/>
  <c r="BI388" i="1"/>
  <c r="BJ388" i="1"/>
  <c r="BK388" i="1"/>
  <c r="BL388" i="1"/>
  <c r="R389" i="1"/>
  <c r="BG389" i="1"/>
  <c r="BH389" i="1"/>
  <c r="R390" i="1"/>
  <c r="BI390" i="1"/>
  <c r="BJ390" i="1"/>
  <c r="BK390" i="1"/>
  <c r="R391" i="1"/>
  <c r="BJ391" i="1"/>
  <c r="BL391" i="1"/>
  <c r="R392" i="1"/>
  <c r="BQ392" i="1"/>
  <c r="BR392" i="1"/>
  <c r="R393" i="1"/>
  <c r="BI393" i="1"/>
  <c r="BJ393" i="1"/>
  <c r="BK393" i="1"/>
  <c r="BL393" i="1"/>
  <c r="BM393" i="1"/>
  <c r="R394" i="1"/>
  <c r="BJ394" i="1"/>
  <c r="BK394" i="1"/>
  <c r="BL394" i="1"/>
  <c r="BM394" i="1"/>
  <c r="BN394" i="1"/>
  <c r="BO394" i="1"/>
  <c r="BP394" i="1"/>
  <c r="R395" i="1"/>
  <c r="BL395" i="1"/>
  <c r="BM395" i="1"/>
  <c r="BN395" i="1"/>
  <c r="BO395" i="1"/>
  <c r="BP395" i="1"/>
  <c r="R396" i="1"/>
  <c r="BJ396" i="1"/>
  <c r="BK396" i="1"/>
  <c r="R397" i="1"/>
  <c r="BK397" i="1"/>
  <c r="BL397" i="1"/>
  <c r="R398" i="1"/>
  <c r="BJ398" i="1"/>
  <c r="BK398" i="1"/>
  <c r="BL398" i="1"/>
  <c r="R399" i="1"/>
  <c r="BJ399" i="1"/>
  <c r="BK399" i="1"/>
  <c r="R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R401" i="1"/>
  <c r="BS401" i="1"/>
  <c r="BT401" i="1"/>
  <c r="R402" i="1"/>
  <c r="BJ402" i="1"/>
  <c r="BK402" i="1"/>
  <c r="BL402" i="1"/>
  <c r="BM402" i="1"/>
  <c r="BN402" i="1"/>
  <c r="BO402" i="1"/>
  <c r="BP402" i="1"/>
  <c r="R403" i="1"/>
  <c r="BJ403" i="1"/>
  <c r="BK403" i="1"/>
  <c r="R404" i="1"/>
  <c r="BI404" i="1"/>
  <c r="BJ404" i="1"/>
  <c r="BK404" i="1"/>
  <c r="BL404" i="1"/>
  <c r="R405" i="1"/>
  <c r="BI405" i="1"/>
  <c r="R406" i="1"/>
  <c r="BI406" i="1"/>
  <c r="BJ406" i="1"/>
  <c r="BK406" i="1"/>
  <c r="BL406" i="1"/>
  <c r="BM406" i="1"/>
  <c r="R407" i="1"/>
  <c r="BI407" i="1"/>
  <c r="BJ407" i="1"/>
  <c r="BK407" i="1"/>
  <c r="R408" i="1"/>
  <c r="BI408" i="1"/>
  <c r="BJ408" i="1"/>
  <c r="R409" i="1"/>
  <c r="BH409" i="1"/>
  <c r="BI409" i="1"/>
  <c r="BJ409" i="1"/>
  <c r="R410" i="1"/>
  <c r="BJ410" i="1"/>
  <c r="BK410" i="1"/>
  <c r="R411" i="1"/>
  <c r="BI411" i="1"/>
  <c r="BJ411" i="1"/>
  <c r="BK411" i="1"/>
  <c r="R412" i="1"/>
  <c r="BH412" i="1"/>
  <c r="R413" i="1"/>
  <c r="BJ413" i="1"/>
  <c r="BK413" i="1"/>
  <c r="BL413" i="1"/>
  <c r="BM413" i="1"/>
  <c r="BN413" i="1"/>
  <c r="BO413" i="1"/>
  <c r="BP413" i="1"/>
  <c r="BQ413" i="1"/>
  <c r="BR413" i="1"/>
  <c r="R414" i="1"/>
  <c r="BI414" i="1"/>
  <c r="R415" i="1"/>
  <c r="BI415" i="1"/>
  <c r="BJ415" i="1"/>
  <c r="BK415" i="1"/>
  <c r="BL415" i="1"/>
  <c r="R416" i="1"/>
  <c r="R417" i="1"/>
  <c r="BI417" i="1"/>
  <c r="BJ417" i="1"/>
  <c r="R418" i="1"/>
  <c r="BI418" i="1"/>
  <c r="R419" i="1"/>
  <c r="BJ419" i="1"/>
  <c r="BK419" i="1"/>
  <c r="R420" i="1"/>
  <c r="BI420" i="1"/>
  <c r="BJ420" i="1"/>
  <c r="BK420" i="1"/>
  <c r="BL420" i="1"/>
  <c r="R421" i="1"/>
  <c r="BI421" i="1"/>
  <c r="R422" i="1"/>
  <c r="BJ422" i="1"/>
  <c r="BK422" i="1"/>
  <c r="BL422" i="1"/>
  <c r="R423" i="1"/>
  <c r="BJ423" i="1"/>
  <c r="BK423" i="1"/>
  <c r="R424" i="1"/>
  <c r="BI424" i="1"/>
  <c r="BJ424" i="1"/>
  <c r="R425" i="1"/>
  <c r="BI425" i="1"/>
  <c r="R426" i="1"/>
  <c r="BI426" i="1"/>
  <c r="BJ426" i="1"/>
  <c r="BK426" i="1"/>
  <c r="BL426" i="1"/>
  <c r="BM426" i="1"/>
  <c r="BN426" i="1"/>
  <c r="BO426" i="1"/>
  <c r="R427" i="1"/>
  <c r="BI427" i="1"/>
  <c r="BJ427" i="1"/>
  <c r="R428" i="1"/>
  <c r="BJ428" i="1"/>
  <c r="BK428" i="1"/>
  <c r="BL428" i="1"/>
  <c r="BM428" i="1"/>
  <c r="BN428" i="1"/>
  <c r="BO428" i="1"/>
  <c r="BP428" i="1"/>
  <c r="R429" i="1"/>
  <c r="BJ429" i="1"/>
  <c r="BK429" i="1"/>
  <c r="R430" i="1"/>
  <c r="BL430" i="1"/>
  <c r="R431" i="1"/>
  <c r="BJ431" i="1"/>
  <c r="R432" i="1"/>
  <c r="BJ432" i="1"/>
  <c r="BK432" i="1"/>
  <c r="R433" i="1"/>
  <c r="BI433" i="1"/>
  <c r="BJ433" i="1"/>
  <c r="BK433" i="1"/>
  <c r="BL433" i="1"/>
  <c r="R434" i="1"/>
  <c r="BJ434" i="1"/>
  <c r="R435" i="1"/>
  <c r="BJ435" i="1"/>
  <c r="BK435" i="1"/>
  <c r="R436" i="1"/>
  <c r="BJ436" i="1"/>
  <c r="BK436" i="1"/>
  <c r="BL436" i="1"/>
  <c r="R437" i="1"/>
  <c r="BJ437" i="1"/>
  <c r="BK437" i="1"/>
  <c r="BL437" i="1"/>
  <c r="BM437" i="1"/>
  <c r="R438" i="1"/>
  <c r="BJ438" i="1"/>
  <c r="BK438" i="1"/>
  <c r="BL438" i="1"/>
  <c r="BM438" i="1"/>
  <c r="R439" i="1"/>
  <c r="BJ439" i="1"/>
  <c r="BK439" i="1"/>
  <c r="BL439" i="1"/>
  <c r="BM439" i="1"/>
  <c r="BN439" i="1"/>
  <c r="BO439" i="1"/>
  <c r="R440" i="1"/>
  <c r="BJ440" i="1"/>
  <c r="R441" i="1"/>
  <c r="BK441" i="1"/>
  <c r="BL441" i="1"/>
  <c r="BM441" i="1"/>
  <c r="R442" i="1"/>
  <c r="BL442" i="1"/>
  <c r="BM442" i="1"/>
  <c r="BN442" i="1"/>
  <c r="BO442" i="1"/>
  <c r="BP442" i="1"/>
  <c r="BQ442" i="1"/>
  <c r="BR442" i="1"/>
  <c r="BS442" i="1"/>
  <c r="R443" i="1"/>
  <c r="BJ443" i="1"/>
  <c r="BK443" i="1"/>
  <c r="R444" i="1"/>
  <c r="BH444" i="1"/>
  <c r="BI444" i="1"/>
  <c r="BJ444" i="1"/>
  <c r="R445" i="1"/>
  <c r="BJ445" i="1"/>
  <c r="BK445" i="1"/>
  <c r="BL445" i="1"/>
  <c r="R446" i="1"/>
  <c r="BJ446" i="1"/>
  <c r="BK446" i="1"/>
  <c r="BL446" i="1"/>
  <c r="BM446" i="1"/>
  <c r="BN446" i="1"/>
  <c r="R447" i="1"/>
  <c r="BJ447" i="1"/>
  <c r="BK447" i="1"/>
  <c r="R448" i="1"/>
  <c r="BY448" i="1"/>
  <c r="BZ448" i="1"/>
  <c r="CA448" i="1"/>
  <c r="CB448" i="1"/>
  <c r="CC448" i="1"/>
  <c r="CD448" i="1"/>
  <c r="CE448" i="1"/>
  <c r="CF448" i="1"/>
  <c r="CG448" i="1"/>
  <c r="CH448" i="1"/>
  <c r="R449" i="1"/>
  <c r="BJ449" i="1"/>
  <c r="BK449" i="1"/>
  <c r="BL449" i="1"/>
  <c r="BM449" i="1"/>
  <c r="BN449" i="1"/>
  <c r="BO449" i="1"/>
  <c r="BP449" i="1"/>
  <c r="BQ449" i="1"/>
  <c r="R450" i="1"/>
  <c r="BI450" i="1"/>
  <c r="BJ450" i="1"/>
  <c r="R451" i="1"/>
  <c r="BH451" i="1"/>
  <c r="R452" i="1"/>
  <c r="BJ452" i="1"/>
  <c r="BK452" i="1"/>
  <c r="BL452" i="1"/>
  <c r="BM452" i="1"/>
  <c r="BN452" i="1"/>
  <c r="R453" i="1"/>
  <c r="BJ453" i="1"/>
  <c r="BK453" i="1"/>
  <c r="BL453" i="1"/>
  <c r="BM453" i="1"/>
  <c r="BN453" i="1"/>
  <c r="BO453" i="1"/>
  <c r="BP453" i="1"/>
  <c r="R454" i="1"/>
  <c r="BJ454" i="1"/>
  <c r="BK454" i="1"/>
  <c r="R455" i="1"/>
  <c r="CD455" i="1"/>
  <c r="CE455" i="1"/>
  <c r="CF455" i="1"/>
  <c r="R456" i="1"/>
  <c r="BJ456" i="1"/>
  <c r="BK456" i="1"/>
  <c r="R457" i="1"/>
  <c r="BI457" i="1"/>
  <c r="BJ457" i="1"/>
  <c r="BK457" i="1"/>
  <c r="BL457" i="1"/>
  <c r="BM457" i="1"/>
  <c r="BN457" i="1"/>
  <c r="BO457" i="1"/>
  <c r="BP457" i="1"/>
  <c r="BQ457" i="1"/>
  <c r="R458" i="1"/>
  <c r="BI458" i="1"/>
  <c r="BJ458" i="1"/>
  <c r="R459" i="1"/>
  <c r="BN459" i="1"/>
  <c r="BO459" i="1"/>
  <c r="R460" i="1"/>
  <c r="BK460" i="1"/>
  <c r="BL460" i="1"/>
  <c r="BM460" i="1"/>
  <c r="BN460" i="1"/>
  <c r="BO460" i="1"/>
  <c r="BP460" i="1"/>
  <c r="BQ460" i="1"/>
  <c r="R461" i="1"/>
  <c r="BJ461" i="1"/>
  <c r="BK461" i="1"/>
  <c r="R462" i="1"/>
  <c r="BF462" i="1"/>
  <c r="R463" i="1"/>
  <c r="BJ463" i="1"/>
  <c r="BK463" i="1"/>
  <c r="BL463" i="1"/>
  <c r="BM463" i="1"/>
  <c r="R464" i="1"/>
  <c r="R465" i="1"/>
  <c r="BK465" i="1"/>
  <c r="BL465" i="1"/>
  <c r="BM465" i="1"/>
  <c r="BN465" i="1"/>
  <c r="BO465" i="1"/>
  <c r="BP465" i="1"/>
  <c r="R466" i="1"/>
  <c r="BJ466" i="1"/>
  <c r="BK466" i="1"/>
  <c r="BL466" i="1"/>
  <c r="BM466" i="1"/>
  <c r="R467" i="1"/>
  <c r="R468" i="1"/>
  <c r="BJ468" i="1"/>
  <c r="BK468" i="1"/>
  <c r="R469" i="1"/>
  <c r="BJ469" i="1"/>
  <c r="BK469" i="1"/>
  <c r="BL469" i="1"/>
  <c r="BM469" i="1"/>
  <c r="BN469" i="1"/>
  <c r="R470" i="1"/>
  <c r="BJ470" i="1"/>
  <c r="BK470" i="1"/>
  <c r="BL470" i="1"/>
  <c r="BM470" i="1"/>
  <c r="R471" i="1"/>
  <c r="BK471" i="1"/>
  <c r="BL471" i="1"/>
  <c r="R472" i="1"/>
  <c r="BJ472" i="1"/>
  <c r="BK472" i="1"/>
  <c r="BL472" i="1"/>
  <c r="BM472" i="1"/>
  <c r="BN472" i="1"/>
  <c r="BO472" i="1"/>
  <c r="BP472" i="1"/>
  <c r="BQ472" i="1"/>
  <c r="R473" i="1"/>
  <c r="BJ473" i="1"/>
  <c r="R474" i="1"/>
  <c r="BG474" i="1"/>
  <c r="R475" i="1"/>
  <c r="BJ475" i="1"/>
  <c r="BK475" i="1"/>
  <c r="BL475" i="1"/>
  <c r="BM475" i="1"/>
  <c r="BN475" i="1"/>
  <c r="R476" i="1"/>
  <c r="BJ476" i="1"/>
  <c r="BK476" i="1"/>
  <c r="BL476" i="1"/>
  <c r="BM476" i="1"/>
  <c r="BN476" i="1"/>
  <c r="BO476" i="1"/>
  <c r="BP476" i="1"/>
  <c r="BQ476" i="1"/>
  <c r="R477" i="1"/>
  <c r="BF477" i="1"/>
  <c r="BG477" i="1"/>
  <c r="R478" i="1"/>
  <c r="BI478" i="1"/>
  <c r="R479" i="1"/>
  <c r="BF479" i="1"/>
  <c r="BG479" i="1"/>
  <c r="BH479" i="1"/>
  <c r="R480" i="1"/>
  <c r="BK480" i="1"/>
  <c r="R481" i="1"/>
  <c r="BF481" i="1"/>
  <c r="BG481" i="1"/>
  <c r="R482" i="1"/>
  <c r="BH482" i="1"/>
  <c r="BI482" i="1"/>
  <c r="R483" i="1"/>
  <c r="BK483" i="1"/>
  <c r="BL483" i="1"/>
  <c r="BM483" i="1"/>
  <c r="BN483" i="1"/>
  <c r="BO483" i="1"/>
  <c r="BP483" i="1"/>
  <c r="R484" i="1"/>
  <c r="BJ484" i="1"/>
  <c r="BK484" i="1"/>
  <c r="R485" i="1"/>
  <c r="R486" i="1"/>
  <c r="BH486" i="1"/>
  <c r="BI486" i="1"/>
  <c r="BJ486" i="1"/>
  <c r="BK486" i="1"/>
  <c r="BL486" i="1"/>
  <c r="R487" i="1"/>
  <c r="BF487" i="1"/>
  <c r="R488" i="1"/>
  <c r="BG488" i="1"/>
  <c r="R489" i="1"/>
  <c r="BJ489" i="1"/>
  <c r="BK489" i="1"/>
  <c r="R490" i="1"/>
  <c r="BG490" i="1"/>
  <c r="R491" i="1"/>
  <c r="BG491" i="1"/>
  <c r="BH491" i="1"/>
  <c r="R492" i="1"/>
  <c r="BG492" i="1"/>
  <c r="R493" i="1"/>
  <c r="R494" i="1"/>
  <c r="BH494" i="1"/>
  <c r="BI494" i="1"/>
  <c r="R495" i="1"/>
  <c r="BG495" i="1"/>
  <c r="R496" i="1"/>
  <c r="BH496" i="1"/>
  <c r="R497" i="1"/>
  <c r="BF497" i="1"/>
  <c r="BG497" i="1"/>
  <c r="BH497" i="1"/>
  <c r="BI497" i="1"/>
  <c r="R498" i="1"/>
  <c r="BI498" i="1"/>
  <c r="BJ498" i="1"/>
  <c r="R499" i="1"/>
  <c r="BH499" i="1"/>
  <c r="R500" i="1"/>
  <c r="BG500" i="1"/>
  <c r="R501" i="1"/>
  <c r="BG501" i="1"/>
  <c r="BH501" i="1"/>
  <c r="BI501" i="1"/>
  <c r="R502" i="1"/>
  <c r="BH502" i="1"/>
  <c r="BI502" i="1"/>
  <c r="R503" i="1"/>
  <c r="BI503" i="1"/>
  <c r="BJ503" i="1"/>
  <c r="R504" i="1"/>
  <c r="BG504" i="1"/>
  <c r="BH504" i="1"/>
  <c r="BI504" i="1"/>
  <c r="R505" i="1"/>
  <c r="BG505" i="1"/>
  <c r="BH505" i="1"/>
  <c r="R506" i="1"/>
  <c r="BG506" i="1"/>
  <c r="BH506" i="1"/>
  <c r="R507" i="1"/>
  <c r="BJ507" i="1"/>
  <c r="R508" i="1"/>
  <c r="BI508" i="1"/>
  <c r="BJ508" i="1"/>
  <c r="BK508" i="1"/>
  <c r="BL508" i="1"/>
  <c r="BM508" i="1"/>
  <c r="BN508" i="1"/>
  <c r="BO508" i="1"/>
  <c r="BP508" i="1"/>
  <c r="R509" i="1"/>
  <c r="BL509" i="1"/>
  <c r="BM509" i="1"/>
  <c r="BN509" i="1"/>
  <c r="BO509" i="1"/>
  <c r="R510" i="1"/>
  <c r="BJ510" i="1"/>
  <c r="BK510" i="1"/>
  <c r="BL510" i="1"/>
  <c r="BN510" i="1"/>
  <c r="R511" i="1"/>
  <c r="BI511" i="1"/>
  <c r="BJ511" i="1"/>
  <c r="R512" i="1"/>
  <c r="BI512" i="1"/>
  <c r="BJ512" i="1"/>
  <c r="BK512" i="1"/>
  <c r="BL512" i="1"/>
  <c r="BM512" i="1"/>
  <c r="BN512" i="1"/>
  <c r="BO512" i="1"/>
  <c r="BP512" i="1"/>
  <c r="BQ512" i="1"/>
  <c r="R513" i="1"/>
  <c r="BJ513" i="1"/>
  <c r="BK513" i="1"/>
  <c r="BL513" i="1"/>
  <c r="BM513" i="1"/>
  <c r="BN513" i="1"/>
  <c r="BO513" i="1"/>
  <c r="BP513" i="1"/>
  <c r="BQ513" i="1"/>
  <c r="R514" i="1"/>
  <c r="BJ514" i="1"/>
  <c r="BK514" i="1"/>
  <c r="BL514" i="1"/>
  <c r="R515" i="1"/>
  <c r="BK515" i="1"/>
  <c r="BL515" i="1"/>
  <c r="BM515" i="1"/>
  <c r="BN515" i="1"/>
  <c r="BO515" i="1"/>
  <c r="R516" i="1"/>
  <c r="BI516" i="1"/>
  <c r="BJ516" i="1"/>
  <c r="R517" i="1"/>
  <c r="BJ517" i="1"/>
  <c r="BK517" i="1"/>
  <c r="R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R519" i="1"/>
  <c r="BJ519" i="1"/>
  <c r="BK519" i="1"/>
  <c r="BL519" i="1"/>
  <c r="R520" i="1"/>
  <c r="BI520" i="1"/>
  <c r="BJ520" i="1"/>
  <c r="BK520" i="1"/>
  <c r="BL520" i="1"/>
  <c r="R521" i="1"/>
  <c r="BJ521" i="1"/>
  <c r="R522" i="1"/>
  <c r="BM522" i="1"/>
  <c r="R523" i="1"/>
  <c r="BK523" i="1"/>
  <c r="BL523" i="1"/>
  <c r="BM523" i="1"/>
  <c r="BN523" i="1"/>
  <c r="BO523" i="1"/>
  <c r="BP523" i="1"/>
  <c r="BQ523" i="1"/>
  <c r="BR523" i="1"/>
  <c r="R524" i="1"/>
  <c r="BJ524" i="1"/>
  <c r="BK524" i="1"/>
  <c r="R525" i="1"/>
  <c r="BK525" i="1"/>
  <c r="BL525" i="1"/>
  <c r="BM525" i="1"/>
  <c r="BN525" i="1"/>
  <c r="R526" i="1"/>
  <c r="BJ526" i="1"/>
  <c r="BK526" i="1"/>
  <c r="BL526" i="1"/>
  <c r="BN526" i="1"/>
  <c r="R527" i="1"/>
  <c r="BL527" i="1"/>
  <c r="BM527" i="1"/>
  <c r="BN527" i="1"/>
  <c r="BO527" i="1"/>
  <c r="BP527" i="1"/>
  <c r="BQ527" i="1"/>
  <c r="R528" i="1"/>
  <c r="BK528" i="1"/>
  <c r="BL528" i="1"/>
  <c r="BM528" i="1"/>
  <c r="BN528" i="1"/>
  <c r="R529" i="1"/>
  <c r="BJ529" i="1"/>
  <c r="BK529" i="1"/>
  <c r="R530" i="1"/>
  <c r="BJ530" i="1"/>
  <c r="BK530" i="1"/>
  <c r="BL530" i="1"/>
  <c r="BM530" i="1"/>
  <c r="R531" i="1"/>
  <c r="BJ531" i="1"/>
  <c r="BK531" i="1"/>
  <c r="R532" i="1"/>
  <c r="BI532" i="1"/>
  <c r="BJ532" i="1"/>
  <c r="BK532" i="1"/>
  <c r="BL532" i="1"/>
  <c r="BM532" i="1"/>
  <c r="BN532" i="1"/>
  <c r="R533" i="1"/>
  <c r="BJ533" i="1"/>
  <c r="BK533" i="1"/>
  <c r="BL533" i="1"/>
  <c r="R534" i="1"/>
  <c r="BI534" i="1"/>
  <c r="BJ534" i="1"/>
  <c r="BK534" i="1"/>
  <c r="BL534" i="1"/>
  <c r="BM534" i="1"/>
  <c r="R535" i="1"/>
  <c r="BI535" i="1"/>
  <c r="BJ535" i="1"/>
  <c r="BK535" i="1"/>
  <c r="BL535" i="1"/>
  <c r="BM535" i="1"/>
  <c r="BN535" i="1"/>
  <c r="BO535" i="1"/>
  <c r="BP535" i="1"/>
  <c r="R536" i="1"/>
  <c r="BI536" i="1"/>
  <c r="BJ536" i="1"/>
  <c r="BK536" i="1"/>
  <c r="BL536" i="1"/>
  <c r="BM536" i="1"/>
  <c r="BN536" i="1"/>
  <c r="BO536" i="1"/>
  <c r="R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CA537" i="1"/>
  <c r="CB537" i="1"/>
  <c r="R538" i="1"/>
  <c r="BJ538" i="1"/>
  <c r="BK538" i="1"/>
  <c r="BL538" i="1"/>
  <c r="BM538" i="1"/>
  <c r="R539" i="1"/>
  <c r="BI539" i="1"/>
  <c r="R540" i="1"/>
  <c r="BI540" i="1"/>
  <c r="BJ540" i="1"/>
  <c r="BK540" i="1"/>
  <c r="BL540" i="1"/>
  <c r="BM540" i="1"/>
  <c r="BN540" i="1"/>
  <c r="BO540" i="1"/>
  <c r="R541" i="1"/>
  <c r="BI541" i="1"/>
  <c r="BJ541" i="1"/>
  <c r="R542" i="1"/>
  <c r="BI542" i="1"/>
  <c r="BJ542" i="1"/>
  <c r="BK542" i="1"/>
  <c r="BL542" i="1"/>
  <c r="R543" i="1"/>
  <c r="BI543" i="1"/>
  <c r="BJ543" i="1"/>
  <c r="BK543" i="1"/>
  <c r="BL543" i="1"/>
  <c r="BM543" i="1"/>
  <c r="BN543" i="1"/>
  <c r="BO543" i="1"/>
  <c r="R544" i="1"/>
  <c r="BI544" i="1"/>
  <c r="BJ544" i="1"/>
  <c r="BK544" i="1"/>
  <c r="BL544" i="1"/>
  <c r="BM544" i="1"/>
  <c r="BN544" i="1"/>
  <c r="R545" i="1"/>
  <c r="BI545" i="1"/>
  <c r="BJ545" i="1"/>
  <c r="R546" i="1"/>
  <c r="BI546" i="1"/>
  <c r="BJ546" i="1"/>
  <c r="BK546" i="1"/>
  <c r="BL546" i="1"/>
  <c r="BM546" i="1"/>
  <c r="BN546" i="1"/>
  <c r="BO546" i="1"/>
  <c r="R547" i="1"/>
  <c r="BI547" i="1"/>
  <c r="BJ547" i="1"/>
  <c r="BK547" i="1"/>
  <c r="BL547" i="1"/>
  <c r="BM547" i="1"/>
  <c r="R548" i="1"/>
  <c r="BI548" i="1"/>
  <c r="BJ548" i="1"/>
  <c r="BK548" i="1"/>
  <c r="BL548" i="1"/>
  <c r="BM548" i="1"/>
  <c r="R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R550" i="1"/>
  <c r="BI550" i="1"/>
  <c r="BJ550" i="1"/>
  <c r="BK550" i="1"/>
  <c r="BL550" i="1"/>
  <c r="BM550" i="1"/>
  <c r="BN550" i="1"/>
  <c r="BO550" i="1"/>
  <c r="BP550" i="1"/>
  <c r="BQ550" i="1"/>
  <c r="BR550" i="1"/>
  <c r="R551" i="1"/>
  <c r="BJ551" i="1"/>
  <c r="BK551" i="1"/>
  <c r="BL551" i="1"/>
  <c r="BM551" i="1"/>
  <c r="BN551" i="1"/>
  <c r="BO551" i="1"/>
  <c r="BP551" i="1"/>
  <c r="R552" i="1"/>
  <c r="BI552" i="1"/>
  <c r="BJ552" i="1"/>
  <c r="BK552" i="1"/>
  <c r="BL552" i="1"/>
  <c r="BM552" i="1"/>
  <c r="R553" i="1"/>
  <c r="BJ553" i="1"/>
  <c r="BK553" i="1"/>
  <c r="BL553" i="1"/>
  <c r="BM553" i="1"/>
  <c r="BN553" i="1"/>
  <c r="BO553" i="1"/>
  <c r="R554" i="1"/>
  <c r="BI554" i="1"/>
  <c r="BJ554" i="1"/>
  <c r="BK554" i="1"/>
  <c r="BL554" i="1"/>
  <c r="BM554" i="1"/>
  <c r="BN554" i="1"/>
  <c r="BO554" i="1"/>
  <c r="R555" i="1"/>
  <c r="BI555" i="1"/>
  <c r="BJ555" i="1"/>
  <c r="BK555" i="1"/>
  <c r="BL555" i="1"/>
  <c r="BM555" i="1"/>
  <c r="BN555" i="1"/>
  <c r="BO555" i="1"/>
  <c r="R556" i="1"/>
  <c r="BI556" i="1"/>
  <c r="BJ556" i="1"/>
  <c r="BK556" i="1"/>
  <c r="BL556" i="1"/>
  <c r="BM556" i="1"/>
  <c r="BO556" i="1"/>
  <c r="R557" i="1"/>
  <c r="BI557" i="1"/>
  <c r="BJ557" i="1"/>
  <c r="BK557" i="1"/>
  <c r="BL557" i="1"/>
  <c r="BM557" i="1"/>
  <c r="R558" i="1"/>
  <c r="BI558" i="1"/>
  <c r="BJ558" i="1"/>
  <c r="BK558" i="1"/>
  <c r="BL558" i="1"/>
  <c r="R559" i="1"/>
  <c r="BJ559" i="1"/>
  <c r="BK559" i="1"/>
  <c r="BL559" i="1"/>
  <c r="BM559" i="1"/>
  <c r="BN559" i="1"/>
  <c r="BO559" i="1"/>
  <c r="BP559" i="1"/>
  <c r="BQ559" i="1"/>
  <c r="BR559" i="1"/>
  <c r="BS559" i="1"/>
  <c r="R560" i="1"/>
  <c r="BI560" i="1"/>
  <c r="BJ560" i="1"/>
  <c r="BK560" i="1"/>
  <c r="BL560" i="1"/>
  <c r="BM560" i="1"/>
  <c r="BN560" i="1"/>
  <c r="BO560" i="1"/>
  <c r="R561" i="1"/>
  <c r="BM561" i="1"/>
  <c r="BN561" i="1"/>
  <c r="BO561" i="1"/>
  <c r="BP561" i="1"/>
  <c r="BQ561" i="1"/>
  <c r="BR561" i="1"/>
  <c r="R562" i="1"/>
  <c r="BI562" i="1"/>
  <c r="BJ562" i="1"/>
  <c r="BK562" i="1"/>
  <c r="R563" i="1"/>
  <c r="BI563" i="1"/>
  <c r="BJ563" i="1"/>
  <c r="BK563" i="1"/>
  <c r="BL563" i="1"/>
  <c r="BM563" i="1"/>
  <c r="BN563" i="1"/>
  <c r="BO563" i="1"/>
  <c r="BP563" i="1"/>
  <c r="BQ563" i="1"/>
  <c r="BR563" i="1"/>
  <c r="R564" i="1"/>
  <c r="BJ564" i="1"/>
  <c r="BK564" i="1"/>
  <c r="BL564" i="1"/>
  <c r="BM564" i="1"/>
  <c r="BN564" i="1"/>
  <c r="BO564" i="1"/>
  <c r="BP564" i="1"/>
  <c r="BQ564" i="1"/>
  <c r="R565" i="1"/>
  <c r="BI565" i="1"/>
  <c r="BJ565" i="1"/>
  <c r="BK565" i="1"/>
  <c r="BL565" i="1"/>
  <c r="BM565" i="1"/>
  <c r="BN565" i="1"/>
  <c r="BO565" i="1"/>
  <c r="BP565" i="1"/>
  <c r="R566" i="1"/>
  <c r="BI566" i="1"/>
  <c r="BJ566" i="1"/>
  <c r="BK566" i="1"/>
  <c r="BL566" i="1"/>
  <c r="BM566" i="1"/>
  <c r="BN566" i="1"/>
  <c r="R567" i="1"/>
  <c r="BI567" i="1"/>
  <c r="BJ567" i="1"/>
  <c r="BK567" i="1"/>
  <c r="BL567" i="1"/>
  <c r="R568" i="1"/>
  <c r="BI568" i="1"/>
  <c r="BJ568" i="1"/>
  <c r="BK568" i="1"/>
  <c r="BL568" i="1"/>
  <c r="R569" i="1"/>
  <c r="BI569" i="1"/>
  <c r="BJ569" i="1"/>
  <c r="BK569" i="1"/>
  <c r="BL569" i="1"/>
  <c r="BM569" i="1"/>
  <c r="BN569" i="1"/>
  <c r="R570" i="1"/>
  <c r="BH570" i="1"/>
  <c r="BI570" i="1"/>
  <c r="BJ570" i="1"/>
  <c r="BK570" i="1"/>
  <c r="BL570" i="1"/>
  <c r="BM570" i="1"/>
  <c r="BN570" i="1"/>
  <c r="BO570" i="1"/>
  <c r="R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R572" i="1"/>
  <c r="BO572" i="1"/>
  <c r="BP572" i="1"/>
  <c r="BQ572" i="1"/>
  <c r="BR572" i="1"/>
  <c r="BS572" i="1"/>
  <c r="BT572" i="1"/>
  <c r="BU572" i="1"/>
  <c r="R573" i="1"/>
  <c r="BI573" i="1"/>
  <c r="BJ573" i="1"/>
  <c r="BK573" i="1"/>
  <c r="BL573" i="1"/>
  <c r="BM573" i="1"/>
  <c r="BN573" i="1"/>
  <c r="BO573" i="1"/>
  <c r="R574" i="1"/>
  <c r="BI574" i="1"/>
  <c r="BJ574" i="1"/>
  <c r="BK574" i="1"/>
  <c r="BL574" i="1"/>
  <c r="BM574" i="1"/>
  <c r="BN574" i="1"/>
  <c r="R575" i="1"/>
  <c r="BI575" i="1"/>
  <c r="BJ575" i="1"/>
  <c r="BK575" i="1"/>
  <c r="BL575" i="1"/>
  <c r="BM575" i="1"/>
  <c r="BN575" i="1"/>
  <c r="R576" i="1"/>
  <c r="BI576" i="1"/>
  <c r="BJ576" i="1"/>
  <c r="BK576" i="1"/>
  <c r="BL576" i="1"/>
  <c r="BM576" i="1"/>
  <c r="BN576" i="1"/>
  <c r="BO576" i="1"/>
  <c r="BP576" i="1"/>
  <c r="BQ576" i="1"/>
  <c r="BR576" i="1"/>
  <c r="BS576" i="1"/>
  <c r="R577" i="1"/>
  <c r="BI577" i="1"/>
  <c r="BJ577" i="1"/>
  <c r="R578" i="1"/>
  <c r="BI578" i="1"/>
  <c r="BJ578" i="1"/>
  <c r="BK578" i="1"/>
  <c r="BL578" i="1"/>
  <c r="BM578" i="1"/>
  <c r="BN578" i="1"/>
  <c r="BO578" i="1"/>
  <c r="BP578" i="1"/>
  <c r="R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R580" i="1"/>
  <c r="BI580" i="1"/>
  <c r="BJ580" i="1"/>
  <c r="BK580" i="1"/>
  <c r="R581" i="1"/>
  <c r="BJ581" i="1"/>
  <c r="BK581" i="1"/>
  <c r="BL581" i="1"/>
  <c r="BM581" i="1"/>
  <c r="BN581" i="1"/>
  <c r="BO581" i="1"/>
  <c r="R582" i="1"/>
  <c r="BI582" i="1"/>
  <c r="BJ582" i="1"/>
  <c r="BK582" i="1"/>
  <c r="BL582" i="1"/>
  <c r="BM582" i="1"/>
  <c r="BN582" i="1"/>
  <c r="BO582" i="1"/>
  <c r="BP582" i="1"/>
  <c r="R583" i="1"/>
  <c r="BI583" i="1"/>
  <c r="BJ583" i="1"/>
  <c r="BK583" i="1"/>
  <c r="BL583" i="1"/>
  <c r="BM583" i="1"/>
  <c r="BN583" i="1"/>
  <c r="BO583" i="1"/>
  <c r="BP583" i="1"/>
  <c r="R584" i="1"/>
  <c r="BI584" i="1"/>
  <c r="BK584" i="1"/>
  <c r="R585" i="1"/>
  <c r="BI585" i="1"/>
  <c r="BJ585" i="1"/>
  <c r="BK585" i="1"/>
  <c r="R586" i="1"/>
  <c r="BJ586" i="1"/>
  <c r="BK586" i="1"/>
  <c r="BL586" i="1"/>
  <c r="BM586" i="1"/>
  <c r="BN586" i="1"/>
  <c r="BO586" i="1"/>
  <c r="BP586" i="1"/>
  <c r="BQ586" i="1"/>
  <c r="R587" i="1"/>
  <c r="BI587" i="1"/>
  <c r="BJ587" i="1"/>
  <c r="BK587" i="1"/>
  <c r="BL587" i="1"/>
  <c r="BM587" i="1"/>
  <c r="BN587" i="1"/>
  <c r="BO587" i="1"/>
  <c r="BP587" i="1"/>
  <c r="R588" i="1"/>
  <c r="BJ588" i="1"/>
  <c r="BK588" i="1"/>
  <c r="BL588" i="1"/>
  <c r="BM588" i="1"/>
  <c r="BN588" i="1"/>
  <c r="BO588" i="1"/>
  <c r="BP588" i="1"/>
  <c r="BQ588" i="1"/>
  <c r="BR588" i="1"/>
  <c r="BS588" i="1"/>
  <c r="R589" i="1"/>
  <c r="BK589" i="1"/>
  <c r="BL589" i="1"/>
  <c r="BM589" i="1"/>
  <c r="BN589" i="1"/>
  <c r="BO589" i="1"/>
  <c r="BP589" i="1"/>
  <c r="BQ589" i="1"/>
  <c r="BR589" i="1"/>
  <c r="BS589" i="1"/>
  <c r="R590" i="1"/>
  <c r="BI590" i="1"/>
  <c r="BJ590" i="1"/>
  <c r="BK590" i="1"/>
  <c r="R591" i="1"/>
  <c r="BI591" i="1"/>
  <c r="BJ591" i="1"/>
  <c r="R592" i="1"/>
  <c r="BI592" i="1"/>
  <c r="BJ592" i="1"/>
  <c r="R593" i="1"/>
  <c r="BI593" i="1"/>
  <c r="BJ593" i="1"/>
  <c r="BK593" i="1"/>
  <c r="R594" i="1"/>
  <c r="BJ594" i="1"/>
  <c r="BK594" i="1"/>
  <c r="BL594" i="1"/>
  <c r="BM594" i="1"/>
  <c r="BN594" i="1"/>
  <c r="BO594" i="1"/>
  <c r="BP594" i="1"/>
  <c r="R595" i="1"/>
  <c r="BI595" i="1"/>
  <c r="BJ595" i="1"/>
  <c r="BK595" i="1"/>
  <c r="BL595" i="1"/>
  <c r="R596" i="1"/>
  <c r="BJ596" i="1"/>
  <c r="BK596" i="1"/>
  <c r="BL596" i="1"/>
  <c r="BM596" i="1"/>
  <c r="BN596" i="1"/>
  <c r="BO596" i="1"/>
  <c r="BP596" i="1"/>
  <c r="R597" i="1"/>
  <c r="BK597" i="1"/>
  <c r="BL597" i="1"/>
  <c r="BM597" i="1"/>
  <c r="BN597" i="1"/>
  <c r="R598" i="1"/>
  <c r="BJ598" i="1"/>
  <c r="BK598" i="1"/>
  <c r="BL598" i="1"/>
  <c r="BM598" i="1"/>
  <c r="BN598" i="1"/>
  <c r="BP598" i="1"/>
  <c r="BQ598" i="1"/>
  <c r="BR598" i="1"/>
  <c r="BS598" i="1"/>
  <c r="BT598" i="1"/>
  <c r="BU598" i="1"/>
  <c r="BV598" i="1"/>
  <c r="BW598" i="1"/>
  <c r="BX598" i="1"/>
  <c r="R599" i="1"/>
  <c r="BJ599" i="1"/>
  <c r="BK599" i="1"/>
  <c r="BL599" i="1"/>
  <c r="BM599" i="1"/>
  <c r="BN599" i="1"/>
  <c r="BO599" i="1"/>
  <c r="R600" i="1"/>
  <c r="BJ600" i="1"/>
  <c r="BK600" i="1"/>
  <c r="BL600" i="1"/>
  <c r="BM600" i="1"/>
  <c r="BN600" i="1"/>
  <c r="R601" i="1"/>
  <c r="BJ601" i="1"/>
  <c r="BK601" i="1"/>
  <c r="BL601" i="1"/>
  <c r="R602" i="1"/>
  <c r="BJ602" i="1"/>
  <c r="BK602" i="1"/>
  <c r="BL602" i="1"/>
  <c r="BM602" i="1"/>
  <c r="BN602" i="1"/>
  <c r="BO602" i="1"/>
  <c r="BP602" i="1"/>
  <c r="R603" i="1"/>
  <c r="BI603" i="1"/>
  <c r="BJ603" i="1"/>
  <c r="BK603" i="1"/>
  <c r="R604" i="1"/>
  <c r="BI604" i="1"/>
  <c r="BJ604" i="1"/>
  <c r="BK604" i="1"/>
  <c r="BL604" i="1"/>
  <c r="BM604" i="1"/>
  <c r="BN604" i="1"/>
  <c r="R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R606" i="1"/>
  <c r="BJ606" i="1"/>
  <c r="BK606" i="1"/>
  <c r="BL606" i="1"/>
  <c r="BM606" i="1"/>
  <c r="R607" i="1"/>
  <c r="BJ607" i="1"/>
  <c r="BK607" i="1"/>
  <c r="BL607" i="1"/>
  <c r="R608" i="1"/>
  <c r="BO608" i="1"/>
  <c r="BP608" i="1"/>
  <c r="BQ608" i="1"/>
  <c r="BR608" i="1"/>
  <c r="R609" i="1"/>
  <c r="BI609" i="1"/>
  <c r="BJ609" i="1"/>
  <c r="BK609" i="1"/>
  <c r="BL609" i="1"/>
  <c r="R610" i="1"/>
  <c r="BI610" i="1"/>
  <c r="BJ610" i="1"/>
  <c r="BK610" i="1"/>
  <c r="R611" i="1"/>
  <c r="BI611" i="1"/>
  <c r="BJ611" i="1"/>
  <c r="BK611" i="1"/>
  <c r="R612" i="1"/>
  <c r="BI612" i="1"/>
  <c r="BJ612" i="1"/>
  <c r="R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R614" i="1"/>
  <c r="BJ614" i="1"/>
  <c r="BK614" i="1"/>
  <c r="BL614" i="1"/>
  <c r="BM614" i="1"/>
  <c r="BN614" i="1"/>
  <c r="BO614" i="1"/>
  <c r="BP614" i="1"/>
  <c r="BQ614" i="1"/>
  <c r="BR614" i="1"/>
  <c r="R615" i="1"/>
  <c r="BI615" i="1"/>
  <c r="BJ615" i="1"/>
  <c r="R616" i="1"/>
  <c r="BJ616" i="1"/>
  <c r="BK616" i="1"/>
  <c r="BL616" i="1"/>
  <c r="BM616" i="1"/>
  <c r="R617" i="1"/>
  <c r="BI617" i="1"/>
  <c r="BJ617" i="1"/>
  <c r="BK617" i="1"/>
  <c r="BL617" i="1"/>
  <c r="BM617" i="1"/>
  <c r="BN617" i="1"/>
  <c r="R618" i="1"/>
  <c r="BI618" i="1"/>
  <c r="BJ618" i="1"/>
  <c r="BK618" i="1"/>
  <c r="BL618" i="1"/>
  <c r="R619" i="1"/>
  <c r="BJ619" i="1"/>
  <c r="BK619" i="1"/>
  <c r="BL619" i="1"/>
  <c r="BM619" i="1"/>
  <c r="R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R621" i="1"/>
  <c r="BJ621" i="1"/>
  <c r="BK621" i="1"/>
  <c r="BL621" i="1"/>
  <c r="BM621" i="1"/>
  <c r="BN621" i="1"/>
  <c r="R622" i="1"/>
  <c r="BJ622" i="1"/>
  <c r="BK622" i="1"/>
  <c r="BL622" i="1"/>
  <c r="BM622" i="1"/>
  <c r="BN622" i="1"/>
  <c r="BO622" i="1"/>
  <c r="BP622" i="1"/>
  <c r="BQ622" i="1"/>
  <c r="BR622" i="1"/>
  <c r="R623" i="1"/>
  <c r="BJ623" i="1"/>
  <c r="BK623" i="1"/>
  <c r="BL623" i="1"/>
  <c r="BM623" i="1"/>
  <c r="BN623" i="1"/>
  <c r="BO623" i="1"/>
  <c r="BP623" i="1"/>
  <c r="BQ623" i="1"/>
  <c r="R624" i="1"/>
  <c r="BI624" i="1"/>
  <c r="BJ624" i="1"/>
  <c r="BK624" i="1"/>
  <c r="BL624" i="1"/>
  <c r="R625" i="1"/>
  <c r="BJ625" i="1"/>
  <c r="BK625" i="1"/>
  <c r="BL625" i="1"/>
  <c r="BM625" i="1"/>
  <c r="BN625" i="1"/>
  <c r="BO625" i="1"/>
  <c r="BP625" i="1"/>
  <c r="R626" i="1"/>
  <c r="BI626" i="1"/>
  <c r="BJ626" i="1"/>
  <c r="BK626" i="1"/>
  <c r="BL626" i="1"/>
  <c r="BM626" i="1"/>
  <c r="BN626" i="1"/>
  <c r="BO626" i="1"/>
  <c r="BP626" i="1"/>
  <c r="R627" i="1"/>
  <c r="BJ627" i="1"/>
  <c r="BK627" i="1"/>
  <c r="BL627" i="1"/>
  <c r="BM627" i="1"/>
  <c r="BN627" i="1"/>
  <c r="R628" i="1"/>
  <c r="BK628" i="1"/>
  <c r="R629" i="1"/>
  <c r="BJ629" i="1"/>
  <c r="R630" i="1"/>
  <c r="BJ630" i="1"/>
  <c r="BK630" i="1"/>
  <c r="BL630" i="1"/>
  <c r="BM630" i="1"/>
  <c r="BN630" i="1"/>
  <c r="BO630" i="1"/>
  <c r="BP630" i="1"/>
  <c r="BQ630" i="1"/>
  <c r="R631" i="1"/>
  <c r="BI631" i="1"/>
  <c r="BJ631" i="1"/>
  <c r="BK631" i="1"/>
  <c r="BL631" i="1"/>
  <c r="BM631" i="1"/>
  <c r="R632" i="1"/>
  <c r="BJ632" i="1"/>
  <c r="BK632" i="1"/>
  <c r="BL632" i="1"/>
  <c r="BM632" i="1"/>
  <c r="BN632" i="1"/>
  <c r="BO632" i="1"/>
  <c r="BP632" i="1"/>
  <c r="BQ632" i="1"/>
  <c r="BR632" i="1"/>
  <c r="BS632" i="1"/>
  <c r="R633" i="1"/>
  <c r="BJ633" i="1"/>
  <c r="BK633" i="1"/>
  <c r="BL633" i="1"/>
  <c r="BM633" i="1"/>
  <c r="BN633" i="1"/>
  <c r="BO633" i="1"/>
  <c r="BP633" i="1"/>
  <c r="BQ633" i="1"/>
  <c r="BR633" i="1"/>
  <c r="BS633" i="1"/>
  <c r="R634" i="1"/>
  <c r="BJ634" i="1"/>
  <c r="BK634" i="1"/>
  <c r="BL634" i="1"/>
  <c r="BM634" i="1"/>
  <c r="BN634" i="1"/>
  <c r="R635" i="1"/>
  <c r="BJ635" i="1"/>
  <c r="BK635" i="1"/>
  <c r="BL635" i="1"/>
  <c r="BM635" i="1"/>
  <c r="R636" i="1"/>
  <c r="BJ636" i="1"/>
  <c r="BK636" i="1"/>
  <c r="R637" i="1"/>
  <c r="BJ637" i="1"/>
  <c r="BK637" i="1"/>
  <c r="BL637" i="1"/>
  <c r="BM637" i="1"/>
  <c r="BN637" i="1"/>
  <c r="R638" i="1"/>
  <c r="BJ638" i="1"/>
  <c r="BK638" i="1"/>
  <c r="BL638" i="1"/>
  <c r="BM638" i="1"/>
  <c r="BN638" i="1"/>
  <c r="BO638" i="1"/>
  <c r="BP638" i="1"/>
  <c r="BQ638" i="1"/>
  <c r="R639" i="1"/>
  <c r="BJ639" i="1"/>
  <c r="BK639" i="1"/>
  <c r="BL639" i="1"/>
  <c r="R640" i="1"/>
  <c r="BJ640" i="1"/>
  <c r="BK640" i="1"/>
  <c r="BL640" i="1"/>
  <c r="BM640" i="1"/>
  <c r="BN640" i="1"/>
  <c r="BO640" i="1"/>
  <c r="BP640" i="1"/>
  <c r="BQ640" i="1"/>
  <c r="R641" i="1"/>
  <c r="BJ641" i="1"/>
  <c r="BK641" i="1"/>
  <c r="R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R643" i="1"/>
  <c r="BJ643" i="1"/>
  <c r="BK643" i="1"/>
  <c r="BL643" i="1"/>
  <c r="BM643" i="1"/>
  <c r="R644" i="1"/>
  <c r="BK644" i="1"/>
  <c r="BL644" i="1"/>
  <c r="BM644" i="1"/>
  <c r="BN644" i="1"/>
  <c r="R645" i="1"/>
  <c r="BJ645" i="1"/>
  <c r="BK645" i="1"/>
  <c r="BL645" i="1"/>
  <c r="R646" i="1"/>
  <c r="BJ646" i="1"/>
  <c r="BK646" i="1"/>
  <c r="BL646" i="1"/>
  <c r="BM646" i="1"/>
  <c r="BN646" i="1"/>
  <c r="R647" i="1"/>
  <c r="BJ647" i="1"/>
  <c r="BK647" i="1"/>
  <c r="R648" i="1"/>
  <c r="BJ648" i="1"/>
  <c r="R649" i="1"/>
  <c r="R650" i="1"/>
  <c r="BJ650" i="1"/>
  <c r="BK650" i="1"/>
  <c r="BL650" i="1"/>
  <c r="BM650" i="1"/>
  <c r="BN650" i="1"/>
  <c r="BO650" i="1"/>
  <c r="BP650" i="1"/>
  <c r="BQ650" i="1"/>
  <c r="BR650" i="1"/>
  <c r="BS650" i="1"/>
  <c r="R651" i="1"/>
  <c r="BJ651" i="1"/>
  <c r="BK651" i="1"/>
  <c r="R652" i="1"/>
  <c r="BJ652" i="1"/>
  <c r="BK652" i="1"/>
  <c r="BL652" i="1"/>
  <c r="BM652" i="1"/>
  <c r="BN652" i="1"/>
  <c r="BO652" i="1"/>
  <c r="BP652" i="1"/>
  <c r="R653" i="1"/>
  <c r="BJ653" i="1"/>
  <c r="BK653" i="1"/>
  <c r="BL653" i="1"/>
  <c r="BM653" i="1"/>
  <c r="BN653" i="1"/>
  <c r="R654" i="1"/>
  <c r="BI654" i="1"/>
  <c r="BJ654" i="1"/>
  <c r="BK654" i="1"/>
  <c r="BL654" i="1"/>
  <c r="BM654" i="1"/>
  <c r="R655" i="1"/>
  <c r="BJ655" i="1"/>
  <c r="BK655" i="1"/>
  <c r="BL655" i="1"/>
  <c r="BM655" i="1"/>
  <c r="BN655" i="1"/>
  <c r="BO655" i="1"/>
  <c r="BP655" i="1"/>
  <c r="BQ655" i="1"/>
  <c r="BR655" i="1"/>
  <c r="BS655" i="1"/>
  <c r="R656" i="1"/>
  <c r="BM656" i="1"/>
  <c r="BN656" i="1"/>
  <c r="BO656" i="1"/>
  <c r="BP656" i="1"/>
  <c r="BQ656" i="1"/>
  <c r="BR656" i="1"/>
  <c r="R657" i="1"/>
  <c r="BJ657" i="1"/>
  <c r="BK657" i="1"/>
  <c r="BL657" i="1"/>
  <c r="BM657" i="1"/>
  <c r="R658" i="1"/>
  <c r="BJ658" i="1"/>
  <c r="BK658" i="1"/>
  <c r="BL658" i="1"/>
  <c r="BM658" i="1"/>
  <c r="BN658" i="1"/>
  <c r="BO658" i="1"/>
  <c r="BP658" i="1"/>
  <c r="BQ658" i="1"/>
  <c r="BR658" i="1"/>
  <c r="R659" i="1"/>
  <c r="BJ659" i="1"/>
  <c r="BK659" i="1"/>
  <c r="BL659" i="1"/>
  <c r="BM659" i="1"/>
  <c r="BN659" i="1"/>
  <c r="BO659" i="1"/>
  <c r="BP659" i="1"/>
  <c r="R660" i="1"/>
  <c r="BJ660" i="1"/>
  <c r="BK660" i="1"/>
  <c r="BL660" i="1"/>
  <c r="BM660" i="1"/>
  <c r="BN660" i="1"/>
  <c r="BO660" i="1"/>
  <c r="BP660" i="1"/>
  <c r="R661" i="1"/>
  <c r="BJ661" i="1"/>
  <c r="BK661" i="1"/>
  <c r="BL661" i="1"/>
  <c r="BM661" i="1"/>
  <c r="BN661" i="1"/>
  <c r="BO661" i="1"/>
  <c r="BP661" i="1"/>
  <c r="BQ661" i="1"/>
  <c r="BR661" i="1"/>
  <c r="BS661" i="1"/>
  <c r="R662" i="1"/>
  <c r="BJ662" i="1"/>
  <c r="BK662" i="1"/>
  <c r="BL662" i="1"/>
  <c r="BM662" i="1"/>
  <c r="BN662" i="1"/>
  <c r="R663" i="1"/>
  <c r="BJ663" i="1"/>
  <c r="BK663" i="1"/>
  <c r="R664" i="1"/>
  <c r="BI664" i="1"/>
  <c r="BJ664" i="1"/>
  <c r="BK664" i="1"/>
  <c r="BL664" i="1"/>
  <c r="BM664" i="1"/>
  <c r="BN664" i="1"/>
  <c r="BO664" i="1"/>
  <c r="BP664" i="1"/>
  <c r="R665" i="1"/>
  <c r="BJ665" i="1"/>
  <c r="BK665" i="1"/>
  <c r="BL665" i="1"/>
  <c r="BM665" i="1"/>
  <c r="R666" i="1"/>
  <c r="BJ666" i="1"/>
  <c r="BK666" i="1"/>
  <c r="BL666" i="1"/>
  <c r="BM666" i="1"/>
  <c r="BN666" i="1"/>
  <c r="BO666" i="1"/>
  <c r="BP666" i="1"/>
  <c r="R667" i="1"/>
  <c r="BJ667" i="1"/>
  <c r="BK667" i="1"/>
  <c r="R668" i="1"/>
  <c r="BI668" i="1"/>
  <c r="BJ668" i="1"/>
  <c r="BK668" i="1"/>
  <c r="BL668" i="1"/>
  <c r="R669" i="1"/>
  <c r="BI669" i="1"/>
  <c r="BJ669" i="1"/>
  <c r="BK669" i="1"/>
  <c r="BL669" i="1"/>
  <c r="BM669" i="1"/>
  <c r="BN669" i="1"/>
  <c r="BO669" i="1"/>
  <c r="BP669" i="1"/>
  <c r="BQ669" i="1"/>
  <c r="R670" i="1"/>
  <c r="BI670" i="1"/>
  <c r="R671" i="1"/>
  <c r="BK671" i="1"/>
  <c r="BL671" i="1"/>
  <c r="BM671" i="1"/>
  <c r="BN671" i="1"/>
  <c r="BO671" i="1"/>
  <c r="BP671" i="1"/>
  <c r="R672" i="1"/>
  <c r="BJ672" i="1"/>
  <c r="BK672" i="1"/>
  <c r="BL672" i="1"/>
  <c r="BM672" i="1"/>
  <c r="BN672" i="1"/>
  <c r="BO672" i="1"/>
  <c r="R673" i="1"/>
  <c r="BI673" i="1"/>
  <c r="BJ673" i="1"/>
  <c r="BK673" i="1"/>
  <c r="BL673" i="1"/>
  <c r="R674" i="1"/>
  <c r="BJ674" i="1"/>
  <c r="BK674" i="1"/>
  <c r="BL674" i="1"/>
  <c r="BM674" i="1"/>
  <c r="R675" i="1"/>
  <c r="BI675" i="1"/>
  <c r="BJ675" i="1"/>
  <c r="BK675" i="1"/>
  <c r="R676" i="1"/>
  <c r="BI676" i="1"/>
  <c r="BJ676" i="1"/>
  <c r="BK676" i="1"/>
  <c r="BL676" i="1"/>
  <c r="BM676" i="1"/>
  <c r="BN676" i="1"/>
  <c r="R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R678" i="1"/>
  <c r="BI678" i="1"/>
  <c r="BJ678" i="1"/>
  <c r="BK678" i="1"/>
  <c r="BL678" i="1"/>
  <c r="BM678" i="1"/>
  <c r="BN678" i="1"/>
  <c r="BO678" i="1"/>
  <c r="BP678" i="1"/>
  <c r="R679" i="1"/>
  <c r="BI679" i="1"/>
  <c r="BJ679" i="1"/>
  <c r="BK679" i="1"/>
  <c r="BL679" i="1"/>
  <c r="R680" i="1"/>
  <c r="BJ680" i="1"/>
  <c r="BK680" i="1"/>
  <c r="BL680" i="1"/>
  <c r="BM680" i="1"/>
  <c r="BN680" i="1"/>
  <c r="BO680" i="1"/>
  <c r="BP680" i="1"/>
  <c r="R681" i="1"/>
  <c r="BI681" i="1"/>
  <c r="BJ681" i="1"/>
  <c r="BK681" i="1"/>
  <c r="BL681" i="1"/>
  <c r="R682" i="1"/>
  <c r="BJ682" i="1"/>
  <c r="BK682" i="1"/>
  <c r="BL682" i="1"/>
  <c r="R683" i="1"/>
  <c r="BJ683" i="1"/>
  <c r="BK683" i="1"/>
  <c r="BL683" i="1"/>
  <c r="R684" i="1"/>
  <c r="BI684" i="1"/>
  <c r="BJ684" i="1"/>
  <c r="R685" i="1"/>
  <c r="BI685" i="1"/>
  <c r="BJ685" i="1"/>
  <c r="R686" i="1"/>
  <c r="R687" i="1"/>
  <c r="BI687" i="1"/>
  <c r="BJ687" i="1"/>
  <c r="R688" i="1"/>
  <c r="BI688" i="1"/>
  <c r="BJ688" i="1"/>
  <c r="R689" i="1"/>
  <c r="BH689" i="1"/>
  <c r="BI689" i="1"/>
  <c r="BJ689" i="1"/>
  <c r="BK689" i="1"/>
  <c r="BL689" i="1"/>
  <c r="R690" i="1"/>
  <c r="BH690" i="1"/>
  <c r="BI690" i="1"/>
  <c r="BJ690" i="1"/>
  <c r="BK690" i="1"/>
  <c r="BL690" i="1"/>
  <c r="BM690" i="1"/>
  <c r="BN690" i="1"/>
  <c r="BO690" i="1"/>
  <c r="BQ690" i="1"/>
  <c r="BR690" i="1"/>
  <c r="BS690" i="1"/>
  <c r="BT690" i="1"/>
  <c r="BU690" i="1"/>
  <c r="R691" i="1"/>
  <c r="BJ691" i="1"/>
  <c r="R692" i="1"/>
  <c r="BI692" i="1"/>
  <c r="BJ692" i="1"/>
  <c r="BK692" i="1"/>
  <c r="BL692" i="1"/>
  <c r="BM692" i="1"/>
  <c r="BN692" i="1"/>
  <c r="BO692" i="1"/>
  <c r="BP692" i="1"/>
  <c r="BQ692" i="1"/>
  <c r="R693" i="1"/>
  <c r="R694" i="1"/>
  <c r="R695" i="1"/>
  <c r="BI695" i="1"/>
  <c r="BJ695" i="1"/>
  <c r="BK695" i="1"/>
  <c r="BL695" i="1"/>
  <c r="BM695" i="1"/>
  <c r="BN695" i="1"/>
  <c r="BO695" i="1"/>
  <c r="BP695" i="1"/>
  <c r="BQ695" i="1"/>
  <c r="BR695" i="1"/>
  <c r="R696" i="1"/>
  <c r="BI696" i="1"/>
  <c r="R697" i="1"/>
  <c r="BI697" i="1"/>
  <c r="R698" i="1"/>
  <c r="BI698" i="1"/>
  <c r="BJ698" i="1"/>
  <c r="BK698" i="1"/>
  <c r="BL698" i="1"/>
  <c r="BM698" i="1"/>
  <c r="BO698" i="1"/>
  <c r="BP698" i="1"/>
  <c r="R699" i="1"/>
  <c r="BI699" i="1"/>
  <c r="BJ699" i="1"/>
  <c r="BK699" i="1"/>
  <c r="BL699" i="1"/>
  <c r="BM699" i="1"/>
  <c r="BN699" i="1"/>
  <c r="BO699" i="1"/>
  <c r="BP699" i="1"/>
  <c r="BQ699" i="1"/>
  <c r="BR699" i="1"/>
  <c r="R700" i="1"/>
  <c r="BI700" i="1"/>
  <c r="R701" i="1"/>
  <c r="BJ701" i="1"/>
  <c r="BK701" i="1"/>
  <c r="BL701" i="1"/>
  <c r="R702" i="1"/>
  <c r="BI702" i="1"/>
  <c r="BJ702" i="1"/>
  <c r="R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R704" i="1"/>
  <c r="R705" i="1"/>
  <c r="BI705" i="1"/>
  <c r="BJ705" i="1"/>
  <c r="BK705" i="1"/>
  <c r="R706" i="1"/>
  <c r="BI706" i="1"/>
  <c r="BJ706" i="1"/>
  <c r="BK706" i="1"/>
  <c r="R707" i="1"/>
  <c r="BJ707" i="1"/>
  <c r="BK707" i="1"/>
  <c r="BL707" i="1"/>
  <c r="BP707" i="1"/>
  <c r="R708" i="1"/>
  <c r="BI708" i="1"/>
  <c r="R709" i="1"/>
  <c r="BI709" i="1"/>
  <c r="BJ709" i="1"/>
  <c r="R710" i="1"/>
  <c r="BI710" i="1"/>
  <c r="BJ710" i="1"/>
  <c r="BK710" i="1"/>
  <c r="R711" i="1"/>
  <c r="BI711" i="1"/>
  <c r="BJ711" i="1"/>
  <c r="BK711" i="1"/>
  <c r="BL711" i="1"/>
  <c r="BM711" i="1"/>
  <c r="BN711" i="1"/>
  <c r="BO711" i="1"/>
  <c r="BP711" i="1"/>
  <c r="R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R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R714" i="1"/>
  <c r="BI714" i="1"/>
  <c r="R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R716" i="1"/>
  <c r="BI716" i="1"/>
  <c r="BJ716" i="1"/>
  <c r="BK716" i="1"/>
  <c r="BL716" i="1"/>
  <c r="BM716" i="1"/>
  <c r="BN716" i="1"/>
  <c r="BO716" i="1"/>
  <c r="BP716" i="1"/>
  <c r="BQ716" i="1"/>
  <c r="R717" i="1"/>
  <c r="BI717" i="1"/>
  <c r="BJ717" i="1"/>
  <c r="BK717" i="1"/>
  <c r="BL717" i="1"/>
  <c r="BM717" i="1"/>
  <c r="BN717" i="1"/>
  <c r="BO717" i="1"/>
  <c r="BP717" i="1"/>
  <c r="BQ717" i="1"/>
  <c r="BR717" i="1"/>
  <c r="BS717" i="1"/>
  <c r="R718" i="1"/>
  <c r="BI718" i="1"/>
  <c r="BJ718" i="1"/>
  <c r="BK718" i="1"/>
  <c r="BL718" i="1"/>
  <c r="BM718" i="1"/>
  <c r="BN718" i="1"/>
  <c r="BO718" i="1"/>
  <c r="R719" i="1"/>
  <c r="BJ719" i="1"/>
  <c r="BK719" i="1"/>
  <c r="BL719" i="1"/>
  <c r="BM719" i="1"/>
  <c r="BN719" i="1"/>
  <c r="BO719" i="1"/>
  <c r="BP719" i="1"/>
  <c r="BQ719" i="1"/>
  <c r="BR719" i="1"/>
  <c r="BS719" i="1"/>
  <c r="BT719" i="1"/>
  <c r="R720" i="1"/>
  <c r="BI720" i="1"/>
  <c r="BJ720" i="1"/>
  <c r="BK720" i="1"/>
  <c r="BL720" i="1"/>
  <c r="BM720" i="1"/>
  <c r="BN720" i="1"/>
  <c r="BO720" i="1"/>
  <c r="BP720" i="1"/>
  <c r="BQ720" i="1"/>
  <c r="BR720" i="1"/>
  <c r="BS720" i="1"/>
  <c r="R721" i="1"/>
  <c r="BI721" i="1"/>
  <c r="R722" i="1"/>
  <c r="R723" i="1"/>
  <c r="BI723" i="1"/>
  <c r="BJ723" i="1"/>
  <c r="BK723" i="1"/>
  <c r="BL723" i="1"/>
  <c r="BM723" i="1"/>
  <c r="BN723" i="1"/>
  <c r="BO723" i="1"/>
  <c r="R724" i="1"/>
  <c r="BI724" i="1"/>
  <c r="BJ724" i="1"/>
  <c r="BK724" i="1"/>
  <c r="BL724" i="1"/>
  <c r="BM724" i="1"/>
  <c r="R725" i="1"/>
  <c r="BI725" i="1"/>
  <c r="BJ725" i="1"/>
  <c r="BK725" i="1"/>
  <c r="BL725" i="1"/>
  <c r="BM725" i="1"/>
  <c r="BN725" i="1"/>
  <c r="BO725" i="1"/>
  <c r="BP725" i="1"/>
  <c r="BQ725" i="1"/>
  <c r="BR725" i="1"/>
  <c r="BS725" i="1"/>
  <c r="R726" i="1"/>
  <c r="BI726" i="1"/>
  <c r="BJ726" i="1"/>
  <c r="BK726" i="1"/>
  <c r="BL726" i="1"/>
  <c r="BM726" i="1"/>
  <c r="BN726" i="1"/>
  <c r="BO726" i="1"/>
  <c r="R727" i="1"/>
  <c r="BI727" i="1"/>
  <c r="BJ727" i="1"/>
  <c r="BK727" i="1"/>
  <c r="BL727" i="1"/>
  <c r="BM727" i="1"/>
  <c r="BN727" i="1"/>
  <c r="BO727" i="1"/>
  <c r="R728" i="1"/>
  <c r="BI728" i="1"/>
  <c r="BJ728" i="1"/>
  <c r="BK728" i="1"/>
  <c r="BL728" i="1"/>
  <c r="BM728" i="1"/>
  <c r="R729" i="1"/>
  <c r="BI729" i="1"/>
  <c r="R730" i="1"/>
  <c r="BI730" i="1"/>
  <c r="BJ730" i="1"/>
  <c r="BK730" i="1"/>
  <c r="BL730" i="1"/>
  <c r="BN730" i="1"/>
  <c r="BO730" i="1"/>
  <c r="BP730" i="1"/>
  <c r="BQ730" i="1"/>
  <c r="R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R732" i="1"/>
  <c r="BH732" i="1"/>
  <c r="BI732" i="1"/>
  <c r="BJ732" i="1"/>
  <c r="BK732" i="1"/>
  <c r="R733" i="1"/>
  <c r="BI733" i="1"/>
  <c r="BJ733" i="1"/>
  <c r="BK733" i="1"/>
  <c r="BL733" i="1"/>
  <c r="BM733" i="1"/>
  <c r="BN733" i="1"/>
  <c r="BO733" i="1"/>
  <c r="BP733" i="1"/>
  <c r="BQ733" i="1"/>
  <c r="BR733" i="1"/>
  <c r="R734" i="1"/>
  <c r="BI734" i="1"/>
  <c r="R735" i="1"/>
  <c r="BI735" i="1"/>
  <c r="BJ735" i="1"/>
  <c r="BK735" i="1"/>
  <c r="R736" i="1"/>
  <c r="BI736" i="1"/>
  <c r="BJ736" i="1"/>
  <c r="BK736" i="1"/>
  <c r="BL736" i="1"/>
  <c r="BM736" i="1"/>
  <c r="BN736" i="1"/>
  <c r="R737" i="1"/>
  <c r="BI737" i="1"/>
  <c r="BJ737" i="1"/>
  <c r="R738" i="1"/>
  <c r="BI738" i="1"/>
  <c r="BJ738" i="1"/>
  <c r="R739" i="1"/>
  <c r="BI739" i="1"/>
  <c r="BJ739" i="1"/>
  <c r="BK739" i="1"/>
  <c r="BL739" i="1"/>
  <c r="BM739" i="1"/>
  <c r="BN739" i="1"/>
  <c r="R740" i="1"/>
  <c r="BI740" i="1"/>
  <c r="BJ740" i="1"/>
  <c r="R741" i="1"/>
  <c r="BI741" i="1"/>
  <c r="BJ741" i="1"/>
  <c r="BK741" i="1"/>
  <c r="BL741" i="1"/>
  <c r="BM741" i="1"/>
  <c r="BN741" i="1"/>
  <c r="BO741" i="1"/>
  <c r="R742" i="1"/>
  <c r="BI742" i="1"/>
  <c r="R743" i="1"/>
  <c r="BL743" i="1"/>
  <c r="BM743" i="1"/>
  <c r="R744" i="1"/>
  <c r="BJ744" i="1"/>
  <c r="R745" i="1"/>
  <c r="BI745" i="1"/>
  <c r="BJ745" i="1"/>
  <c r="BK745" i="1"/>
  <c r="R746" i="1"/>
  <c r="BI746" i="1"/>
  <c r="BJ746" i="1"/>
  <c r="BK746" i="1"/>
  <c r="BM746" i="1"/>
  <c r="BN746" i="1"/>
  <c r="BO746" i="1"/>
  <c r="BP746" i="1"/>
  <c r="R747" i="1"/>
  <c r="BI747" i="1"/>
  <c r="BJ747" i="1"/>
  <c r="BK747" i="1"/>
  <c r="BL747" i="1"/>
  <c r="R748" i="1"/>
  <c r="BI748" i="1"/>
  <c r="BJ748" i="1"/>
  <c r="BK748" i="1"/>
  <c r="BL748" i="1"/>
  <c r="BM748" i="1"/>
  <c r="BN748" i="1"/>
  <c r="BO748" i="1"/>
  <c r="BP748" i="1"/>
  <c r="BQ748" i="1"/>
  <c r="R749" i="1"/>
  <c r="BI749" i="1"/>
  <c r="R750" i="1"/>
  <c r="BI750" i="1"/>
  <c r="BJ750" i="1"/>
  <c r="BK750" i="1"/>
  <c r="BL750" i="1"/>
  <c r="BM750" i="1"/>
  <c r="BN750" i="1"/>
  <c r="BO750" i="1"/>
  <c r="BP750" i="1"/>
  <c r="R751" i="1"/>
  <c r="BI751" i="1"/>
  <c r="BJ751" i="1"/>
  <c r="BK751" i="1"/>
  <c r="BL751" i="1"/>
  <c r="BM751" i="1"/>
  <c r="BN751" i="1"/>
  <c r="BO751" i="1"/>
  <c r="R752" i="1"/>
  <c r="BI752" i="1"/>
  <c r="BJ752" i="1"/>
  <c r="BK752" i="1"/>
  <c r="R753" i="1"/>
  <c r="BG753" i="1"/>
  <c r="BH753" i="1"/>
  <c r="BI753" i="1"/>
  <c r="BJ753" i="1"/>
  <c r="BK753" i="1"/>
  <c r="BL753" i="1"/>
  <c r="BM753" i="1"/>
  <c r="R754" i="1"/>
  <c r="BI754" i="1"/>
  <c r="BJ754" i="1"/>
  <c r="BK754" i="1"/>
</calcChain>
</file>

<file path=xl/sharedStrings.xml><?xml version="1.0" encoding="utf-8"?>
<sst xmlns="http://schemas.openxmlformats.org/spreadsheetml/2006/main" count="12460" uniqueCount="5947">
  <si>
    <t>Создано с помощью www.fieldwire.com</t>
  </si>
  <si>
    <t>Приспособление здания для современного использования под гостиницу</t>
  </si>
  <si>
    <t>ID</t>
  </si>
  <si>
    <t>Заголовок</t>
  </si>
  <si>
    <t>Приоритет</t>
  </si>
  <si>
    <t>Категория</t>
  </si>
  <si>
    <t>Отвественный</t>
  </si>
  <si>
    <t>Дата начала</t>
  </si>
  <si>
    <t>Дата завершения</t>
  </si>
  <si>
    <t>План</t>
  </si>
  <si>
    <t>Поз. X (%)</t>
  </si>
  <si>
    <t>Поз. Y (%)</t>
  </si>
  <si>
    <t>Местоположение</t>
  </si>
  <si>
    <t>Рабочая сила</t>
  </si>
  <si>
    <t>Стоимость</t>
  </si>
  <si>
    <t>Плановая папка</t>
  </si>
  <si>
    <t>Ссылка на план</t>
  </si>
  <si>
    <t>Созданный</t>
  </si>
  <si>
    <t>Завершенные</t>
  </si>
  <si>
    <t>Проверенные</t>
  </si>
  <si>
    <t>Удалено</t>
  </si>
  <si>
    <t>Последнее обновление</t>
  </si>
  <si>
    <t>Тег 1</t>
  </si>
  <si>
    <t>Тег 2</t>
  </si>
  <si>
    <t>Связанное задание 1</t>
  </si>
  <si>
    <t>Контрольный список 1</t>
  </si>
  <si>
    <t>Контрольный список 2</t>
  </si>
  <si>
    <t>Контрольный список 3</t>
  </si>
  <si>
    <t>Контрольный список 4</t>
  </si>
  <si>
    <t>Контрольный список 5</t>
  </si>
  <si>
    <t>Контрольный список 6</t>
  </si>
  <si>
    <t>Контрольный список 7</t>
  </si>
  <si>
    <t>Контрольный список 8</t>
  </si>
  <si>
    <t>Контрольный список 9</t>
  </si>
  <si>
    <t>Контрольный список 10</t>
  </si>
  <si>
    <t>Контрольный список 11</t>
  </si>
  <si>
    <t>Контрольный список 12</t>
  </si>
  <si>
    <t>Контрольный список 13</t>
  </si>
  <si>
    <t>Контрольный список 14</t>
  </si>
  <si>
    <t>Контрольный список 15</t>
  </si>
  <si>
    <t>Контрольный список 16</t>
  </si>
  <si>
    <t>Контрольный список 17</t>
  </si>
  <si>
    <t>Контрольный список 18</t>
  </si>
  <si>
    <t>Контрольный список 19</t>
  </si>
  <si>
    <t>Контрольный список 20</t>
  </si>
  <si>
    <t>Контрольный список 21</t>
  </si>
  <si>
    <t>Контрольный список 22</t>
  </si>
  <si>
    <t>Контрольный список 23</t>
  </si>
  <si>
    <t>Контрольный список 24</t>
  </si>
  <si>
    <t>Контрольный список 25</t>
  </si>
  <si>
    <t>Контрольный список 26</t>
  </si>
  <si>
    <t>Контрольный список 27</t>
  </si>
  <si>
    <t>Контрольный список 28</t>
  </si>
  <si>
    <t>Контрольный список 29</t>
  </si>
  <si>
    <t>Контрольный список 30</t>
  </si>
  <si>
    <t>Контрольный список 31</t>
  </si>
  <si>
    <t>Сообщение 1</t>
  </si>
  <si>
    <t>Сообщение 2</t>
  </si>
  <si>
    <t>Сообщение 3</t>
  </si>
  <si>
    <t>Сообщение 4</t>
  </si>
  <si>
    <t>Сообщение 5</t>
  </si>
  <si>
    <t>Сообщение 6</t>
  </si>
  <si>
    <t>Сообщение 7</t>
  </si>
  <si>
    <t>Сообщение 8</t>
  </si>
  <si>
    <t>Сообщение 9</t>
  </si>
  <si>
    <t>Сообщение 10</t>
  </si>
  <si>
    <t>Сообщение 11</t>
  </si>
  <si>
    <t>Сообщение 12</t>
  </si>
  <si>
    <t>Сообщение 13</t>
  </si>
  <si>
    <t>Сообщение 14</t>
  </si>
  <si>
    <t>Сообщение 15</t>
  </si>
  <si>
    <t>Сообщение 16</t>
  </si>
  <si>
    <t>Сообщение 17</t>
  </si>
  <si>
    <t>Сообщение 18</t>
  </si>
  <si>
    <t>Сообщение 19</t>
  </si>
  <si>
    <t>Сообщение 20</t>
  </si>
  <si>
    <t>Сообщение 21</t>
  </si>
  <si>
    <t>Сообщение 22</t>
  </si>
  <si>
    <t>Сообщение 23</t>
  </si>
  <si>
    <t>Сообщение 24</t>
  </si>
  <si>
    <t>Сообщение 25</t>
  </si>
  <si>
    <t>Сообщение 26</t>
  </si>
  <si>
    <t>Сообщение 27</t>
  </si>
  <si>
    <t>Сообщение 28</t>
  </si>
  <si>
    <t>Сообщение 29</t>
  </si>
  <si>
    <t>Сообщение 30</t>
  </si>
  <si>
    <t>Сообщение 31</t>
  </si>
  <si>
    <t>Сообщение 32</t>
  </si>
  <si>
    <t>Сообщение 33</t>
  </si>
  <si>
    <t>Сообщение 34</t>
  </si>
  <si>
    <t>Сообщение 35</t>
  </si>
  <si>
    <t>Сообщение 36</t>
  </si>
  <si>
    <t>Сообщение 37</t>
  </si>
  <si>
    <t>Сообщение 38</t>
  </si>
  <si>
    <t>Сообщение 39</t>
  </si>
  <si>
    <t>Нарушение СП 70.13330.2012 - арматурные стержни каркаса имеют следы окисления (ржавчина)</t>
  </si>
  <si>
    <t>Входной контроль</t>
  </si>
  <si>
    <t>msumatokhin@geoizol.ru</t>
  </si>
  <si>
    <t>Арматурный Каркас Для Зах.46</t>
  </si>
  <si>
    <t>Владимир Чугунов: Ответственное лицо замещено Максим Суматохин</t>
  </si>
  <si>
    <t>Maksim Sumatokhin: В соответствии с п. 5.16.18 СП 70.13330.2012  на арматурных стержнях отслоившейся ржавчины не выявлено. Мажущий налет обработан спец. раствором (преобразователем ржавчины) не влияющим на адгезию арматуры с бетоном.</t>
  </si>
  <si>
    <t>Maksim Sumatokhin: Завершенное задание</t>
  </si>
  <si>
    <t>Владимир Чугунов: Проверенное задание</t>
  </si>
  <si>
    <t>Входной Контроль Бетонной смеси Для Б О 38,39</t>
  </si>
  <si>
    <t>Ограждающая конструкция стена в грунте</t>
  </si>
  <si>
    <t>СВГ1Д_Устройство СВГ 1-ый двор</t>
  </si>
  <si>
    <t>Контроль монтажных работ</t>
  </si>
  <si>
    <t>в2.3_бетон</t>
  </si>
  <si>
    <t>Yes: 2,1. Материал соответствует требованиям проекта (ВЧУ) - 2019-07-09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</si>
  <si>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- 2019-07-09</t>
  </si>
  <si>
    <t>No: 2,3. Предоставлен протокол испытания лаборатории, который подтверждает соответствие нормативам и сопроводительным документам (MSU) - 2019-07-09</t>
  </si>
  <si>
    <t>N/A: 2,4. Условия хранения материала соблюдаются (ВЧУ) - 2019-07-09</t>
  </si>
  <si>
    <t>No: 2,5. Наличие записи в "Журнале входного учета и контроля качества получаемых деталей, материалов, конструкций и оборудования" (ВЧУ) - 2019-07-09</t>
  </si>
  <si>
    <t>No: 3,1. Допускается к производству работ (ВЧУ) - 2019-07-09</t>
  </si>
  <si>
    <t>Владимир Чугунов: Завершенное задание</t>
  </si>
  <si>
    <t>Владимир Чугунов: Заголовок изменен на Входной Контроль Бетонной смеси Для Б О 38,39</t>
  </si>
  <si>
    <t>Владимир Чугунов: Дата начала изменена на июл. 9, 2019</t>
  </si>
  <si>
    <t>Владимир Чугунов: Приоритет изменен на P2</t>
  </si>
  <si>
    <t>Владимир Чугунов: Приоритет изменен на P1</t>
  </si>
  <si>
    <t>Владимир Чугунов: Осадка конуса соответсвует П 2 ,по РД и карточке подборадолжно быть П4</t>
  </si>
  <si>
    <t xml:space="preserve">Maksim Sumatokhin: Бетон отправлен обратно на завод. </t>
  </si>
  <si>
    <t>Входной Контроль Бетоной Смеси Для Ограничителей Стены В Грунте</t>
  </si>
  <si>
    <t>Форшахта</t>
  </si>
  <si>
    <t>СВГ_Устройство форшахты</t>
  </si>
  <si>
    <t>_Планы ПД</t>
  </si>
  <si>
    <t>Владимир Чугунов: Заголовок изменен на Входной Контроль Бетоной Смеси Для Ограничителей Стены В Грунте</t>
  </si>
  <si>
    <t>Владимир Чугунов: Дата начала изменена на июн. 24, 2019</t>
  </si>
  <si>
    <t>Владимир Чугунов: Удалено фото</t>
  </si>
  <si>
    <t>Владимир Чугунов: Согласно предоставленным материалам (видео) осадка конуса подтверждает удобоукладываемость П 5,  согласно паспорта на бетон указана П4. Бетонная смесь в конструкцию не принимается.</t>
  </si>
  <si>
    <t xml:space="preserve">Maksim Sumatokhin: ГОСТ 7473-2010, таблица №5 - допуск при осадке конуса +-2 см. В допуске. </t>
  </si>
  <si>
    <t xml:space="preserve">Владимир Чугунов: Снято
</t>
  </si>
  <si>
    <t>Входной контроль кладочного известкового раствора "Петромикс ММ-02"</t>
  </si>
  <si>
    <t>oluferov@spgr.ru</t>
  </si>
  <si>
    <t>в_8.4 смеси сухие строительные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</si>
  <si>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(АОЛ) - 2019-11-20</t>
  </si>
  <si>
    <t>Yes: 2,2. Материал соответствует проектным требования (АОЛ) - 2019-11-20</t>
  </si>
  <si>
    <t>Yes: 2,3. Условия хранения материала соблюдены (АОЛ) - 2019-11-20</t>
  </si>
  <si>
    <t>Yes: 2,4. Наличие записи в "Журнале входного учета и контроля качества получаемых деталей, материалов, конструкций и оборудования" (АОЛ) - 2019-11-20</t>
  </si>
  <si>
    <t>Yes: 3,1. Материал допускается к производству работ (АОЛ) - 2019-11-20</t>
  </si>
  <si>
    <t>Yes: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(АОЛ) - 2019-11-20</t>
  </si>
  <si>
    <t>Александр Олуферов: Проверенное задание</t>
  </si>
  <si>
    <t>Александр Олуферов: Изменена дата начала на 25.10.2019</t>
  </si>
  <si>
    <t>Александр Олуферов: Заголовок изменен на Входной контроль кладочного изветко</t>
  </si>
  <si>
    <t>Александр Олуферов: Заголовок изменен на Входной контроль кладочного известкового раствора "Петромикс ММ-02"</t>
  </si>
  <si>
    <t>ТМГ. Входной контроль. Кирпич</t>
  </si>
  <si>
    <t>в4.1_кирпич и камень керамический</t>
  </si>
  <si>
    <t>Yes: 1. Наличие необходимой информации в документах о качестве: наименование и адрес предприятия-изготовителя, наименование и обозначение изделия, номер и объем партии (ГОСТ 530-2012, п. 6.11) (АОЛ) - 2019-11-21</t>
  </si>
  <si>
    <t>Yes: 2. Наличие информации о характеристиках материала в документах о качестве:  марка по прочности и морозостойкости, класс средней плотности, пустотность, водопоглощение, кислотостойкость,группа по теплотехнической эффективности, удельная эффективность радионуклидов (ГОСТ 530-2012, п. 6.11) (АОЛ) - 2019-11-21</t>
  </si>
  <si>
    <t>Yes: 3. Материал соответствует требованиям проекта (АОЛ) - 2019-11-21</t>
  </si>
  <si>
    <t>Yes: 4. Условия складирования материала на площадке соблюдаются (АОЛ) - 2019-11-21</t>
  </si>
  <si>
    <t>Yes: 5. Наличие записи в "Журнале входного учета и контроля качества получаемых деталей, материалов, конструкций и оборудования" (АОЛ) - 2019-11-21</t>
  </si>
  <si>
    <t>Yes: 6. Материал допускается к производству работ (АОЛ) - 2019-11-21</t>
  </si>
  <si>
    <t>Александр Олуферов: Изменена дата начала на 20.11.2019</t>
  </si>
  <si>
    <t>Александр Олуферов: Изменена дата начала на 30.10.2019</t>
  </si>
  <si>
    <t>Александр Олуферов: Изменена дата завершения на 30.10.2019</t>
  </si>
  <si>
    <t>Александр Олуферов: Заголовок изменен на ТМГ. Входной контроль. Кирпич</t>
  </si>
  <si>
    <t>Входной Контроль Портландцемента М400</t>
  </si>
  <si>
    <t>denisov@spgr.ru</t>
  </si>
  <si>
    <t>00_-1 этаж</t>
  </si>
  <si>
    <t>УФ_Усиление тела фундамента цементацией</t>
  </si>
  <si>
    <t>в_8.4_смеси_сухие_строительные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</si>
  <si>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- 2019-05-03</t>
  </si>
  <si>
    <t>Yes: 2,2. Материал соответствует проектным требования (АДЕ) - 2019-05-03</t>
  </si>
  <si>
    <t>Yes: 2,3. Условия хранения материала соблюдены (АДЕ) - 2019-05-03</t>
  </si>
  <si>
    <t>Yes: 2,4. Наличие записи в "Журнале входного учета и контроля качества получаемых деталей, материалов, конструкций и оборудования" (АДЕ) - 2019-05-03</t>
  </si>
  <si>
    <t>Yes: 3,1. Материал допускается к производству работ (АДЕ) - 2019-05-03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</si>
  <si>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- 2019-05-03</t>
  </si>
  <si>
    <t>Андрей Денисов: Проверенное задание</t>
  </si>
  <si>
    <t>Андрей Денисов: Заголовок изменен на Входной Контроль Портландцемента М400</t>
  </si>
  <si>
    <t>Андрей Денисов: Дата начала изменена на мая 2, 2019</t>
  </si>
  <si>
    <t>Андрей Денисов: Дата окончания изменена на мая 3, 2019</t>
  </si>
  <si>
    <t>Андрей Денисов: Удалено фото</t>
  </si>
  <si>
    <t>Входной Контроль Портландцемента М400 Для Усиления Фундамнтов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</si>
  <si>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- 2019-04-05</t>
  </si>
  <si>
    <t>Yes: 2,2. Материал соответствует проектным требования (АДЕ) - 2019-04-05</t>
  </si>
  <si>
    <t>Yes: 2,3. Условия хранения материала соблюдены (АДЕ) - 2019-04-05</t>
  </si>
  <si>
    <t>Yes: 2,4. Наличие записи в "Журнале входного учета и контроля качества получаемых деталей, материалов, конструкций и оборудования" (АДЕ) - 2019-04-05</t>
  </si>
  <si>
    <t>Yes: 3,1. Материал допускается к производству работ (АДЕ) - 2019-04-05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</si>
  <si>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- 2019-04-05</t>
  </si>
  <si>
    <t>Андрей Денисов: Заголовок изменен на Входной Контроль Портландцемента М400 Для Усиления Фундамнтов</t>
  </si>
  <si>
    <t>Андрей Денисов: Дата начала изменена на апр. 5, 2019</t>
  </si>
  <si>
    <t>Андрей Денисов: Дата начала изменена на апр. 3, 2019</t>
  </si>
  <si>
    <t>Андрей Денисов: Дата окончания изменена на апр. 3, 2019</t>
  </si>
  <si>
    <t>Входной Контроль Портланд Цемента Для Усиления Фундаментов Цементацией</t>
  </si>
  <si>
    <t>Данный портландцемент не соответствует проекту, использование запрещено до согласования с авторским надзором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</si>
  <si>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- 2019-04-09</t>
  </si>
  <si>
    <t>No: 2,2. Материал соответствует проектным требования (АДЕ) - 2019-04-09</t>
  </si>
  <si>
    <t>Yes: 2,3. Условия хранения материала соблюдены (АДЕ) - 2019-04-09</t>
  </si>
  <si>
    <t>Yes: 2,4. Наличие записи в "Журнале входного учета и контроля качества получаемых деталей, материалов, конструкций и оборудования" (АДЕ) - 2019-04-09</t>
  </si>
  <si>
    <t>No: 3,1. Материал допускается к производству работ (АДЕ) - 2019-04-09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</si>
  <si>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- 2019-04-09</t>
  </si>
  <si>
    <t>Андрей Денисов: Приоритет изменен на P1</t>
  </si>
  <si>
    <t>Андрей Денисов: Заголовок изменен на Входной Контроль Портланд Цемента Для Усиления Фундаментов Цементацией</t>
  </si>
  <si>
    <t>Андрей Денисов: Дата начала изменена на апр. 9, 2019</t>
  </si>
  <si>
    <t>Входной Контроль Бетона Для Ж/Б Плиты Подвала В/О 1-2/Г-Д</t>
  </si>
  <si>
    <t>УФ_ЖБ плита и приливы</t>
  </si>
  <si>
    <t>Yes: 2,1. Материал соответствует требованиям проекта (АДЕ) - 2019-04-09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</si>
  <si>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- 2019-04-09</t>
  </si>
  <si>
    <t>Yes: 2,3. Предоставлен протокол испытания лаборатории, который подтверждает соответствие нормативам и сопроводительным документам (АДЕ) - 2019-04-09</t>
  </si>
  <si>
    <t>N/A: 2,4. Условия хранения материала соблюдаются (АДЕ) - 2019-04-09</t>
  </si>
  <si>
    <t>Yes: 2,5. Наличие записи в "Журнале входного учета и контроля качества получаемых деталей, материалов, конструкций и оборудования" (АДЕ) - 2019-04-09</t>
  </si>
  <si>
    <t>Yes: 3,1. Допускается к производству работ (АДЕ) - 2019-04-09</t>
  </si>
  <si>
    <t>Андрей Денисов: Заголовок изменен на Входной Контроль Бетона Для Ж/Б Плиты Подвала В/О 1-2/Г-Д</t>
  </si>
  <si>
    <t>Входной Контроль Портландцемента Для Усиления Фундаментов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</si>
  <si>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- 2019-04-12</t>
  </si>
  <si>
    <t>Yes: 2,2. Материал соответствует проектным требования (АДЕ) - 2019-04-12</t>
  </si>
  <si>
    <t>Yes: 2,3. Условия хранения материала соблюдены (АДЕ) - 2019-04-12</t>
  </si>
  <si>
    <t>Yes: 2,4. Наличие записи в "Журнале входного учета и контроля качества получаемых деталей, материалов, конструкций и оборудования" (АДЕ) - 2019-04-12</t>
  </si>
  <si>
    <t>Yes: 3,1. Материал допускается к производству работ (АДЕ) - 2019-04-12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</si>
  <si>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- 2019-04-12</t>
  </si>
  <si>
    <t>Андрей Денисов: Заголовок изменен на Входной Контроль Портландцемента Для Усиления Фундаментов</t>
  </si>
  <si>
    <t>Андрей Денисов: Дата начала изменена на апр. 12, 2019</t>
  </si>
  <si>
    <t>Входной Контроль Цемента Для Усиления Фундаментов И Грунтов</t>
  </si>
  <si>
    <t>УФ_ Закрепление грунтов основания под подошвой фундаментов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</si>
  <si>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- 2019-05-17</t>
  </si>
  <si>
    <t>Yes: 2,2. Материал соответствует проектным требования (АДЕ) - 2019-05-17</t>
  </si>
  <si>
    <t>Yes: 2,3. Условия хранения материала соблюдены (АДЕ) - 2019-05-17</t>
  </si>
  <si>
    <t>Not set: 2,4. Наличие записи в "Журнале входного учета и контроля качества получаемых деталей, материалов, конструкций и оборудования" (АДЕ) - 2019-05-17</t>
  </si>
  <si>
    <t>Yes: 3,1. Материал допускается к производству работ (АДЕ) - 2019-05-17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</si>
  <si>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- 2019-05-17</t>
  </si>
  <si>
    <t>Андрей Денисов: Заголовок изменен на Входной Контроль Цемента Для Усиления Фундаментов И Грунтов</t>
  </si>
  <si>
    <t>Андрей Денисов: Дата начала изменена на мая 16, 2019</t>
  </si>
  <si>
    <t>Андрей Денисов: Дата окончания изменена на мая 17, 2019</t>
  </si>
  <si>
    <t>Входной Контроль Системы Geoizol Mp</t>
  </si>
  <si>
    <t>в2.10_пакеры_для_усиления_фундаментов</t>
  </si>
  <si>
    <t>Yes: 1,1. Маркировка пакеров соответствует проекту (АДЕ) - 2019-04-17</t>
  </si>
  <si>
    <t>Yes: 1,2.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- 2019-04-17</t>
  </si>
  <si>
    <t>Yes: 1,3. Наличие записи в "Журнале входного учета и контроля качества получаемых деталей, материалов, конструкций и оборудования" (АДЕ) - 2019-04-17</t>
  </si>
  <si>
    <t>Yes: 2,1. Допускается к производству работ (АДЕ) - 2019-04-17</t>
  </si>
  <si>
    <t>Андрей Денисов: Заголовок изменен на Входной Контроль Системы Geoizol Mp</t>
  </si>
  <si>
    <t>Андрей Денисов: Название категории изменено на Входной контроль</t>
  </si>
  <si>
    <t>Андрей Денисов: Дата начала изменена на апр. 17, 2019</t>
  </si>
  <si>
    <t>Входной Контроль Цемента Для Усиления Фундаментов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</si>
  <si>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- 2019-04-18</t>
  </si>
  <si>
    <t>Yes: 2,2. Материал соответствует проектным требования (АДЕ) - 2019-04-18</t>
  </si>
  <si>
    <t>Yes: 2,3. Условия хранения материала соблюдены (АДЕ) - 2019-04-18</t>
  </si>
  <si>
    <t>Yes: 2,4. Наличие записи в "Журнале входного учета и контроля качества получаемых деталей, материалов, конструкций и оборудования" (АДЕ) - 2019-04-18</t>
  </si>
  <si>
    <t>Yes: 3,1. Материал допускается к производству работ (АДЕ) - 2019-04-18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</si>
  <si>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- 2019-04-18</t>
  </si>
  <si>
    <t>Андрей Денисов: Заголовок изменен на Входной Контроль Цемента Для Усиления Фундаментов</t>
  </si>
  <si>
    <t>Андрей Денисов: Дата начала изменена на апр. 18, 2019</t>
  </si>
  <si>
    <t>Yes: 1,1. Маркировка пакеров соответствует проекту (АДЕ) - 2019-04-19</t>
  </si>
  <si>
    <t>Yes: 1,2.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- 2019-04-19</t>
  </si>
  <si>
    <t>Yes: 1,3. Наличие записи в "Журнале входного учета и контроля качества получаемых деталей, материалов, конструкций и оборудования" (АДЕ) - 2019-04-19</t>
  </si>
  <si>
    <t>Yes: 2,1. Допускается к производству работ (АДЕ) - 2019-04-19</t>
  </si>
  <si>
    <t>Андрей Денисов: Дата начала изменена на апр. 19, 2019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</si>
  <si>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- 2019-04-19</t>
  </si>
  <si>
    <t>Yes: 2,2. Материал соответствует проектным требования (АДЕ) - 2019-04-19</t>
  </si>
  <si>
    <t>Yes: 2,3. Условия хранения материала соблюдены (АДЕ) - 2019-04-19</t>
  </si>
  <si>
    <t>Yes: 2,4. Наличие записи в "Журнале входного учета и контроля качества получаемых деталей, материалов, конструкций и оборудования" (АДЕ) - 2019-04-19</t>
  </si>
  <si>
    <t>Yes: 3,1. Материал допускается к производству работ (АДЕ) - 2019-04-19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</si>
  <si>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- 2019-04-19</t>
  </si>
  <si>
    <t>Входной Контроль Системы Geizol Mp</t>
  </si>
  <si>
    <t>Yes: 1,1. Маркировка пакеров соответствует проекту (АДЕ) - 2019-04-24</t>
  </si>
  <si>
    <t>Yes: 1,2.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- 2019-04-24</t>
  </si>
  <si>
    <t>Yes: 1,3. Наличие записи в "Журнале входного учета и контроля качества получаемых деталей, материалов, конструкций и оборудования" (АДЕ) - 2019-04-24</t>
  </si>
  <si>
    <t>Yes: 2,1. Допускается к производству работ (АДЕ) - 2019-04-24</t>
  </si>
  <si>
    <t>Андрей Денисов: Заголовок изменен на Входной Контроль Системы Geizol Mp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</si>
  <si>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- 2019-04-24</t>
  </si>
  <si>
    <t>Yes: 2,2. Материал соответствует проектным требования (АДЕ) - 2019-04-24</t>
  </si>
  <si>
    <t>Yes: 2,3. Условия хранения материала соблюдены (АДЕ) - 2019-04-24</t>
  </si>
  <si>
    <t>Yes: 2,4. Наличие записи в "Журнале входного учета и контроля качества получаемых деталей, материалов, конструкций и оборудования" (АДЕ) - 2019-04-24</t>
  </si>
  <si>
    <t>Yes: 3,1. Материал допускается к производству работ (АДЕ) - 2019-04-24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</si>
  <si>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- 2019-04-24</t>
  </si>
  <si>
    <t>Входной Контроль Портландцемента М-400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</si>
  <si>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- 2019-06-17</t>
  </si>
  <si>
    <t>Yes: 2,2. Материал соответствует проектным требования (АДЕ) - 2019-06-17</t>
  </si>
  <si>
    <t>Yes: 2,3. Условия хранения материала соблюдены (АДЕ) - 2019-06-17</t>
  </si>
  <si>
    <t>Yes: 2,4. Наличие записи в "Журнале входного учета и контроля качества получаемых деталей, материалов, конструкций и оборудования" (АДЕ) - 2019-06-17</t>
  </si>
  <si>
    <t>Yes: 3,1. Материал допускается к производству работ (АДЕ) - 2019-06-17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</si>
  <si>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- 2019-06-17</t>
  </si>
  <si>
    <t>Андрей Денисов: Заголовок изменен на Входной Контроль Портландцемента Д-20</t>
  </si>
  <si>
    <t>Андрей Денисов: Заголовок изменен на Входной Контроль Портландцемента М-400</t>
  </si>
  <si>
    <t>Андрей Денисов: Дата окончания изменена на июн. 17, 2019</t>
  </si>
  <si>
    <t>01_1-ый этаж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</si>
  <si>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- 2019-06-05</t>
  </si>
  <si>
    <t>Yes: 2,2. Материал соответствует проектным требования (АДЕ) - 2019-06-05</t>
  </si>
  <si>
    <t>Yes: 2,3. Условия хранения материала соблюдены (АДЕ) - 2019-06-05</t>
  </si>
  <si>
    <t>Yes: 2,4. Наличие записи в "Журнале входного учета и контроля качества получаемых деталей, материалов, конструкций и оборудования" (АДЕ) - 2019-06-05</t>
  </si>
  <si>
    <t>Yes: 3,1. Материал допускается к производству работ (АДЕ) - 2019-06-05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</si>
  <si>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- 2019-06-05</t>
  </si>
  <si>
    <t>Андрей Денисов: Дата начала изменена на июн. 5, 2019</t>
  </si>
  <si>
    <t>Операционный Контроль Бетонирования СВГ №34</t>
  </si>
  <si>
    <t>Yes: 2,1. Материал соответствует требованиям проекта (АДЕ) - 2019-07-19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</si>
  <si>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- 2019-07-19</t>
  </si>
  <si>
    <t>N/A: 2,3. Предоставлен протокол испытания лаборатории, который подтверждает соответствие нормативам и сопроводительным документам (АДЕ) - 2019-07-19</t>
  </si>
  <si>
    <t>Yes: 2,4. Условия хранения материала соблюдаются (АДЕ) - 2019-07-19</t>
  </si>
  <si>
    <t>Yes: 2,5. Наличие записи в "Журнале входного учета и контроля качества получаемых деталей, материалов, конструкций и оборудования" (АДЕ) - 2019-07-19</t>
  </si>
  <si>
    <t>Yes: 3,1. Допускается к производству работ (АДЕ) - 2019-07-19</t>
  </si>
  <si>
    <t>Андрей Денисов: Заголовок изменен на Операционный Контроль Бетонирования СВГ №34</t>
  </si>
  <si>
    <t>Андрей Денисов: Дата начала изменена на июл. 18, 2019</t>
  </si>
  <si>
    <t>Входной Контроль Бентонтонита</t>
  </si>
  <si>
    <t>в1.2_непучинистые_материалы_для_обратной_засыпки_(песок,_пгс,_пщс)</t>
  </si>
  <si>
    <t>Yes: 2,1. Материал соответствует требованиям проекта (АДЕ) - 2019-09-15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</si>
  <si>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- 2019-09-15</t>
  </si>
  <si>
    <t>Yes: 2,4. Условия хранения материала соблюдаются (АДЕ) - 2019-09-15</t>
  </si>
  <si>
    <t>Yes: 2,5. Наличие записи в "Журнале входного учета и контроля качества получаемых деталей, материалов, конструкций и оборудования" (АДЕ) - 2019-09-15</t>
  </si>
  <si>
    <t>Yes: 3,1. Материал допускается к производству работ (АДЕ) - 2019-09-15</t>
  </si>
  <si>
    <t>Андрей Денисов: Заголовок изменен на Входной Контроль Бентонтонита</t>
  </si>
  <si>
    <t>Андрей Денисов: Дата начала изменена на сент. 14, 2019</t>
  </si>
  <si>
    <t>Андрей Денисов: Удалено отметить пункт - "2,3. Предоставлен протокол испытания лаборатории, который подтверждает соответствие нормативам и сопроводительным документам"</t>
  </si>
  <si>
    <t>Входной Контроль Бетона Для Свг Зах. 35</t>
  </si>
  <si>
    <t>в3.3_бетон</t>
  </si>
  <si>
    <t>Yes: 2,1. Материал соответствует требованиям проекта (АДЕ) - 2019-07-20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</si>
  <si>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- 2019-07-20</t>
  </si>
  <si>
    <t>Not set: 2,3. Предоставлен протокол испытания лаборатории, который подтверждает соответствие нормативам и сопроводительным документам (РСП) - 2019-07-20</t>
  </si>
  <si>
    <t>Yes: 2,4. Условия хранения материала соблюдаются (АДЕ) - 2019-07-20</t>
  </si>
  <si>
    <t>Yes: 2,5. Наличие записи в "Журнале входного учета и контроля качества получаемых деталей, материалов, конструкций и оборудования" (АДЕ) - 2019-07-20</t>
  </si>
  <si>
    <t>Yes: 3,1. Допускается к производству работ (АДЕ) - 2019-07-20</t>
  </si>
  <si>
    <t>Андрей Денисов: Заголовок изменен на Входной Контроль Бетона Для Свг Зах. 35</t>
  </si>
  <si>
    <t>Андрей Денисов: Название категории изменено на Приемочный контроль</t>
  </si>
  <si>
    <t>Андрей Денисов: Дата начала изменена на июл. 20, 2019</t>
  </si>
  <si>
    <t>Входной Контроль Портландцемент М400 Д20</t>
  </si>
  <si>
    <t>УФ усиление фундаментов цементацией-1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</si>
  <si>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- 2019-09-26</t>
  </si>
  <si>
    <t>Yes: 2,2. Материал соответствует проектным требования (АДЕ) - 2019-09-26</t>
  </si>
  <si>
    <t>Yes: 2,3. Условия хранения материала соблюдены (АДЕ) - 2019-09-26</t>
  </si>
  <si>
    <t>Yes: 2,4. Наличие записи в "Журнале входного учета и контроля качества получаемых деталей, материалов, конструкций и оборудования" (АДЕ) - 2019-09-26</t>
  </si>
  <si>
    <t>Yes: 3,1. Материал допускается к производству работ (АДЕ) - 2019-09-26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</si>
  <si>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- 2019-09-26</t>
  </si>
  <si>
    <t>Андрей Денисов: Заголовок изменен на Входной Контроль Портландцемент М400 Д20</t>
  </si>
  <si>
    <t>Андрей Денисов: Дата начала изменена на сент. 26, 2019</t>
  </si>
  <si>
    <t>Портландцемент М440 д20</t>
  </si>
  <si>
    <t>1 двор Jet Groting</t>
  </si>
  <si>
    <t>Jet1Двор_устройство Jet Grouting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</si>
  <si>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- 2019-12-20</t>
  </si>
  <si>
    <t>Yes: 2,2. Материал соответствует проектным требования (АДЕ) - 2019-12-20</t>
  </si>
  <si>
    <t>Yes: 2,3. Условия хранения материала соблюдены (АДЕ) - 2019-12-20</t>
  </si>
  <si>
    <t>Yes: 2,4. Наличие записи в "Журнале входного учета и контроля качества получаемых деталей, материалов, конструкций и оборудования" (АДЕ) - 2019-12-20</t>
  </si>
  <si>
    <t>Yes: 3,1. Материал допускается к производству работ (АДЕ) - 2019-12-20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</si>
  <si>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- 2019-12-20</t>
  </si>
  <si>
    <t>Андрей Денисов: План изменен на 1 двор Jet Groting</t>
  </si>
  <si>
    <t>Андрей Денисов: Местоположение изменено на Jet1Двор_устройство Jet Grouting</t>
  </si>
  <si>
    <t>Андрей Денисов: Изменена дата начала на 20.12.2019</t>
  </si>
  <si>
    <t>Андрей Денисов: Рабочая сила изменена на 0 man-hours</t>
  </si>
  <si>
    <t>Андрей Денисов: Заголовок изменен на Портландцемент М440 д20</t>
  </si>
  <si>
    <t>Входной Контроль Армокаркасов Для Свай Кп-1, Кп-2</t>
  </si>
  <si>
    <t>03.2019-Р-КЖ0-2[04] 7</t>
  </si>
  <si>
    <t>БНС1_Устройство Буронабивных Свай В 1 Дворе</t>
  </si>
  <si>
    <t>Устроство буронабивных свай 1 двор</t>
  </si>
  <si>
    <t>в2.6_изготовление_буронабивных_свай__ii_этап_установка_арматурного_каркаса</t>
  </si>
  <si>
    <t>No: Наличие в составе проекта производства работ (ППР) материалов, устанавливающих порядок сборки арматурного каркаса из отдельных секций, определяющих способы строповки, поднятия, перемещения и опускания арматурного каркаса в скважину, исключающие возможность появления остаточных деформаций каркаса или отдельных его стержней, а также нарушения устойчивости грунта боковой поверхности скважины (АДЕ) - 2019-12-21</t>
  </si>
  <si>
    <t>Yes: Наличие соответствия фактической конструкции секций армокаркаса принятым в проекте, в том числе: (АДЕ) - 2019-12-21</t>
  </si>
  <si>
    <t>Yes: Наличие маркировки (бирки) и сопроводительных документов, удостоверяющих качество отдельных секций (АДЕ) - 2019-12-21</t>
  </si>
  <si>
    <t>Yes: Наличие соответствия наружного диаметра секций каркаса (в местах закрепления фиксаторов защитного слоя) диаметру обсадной трубы (АДЕ) - 2019-12-21</t>
  </si>
  <si>
    <t>Yes: Наличие соответствия положения элементов секции арматурного каркаса буровой сваи, в том числе: (АДЕ) - 2019-12-21</t>
  </si>
  <si>
    <t>Yes: Взаимное расположение продольных стержней по периметру секции с отклонением не более 1 см (АДЕ) - 2019-12-21</t>
  </si>
  <si>
    <t>Yes: Отклонение длины стержней не более 5 см (АДЕ) - 2019-12-21</t>
  </si>
  <si>
    <t>Yes: Отклонение шага стержней не более 2 см (АДЕ) - 2019-12-21</t>
  </si>
  <si>
    <t>Yes: Отклонение расстояния между кольцами жесткости не более 10 см (АДЕ) - 2019-12-21</t>
  </si>
  <si>
    <t>Yes: Отклонение расстояния между фиксаторами защитного слоя не более 10 см (АДЕ) - 2019-12-21</t>
  </si>
  <si>
    <t>Yes: Отклонение высоты фиксаторов не более 1 см (АДЕ) - 2019-12-21</t>
  </si>
  <si>
    <t>Yes: Отклонение диаметра каркаса в местах расположения колец жесткости не более 2 см (АДЕ) - 2019-12-21</t>
  </si>
  <si>
    <t>Yes: Отсутствие деформаций, загрязнения, масел, ржавчины и т.д. (АДЕ) - 2019-12-21</t>
  </si>
  <si>
    <t>Yes: СП 50-102-2003 Проектирование и устройство свайных фундаментов (АДЕ) - 2019-12-21</t>
  </si>
  <si>
    <t>Андрей Денисов: Заголовок изменен на Входной Контроль Армокаркасов Для Свай Кп-1, Кп-2</t>
  </si>
  <si>
    <t>Андрей Денисов: Дата начала изменена на дек. 21, 2019</t>
  </si>
  <si>
    <t>Бетонирование БО</t>
  </si>
  <si>
    <t>Yes: 2,1. Материал соответствует требованиям проекта (АДЕ) - 2019-09-28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</si>
  <si>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- 2019-09-28</t>
  </si>
  <si>
    <t>Yes: 2,3. Предоставлен протокол испытания лаборатории, который подтверждает соответствие нормативам и сопроводительным документам (АДЕ) - 2019-09-28</t>
  </si>
  <si>
    <t>Yes: 2,4. Условия хранения материала соблюдаются (АДЕ) - 2019-09-28</t>
  </si>
  <si>
    <t>Yes: 2,5. Наличие записи в "Журнале входного учета и контроля качества получаемых деталей, материалов, конструкций и оборудования" (АДЕ) - 2019-09-28</t>
  </si>
  <si>
    <t>Yes: 3,1. Допускается к производству работ (АДЕ) - 2019-09-28</t>
  </si>
  <si>
    <t>Андрей Денисов: Заголовок изменен на Бетонирование БО</t>
  </si>
  <si>
    <t>Андрей Денисов: Дата начала изменена на сент. 28, 2019</t>
  </si>
  <si>
    <t>Портландцемент 400 Д 20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</si>
  <si>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- 2019-11-28</t>
  </si>
  <si>
    <t>Yes: 2,2. Материал соответствует проектным требования (АДЕ) - 2019-11-28</t>
  </si>
  <si>
    <t>Yes: 2,3. Условия хранения материала соблюдены (АДЕ) - 2019-11-28</t>
  </si>
  <si>
    <t>Yes: 2,4. Наличие записи в "Журнале входного учета и контроля качества получаемых деталей, материалов, конструкций и оборудования" (АДЕ) - 2019-11-28</t>
  </si>
  <si>
    <t>Yes: 3,1. Материал допускается к производству работ (АДЕ) - 2019-11-28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</si>
  <si>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- 2019-11-28</t>
  </si>
  <si>
    <t>Андрей Денисов: Заголовок изменен на Портландцемент 400 Д 20</t>
  </si>
  <si>
    <t>Андрей Денисов: Дата начала изменена на нояб. 28, 2019</t>
  </si>
  <si>
    <t>УФ усиление фундаментов цементацией-2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</si>
  <si>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- 2019-12-06</t>
  </si>
  <si>
    <t>Yes: 2,2. Материал соответствует проектным требования (АДЕ) - 2019-12-06</t>
  </si>
  <si>
    <t>Yes: 2,3. Условия хранения материала соблюдены (АДЕ) - 2019-12-06</t>
  </si>
  <si>
    <t>Yes: 2,4. Наличие записи в "Журнале входного учета и контроля качества получаемых деталей, материалов, конструкций и оборудования" (АДЕ) - 2019-12-06</t>
  </si>
  <si>
    <t>Yes: 3,1. Материал допускается к производству работ (АДЕ) - 2019-12-06</t>
  </si>
  <si>
    <t>N/A: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- 2019-12-06</t>
  </si>
  <si>
    <t>Андрей Денисов: Дата начала изменена на дек. 6, 2019</t>
  </si>
  <si>
    <t>Портландцемент М400д20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</si>
  <si>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(АДЕ) - 2019-11-19</t>
  </si>
  <si>
    <t>Yes: 2,2. Материал соответствует проектным требования (АДЕ) - 2019-11-19</t>
  </si>
  <si>
    <t>Yes: 2,3. Условия хранения материала соблюдены (АДЕ) - 2019-11-19</t>
  </si>
  <si>
    <t>Yes: 2,4. Наличие записи в "Журнале входного учета и контроля качества получаемых деталей, материалов, конструкций и оборудования" (АДЕ) - 2019-11-19</t>
  </si>
  <si>
    <t>Yes: 3,1. Материал допускается к производству работ (АДЕ) - 2019-11-19</t>
  </si>
  <si>
    <t>Yes: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(АДЕ) - 2019-11-19</t>
  </si>
  <si>
    <t>Андрей Денисов: Заголовок изменен на Портландцемент М400д20</t>
  </si>
  <si>
    <t>Андрей Денисов: Дата начала изменена на нояб. 19, 2019</t>
  </si>
  <si>
    <t>Андрей Денисов: Дата начала изменена на нояб. 16, 2019</t>
  </si>
  <si>
    <t>Андрей Денисов: Дата окончания изменена на нояб. 16, 2019</t>
  </si>
  <si>
    <t>СВГ_ Бетон БО</t>
  </si>
  <si>
    <t>chugunov@spgr.ru</t>
  </si>
  <si>
    <t>СВГ2д_Устройство Стены в Грунте 2й Двор</t>
  </si>
  <si>
    <t>Владимир Чугунов: Заголовок изменен на СВГ_ Бетон БО</t>
  </si>
  <si>
    <t>Владимир Чугунов: Дата начала изменена на дек. 24, 2019</t>
  </si>
  <si>
    <t>Бентонитовый Раствор Для СВГ В/О 22-23/Д-И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</si>
  <si>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- 2019-07-09</t>
  </si>
  <si>
    <t>Yes: 2,4. Условия хранения материала соблюдаются (ВЧУ) - 2019-07-09</t>
  </si>
  <si>
    <t>N/A: 2,5. Наличие записи в "Журнале входного учета и контроля качества получаемых деталей, материалов, конструкций и оборудования" (ВЧУ) - 2019-07-09</t>
  </si>
  <si>
    <t>Yes: 3,1. Допускается к производству работ (ВЧУ) - 2019-07-09</t>
  </si>
  <si>
    <t>Владимир Чугунов: Заголовок изменен на Бентонитовый Раствор Для СВГ В/О 22-23/Д-И</t>
  </si>
  <si>
    <t>Арматурный Каркас И Опалубка БО 38 ,39</t>
  </si>
  <si>
    <t>о3.2_армирование_монолитных_жб_конструкций</t>
  </si>
  <si>
    <t>Yes: 1.1 Вертикальный и горизонтальный шаг арматуры соответствует проекту. Отклонение между рядами арматуры не более 10 мм (ВЧУ) - 2019-07-09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</si>
  <si>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- 2019-07-09</t>
  </si>
  <si>
    <t>Yes: 1.3 Отклонение толщины защитного слоя бетона от проектной не более 15 мм и не менее 5 мм при толщине бетона более 300 мм (ВЧУ) - 2019-07-09</t>
  </si>
  <si>
    <t>Yes: 1.4 Сварные соединения соответствуют проекту и требованиям ГОСТ 14098—2014 (ВЧУ) - 2019-07-09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</si>
  <si>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- 2019-07-09</t>
  </si>
  <si>
    <t>Yes: 2.1 Наличие записи в общем журнале работ (ВЧУ) - 2019-07-09</t>
  </si>
  <si>
    <t>Yes: 3.1 Разрешается проведение последующих работ по устройству опалубки  или бетонированию конструкции (ВЧУ) - 2019-07-09</t>
  </si>
  <si>
    <t>Владимир Чугунов: Заголовок изменен на Арматурный Каркас И Опалубка БО 38 ,39</t>
  </si>
  <si>
    <t>Арматурный Каркас Стена В Грунте Зах 45</t>
  </si>
  <si>
    <t>Владимир Чугунов: Заголовок изменен на Арматурный Каркас Стена В Грунте</t>
  </si>
  <si>
    <t>Владимир Чугунов: Заголовок изменен на Арматурный Каркас Стена В Грунте Зах 45</t>
  </si>
  <si>
    <t>СВГ_Глинопорошок Бентонитовый</t>
  </si>
  <si>
    <t>СВГ2д_Устройство Стены В Грунте 2й Двор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</si>
  <si>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(ВЧУ) - 2019-12-17</t>
  </si>
  <si>
    <t>Yes: 2,2. Материал соответствует проектным требования (ВЧУ) - 2019-12-17</t>
  </si>
  <si>
    <t>Yes: 2,3. Условия хранения материала соблюдены (ВЧУ) - 2019-12-17</t>
  </si>
  <si>
    <t>Yes: 2,4. Наличие записи в "Журнале входного учета и контроля качества получаемых деталей, материалов, конструкций и оборудования" (ВЧУ) - 2019-12-17</t>
  </si>
  <si>
    <t>Yes: 3,1. Материал допускается к производству работ (ВЧУ) - 2019-12-17</t>
  </si>
  <si>
    <t>Yes: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(ВЧУ) - 2019-12-17</t>
  </si>
  <si>
    <t>Владимир Чугунов: Заголовок изменен на СВГ_Глинопорошок Бентонитовый</t>
  </si>
  <si>
    <t>Владимир Чугунов: Дата начала изменена на дек. 17, 2019</t>
  </si>
  <si>
    <t>СВГ_Бетон БО</t>
  </si>
  <si>
    <t>Yes: 2,1. Материал соответствует требованиям проекта (ВЧУ) - 2019-12-17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</si>
  <si>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- 2019-12-17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</si>
  <si>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- 2019-12-17</t>
  </si>
  <si>
    <t>Yes: 2,4. Условия хранения материала соблюдаются (ВЧУ) - 2019-12-17</t>
  </si>
  <si>
    <t>Yes: 2,5. Наличие записи в "Журнале входного учета и контроля качества получаемых деталей, материалов, конструкций и оборудования" (ВЧУ) - 2019-12-17</t>
  </si>
  <si>
    <t>Yes: 3,1. Допускается к производству работ (ВЧУ) - 2019-12-17</t>
  </si>
  <si>
    <t>Владимир Чугунов: Заголовок изменен на СВГ_Бетое БО</t>
  </si>
  <si>
    <t>Владимир Чугунов: Заголовок изменен на СВГ_Бетон БО</t>
  </si>
  <si>
    <t>Входной контроль материалов для выноса теплосети из под пятна застройки (Трубы в ППУ)</t>
  </si>
  <si>
    <t>ГП_Генплан_сети</t>
  </si>
  <si>
    <t>Вынос ТС</t>
  </si>
  <si>
    <t>Владимир Чугунов: Заголовок изменен на Входной контроль материалов для выноса теплосети из под пятна застройки (Трубы в ППУ)</t>
  </si>
  <si>
    <t>Владимир Чугунов: Название категории изменено на Входной контроль</t>
  </si>
  <si>
    <t>Владимир Чугунов: Дата начала изменена на мар. 27, 2019</t>
  </si>
  <si>
    <t>Бетон СВГ Зах.45</t>
  </si>
  <si>
    <t>Yes: 2,1. Материал соответствует требованиям проекта (ВЧУ) - 2019-07-10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</si>
  <si>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- 2019-07-10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</si>
  <si>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- 2019-07-10</t>
  </si>
  <si>
    <t>Yes: 2,4. Условия хранения материала соблюдаются (ВЧУ) - 2019-07-10</t>
  </si>
  <si>
    <t>Yes: 2,5. Наличие записи в "Журнале входного учета и контроля качества получаемых деталей, материалов, конструкций и оборудования" (ВЧУ) - 2019-07-10</t>
  </si>
  <si>
    <t>Yes: 3,1. Допускается к производству работ (ВЧУ) - 2019-07-10</t>
  </si>
  <si>
    <t>Владимир Чугунов: Заголовок изменен на Бетон СВГ Зах.45</t>
  </si>
  <si>
    <t>Владимир Чугунов: Дата начала изменена на июл. 10, 2019</t>
  </si>
  <si>
    <t>Усиление Тела Фундамента Цементацией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</si>
  <si>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(ВЧУ) - 2019-05-08</t>
  </si>
  <si>
    <t>Yes: 2,2. Материал соответствует проектным требования (ВЧУ) - 2019-05-08</t>
  </si>
  <si>
    <t>Yes: 2,3. Условия хранения материала соблюдены (ВЧУ) - 2019-05-08</t>
  </si>
  <si>
    <t>Yes: 2,4. Наличие записи в "Журнале входного учета и контроля качества получаемых деталей, материалов, конструкций и оборудования" (ВЧУ) - 2019-05-08</t>
  </si>
  <si>
    <t>Yes: 3,1. Материал допускается к производству работ (ВЧУ) - 2019-05-08</t>
  </si>
  <si>
    <t>Yes: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(ВЧУ) - 2019-05-08</t>
  </si>
  <si>
    <t>Владимир Чугунов: Заголовок изменен на Усиление Тела Фундамента Цементацией</t>
  </si>
  <si>
    <t>Владимир Чугунов: Дата начала изменена на мая 8, 2019</t>
  </si>
  <si>
    <t>Бетон Для БО Зах.38, 39</t>
  </si>
  <si>
    <t>Yes: 2,1. Материал соответствует требованиям проекта (ВЧУ) - 2019-07-11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</si>
  <si>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- 2019-07-11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</si>
  <si>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- 2019-07-11</t>
  </si>
  <si>
    <t>Yes: 2,4. Условия хранения материала соблюдаются (ВЧУ) - 2019-07-11</t>
  </si>
  <si>
    <t>Yes: 2,5. Наличие записи в "Журнале входного учета и контроля качества получаемых деталей, материалов, конструкций и оборудования" (ВЧУ) - 2019-07-11</t>
  </si>
  <si>
    <t>Yes: 3,1. Допускается к производству работ (ВЧУ) - 2019-07-11</t>
  </si>
  <si>
    <t>Владимир Чугунов: Заголовок изменен на Бетон Для БО Зах.38, 39</t>
  </si>
  <si>
    <t>Владимир Чугунов: Дата начала изменена на июл. 11, 2019</t>
  </si>
  <si>
    <t>Устройство Форшахты Армирование</t>
  </si>
  <si>
    <t>ВФ_Двор 1</t>
  </si>
  <si>
    <t>УФ_Устройство монолитного подземного канала(добавить закладные и гильзы)</t>
  </si>
  <si>
    <t>Владимир Чугунов: Заголовок изменен на Устройство Форшахты Армирование</t>
  </si>
  <si>
    <t>Владимир Чугунов: Дата начала изменена на июн. 14, 2019</t>
  </si>
  <si>
    <t>Бетон СВГ Зах.10</t>
  </si>
  <si>
    <t>Yes: 2,1. Материал соответствует требованиям проекта (ВЧУ) - 2019-11-21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</si>
  <si>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- 2019-11-21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</si>
  <si>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- 2019-11-21</t>
  </si>
  <si>
    <t>Yes: 2,4. Условия хранения материала соблюдаются (ВЧУ) - 2019-11-21</t>
  </si>
  <si>
    <t>Yes: 2,5. Наличие записи в "Журнале входного учета и контроля качества получаемых деталей, материалов, конструкций и оборудования" (ВЧУ) - 2019-11-21</t>
  </si>
  <si>
    <t>Yes: 3,1. Допускается к производству работ (ВЧУ) - 2019-11-21</t>
  </si>
  <si>
    <t>Владимир Чугунов: Заголовок изменен на Бетон СВГ Зах.10</t>
  </si>
  <si>
    <t>Владимир Чугунов: Дата начала изменена на нояб. 21, 2019</t>
  </si>
  <si>
    <t>Бетон Зах.46</t>
  </si>
  <si>
    <t>Yes: 2,1. Материал соответствует требованиям проекта (ВЧУ) - 2019-07-12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</si>
  <si>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- 2019-07-12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</si>
  <si>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- 2019-07-12</t>
  </si>
  <si>
    <t>Yes: 2,4. Условия хранения материала соблюдаются (ВЧУ) - 2019-07-12</t>
  </si>
  <si>
    <t>Yes: 2,5. Наличие записи в "Журнале входного учета и контроля качества получаемых деталей, материалов, конструкций и оборудования" (ВЧУ) - 2019-07-12</t>
  </si>
  <si>
    <t>Yes: 3,1. Допускается к производству работ (ВЧУ) - 2019-07-12</t>
  </si>
  <si>
    <t>Владимир Чугунов: Заголовок изменен на Бетон Зах.46</t>
  </si>
  <si>
    <t>Владимир Чугунов: Дата начала изменена на июл. 12, 2019</t>
  </si>
  <si>
    <t>Бетон Форшахта В/0 22-23/К-Н</t>
  </si>
  <si>
    <t>Владимир Чугунов: Заголовок изменен на Бетон Форшахта В/0 22-23/К-Н</t>
  </si>
  <si>
    <t>в3.1_арматура_для_монолитных_жб</t>
  </si>
  <si>
    <t>Yes: 2,1 В сопроводительных документах о качестве указаны:
- наименование заказчика;
- наименование продукции и номер заказа;
- номер и объем партии;
- номинальный диаметр и форма периодического профиля;
- группа предельных отклонений по массе 1 м. длины;
- класс проката с указанием доп. набора тех. требований;
- штамп технического контроля качества (ВЧУ) - 2019-07-11</t>
  </si>
  <si>
    <t>N/A: 2,2 В сопроводительных документах есть данные о результатах испытаний (ВЧУ) - 2019-07-11</t>
  </si>
  <si>
    <t>N/A: 2,3 Арматура соответствует требованиям проекта (ВЧУ) - 2019-07-11</t>
  </si>
  <si>
    <t>No: 2,4 Наличие записи в "Журнале входного учета и контроля качества получаемых деталей, материалов, конструкций и оборудования" (ВЧУ) - 2019-07-11</t>
  </si>
  <si>
    <t>No: 3,1 Допускается к производству работ (ВЧУ) - 2019-07-11</t>
  </si>
  <si>
    <t>Владимир Чугунов: Заголовок изменен на Арматурный Каркас Для Зах.46</t>
  </si>
  <si>
    <t>Владимир Чугунов: Приоритет изменен на P3</t>
  </si>
  <si>
    <t>Бетон СВГ Зах.26</t>
  </si>
  <si>
    <t>Yes: 2,1. Материал соответствует требованиям проекта (ВЧУ) - 2019-09-12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</si>
  <si>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- 2019-09-12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</si>
  <si>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- 2019-09-12</t>
  </si>
  <si>
    <t>Yes: 2,4. Условия хранения материала соблюдаются (ВЧУ) - 2019-09-12</t>
  </si>
  <si>
    <t>Yes: 2,5. Наличие записи в "Журнале входного учета и контроля качества получаемых деталей, материалов, конструкций и оборудования" (ВЧУ) - 2019-09-12</t>
  </si>
  <si>
    <t>Yes: 3,1. Допускается к производству работ (ВЧУ) - 2019-09-12</t>
  </si>
  <si>
    <t>Владимир Чугунов: Заголовок изменен на Бетон СВГ Зах.26</t>
  </si>
  <si>
    <t>Владимир Чугунов: Дата начала изменена на сент. 12, 2019</t>
  </si>
  <si>
    <t>Входной Контроль Бетонной Смеси Для Устройства Форшахты В/О 21-23/Д и 23/Е-И</t>
  </si>
  <si>
    <t>Yes: 2,1. Материал соответствует требованиям проекта (ВЧУ) - 2019-06-18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</si>
  <si>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- 2019-06-18</t>
  </si>
  <si>
    <t>Not set: 2,3. Предоставлен протокол испытания лаборатории, который подтверждает соответствие нормативам и сопроводительным документам (ВЧУ) - 2019-06-18</t>
  </si>
  <si>
    <t>N/A: 2,4. Условия хранения материала соблюдаются (ВЧУ) - 2019-06-18</t>
  </si>
  <si>
    <t>Yes: 2,5. Наличие записи в "Журнале входного учета и контроля качества получаемых деталей, материалов, конструкций и оборудования" (ВЧУ) - 2019-06-18</t>
  </si>
  <si>
    <t>Yes: 3,1. Допускается к производству работ (ВЧУ) - 2019-06-18</t>
  </si>
  <si>
    <t>Владимир Чугунов: Заголовок изменен на Входной Контроль Бетонной Смеси Для Устройства Форшахты В/О 21-23/Д и 23/Е-И</t>
  </si>
  <si>
    <t>Владимир Чугунов: Дата начала изменена на июн. 18, 2019</t>
  </si>
  <si>
    <t>Бетон БО 18</t>
  </si>
  <si>
    <t>Yes: 2,1. Материал соответствует требованиям проекта (ВЧУ) - 2019-09-13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</si>
  <si>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- 2019-09-13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</si>
  <si>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- 2019-09-13</t>
  </si>
  <si>
    <t>Yes: 2,4. Условия хранения материала соблюдаются (ВЧУ) - 2019-09-13</t>
  </si>
  <si>
    <t>Yes: 2,5. Наличие записи в "Журнале входного учета и контроля качества получаемых деталей, материалов, конструкций и оборудования" (ВЧУ) - 2019-09-13</t>
  </si>
  <si>
    <t>Yes: 3,1. Допускается к производству работ (ВЧУ) - 2019-09-13</t>
  </si>
  <si>
    <t>Владимир Чугунов: Заголовок изменен на Бетон БО 18</t>
  </si>
  <si>
    <t>Владимир Чугунов: Дата начала изменена на сент. 13, 2019</t>
  </si>
  <si>
    <t>Входной Контроль Гидроизоляционный Смеси</t>
  </si>
  <si>
    <t>УФ_Гидроизоляция ЖБ плиты и приливов</t>
  </si>
  <si>
    <t>Yes: 2,1. В сопроводительных документах о качестве смеси указано
- Наименование производителя;
- наименование и марка смеси;
- номер и объем партии;
- значения основных показателей качества смеси;
- удельная эффективная активность естественных радионуклидов;
- обозначение нормативного или технического документа на сухую смесь конкретного вида;
- Номер и дата выдачи документа о качестве. (ВЧУ) - 2019-05-29</t>
  </si>
  <si>
    <t>Yes: 2,2. Материал соответствует проектным требования (ВЧУ) - 2019-05-29</t>
  </si>
  <si>
    <t>Yes: 2,3. Условия хранения материала соблюдены (ВЧУ) - 2019-05-29</t>
  </si>
  <si>
    <t>Yes: 2,4. Наличие записи в "Журнале входного учета и контроля качества получаемых деталей, материалов, конструкций и оборудования" (ВЧУ) - 2019-05-29</t>
  </si>
  <si>
    <t>Yes: 3,1. Материал допускается к производству работ (ВЧУ) - 2019-05-29</t>
  </si>
  <si>
    <t>Yes: Нормативная документация:
ГОСТ 31357-2007 «Смеси сухие строительные на цементном вяжущем. Общие технические условия». 
ГОСТ 31377-2008 «Смеси сухие строительные штукатурные на гипсовом вяжущем. Технические условия». 
ГОСТ 56387-2015 «Смеси сухие строительные клеевые на цементном вяжущем. Технические условия». 
ГОСТ 31386-2008 «Смеси сухие строительные клеевые на гипсовом вяжущем. Технические условия» (ВЧУ) - 2019-05-29</t>
  </si>
  <si>
    <t>Владимир Чугунов: Заголовок изменен на Входной Контроль Гидроизоляционный Смеси</t>
  </si>
  <si>
    <t>Владимир Чугунов: Дата начала изменена на мая 29, 2019</t>
  </si>
  <si>
    <t>Бетон для БО  36, 37</t>
  </si>
  <si>
    <t>Yes: 2,1. Материал соответствует требованиям проекта (ВЧУ) - 2019-07-17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</si>
  <si>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- 2019-07-17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</si>
  <si>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- 2019-07-17</t>
  </si>
  <si>
    <t>Yes: 2,4. Условия хранения материала соблюдаются (ВЧУ) - 2019-07-17</t>
  </si>
  <si>
    <t>No: 2,5. Наличие записи в "Журнале входного учета и контроля качества получаемых деталей, материалов, конструкций и оборудования" (ВЧУ) - 2019-07-17</t>
  </si>
  <si>
    <t>Yes: 3,1. Допускается к производству работ (ВЧУ) - 2019-07-17</t>
  </si>
  <si>
    <t>Владимир Чугунов: Заголовок изменен на Бетон для БО  33, 34</t>
  </si>
  <si>
    <t>Владимир Чугунов: Дата начала изменена на июл. 17, 2019</t>
  </si>
  <si>
    <t>Владимир Чугунов: Заголовок изменен на Бетон для БО  36, 37</t>
  </si>
  <si>
    <t>Входной Контроль Бетонной Смеси Для Бетонных Ограничителей СВГ</t>
  </si>
  <si>
    <t>Yes: 2,1. Материал соответствует требованиям проекта (ВЧУ) - 2019-06-25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</si>
  <si>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- 2019-06-25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</si>
  <si>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- 2019-06-25</t>
  </si>
  <si>
    <t>N/A: 2,4. Условия хранения материала соблюдаются (ВЧУ) - 2019-06-25</t>
  </si>
  <si>
    <t>Yes: 2,5. Наличие записи в "Журнале входного учета и контроля качества получаемых деталей, материалов, конструкций и оборудования" (ВЧУ) - 2019-06-25</t>
  </si>
  <si>
    <t>Yes: 3,1. Допускается к производству работ (ВЧУ) - 2019-06-25</t>
  </si>
  <si>
    <t>Владимир Чугунов: Заголовок изменен на Входной Контроль Бетонной Смеси Для Бетонных Ограничителей СВГ</t>
  </si>
  <si>
    <t>Владимир Чугунов: Дата начала изменена на июн. 25, 2019</t>
  </si>
  <si>
    <t>Бетон. Зах.39</t>
  </si>
  <si>
    <t>Yes: 2,1. Материал соответствует требованиям проекта (ВЧУ) - 2019-08-14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</si>
  <si>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- 2019-08-14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</si>
  <si>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- 2019-08-14</t>
  </si>
  <si>
    <t>Yes: 2,4. Условия хранения материала соблюдаются (ВЧУ) - 2019-08-14</t>
  </si>
  <si>
    <t>Yes: 2,5. Наличие записи в "Журнале входного учета и контроля качества получаемых деталей, материалов, конструкций и оборудования" (ВЧУ) - 2019-08-14</t>
  </si>
  <si>
    <t>Yes: 3,1. Допускается к производству работ (ВЧУ) - 2019-08-14</t>
  </si>
  <si>
    <t>Владимир Чугунов: Заголовок изменен на Бетон. Зах.39</t>
  </si>
  <si>
    <t>Владимир Чугунов: Дата начала изменена на авг. 14, 2019</t>
  </si>
  <si>
    <t>Входной Контроль Бетон БО</t>
  </si>
  <si>
    <t>Yes: 2,1. Материал соответствует требованиям проекта (ВЧУ) - 2019-06-28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</si>
  <si>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- 2019-06-28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</si>
  <si>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- 2019-06-28</t>
  </si>
  <si>
    <t>Yes: 2,4. Условия хранения материала соблюдаются (ВЧУ) - 2019-06-28</t>
  </si>
  <si>
    <t>Yes: 2,5. Наличие записи в "Журнале входного учета и контроля качества получаемых деталей, материалов, конструкций и оборудования" (ВЧУ) - 2019-06-28</t>
  </si>
  <si>
    <t>Yes: 3,1. Допускается к производству работ (ВЧУ) - 2019-06-28</t>
  </si>
  <si>
    <t>Владимир Чугунов: Заголовок изменен на Входной Контроль Бетон БО</t>
  </si>
  <si>
    <t>Владимир Чугунов: Дата окончания изменена на июн. 28, 2019</t>
  </si>
  <si>
    <t>Бетон Для БО 34,35</t>
  </si>
  <si>
    <t>Yes: 2,1. Материал соответствует требованиям проекта (ВЧУ) - 2019-07-19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</si>
  <si>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- 2019-07-19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</si>
  <si>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- 2019-07-19</t>
  </si>
  <si>
    <t>Yes: 2,4. Условия хранения материала соблюдаются (ВЧУ) - 2019-07-19</t>
  </si>
  <si>
    <t>No: 2,5. Наличие записи в "Журнале входного учета и контроля качества получаемых деталей, материалов, конструкций и оборудования" (ВЧУ) - 2019-07-19</t>
  </si>
  <si>
    <t>Yes: 3,1. Допускается к производству работ (ВЧУ) - 2019-07-19</t>
  </si>
  <si>
    <t>Владимир Чугунов: Заголовок изменен на Бетон Для БО 34,35</t>
  </si>
  <si>
    <t>Владимир Чугунов: Дата начала изменена на июл. 19, 2019</t>
  </si>
  <si>
    <t>Бетон БО 28, 1</t>
  </si>
  <si>
    <t>Yes: 2,1. Материал соответствует требованиям проекта (ВЧУ) - 2019-08-16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</si>
  <si>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- 2019-08-16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</si>
  <si>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- 2019-08-16</t>
  </si>
  <si>
    <t>Yes: 2,4. Условия хранения материала соблюдаются (ВЧУ) - 2019-08-16</t>
  </si>
  <si>
    <t>Yes: 2,5. Наличие записи в "Журнале входного учета и контроля качества получаемых деталей, материалов, конструкций и оборудования" (ВЧУ) - 2019-08-16</t>
  </si>
  <si>
    <t>Yes: 3,1. Допускается к производству работ (ВЧУ) - 2019-08-16</t>
  </si>
  <si>
    <t>Владимир Чугунов: Заголовок изменен на Бетон БО 28, 1</t>
  </si>
  <si>
    <t>Владимир Чугунов: Дата начала изменена на авг. 16, 2019</t>
  </si>
  <si>
    <t>Входной Контроль Арматуры Для Каркасов БО</t>
  </si>
  <si>
    <t>в2.1_арматура</t>
  </si>
  <si>
    <t>Yes: 2,1. В сопроводительных документах о качестве указаны:
- наименование изготовителя;
- наименование заказчика;
- номер заказа и номер партии;
- штамп, свидетельствующий о проведении технического контроля и о приёмке проката по качеству. (ВЧУ) - 2019-07-02</t>
  </si>
  <si>
    <t>Yes: 2,2. Диаметр сечения арматуры, класс прочности и параметры поперечных выступов соответствуют проекту (ВЧУ) - 2019-07-02</t>
  </si>
  <si>
    <t>Yes: 2,3. На арматуре отсутствуют следы коррозии (ВЧУ) - 2019-07-02</t>
  </si>
  <si>
    <t>Yes: 2,4. Соблюдаются условия хранения материала на площадке (ВЧУ) - 2019-07-02</t>
  </si>
  <si>
    <t>Yes: 2,5. В журнале входного контроля сделана запись о проверяемой партии (ВЧУ) - 2019-07-02</t>
  </si>
  <si>
    <t>Yes: 3,1. Допускается к производству работ (ВЧУ) - 2019-07-02</t>
  </si>
  <si>
    <t>Владимир Чугунов: Заголовок изменен на Входной Контроль Арматуры Для Каркасов БО</t>
  </si>
  <si>
    <t>Владимир Чугунов: Дата начала изменена на июл. 2, 2019</t>
  </si>
  <si>
    <t>Входной Контроль Бетонной Смеси Для БО 42, 43</t>
  </si>
  <si>
    <t>Yes: 2,1. Материал соответствует требованиям проекта (ВЧУ) - 2019-07-02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</si>
  <si>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- 2019-07-02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</si>
  <si>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- 2019-07-02</t>
  </si>
  <si>
    <t>Yes: 2,4. Условия хранения материала соблюдаются (ВЧУ) - 2019-07-02</t>
  </si>
  <si>
    <t>Yes: 2,5. Наличие записи в "Журнале входного учета и контроля качества получаемых деталей, материалов, конструкций и оборудования" (ВЧУ) - 2019-07-02</t>
  </si>
  <si>
    <t>Владимир Чугунов: Заголовок изменен на Входной Контроль Бетонной Смеси Для БО 42, 43</t>
  </si>
  <si>
    <t>Бетон СВГ Зах.36</t>
  </si>
  <si>
    <t>Yes: 2,1. Материал соответствует требованиям проекта (ВЧУ) - 2019-07-22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</si>
  <si>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- 2019-07-22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</si>
  <si>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- 2019-07-22</t>
  </si>
  <si>
    <t>Yes: 2,4. Условия хранения материала соблюдаются (ВЧУ) - 2019-07-22</t>
  </si>
  <si>
    <t>Yes: 2,5. Наличие записи в "Журнале входного учета и контроля качества получаемых деталей, материалов, конструкций и оборудования" (ВЧУ) - 2019-07-22</t>
  </si>
  <si>
    <t>Yes: 3,1. Допускается к производству работ (ВЧУ) - 2019-07-22</t>
  </si>
  <si>
    <t>Владимир Чугунов: Заголовок изменен на Бетон СВГ Зах.36</t>
  </si>
  <si>
    <t>Владимир Чугунов: Дата начала изменена на июл. 22, 2019</t>
  </si>
  <si>
    <t>Бетон Для Бетонных Ограничителей 32, 33</t>
  </si>
  <si>
    <t>Yes: 2,1. Материал соответствует требованиям проекта (ВЧУ) - 2019-07-23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</si>
  <si>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- 2019-07-23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</si>
  <si>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- 2019-07-23</t>
  </si>
  <si>
    <t>N/A: 2,4. Условия хранения материала соблюдаются (ВЧУ) - 2019-07-23</t>
  </si>
  <si>
    <t>Yes: 2,5. Наличие записи в "Журнале входного учета и контроля качества получаемых деталей, материалов, конструкций и оборудования" (ВЧУ) - 2019-07-23</t>
  </si>
  <si>
    <t>Yes: 3,1. Допускается к производству работ (ВЧУ) - 2019-07-23</t>
  </si>
  <si>
    <t>Владимир Чугунов: Заголовок изменен на Бетон Для Бетонных Ограничителей 32, 33</t>
  </si>
  <si>
    <t>Владимир Чугунов: Дата начала изменена на июл. 23, 2019</t>
  </si>
  <si>
    <t>Арматурные Каркасы БО Стена В Грунте</t>
  </si>
  <si>
    <t>Yes: 2,1. В сопроводительных документах о качестве указаны:
- наименование изготовителя;
- наименование заказчика;
- номер заказа и номер партии;
- штамп, свидетельствующий о проведении технического контроля и о приёмке проката по качеству. (ВЧУ) - 2019-07-05</t>
  </si>
  <si>
    <t>Yes: 2,2. Диаметр сечения арматуры, класс прочности и параметры поперечных выступов соответствуют проекту (ВЧУ) - 2019-07-05</t>
  </si>
  <si>
    <t>Yes: 2,3. На арматуре отсутствуют следы коррозии (ВЧУ) - 2019-07-05</t>
  </si>
  <si>
    <t>Yes: 2,4. Соблюдаются условия хранения материала на площадке (ВЧУ) - 2019-07-05</t>
  </si>
  <si>
    <t>Yes: 2,5. В журнале входного контроля сделана запись о проверяемой партии (ВЧУ) - 2019-07-05</t>
  </si>
  <si>
    <t>Yes: 3,1. Допускается к производству работ (ВЧУ) - 2019-07-05</t>
  </si>
  <si>
    <t>Владимир Чугунов: Заголовок изменен на Арматурные Каркасы БО Стена В Грунте</t>
  </si>
  <si>
    <t>Владимир Чугунов: Дата начала изменена на июл. 5, 2019</t>
  </si>
  <si>
    <t>Бетон Для БО Стена В Грунте Отс 41, 42</t>
  </si>
  <si>
    <t>Yes: 2,1. Материал соответствует требованиям проекта (ВЧУ) - 2019-07-05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</si>
  <si>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- 2019-07-05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</si>
  <si>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- 2019-07-05</t>
  </si>
  <si>
    <t>Yes: 2,4. Условия хранения материала соблюдаются (ВЧУ) - 2019-07-05</t>
  </si>
  <si>
    <t>Yes: 2,5. Наличие записи в "Журнале входного учета и контроля качества получаемых деталей, материалов, конструкций и оборудования" (ВЧУ) - 2019-07-05</t>
  </si>
  <si>
    <t>Владимир Чугунов: Заголовок изменен на Бетон Для БО Стена В Грунте Отс 41, 42</t>
  </si>
  <si>
    <t>Бетон БО13, 16</t>
  </si>
  <si>
    <t>Yes: 2,1. Материал соответствует требованиям проекта (ВЧУ) - 2019-09-16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</si>
  <si>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- 2019-09-16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</si>
  <si>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- 2019-09-16</t>
  </si>
  <si>
    <t>N/A: 2,4. Условия хранения материала соблюдаются (ВЧУ) - 2019-09-16</t>
  </si>
  <si>
    <t>Yes: 2,5. Наличие записи в "Журнале входного учета и контроля качества получаемых деталей, материалов, конструкций и оборудования" (ВЧУ) - 2019-09-16</t>
  </si>
  <si>
    <t>Yes: 3,1. Допускается к производству работ (ВЧУ) - 2019-09-16</t>
  </si>
  <si>
    <t>Владимир Чугунов: Заголовок изменен на Бетон БО13, 16</t>
  </si>
  <si>
    <t>Владимир Чугунов: Дата начала изменена на сент. 16, 2019</t>
  </si>
  <si>
    <t>Бетон Зах.31</t>
  </si>
  <si>
    <t>Yes: 2,1. Материал соответствует требованиям проекта (ВЧУ) - 2019-08-18</t>
  </si>
  <si>
    <t>No: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- 2019-08-18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</si>
  <si>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- 2019-08-18</t>
  </si>
  <si>
    <t>Yes: 2,4. Условия хранения материала соблюдаются (ВЧУ) - 2019-08-18</t>
  </si>
  <si>
    <t>Yes: 2,5. Наличие записи в "Журнале входного учета и контроля качества получаемых деталей, материалов, конструкций и оборудования" (ВЧУ) - 2019-08-18</t>
  </si>
  <si>
    <t>Yes: 3,1. Допускается к производству работ (ВЧУ) - 2019-08-18</t>
  </si>
  <si>
    <t>Владимир Чугунов: Заголовок изменен на Бетон Зах.31</t>
  </si>
  <si>
    <t>Владимир Чугунов: Дата начала изменена на авг. 18, 2019</t>
  </si>
  <si>
    <t>Бетон Для СВГ Зах.37</t>
  </si>
  <si>
    <t>Yes: 2,1. Материал соответствует требованиям проекта (ВЧУ) - 2019-07-24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</si>
  <si>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- 2019-07-24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</si>
  <si>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- 2019-07-24</t>
  </si>
  <si>
    <t>Yes: 2,4. Условия хранения материала соблюдаются (ВЧУ) - 2019-07-24</t>
  </si>
  <si>
    <t>N/A: 2,5. Наличие записи в "Журнале входного учета и контроля качества получаемых деталей, материалов, конструкций и оборудования" (ВЧУ) - 2019-07-24</t>
  </si>
  <si>
    <t>Yes: 3,1. Допускается к производству работ (ВЧУ) - 2019-07-24</t>
  </si>
  <si>
    <t>Владимир Чугунов: Заголовок изменен на Бетон Для СВГ Зах.37</t>
  </si>
  <si>
    <t>Владимир Чугунов: Дата начала изменена на июл. 24, 2019</t>
  </si>
  <si>
    <t>Бетон БО 2</t>
  </si>
  <si>
    <t>Yes: 2,1. Материал соответствует требованиям проекта (ВЧУ) - 2019-08-19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</si>
  <si>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- 2019-08-19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</si>
  <si>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- 2019-08-19</t>
  </si>
  <si>
    <t>Yes: 2,4. Условия хранения материала соблюдаются (ВЧУ) - 2019-08-19</t>
  </si>
  <si>
    <t>Yes: 2,5. Наличие записи в "Журнале входного учета и контроля качества получаемых деталей, материалов, конструкций и оборудования" (ВЧУ) - 2019-08-19</t>
  </si>
  <si>
    <t>Yes: 3,1. Допускается к производству работ (ВЧУ) - 2019-08-19</t>
  </si>
  <si>
    <t>Владимир Чугунов: Заголовок изменен на Бетон БО 2</t>
  </si>
  <si>
    <t>Владимир Чугунов: Дата начала изменена на авг. 19, 2019</t>
  </si>
  <si>
    <t>Бетон Для Боковых Ограничителей 30, 31</t>
  </si>
  <si>
    <t>Yes: 2,1. Материал соответствует требованиям проекта (ВЧУ) - 2019-07-26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</si>
  <si>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- 2019-07-26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</si>
  <si>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- 2019-07-26</t>
  </si>
  <si>
    <t>Yes: 2,4. Условия хранения материала соблюдаются (ВЧУ) - 2019-07-26</t>
  </si>
  <si>
    <t>Yes: 2,5. Наличие записи в "Журнале входного учета и контроля качества получаемых деталей, материалов, конструкций и оборудования" (ВЧУ) - 2019-07-26</t>
  </si>
  <si>
    <t>Yes: 3,1. Допускается к производству работ (ВЧУ) - 2019-07-26</t>
  </si>
  <si>
    <t>Владимир Чугунов: Заголовок изменен на Бетон Для Боковых Ограничителей 30, 31</t>
  </si>
  <si>
    <t>Владимир Чугунов: Дата начала изменена на июл. 26, 2019</t>
  </si>
  <si>
    <t>Бетон Зах. 17</t>
  </si>
  <si>
    <t>Yes: 2,1. Материал соответствует требованиям проекта (ВЧУ) - 2019-09-17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</si>
  <si>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- 2019-09-17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</si>
  <si>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- 2019-09-17</t>
  </si>
  <si>
    <t>N/A: 2,4. Условия хранения материала соблюдаются (ВЧУ) - 2019-09-17</t>
  </si>
  <si>
    <t>Yes: 2,5. Наличие записи в "Журнале входного учета и контроля качества получаемых деталей, материалов, конструкций и оборудования" (ВЧУ) - 2019-09-17</t>
  </si>
  <si>
    <t>Yes: 3,1. Допускается к производству работ (ВЧУ) - 2019-09-17</t>
  </si>
  <si>
    <t>Владимир Чугунов: Заголовок изменен на Бетон Зах. 17</t>
  </si>
  <si>
    <t>Владимир Чугунов: Дата начала изменена на сент. 17, 2019</t>
  </si>
  <si>
    <t>Бетон Зах.30</t>
  </si>
  <si>
    <t>Yes: 2,1. Материал соответствует требованиям проекта (ВЧУ) - 2019-08-20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</si>
  <si>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- 2019-08-20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</si>
  <si>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- 2019-08-20</t>
  </si>
  <si>
    <t>Yes: 2,4. Условия хранения материала соблюдаются (ВЧУ) - 2019-08-20</t>
  </si>
  <si>
    <t>Yes: 2,5. Наличие записи в "Журнале входного учета и контроля качества получаемых деталей, материалов, конструкций и оборудования" (ВЧУ) - 2019-08-20</t>
  </si>
  <si>
    <t>Yes: 3,1. Допускается к производству работ (ВЧУ) - 2019-08-20</t>
  </si>
  <si>
    <t>Владимир Чугунов: Заголовок изменен на Бетон Зах.30</t>
  </si>
  <si>
    <t>Владимир Чугунов: Дата начала изменена на авг. 20, 2019</t>
  </si>
  <si>
    <t>Бетон Зах.37</t>
  </si>
  <si>
    <t>Yes: 2,1. Материал соответствует требованиям проекта (ВЧУ) - 2019-07-29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</si>
  <si>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- 2019-07-29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</si>
  <si>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- 2019-07-29</t>
  </si>
  <si>
    <t>N/A: 2,4. Условия хранения материала соблюдаются (ВЧУ) - 2019-07-29</t>
  </si>
  <si>
    <t>N/A: 2,5. Наличие записи в "Журнале входного учета и контроля качества получаемых деталей, материалов, конструкций и оборудования" (ВЧУ) - 2019-07-29</t>
  </si>
  <si>
    <t>Yes: 3,1. Допускается к производству работ (ВЧУ) - 2019-07-29</t>
  </si>
  <si>
    <t>Владимир Чугунов: Заголовок изменен на Бетон Зах.37</t>
  </si>
  <si>
    <t>Владимир Чугунов: Дата начала изменена на июл. 29, 2019</t>
  </si>
  <si>
    <t>Бетон Для БО 38, 39</t>
  </si>
  <si>
    <t>Yes: 2,1. Материал соответствует требованиям проекта (ВЧУ) - 2019-07-30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</si>
  <si>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- 2019-07-30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</si>
  <si>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- 2019-07-30</t>
  </si>
  <si>
    <t>Yes: 2,4. Условия хранения материала соблюдаются (ВЧУ) - 2019-07-30</t>
  </si>
  <si>
    <t>Yes: 2,5. Наличие записи в "Журнале входного учета и контроля качества получаемых деталей, материалов, конструкций и оборудования" (ВЧУ) - 2019-07-30</t>
  </si>
  <si>
    <t>Yes: 3,1. Допускается к производству работ (ВЧУ) - 2019-07-30</t>
  </si>
  <si>
    <t>Владимир Чугунов: Заголовок изменен на Бетон Для БО 38, 39</t>
  </si>
  <si>
    <t>Владимир Чугунов: Дата начала изменена на июл. 30, 2019</t>
  </si>
  <si>
    <t>Бетон БО 3, 4</t>
  </si>
  <si>
    <t>Yes: 2,1. Материал соответствует требованиям проекта (ВЧУ) - 2019-08-21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</si>
  <si>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- 2019-08-21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</si>
  <si>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- 2019-08-21</t>
  </si>
  <si>
    <t>Yes: 2,4. Условия хранения материала соблюдаются (ВЧУ) - 2019-08-21</t>
  </si>
  <si>
    <t>Yes: 2,5. Наличие записи в "Журнале входного учета и контроля качества получаемых деталей, материалов, конструкций и оборудования" (ВЧУ) - 2019-08-21</t>
  </si>
  <si>
    <t>Yes: 3,1. Допускается к производству работ (ВЧУ) - 2019-08-21</t>
  </si>
  <si>
    <t>Владимир Чугунов: Заголовок изменен на Бетон БО 3, 4</t>
  </si>
  <si>
    <t>Владимир Чугунов: Дата начала изменена на авг. 21, 2019</t>
  </si>
  <si>
    <t>Бетон БО 14, 15</t>
  </si>
  <si>
    <t>Yes: 2,1. Материал соответствует требованиям проекта (ВЧУ) - 2019-09-18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</si>
  <si>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- 2019-09-18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</si>
  <si>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- 2019-09-18</t>
  </si>
  <si>
    <t>Yes: 2,4. Условия хранения материала соблюдаются (ВЧУ) - 2019-09-18</t>
  </si>
  <si>
    <t>Yes: 2,5. Наличие записи в "Журнале входного учета и контроля качества получаемых деталей, материалов, конструкций и оборудования" (ВЧУ) - 2019-09-18</t>
  </si>
  <si>
    <t>Yes: 3,1. Допускается к производству работ (ВЧУ) - 2019-09-18</t>
  </si>
  <si>
    <t>Владимир Чугунов: Заголовок изменен на Бетон БО 14, 15</t>
  </si>
  <si>
    <t>Владимир Чугунов: Дата начала изменена на сент. 18, 2019</t>
  </si>
  <si>
    <t>Бетон Зах.29</t>
  </si>
  <si>
    <t>Yes: 2,1. Материал соответствует требованиям проекта (ВЧУ) - 2019-08-22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</si>
  <si>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- 2019-08-22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</si>
  <si>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- 2019-08-22</t>
  </si>
  <si>
    <t>Yes: 2,4. Условия хранения материала соблюдаются (ВЧУ) - 2019-08-22</t>
  </si>
  <si>
    <t>Yes: 2,5. Наличие записи в "Журнале входного учета и контроля качества получаемых деталей, материалов, конструкций и оборудования" (ВЧУ) - 2019-08-22</t>
  </si>
  <si>
    <t>Yes: 3,1. Допускается к производству работ (ВЧУ) - 2019-08-22</t>
  </si>
  <si>
    <t>Владимир Чугунов: Заголовок изменен на Бетон Зах.29</t>
  </si>
  <si>
    <t>Владимир Чугунов: Дата начала изменена на авг. 22, 2019</t>
  </si>
  <si>
    <t>Бетон Зах.43</t>
  </si>
  <si>
    <t>Yes: 2,1. Материал соответствует требованиям проекта (ВЧУ) - 2019-08-01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</si>
  <si>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- 2019-08-01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</si>
  <si>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- 2019-08-01</t>
  </si>
  <si>
    <t>N/A: 2,4. Условия хранения материала соблюдаются (ВЧУ) - 2019-08-01</t>
  </si>
  <si>
    <t>Yes: 2,5. Наличие записи в "Журнале входного учета и контроля качества получаемых деталей, материалов, конструкций и оборудования" (ВЧУ) - 2019-08-01</t>
  </si>
  <si>
    <t>Yes: 3,1. Допускается к производству работ (ВЧУ) - 2019-08-01</t>
  </si>
  <si>
    <t>Владимир Чугунов: Заголовок изменен на Бетон Зах.43</t>
  </si>
  <si>
    <t>Владимир Чугунов: Дата начала изменена на авг. 1, 2019</t>
  </si>
  <si>
    <t>Бетон СВГ Зах.16</t>
  </si>
  <si>
    <t>Владимир Чугунов: Заголовок изменен на Бетон СВГ Зах.16</t>
  </si>
  <si>
    <t>Бетон БО 26, 27</t>
  </si>
  <si>
    <t>Yes: 2,1. Материал соответствует требованиям проекта (ВЧУ) - 2019-08-02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</si>
  <si>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- 2019-08-02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</si>
  <si>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- 2019-08-02</t>
  </si>
  <si>
    <t>N/A: 2,4. Условия хранения материала соблюдаются (ВЧУ) - 2019-08-02</t>
  </si>
  <si>
    <t>Yes: 2,5. Наличие записи в "Журнале входного учета и контроля качества получаемых деталей, материалов, конструкций и оборудования" (ВЧУ) - 2019-08-02</t>
  </si>
  <si>
    <t>Yes: 3,1. Допускается к производству работ (ВЧУ) - 2019-08-02</t>
  </si>
  <si>
    <t>Владимир Чугунов: Заголовок изменен на Бетон БО 26, 27</t>
  </si>
  <si>
    <t>Владимир Чугунов: Дата начала изменена на авг. 2, 2019</t>
  </si>
  <si>
    <t>Бетон БО 7</t>
  </si>
  <si>
    <t>Yes: 2,1. Материал соответствует требованиям проекта (ВЧУ) - 2019-08-26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</si>
  <si>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- 2019-08-26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</si>
  <si>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- 2019-08-26</t>
  </si>
  <si>
    <t>Yes: 2,4. Условия хранения материала соблюдаются (ВЧУ) - 2019-08-26</t>
  </si>
  <si>
    <t>Yes: 2,5. Наличие записи в "Журнале входного учета и контроля качества получаемых деталей, материалов, конструкций и оборудования" (ВЧУ) - 2019-08-26</t>
  </si>
  <si>
    <t>Yes: 3,1. Допускается к производству работ (ВЧУ) - 2019-08-26</t>
  </si>
  <si>
    <t>Владимир Чугунов: Заголовок изменен на Бетон БО 7</t>
  </si>
  <si>
    <t>Владимир Чугунов: Дата начала изменена на авг. 26, 2019</t>
  </si>
  <si>
    <t>Yes: 2,1. Материал соответствует требованиям проекта (ВЧУ) - 2019-08-04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</si>
  <si>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- 2019-08-04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</si>
  <si>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- 2019-08-04</t>
  </si>
  <si>
    <t>N/A: 2,4. Условия хранения материала соблюдаются (ВЧУ) - 2019-08-04</t>
  </si>
  <si>
    <t>N/A: 2,5. Наличие записи в "Журнале входного учета и контроля качества получаемых деталей, материалов, конструкций и оборудования" (ВЧУ) - 2019-08-04</t>
  </si>
  <si>
    <t>Yes: 3,1. Допускается к производству работ (ВЧУ) - 2019-08-04</t>
  </si>
  <si>
    <t>Владимир Чугунов: Дата начала изменена на авг. 4, 2019</t>
  </si>
  <si>
    <t>Бетон Зах.42</t>
  </si>
  <si>
    <t>Yes: 2,1. Материал соответствует требованиям проекта (ВЧУ) - 2019-08-06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</si>
  <si>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- 2019-08-06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</si>
  <si>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- 2019-08-06</t>
  </si>
  <si>
    <t>N/A: 2,4. Условия хранения материала соблюдаются (ВЧУ) - 2019-08-06</t>
  </si>
  <si>
    <t>Yes: 2,5. Наличие записи в "Журнале входного учета и контроля качества получаемых деталей, материалов, конструкций и оборудования" (ВЧУ) - 2019-08-06</t>
  </si>
  <si>
    <t>Yes: 3,1. Допускается к производству работ (ВЧУ) - 2019-08-06</t>
  </si>
  <si>
    <t>Владимир Чугунов: Заголовок изменен на Бетон Зах.42</t>
  </si>
  <si>
    <t>Владимир Чугунов: Дата начала изменена на авг. 6, 2019</t>
  </si>
  <si>
    <t>Бетон. Зах.41</t>
  </si>
  <si>
    <t>Yes: 2,1. Материал соответствует требованиям проекта (ВЧУ) - 2019-08-08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</si>
  <si>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- 2019-08-08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</si>
  <si>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- 2019-08-08</t>
  </si>
  <si>
    <t>N/A: 2,4. Условия хранения материала соблюдаются (ВЧУ) - 2019-08-08</t>
  </si>
  <si>
    <t>Yes: 2,5. Наличие записи в "Журнале входного учета и контроля качества получаемых деталей, материалов, конструкций и оборудования" (ВЧУ) - 2019-08-08</t>
  </si>
  <si>
    <t>Yes: 3,1. Допускается к производству работ (ВЧУ) - 2019-08-08</t>
  </si>
  <si>
    <t>Владимир Чугунов: Заголовок изменен на Бетон. Зах.41</t>
  </si>
  <si>
    <t>Владимир Чугунов: Дата начала изменена на авг. 8, 2019</t>
  </si>
  <si>
    <t>Бетон СВГ Зах.13</t>
  </si>
  <si>
    <t>Yes: 2,1. Материал соответствует требованиям проекта (ВЧУ) - 2019-09-21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</si>
  <si>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- 2019-09-21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</si>
  <si>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- 2019-09-21</t>
  </si>
  <si>
    <t>Yes: 2,4. Условия хранения материала соблюдаются (ВЧУ) - 2019-09-21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</si>
  <si>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- 2019-09-21</t>
  </si>
  <si>
    <t>Yes: 3,1. Допускается к производству работ (ВЧУ) - 2019-09-21</t>
  </si>
  <si>
    <t>Владимир Чугунов: Заголовок изменен на Бетон СВГ Зах.13</t>
  </si>
  <si>
    <t>Владимир Чугунов: Дата начала изменена на сент. 21, 2019</t>
  </si>
  <si>
    <t>Бетон СВГ Зах.20</t>
  </si>
  <si>
    <t>Yes: 2,1. Материал соответствует требованиям проекта (ВЧУ) - 2019-08-29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</si>
  <si>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- 2019-08-29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</si>
  <si>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- 2019-08-29</t>
  </si>
  <si>
    <t>Yes: 2,4. Условия хранения материала соблюдаются (ВЧУ) - 2019-08-29</t>
  </si>
  <si>
    <t>Yes: 2,5. Наличие записи в "Журнале входного учета и контроля качества получаемых деталей, материалов, конструкций и оборудования" (ВЧУ) - 2019-08-29</t>
  </si>
  <si>
    <t>Yes: 3,1. Допускается к производству работ (ВЧУ) - 2019-08-29</t>
  </si>
  <si>
    <t>Владимир Чугунов: Заголовок изменен на Бетон МВГ Зах.20</t>
  </si>
  <si>
    <t>Владимир Чугунов: Заголовок изменен на Бетон СВГ Зах.20</t>
  </si>
  <si>
    <t>Владимир Чугунов: Дата начала изменена на авг. 29, 2019</t>
  </si>
  <si>
    <t>Бетон БО 16. 17</t>
  </si>
  <si>
    <t>Yes: 2,1. Материал соответствует требованиям проекта (ВЧУ) - 2019-09-20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</si>
  <si>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- 2019-09-20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</si>
  <si>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- 2019-09-20</t>
  </si>
  <si>
    <t>Yes: 2,4. Условия хранения материала соблюдаются (ВЧУ) - 2019-09-20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</si>
  <si>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- 2019-09-20</t>
  </si>
  <si>
    <t>Yes: 3,1. Допускается к производству работ (ВЧУ) - 2019-09-20</t>
  </si>
  <si>
    <t>Владимир Чугунов: Заголовок изменен на Бетон БО 16. 17</t>
  </si>
  <si>
    <t>Владимир Чугунов: Дата начала изменена на сент. 20, 2019</t>
  </si>
  <si>
    <t>Бетон БО 11, 12</t>
  </si>
  <si>
    <t>Yes: 2,1. Материал соответствует требованиям проекта (ВЧУ) - 2019-09-23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</si>
  <si>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- 2019-09-23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</si>
  <si>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- 2019-09-23</t>
  </si>
  <si>
    <t>Yes: 2,4. Условия хранения материала соблюдаются (ВЧУ) - 2019-09-23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</si>
  <si>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- 2019-09-23</t>
  </si>
  <si>
    <t>Yes: 3,1. Допускается к производству работ (ВЧУ) - 2019-09-23</t>
  </si>
  <si>
    <t>Владимир Чугунов: Заголовок изменен на Бетон БО 11, 12</t>
  </si>
  <si>
    <t>Владимир Чугунов: Дата начала изменена на сент. 23, 2019</t>
  </si>
  <si>
    <t>Бетон БО 8, 23</t>
  </si>
  <si>
    <t>Yes: 2,1. Материал соответствует требованиям проекта (ВЧУ) - 2019-08-30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</si>
  <si>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- 2019-08-30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</si>
  <si>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- 2019-08-30</t>
  </si>
  <si>
    <t>Yes: 2,4. Условия хранения материала соблюдаются (ВЧУ) - 2019-08-30</t>
  </si>
  <si>
    <t>Yes: 2,5. Наличие записи в "Журнале входного учета и контроля качества получаемых деталей, материалов, конструкций и оборудования" (ВЧУ) - 2019-08-30</t>
  </si>
  <si>
    <t>Yes: 3,1. Допускается к производству работ (ВЧУ) - 2019-08-30</t>
  </si>
  <si>
    <t>Владимир Чугунов: Заголовок изменен на Бетон БО 8, 23</t>
  </si>
  <si>
    <t>Владимир Чугунов: Дата начала изменена на авг. 30, 2019</t>
  </si>
  <si>
    <t>Yes: 2,1. Материал соответствует требованиям проекта (ВЧУ) - 2019-12-20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</si>
  <si>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- 2019-12-20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</si>
  <si>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- 2019-12-20</t>
  </si>
  <si>
    <t>Yes: 2,4. Условия хранения материала соблюдаются (ВЧУ) - 2019-12-20</t>
  </si>
  <si>
    <t>Yes: 2,5. Наличие записи в "Журнале входного учета и контроля качества получаемых деталей, материалов, конструкций и оборудования" (ВЧУ) - 2019-12-20</t>
  </si>
  <si>
    <t>Yes: 3,1. Допускается к производству работ (ВЧУ) - 2019-12-20</t>
  </si>
  <si>
    <t>Владимир Чугунов: Дата начала изменена на дек. 20, 2019</t>
  </si>
  <si>
    <t>Бетон СВГ Зах.12</t>
  </si>
  <si>
    <t>Yes: 2,1. Материал соответствует требованиям проекта (ВЧУ) - 2019-09-24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</si>
  <si>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- 2019-09-24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</si>
  <si>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- 2019-09-24</t>
  </si>
  <si>
    <t>Yes: 2,4. Условия хранения материала соблюдаются (ВЧУ) - 2019-09-24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</si>
  <si>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- 2019-09-24</t>
  </si>
  <si>
    <t>Yes: 3,1. Допускается к производству работ (ВЧУ) - 2019-09-24</t>
  </si>
  <si>
    <t>Владимир Чугунов: Заголовок изменен на Бетон СВГ Зах.12</t>
  </si>
  <si>
    <t>Владимир Чугунов: Название категории изменено на Приемочный контроль</t>
  </si>
  <si>
    <t>Владимир Чугунов: Дата начала изменена на сент. 24, 2019</t>
  </si>
  <si>
    <t>Бетон БО 19, 20</t>
  </si>
  <si>
    <t>Yes: 2,1. Материал соответствует требованиям проекта (ВЧУ) - 2019-09-26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</si>
  <si>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- 2019-09-26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</si>
  <si>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- 2019-09-26</t>
  </si>
  <si>
    <t>Yes: 2,4. Условия хранения материала соблюдаются (ВЧУ) - 2019-09-26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</si>
  <si>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- 2019-09-26</t>
  </si>
  <si>
    <t>Yes: 3,1. Допускается к производству работ (ВЧУ) - 2019-09-26</t>
  </si>
  <si>
    <t>Владимир Чугунов: Заголовок изменен на Бетон БО 19, 20</t>
  </si>
  <si>
    <t>Владимир Чугунов: Дата начала изменена на сент. 26, 2019</t>
  </si>
  <si>
    <t>Бетон Зах.22</t>
  </si>
  <si>
    <t>Yes: 2,1. Материал соответствует требованиям проекта (ВЧУ) - 2019-09-02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</si>
  <si>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- 2019-09-02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</si>
  <si>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- 2019-09-02</t>
  </si>
  <si>
    <t>Yes: 2,4. Условия хранения материала соблюдаются (ВЧУ) - 2019-09-02</t>
  </si>
  <si>
    <t>Yes: 2,5. Наличие записи в "Журнале входного учета и контроля качества получаемых деталей, материалов, конструкций и оборудования" (ВЧУ) - 2019-09-02</t>
  </si>
  <si>
    <t>Yes: 3,1. Допускается к производству работ (ВЧУ) - 2019-09-02</t>
  </si>
  <si>
    <t>Владимир Чугунов: Заголовок изменен на Бетон Зах.22</t>
  </si>
  <si>
    <t>Владимир Чугунов: Дата начала изменена на сент. 2, 2019</t>
  </si>
  <si>
    <t>Бетон СВГ Зах.11</t>
  </si>
  <si>
    <t>Yes: 2,1. Материал соответствует требованиям проекта (ВЧУ) - 2019-09-25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</si>
  <si>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- 2019-09-25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</si>
  <si>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- 2019-09-25</t>
  </si>
  <si>
    <t>Yes: 2,4. Условия хранения материала соблюдаются (ВЧУ) - 2019-09-25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</si>
  <si>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- 2019-09-25</t>
  </si>
  <si>
    <t>Yes: 3,1. Допускается к производству работ (ВЧУ) - 2019-09-25</t>
  </si>
  <si>
    <t>Владимир Чугунов: Заголовок изменен на Бетон СВГ Зах.11</t>
  </si>
  <si>
    <t>Владимир Чугунов: Дата начала изменена на сент. 25, 2019</t>
  </si>
  <si>
    <t>Бетон БО 10, 11, 22</t>
  </si>
  <si>
    <t>Yes: 2,1. Материал соответствует требованиям проекта (ВЧУ) - 2019-09-03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</si>
  <si>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- 2019-09-03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</si>
  <si>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- 2019-09-03</t>
  </si>
  <si>
    <t>Yes: 2,4. Условия хранения материала соблюдаются (ВЧУ) - 2019-09-03</t>
  </si>
  <si>
    <t>Yes: 2,5. Наличие записи в "Журнале входного учета и контроля качества получаемых деталей, материалов, конструкций и оборудования" (ВЧУ) - 2019-09-03</t>
  </si>
  <si>
    <t>Yes: 3,1. Допускается к производству работ (ВЧУ) - 2019-09-03</t>
  </si>
  <si>
    <t>Владимир Чугунов: Заголовок изменен на Бетон БО 10, 11, 22</t>
  </si>
  <si>
    <t>Владимир Чугунов: Дата начала изменена на сент. 3, 2019</t>
  </si>
  <si>
    <t>Бетон СВГ Зах.5</t>
  </si>
  <si>
    <t>Владимир Чугунов: Заголовок изменен на Бетон СВГ Зах.5</t>
  </si>
  <si>
    <t>Бетон Зах.23</t>
  </si>
  <si>
    <t>Yes: 2,1. Материал соответствует требованиям проекта (ВЧУ) - 2019-09-04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</si>
  <si>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- 2019-09-04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</si>
  <si>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- 2019-09-04</t>
  </si>
  <si>
    <t>Yes: 2,4. Условия хранения материала соблюдаются (ВЧУ) - 2019-09-04</t>
  </si>
  <si>
    <t>Yes: 2,5. Наличие записи в "Журнале входного учета и контроля качества получаемых деталей, материалов, конструкций и оборудования" (ВЧУ) - 2019-09-04</t>
  </si>
  <si>
    <t>Yes: 3,1. Допускается к производству работ (ВЧУ) - 2019-09-04</t>
  </si>
  <si>
    <t>Владимир Чугунов: Заголовок изменен на Бетон Зах.23</t>
  </si>
  <si>
    <t>Владимир Чугунов: Дата начала изменена на сент. 4, 2019</t>
  </si>
  <si>
    <t>Бетон СВГ Зах.4</t>
  </si>
  <si>
    <t>Yes: 2,1. Материал соответствует требованиям проекта (ВЧУ) - 2019-09-29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</si>
  <si>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- 2019-09-29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</si>
  <si>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- 2019-09-29</t>
  </si>
  <si>
    <t>Yes: 2,4. Условия хранения материала соблюдаются (ВЧУ) - 2019-09-29</t>
  </si>
  <si>
    <t>Yes: 2,5. Наличие записи в "Журнале входного учета и контроля качества получаемых деталей, материалов, конструкций и оборудования" (ВЧУ) - 2019-09-29</t>
  </si>
  <si>
    <t>Yes: 3,1. Допускается к производству работ (ВЧУ) - 2019-09-29</t>
  </si>
  <si>
    <t>Владимир Чугунов: Заголовок изменен на Бетон СВГ Зах.4</t>
  </si>
  <si>
    <t>Владимир Чугунов: Дата начала изменена на сент. 29, 2019</t>
  </si>
  <si>
    <t>Бетон СВГ Зах.24</t>
  </si>
  <si>
    <t>Yes: 2,1. Материал соответствует требованиям проекта (ВЧУ) - 2019-09-07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</si>
  <si>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- 2019-09-07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</si>
  <si>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- 2019-09-07</t>
  </si>
  <si>
    <t>N/A: 2,4. Условия хранения материала соблюдаются (ВЧУ) - 2019-09-07</t>
  </si>
  <si>
    <t>Yes: 2,5. Наличие записи в "Журнале входного учета и контроля качества получаемых деталей, материалов, конструкций и оборудования" (ВЧУ) - 2019-09-07</t>
  </si>
  <si>
    <t>Yes: 3,1. Допускается к производству работ (ВЧУ) - 2019-09-07</t>
  </si>
  <si>
    <t>Владимир Чугунов: Заголовок изменен на Бетон СВГ Зах.24</t>
  </si>
  <si>
    <t>Владимир Чугунов: Дата начала изменена на сент. 7, 2019</t>
  </si>
  <si>
    <t>Бетон БО 23, 24</t>
  </si>
  <si>
    <t>Yes: 2,1. Материал соответствует требованиям проекта (ВЧУ) - 2019-09-30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</si>
  <si>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- 2019-09-30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</si>
  <si>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- 2019-09-30</t>
  </si>
  <si>
    <t>Yes: 2,4. Условия хранения материала соблюдаются (ВЧУ) - 2019-09-30</t>
  </si>
  <si>
    <t>Yes: 2,5. Наличие записи в "Журнале входного учета и контроля качества получаемых деталей, материалов, конструкций и оборудования" (ВЧУ) - 2019-09-30</t>
  </si>
  <si>
    <t>Yes: 3,1. Допускается к производству работ (ВЧУ) - 2019-09-30</t>
  </si>
  <si>
    <t>Владимир Чугунов: Заголовок изменен на Бетон БО 23, 24</t>
  </si>
  <si>
    <t>Владимир Чугунов: Дата начала изменена на сент. 30, 2019</t>
  </si>
  <si>
    <t>Бетон Зах.25</t>
  </si>
  <si>
    <t>Yes: 2,1. Материал соответствует требованиям проекта (ВЧУ) - 2019-09-09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</si>
  <si>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- 2019-09-09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</si>
  <si>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- 2019-09-09</t>
  </si>
  <si>
    <t>Yes: 2,4. Условия хранения материала соблюдаются (ВЧУ) - 2019-09-09</t>
  </si>
  <si>
    <t>Yes: 2,5. Наличие записи в "Журнале входного учета и контроля качества получаемых деталей, материалов, конструкций и оборудования" (ВЧУ) - 2019-09-09</t>
  </si>
  <si>
    <t>Yes: 3,1. Допускается к производству работ (ВЧУ) - 2019-09-09</t>
  </si>
  <si>
    <t>Владимир Чугунов: Заголовок изменен на Бетон Зах.25</t>
  </si>
  <si>
    <t>Владимир Чугунов: Дата начала изменена на сент. 9, 2019</t>
  </si>
  <si>
    <t>Бетон БНС 620_14</t>
  </si>
  <si>
    <t>Схема БН свай для предпроектного испытания</t>
  </si>
  <si>
    <t>Yes: 2,1. Материал соответствует требованиям проекта (ВЧУ) - 2019-12-22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</si>
  <si>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- 2019-12-22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</si>
  <si>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- 2019-12-22</t>
  </si>
  <si>
    <t>Yes: 2,4. Условия хранения материала соблюдаются (ВЧУ) - 2019-12-22</t>
  </si>
  <si>
    <t>Yes: 2,5. Наличие записи в "Журнале входного учета и контроля качества получаемых деталей, материалов, конструкций и оборудования" (ВЧУ) - 2019-12-22</t>
  </si>
  <si>
    <t>Yes: 3,1. Допускается к производству работ (ВЧУ) - 2019-12-22</t>
  </si>
  <si>
    <t>Владимир Чугунов: Заголовок изменен на БНС 620_14</t>
  </si>
  <si>
    <t>Владимир Чугунов: Заголовок изменен на Бетон БНС 620_14</t>
  </si>
  <si>
    <t>Владимир Чугунов: Дата начала изменена на дек. 22, 2019</t>
  </si>
  <si>
    <t>Бетон СВГ Зах.3</t>
  </si>
  <si>
    <t>Yes: 2,1. Материал соответствует требованиям проекта (ВЧУ) - 2019-10-01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</si>
  <si>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- 2019-10-01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</si>
  <si>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- 2019-10-01</t>
  </si>
  <si>
    <t>Yes: 2,4. Условия хранения материала соблюдаются (ВЧУ) - 2019-10-01</t>
  </si>
  <si>
    <t>Yes: 2,5. Наличие записи в "Журнале входного учета и контроля качества получаемых деталей, материалов, конструкций и оборудования" (ВЧУ) - 2019-10-01</t>
  </si>
  <si>
    <t>Yes: 3,1. Допускается к производству работ (ВЧУ) - 2019-10-01</t>
  </si>
  <si>
    <t>Владимир Чугунов: Заголовок изменен на Бетон СВГ Зах.3</t>
  </si>
  <si>
    <t>Yes: 2,1. Материал соответствует требованиям проекта (ВЧУ) - 2019-09-10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</si>
  <si>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- 2019-09-10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</si>
  <si>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- 2019-09-10</t>
  </si>
  <si>
    <t>N/A: 2,4. Условия хранения материала соблюдаются (ВЧУ) - 2019-09-10</t>
  </si>
  <si>
    <t>Yes: 2,5. Наличие записи в "Журнале входного учета и контроля качества получаемых деталей, материалов, конструкций и оборудования" (ВЧУ) - 2019-09-10</t>
  </si>
  <si>
    <t>Yes: 3,1. Допускается к производству работ (ВЧУ) - 2019-09-10</t>
  </si>
  <si>
    <t>Владимир Чугунов: Дата начала изменена на сент. 10, 2019</t>
  </si>
  <si>
    <t>Бетон СВГ Зах.54</t>
  </si>
  <si>
    <t>Yes: 2,1. Материал соответствует требованиям проекта (ВЧУ) - 2019-10-03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</si>
  <si>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- 2019-10-03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</si>
  <si>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- 2019-10-03</t>
  </si>
  <si>
    <t>Yes: 2,4. Условия хранения материала соблюдаются (ВЧУ) - 2019-10-03</t>
  </si>
  <si>
    <t>Yes: 2,5. Наличие записи в "Журнале входного учета и контроля качества получаемых деталей, материалов, конструкций и оборудования" (ВЧУ) - 2019-10-03</t>
  </si>
  <si>
    <t>Yes: 3,1. Допускается к производству работ (ВЧУ) - 2019-10-03</t>
  </si>
  <si>
    <t>Владимир Чугунов: Заголовок изменен на Бетон СВГ Зах.54</t>
  </si>
  <si>
    <t>Владимир Чугунов: Дата начала изменена на окт. 3, 2019</t>
  </si>
  <si>
    <t>Бетон СВГ Зах.55</t>
  </si>
  <si>
    <t>Yes: 2,1. Материал соответствует требованиям проекта (ВЧУ) - 2019-10-04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</si>
  <si>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- 2019-10-04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</si>
  <si>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- 2019-10-04</t>
  </si>
  <si>
    <t>Yes: 2,4. Условия хранения материала соблюдаются (ВЧУ) - 2019-10-04</t>
  </si>
  <si>
    <t>Yes: 2,5. Наличие записи в "Журнале входного учета и контроля качества получаемых деталей, материалов, конструкций и оборудования" (ВЧУ) - 2019-10-04</t>
  </si>
  <si>
    <t>Yes: 3,1. Допускается к производству работ (ВЧУ) - 2019-10-04</t>
  </si>
  <si>
    <t>Владимир Чугунов: Заголовок изменен на Бетон СВГ Зах.55</t>
  </si>
  <si>
    <t>Владимир Чугунов: Дата начала изменена на окт. 4, 2019</t>
  </si>
  <si>
    <t>Бетон БО 25, 26</t>
  </si>
  <si>
    <t>Владимир Чугунов: Заголовок изменен на Бетон БО 25, 26</t>
  </si>
  <si>
    <t>Бетон БНС 620_27</t>
  </si>
  <si>
    <t>Yes: 2,1. Материал соответствует требованиям проекта (ВЧУ) - 2019-12-23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</si>
  <si>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- 2019-12-23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</si>
  <si>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- 2019-12-23</t>
  </si>
  <si>
    <t>Yes: 2,4. Условия хранения материала соблюдаются (ВЧУ) - 2019-12-23</t>
  </si>
  <si>
    <t>Yes: 2,5. Наличие записи в "Журнале входного учета и контроля качества получаемых деталей, материалов, конструкций и оборудования" (ВЧУ) - 2019-12-23</t>
  </si>
  <si>
    <t>Yes: 3,1. Допускается к производству работ (ВЧУ) - 2019-12-23</t>
  </si>
  <si>
    <t>Владимир Чугунов: Заголовок изменен на Бетон БНС 620_27</t>
  </si>
  <si>
    <t>Владимир Чугунов: Дата начала изменена на дек. 23, 2019</t>
  </si>
  <si>
    <t>Противокапилярная Защита</t>
  </si>
  <si>
    <t>УФ_Противокапилярная гидроизоляция 1-3й этап</t>
  </si>
  <si>
    <t>Владимир Чугунов: Заголовок изменен на Противокапилярная Защита</t>
  </si>
  <si>
    <t>Владимир Чугунов: Дата начала изменена на нояб. 29, 2019</t>
  </si>
  <si>
    <t>Бетон БНС 620_40</t>
  </si>
  <si>
    <t>Владимир Чугунов: Заголовок изменен на Бетон БНС 620_40</t>
  </si>
  <si>
    <t>Бетон СВГ Зах.47</t>
  </si>
  <si>
    <t>Yes: 2,1. Материал соответствует требованиям проекта (ВЧУ) - 2019-10-26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</si>
  <si>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- 2019-10-26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</si>
  <si>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- 2019-10-26</t>
  </si>
  <si>
    <t>Yes: 2,4. Условия хранения материала соблюдаются (ВЧУ) - 2019-10-26</t>
  </si>
  <si>
    <t>Yes: 2,5. Наличие записи в "Журнале входного учета и контроля качества получаемых деталей, материалов, конструкций и оборудования" (ВЧУ) - 2019-10-26</t>
  </si>
  <si>
    <t>Yes: 3,1. Допускается к производству работ (ВЧУ) - 2019-10-26</t>
  </si>
  <si>
    <t>Владимир Чугунов: Заголовок изменен на Бетон СВГ Зах.47</t>
  </si>
  <si>
    <t>Владимир Чугунов: Дата начала изменена на окт. 26, 2019</t>
  </si>
  <si>
    <t>САГ Глинопорошок Бентонитовый</t>
  </si>
  <si>
    <t>Владимир Чугунов: Заголовок изменен на САГ Глинопорошок Бентонитовый</t>
  </si>
  <si>
    <t>Владимир Чугунов: Дата начала изменена на окт. 29, 2019</t>
  </si>
  <si>
    <t>Бетон СВГ Зах.52</t>
  </si>
  <si>
    <t>Yes: 2,1. Материал соответствует требованиям проекта (ВЧУ) - 2019-10-31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</si>
  <si>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- 2019-10-31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</si>
  <si>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- 2019-10-31</t>
  </si>
  <si>
    <t>Yes: 2,4. Условия хранения материала соблюдаются (ВЧУ) - 2019-10-31</t>
  </si>
  <si>
    <t>Yes: 2,5. Наличие записи в "Журнале входного учета и контроля качества получаемых деталей, материалов, конструкций и оборудования" (ВЧУ) - 2019-10-31</t>
  </si>
  <si>
    <t>Yes: 3,1. Допускается к производству работ (ВЧУ) - 2019-10-31</t>
  </si>
  <si>
    <t>Владимир Чугунов: Заголовок изменен на Бетон СВГ Зах.52</t>
  </si>
  <si>
    <t>Владимир Чугунов: Дата начала изменена на окт. 31, 2019</t>
  </si>
  <si>
    <t>Бетон СВГ Зах.51</t>
  </si>
  <si>
    <t>Владимир Чугунов: Заголовок изменен на Бетон СВГ Зах.51</t>
  </si>
  <si>
    <t>Бетон СВГ Зах.49</t>
  </si>
  <si>
    <t>Yes: 2,1. Материал соответствует требованиям проекта (ВЧУ) - 2019-11-02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</si>
  <si>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- 2019-11-02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</si>
  <si>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- 2019-11-02</t>
  </si>
  <si>
    <t>Yes: 2,4. Условия хранения материала соблюдаются (ВЧУ) - 2019-11-02</t>
  </si>
  <si>
    <t>Yes: 2,5. Наличие записи в "Журнале входного учета и контроля качества получаемых деталей, материалов, конструкций и оборудования" (ВЧУ) - 2019-11-02</t>
  </si>
  <si>
    <t>Yes: 3,1. Допускается к производству работ (ВЧУ) - 2019-11-02</t>
  </si>
  <si>
    <t>Владимир Чугунов: Заголовок изменен на Бетон СВГ Зах.49</t>
  </si>
  <si>
    <t>Владимир Чугунов: Дата начала изменена на нояб. 2, 2019</t>
  </si>
  <si>
    <t>Бетон БО 1.2</t>
  </si>
  <si>
    <t>Yes: 2,1. Материал соответствует требованиям проекта (ВЧУ) - 2019-12-11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</si>
  <si>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- 2019-12-11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</si>
  <si>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- 2019-12-11</t>
  </si>
  <si>
    <t>Yes: 2,4. Условия хранения материала соблюдаются (ВЧУ) - 2019-12-11</t>
  </si>
  <si>
    <t>Yes: 2,5. Наличие записи в "Журнале входного учета и контроля качества получаемых деталей, материалов, конструкций и оборудования" (ВЧУ) - 2019-12-11</t>
  </si>
  <si>
    <t>Yes: 3,1. Допускается к производству работ (ВЧУ) - 2019-12-11</t>
  </si>
  <si>
    <t>Владимир Чугунов: Заголовок изменен на Бетон БО 1</t>
  </si>
  <si>
    <t>Владимир Чугунов: Дата начала изменена на дек. 11, 2019</t>
  </si>
  <si>
    <t>Владимир Чугунов: Заголовок изменен на Бетон БО 1.2</t>
  </si>
  <si>
    <t>Гидрофобизация Цокольного Камня В/О 22-26/А</t>
  </si>
  <si>
    <t>НФ_Марсово поле</t>
  </si>
  <si>
    <t>МП, Фасад</t>
  </si>
  <si>
    <t>в4.3_гидроизоляционный_состав</t>
  </si>
  <si>
    <t>о4.3_противокапилярная_изоляция</t>
  </si>
  <si>
    <t>Yes: 1,1. Маркировка гидроизоляционного материала соответствует проекту (ВЧУ) - 2019-12-13</t>
  </si>
  <si>
    <t>No: 1,2. Условия хранения материала соблюдены (ВЧУ) - 2019-12-13</t>
  </si>
  <si>
    <t>Yes: 1,3. Маркировка пакеров (штуцеров) соответствует проекту (ВЧУ) - 2019-12-13</t>
  </si>
  <si>
    <t>Yes: 1,4.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- 2019-12-13</t>
  </si>
  <si>
    <t>Yes: 1,5. Наличие записи в "Журнале входного учета и контроля качества получаемых деталей, материалов, конструкций и оборудования" (ВЧУ) - 2019-12-13</t>
  </si>
  <si>
    <t>Yes: 2,1. Допускается к производству работ (ВЧУ) - 2019-12-13</t>
  </si>
  <si>
    <t>Yes: Нормативная документация СП 72.13330.2012 Защита строительных конструкций от коррозии СП 250.1325800 Защита от подземных вод (ВЧУ) - 2019-12-13</t>
  </si>
  <si>
    <t>Владимир Чугунов: Заголовок изменен на Гидрофобизация Цокольного Камня В/О 22-26/А</t>
  </si>
  <si>
    <t>Владимир Чугунов: Дата начала изменена на дек. 13, 2019</t>
  </si>
  <si>
    <t>Владимир Чугунов: Удалено отметить пункт - "6. Цементация шпуров и их инъектирование соответствует технологическому регламенту"</t>
  </si>
  <si>
    <t>Владимир Чугунов: Удалено отметить пункт - "Нормативная документация СП 70.13330.2012 Несущие и ограждающие конструкции СП 72.13330.2012 Защита строительных конструкций от коррозии СП 250.1325800 Защита от подземных вод"</t>
  </si>
  <si>
    <t>Владимир Чугунов: Удалено отметить пункт - "4. Подготовка поверхности для инъекционирования соответствует проекту"</t>
  </si>
  <si>
    <t>Владимир Чугунов: Удалено отметить пункт - "5. Приготовление ремонтных растворов сответствует согласованному технологическому регламенту"</t>
  </si>
  <si>
    <t>Владимир Чугунов: Удалено отметить пункт - "3. Разметка мест заложения скважин соответствует условиям  технологического регламента"</t>
  </si>
  <si>
    <t>Владимир Чугунов: Удалено отметить пункт - "2. При производстве работ используются материалы, прошедший входной контроль"</t>
  </si>
  <si>
    <t>Владимир Чугунов: Удалено отметить пункт - "1. Работы производятся в соответствии с РД, утвержденной в производтство работ"</t>
  </si>
  <si>
    <t>Yes: 2,1. Материал соответствует требованиям проекта (ВЧУ) - 2019-12-14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</si>
  <si>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- 2019-12-14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</si>
  <si>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- 2019-12-14</t>
  </si>
  <si>
    <t>Yes: 2,4. Условия хранения материала соблюдаются (ВЧУ) - 2019-12-14</t>
  </si>
  <si>
    <t>Yes: 2,5. Наличие записи в "Журнале входного учета и контроля качества получаемых деталей, материалов, конструкций и оборудования" (ВЧУ) - 2019-12-14</t>
  </si>
  <si>
    <t>Yes: 3,1. Допускается к производству работ (ВЧУ) - 2019-12-14</t>
  </si>
  <si>
    <t>Владимир Чугунов: Дата начала изменена на дек. 14, 2019</t>
  </si>
  <si>
    <t>СпецСтрой Нарушение технологии монтажа Окон Согласно ППР</t>
  </si>
  <si>
    <t>Замечание стройконтроля</t>
  </si>
  <si>
    <t>3318261@mail.ru</t>
  </si>
  <si>
    <t>Фасад Марсово Поле В/О 1-4/А</t>
  </si>
  <si>
    <t>Владимир Чугунов: Заголовок изменен на СпецСтрой Нарушение технологии монтажа Окон Согласно ППР</t>
  </si>
  <si>
    <t>Владимир Чугунов: Дата начала изменена на дек. 16, 2019</t>
  </si>
  <si>
    <t>Владимир Чугунов: Дата окончания изменена на дек. 18, 2019</t>
  </si>
  <si>
    <t>Владимир Чугунов: Ответственное лицо замещено Andrey Kozlov</t>
  </si>
  <si>
    <t>Владимир Чугунов: Нарушение технологии заделки монтажного шва оконного блока. 
1. Лента ПСУЛ установлена на раму, согласно ППР данная лента монтируется на четверть проёма ( верх, бок). 
2. После монтажа зазор между рамой и плоскостью (внутр. ) проёма составляет от 10 до 30 мм. Необходимо совместно с авторским надзором разработать способ докомпоновки цокольного камня в месте примыкания деревянной рамы к проёму.</t>
  </si>
  <si>
    <t>Andrey Kozlov: В ППР вносят изменения, т.к. установка ПСУЛ производится на раму.</t>
  </si>
  <si>
    <t>Andrey Kozlov: Завершенное задание</t>
  </si>
  <si>
    <t>Демонтаж Штукатурного Слоя В Арке На Миллионной Улице</t>
  </si>
  <si>
    <t>НФ_Милионная</t>
  </si>
  <si>
    <t>Андрей Денисов: Заголовок изменен на Демонтаж Штукатурного Слоя В Арке На Миллионной Улице</t>
  </si>
  <si>
    <t>Андрей Денисов: Дата начала изменена на июн. 10, 2019</t>
  </si>
  <si>
    <t>Андрей Денисов: Согласно распоряжения комитета по государственному контролю, использованию и охране памятников истории и культуры об определении предмета охраны объекта  культурного наследия федерального значения "Казармы Павловского полка" № 10-324 от 19.06.2014 данная арка на Миллионной улице попадает под сохранение и демонтажные работы в данной арке запрещены.</t>
  </si>
  <si>
    <t>Андрей Денисов: Изменен комментарий с Согласно распоряжения комитета по государственному контролю, использованию и охране памятников истории и культуры об определении предмета охраны объекта  культурного наследия федерального значения "Казармы Павловского полка" № 10-324 от 19.06.2014 данная арка на Миллионной улице попадает под сохранение и демонтажные работы в данной арке запрещены. Необходимо остановить демонтажные    на Согласно распоряжения комитета по государственному контролю, использованию и охране памятников истории и культуры об определении предмета охраны объекта  культурного наследия федерального значения "Казармы Павловского полка" № 10-324 от 19.06.2014 данная арка на Миллионной улице попадает под сохранение и демонтажные работы в данной арке запрещены.</t>
  </si>
  <si>
    <t>Андрей Денисов: Остановить работы по демонтажу штукатурного слоя. Предоставить согласование на данные работы.</t>
  </si>
  <si>
    <t>Андрей Денисов: Ответственное лицо замещено Максим Суматохин</t>
  </si>
  <si>
    <t>Андрей Денисов: Завершенное задание</t>
  </si>
  <si>
    <t>Maksim Sumatokhin: Согласование прикрепил.</t>
  </si>
  <si>
    <t>Андрей Денисов: Работы по демонтажу откосов должны быть согласованы в комитете по государственному контролю, использованию и охране памятников истории и культуры.</t>
  </si>
  <si>
    <t>Андрей Денисов: Изменен комментарий с Данные работы должны быть согласованы в комитете по государственному контролю, использованию и охране памятников истории и культуры. на Работы по демонтажу откосов должны быть согласованы в комитете по государственному контролю, использованию и охране памятников истории и культуры.</t>
  </si>
  <si>
    <t xml:space="preserve">Maksim Sumatokhin: На совещании 11.06.2019 было решено, что этого акта будет достаточно и в КГИОП не будут идти согласовывать это. </t>
  </si>
  <si>
    <t xml:space="preserve">Андрей Денисов: Данное решения может согласовать только комитет по государственному контролю, использованию и охране памятников истории и культуры т.к. данный объект является культурным наследием.
</t>
  </si>
  <si>
    <t>Работы по устройству буронабивных свай ведутся без согласованной рабочей документации выданной в производство работ</t>
  </si>
  <si>
    <t>Устройство Забоя Бнс № 46</t>
  </si>
  <si>
    <t>Андрей Денисов: Согласовать рабочую документацию на производство буронабивных свай.</t>
  </si>
  <si>
    <t>Андрей Денисов: Название категории изменено на Замечание стройконтроля</t>
  </si>
  <si>
    <t>Андрей Денисов: Дата окончания изменена на дек. 23, 2019</t>
  </si>
  <si>
    <t>Андрей Денисов: Ответственное лицо замещено Maksim Sumatokhin</t>
  </si>
  <si>
    <t>Требуется Проектное Решение По Дальнейшим Действиям При Выполнение Работ По Компенсирующим Мероприятиям На Контакте Фундамент Грунт В/О 19/2И</t>
  </si>
  <si>
    <t>Андрей Денисов: Заголовок изменен на Требуется Проектное Решение По Дальнейшим Действиям При Выполнение Работ По Компенсирующим Мероприятиям На Контакте Фундамент Грунт В/О 19/2И</t>
  </si>
  <si>
    <t>Андрей Денисов: Дата начала изменена на окт. 4, 2019</t>
  </si>
  <si>
    <t>Андрей Денисов: Дата окончания изменена на окт. 7, 2019</t>
  </si>
  <si>
    <t>Андрей Денисов: В результате разбуривания скважин для финального инъецирования было выявлено отсутствие кернов, что означает раствор "Газоинжект Geo " не набрал минимально необходимой прочности. Согласно рабочей документации 03/2019-Р-МК-ОП финальное нагнетание необходимо произвести в интервале 1-12 часов. Данного интервала не достаточно для на бора прочности "Газоинжект Geo". Так же при первичной прокачке на 4 скважинах из 7 было закачено 100 литров в каждую скважину с минимальным давлением. Необходимо передать результаты первого этапа инъецированния в проектный отдел для получения проектного решения по дальнейшим действиям при производстве работ по  компенсирующим мероприятиям на контакте фундамент-грунт.</t>
  </si>
  <si>
    <t>Андрей Денисов: Сменить ответственное лицо на Максим Суматохин</t>
  </si>
  <si>
    <t>Андрей Денисов: Редактированный комментарий - "В результате разбури..."</t>
  </si>
  <si>
    <t>ГЕО_БНС 620_27</t>
  </si>
  <si>
    <t>Владимир Чугунов: Заголовок изменен на ГЕО_БНС 620_27</t>
  </si>
  <si>
    <t xml:space="preserve">Владимир Чугунов: После завершения бетонирования БНС 620 _27 через 20-30 минут на поверхности от оголовка сваи обнаружен размыв ( на поверхности явно виден подъём воды и песка -1 очаг) необходимо данный факт предъявить представителю авторского надзора для принятия решения по данной ситуации. </t>
  </si>
  <si>
    <t xml:space="preserve">Владимир Чугунов: Изменен комментарий с После завершения бетонирования БНС 620 _27 через 20-30 минут на поверхности от оголовка сваи обнаружен размыв ( на поверхности явно виден подъ на После завершения бетонирования БНС 620 _27 через 20-30 минут на поверхности от оголовка сваи обнаружен размыв ( на поверхности явно виден подъём воды и песка -1 очаг) необходимо данный факт предъявить представителю авторского надзора для принятия решения по данной ситуации. </t>
  </si>
  <si>
    <t>Владимир Чугунов: Дата окончания изменена на дек. 25, 2019</t>
  </si>
  <si>
    <t>Владимир Чугунов: Ответственное лицо замещено Maksim Sumatokhin</t>
  </si>
  <si>
    <t>Владимир Чугунов: После набора прочности бетоном выполнить испытания конструкции на сплошность.</t>
  </si>
  <si>
    <t>В процессе производства работ по мониторингу осадок здания, были зафиксированы осадки превышающие допустимые. Согласно ГОСТ Р 56198-2014 "Мониторинг технического состояния объектов культурного наследия. Недвижимые памятники. Общие требования" была создана</t>
  </si>
  <si>
    <t>Андрей Денисов: Приоритет изменен на 1</t>
  </si>
  <si>
    <t>Андрей Денисов: Изменена дата начала на 24.12.2019</t>
  </si>
  <si>
    <t>Андрей Денисов: Изменена дата завершения на 09.01.2020</t>
  </si>
  <si>
    <t>Андрей Денисов: В процессе производства работ по мониторингу осадок здания, были зафиксированы осадки превышающие допустимые. Согласно ГОСТ Р 56198-2014 "Мониторинг технического состояния объектов культурного наследия. Недвижимые памятники. Общие требования" была создана специальная комиссия. На заседании комиссии было принято решении о приостановке работ по устройству диафрагмы по технологии Jet Grouting в 1 дворе. Дальнейшее решение о продолжении данного вида работ будет принято на повторном заседании комиссии 09.01.2020 г.</t>
  </si>
  <si>
    <t>Андрей Денисов: Сменить ответственное лицо на Maksim Sumatokhin</t>
  </si>
  <si>
    <t>Андрей Денисов: План изменен на 03.2019-Р-КЖ0-2[04] 7</t>
  </si>
  <si>
    <t>Андрей Денисов: Местоположение изменено на БНС1_Устройство Буронабивных Свай В 1 Дворе</t>
  </si>
  <si>
    <t>Андрей Денисов: В процессе производства работ по мониторингу осадок здания, были зафиксированы осадки превышающие допустимые. Согласно ГОСТ Р 56198-2014 "Мониторинг технического состояния объектов культурного наследия. Недвижимые памятники. Общие требования" была создана специальная комиссия. На заседании комиссии было принято решении о темпе производства работ по устройству буронабивных свай в 1 дворе, разрешается выполнять не более 1 сваи в сутки до дальнейшего решения, которое будет принято на повторном заседании комиссии 09.01.2020 г.</t>
  </si>
  <si>
    <t>Демонтаж Арки на выезде со второго двора по Аптекарскому переулку</t>
  </si>
  <si>
    <t>ВФ_Двор 2</t>
  </si>
  <si>
    <t>Андрей Денисов: Заголовок изменен на Демонтаж Арки на выезде со второго двора по Аптекарскому переулку</t>
  </si>
  <si>
    <t>Андрей Денисов: Изменена дата начала на 17.11.2019</t>
  </si>
  <si>
    <t>Андрей Денисов: Изменена дата завершения на 20.11.2019</t>
  </si>
  <si>
    <t>Андрей Денисов: Согласно распоряжения комитета по государственному контролю, использованию и охране памятников истории и культуры об определении предмета охраны объекта  культурного наследия федерального значения "Казармы Павловского полка" № 10-324 от 19.06.2014 данная арка на Аптекарскому переулку попадает под сохранение и демонтажные работы в данной арке запрещены. Работы по демонтажу должны быть согласованы в комитете по государственному контролю, использованию и охране памятников истории и культуры.</t>
  </si>
  <si>
    <t>Разрушение кирпичной кладки после шурфа фундамента 8/1-12/1/У</t>
  </si>
  <si>
    <t>Приемочный Контроль Усиления Фундаментов Цементацией В/О 5/1-12/1Т-У</t>
  </si>
  <si>
    <t>Андрей Денисов: Дата начала изменена на авг. 13, 2019</t>
  </si>
  <si>
    <t>Андрей Денисов: Дата окончания изменена на авг. 19, 2019</t>
  </si>
  <si>
    <t>Андрей Денисов: Врезультате устройства шурфа фундамента, произошло разрушение кирпичной кладки в/о 8/1-12/1/У. Восстановить кирпичную кладку предварительно согласовав метод с авторским надзором.</t>
  </si>
  <si>
    <t>Андрей Денисов: Изменен комментарий с Врезультате устройства шурфа фундамента, произошло разрушение кирпичной кладки в/о 8/1-12/1/У. Согласовать с авторским надзором компенсирующие мероприятия для восстановления кирпичной кладки. на Врезультате устройства шурфа фундамента, произошло разрушение кирпичной кладки в/о 8/1-12/1/У. Восстановить кирпичную кладку предварительно согласовав метод с авторским надзором.</t>
  </si>
  <si>
    <t>ГЕО_Грязь на Строительной Площадке</t>
  </si>
  <si>
    <t>Бытовой Городок</t>
  </si>
  <si>
    <t>Владимир Чугунов: Заголовок изменен на ГЕО_Грязь на Строительной Площадке</t>
  </si>
  <si>
    <t xml:space="preserve">Владимир Чугунов: Нарушение ПОС в части содержания строительной площадки. Грязь из первого двора разносится колесами и вытекает в бытовой городок по ул. Миллионной. Данное загрязнение может привести к засору с городской канализации. В срочном порядке организовать мероприятия по недопущению распространения грязи по строительной площадке и промывке коллектора канализации. </t>
  </si>
  <si>
    <t>Выполнить зачеканку скважин после усиления фундаментов, а также произвести вывоз кернов и наплывов бетона образовавшихся в результате работ.</t>
  </si>
  <si>
    <t>Приемочный Контроль Усиления Фундаментов Цементацией В/О 22/1-26/У-Т/1, 16/1-19/1/У-Т/1</t>
  </si>
  <si>
    <t>Андрей Денисов: Приоритет изменен на P3</t>
  </si>
  <si>
    <t>Андрей Денисов: Дата начала изменена на июл. 25, 2019</t>
  </si>
  <si>
    <t>Андрей Денисов: Дата окончания изменена на июл. 29, 2019</t>
  </si>
  <si>
    <t>Андрей Денисов: Выполнить зачеканку скважин после усиления фундаментов, а также произвести вывоз кернов и наплывов бетона образовавшихся в результате работ.</t>
  </si>
  <si>
    <t>Maksim Sumatokhin: Выполнена очистка от цементного камня и зачеканка отверстий на закрытые по КС работы.</t>
  </si>
  <si>
    <t>Андрей Денисов: Данные работы выполнены не в полном объеме.</t>
  </si>
  <si>
    <t>Maksim Sumatokhin: Полностью выполнили зачеканку скважин после усиления тела фундаментов цементацией, а также произвели вывоз кернов и наплывов бетона, образовавшихся в результате работ.</t>
  </si>
  <si>
    <t>Согласовать с авторским надзором устройство рабочих швов по стенам лотка в/о 1-2/И/1-У</t>
  </si>
  <si>
    <t>Операционный Контроль Бетонирования Стен Лотка В/О 1-2/И/1-У</t>
  </si>
  <si>
    <t>Андрей Денисов: Дата начала изменена на мар. 27, 2019</t>
  </si>
  <si>
    <t>Maksim Sumatokhin: Запись в журнале авторского надзора.</t>
  </si>
  <si>
    <t>Усиление проёма не соответствует РД</t>
  </si>
  <si>
    <t>Уф_Усиление Проёма</t>
  </si>
  <si>
    <t>Операционный Контроль Армирования Проёма 1/Г</t>
  </si>
  <si>
    <t>Владимир Чугунов: Название категории изменено на Замечание стройконтроля</t>
  </si>
  <si>
    <t>Владимир Чугунов: Дата начала изменена на апр. 2, 2019</t>
  </si>
  <si>
    <t>Владимир Чугунов: Дата окончания изменена на апр. 5, 2019</t>
  </si>
  <si>
    <t>Maksim Sumatokhin: Сделали запись в журнале АН.</t>
  </si>
  <si>
    <t>Заменить повреждённый шланг у Водомерного Узла и хомуты на стыках. Устранить протечки воды.</t>
  </si>
  <si>
    <t>Операционный Контроль Усиления Фундаментов Цементацией В/О 26-27/В-Ж</t>
  </si>
  <si>
    <t>Андрей Денисов: Дата начала изменена на апр. 8, 2019</t>
  </si>
  <si>
    <t>Андрей Денисов: Дата окончания изменена на апр. 9, 2019</t>
  </si>
  <si>
    <t>Андрей Денисов: Заголовок изменен на Заменить повреждённый шланг у Водомерного Узла и хомуты на стыках. Устранить протечки воды.</t>
  </si>
  <si>
    <t>Согласование изменений с АН При Армировании Приливов В/О 1-2/А-Д</t>
  </si>
  <si>
    <t>Операционныйй Контроль Армирования Прилива В/О 1-2/А-Г</t>
  </si>
  <si>
    <t>Владимир Чугунов: Заголовок изменен на Согласование изменений с АН При Армировании Приливов В/О 1-2/А-Д</t>
  </si>
  <si>
    <t>Владимир Чугунов: Дата начала изменена на апр. 1, 2019</t>
  </si>
  <si>
    <t>Владимир Чугунов: Согласовать устройство продыхов и изменение анкеровки колонн</t>
  </si>
  <si>
    <t>Владимир Чугунов: Замечание по продыхам снимается. По анкеровки колонн не снимается, запись в журнале АН не снимает замечание.</t>
  </si>
  <si>
    <t>Maksim Sumatokhin: АН сделал запись по колоне.</t>
  </si>
  <si>
    <t>Нарушение Технологии Бурение Скважин И Закачка Раствора При Цементации Фундамента Ведётся Одновременно С Двух Сторон Стен В/О Т/1-У/22/2-24</t>
  </si>
  <si>
    <t>Андрей Денисов: Заголовок изменен на Нарушение Технологии Бурение Скважин И Закачка Раствора При Цементации Фундамента Ведётся Одновременно С Двух Сторон Стен В/О Т/1-У/22/2-24</t>
  </si>
  <si>
    <t>Андрей Денисов: Дата начала изменена на июл. 12, 2019</t>
  </si>
  <si>
    <t>Андрей Денисов: Дата окончания изменена на июл. 16, 2019</t>
  </si>
  <si>
    <t>Андрей Денисов: В/О Т/22/2-25, Т-У/23/2 производятся работы по усилению фундаментов одновременно с двух сторон стены. Необходимо разработать и согласовать с авторским надзором компенсирующие мероприятия, а так же произвести испытания методом отбора кернов по истечению 28 суток после завершения работ.</t>
  </si>
  <si>
    <t xml:space="preserve">Maksim Sumatokhin: Сделана запись  в журнале авторского надзора №82 от 19.07.2019. </t>
  </si>
  <si>
    <t>Андрей Денисов: Выполнить испытания в 6 точках согласно записи авторского надзора.</t>
  </si>
  <si>
    <t>Maksim Sumatokhin: Выполнили испытания, согласно записи авторского надзора.</t>
  </si>
  <si>
    <t>Усиление Фундаментов Цементацией</t>
  </si>
  <si>
    <t>Операционный контроль усиления фундаментов цементацией в/о 17-19/Д-Л,  19/1-21/1/У-Т/1</t>
  </si>
  <si>
    <t>Андрей Денисов: Заголовок изменен на Усиление Фундаментов Цементацией</t>
  </si>
  <si>
    <t>Андрей Денисов: Дата начала изменена на мая 17, 2019</t>
  </si>
  <si>
    <t>Андрей Денисов: Дата окончания изменена на мая 20, 2019</t>
  </si>
  <si>
    <t xml:space="preserve">Андрей Денисов: Работы по усилению фундаментов в/о Д-Л/17-19 ведутся по несогласованному проекту. </t>
  </si>
  <si>
    <t>Maksim Sumatokhin: Выдан проект изм. 1 в производство работ.</t>
  </si>
  <si>
    <t>Maksim Sumatokhin: Выдан проект шифр 13/18-Р-УФ.1.1 Изм.1 в производство работ.</t>
  </si>
  <si>
    <t>Работы по усилению грунтов в/о Л-П/24-27 ведутся по несогласованному проекту.</t>
  </si>
  <si>
    <t>о2.9_закрепление_грунтов_основания_под_подошвой_фундаментов</t>
  </si>
  <si>
    <t>Операционный контроль работ по усилению грунтов в/о Л-П/24-27</t>
  </si>
  <si>
    <t>No: 1. Работы проводятся в соответствии с РД, утвержденной в производство работ (АДЕ) - 2019-05-17</t>
  </si>
  <si>
    <t>Not set: 2. Геодезическая разбивка скважин, соответствует проекту (АДЕ) - 2019-05-17</t>
  </si>
  <si>
    <t>Not set: 3. Место установки буровой машины на точку бурения, соответствует проекту (АДЕ) - 2019-05-17</t>
  </si>
  <si>
    <t>Not set: 4. Подготовка штанги-бура и раствора выполняется в соотвествии с проектом (АДЕ) - 2019-05-17</t>
  </si>
  <si>
    <t>Not set: 5. Угол наклона стрелы станка, режим и глубина бурения скважин соответствует проекту (АДЕ) - 2019-05-17</t>
  </si>
  <si>
    <t>Not set: 6. Режим заполнения скважины раствором соответствует проекту (АДЕ) - 2019-05-17</t>
  </si>
  <si>
    <t>Андрей Денисов: Заголовок изменен на Работы по усилению грунтов в/о Л-П/24-27 ведутся по несогласованному проекту.</t>
  </si>
  <si>
    <t>Андрей Денисов: Работы по усилению грунтов в/о Л-П/24-27 ведутся по несогласованному проекту.</t>
  </si>
  <si>
    <t>Maksim Sumatokhin: Выдан проект шифр 03/2019-Р-УФ.3 Изм.1 в производство работ.</t>
  </si>
  <si>
    <t>Maksim Sumatokhin: Редактированный комментарий - "Выдан проект шифр 13..."</t>
  </si>
  <si>
    <t>Согласовать с авторским надзором устройство рабочих швов по ж/б плите подвала в/о 1-2/А-Г</t>
  </si>
  <si>
    <t>Операционный Контроль Бетонирования Ж/Б Плиты подвала в/о 1-2/А-Г</t>
  </si>
  <si>
    <t>Андрей Денисов: Заголовок изменен на Согласовать с авторским надзором устройство рабочих швов по ж/б плите лотка</t>
  </si>
  <si>
    <t>Андрей Денисов: Приоритет изменен на 3</t>
  </si>
  <si>
    <t>Андрей Денисов: Изменена дата начала на 20.03.2019</t>
  </si>
  <si>
    <t>Андрей Денисов: Изменена дата завершения на 25.03.2019</t>
  </si>
  <si>
    <t>Андрей Денисов: Сменить ответственное лицо на Владимир Чугунов</t>
  </si>
  <si>
    <t>Андрей Денисов: Сменить ответственное лицо на Андрей Денисов</t>
  </si>
  <si>
    <t>Андрей Денисов: Необходимо согласовать с авторским надзором устройство рабочих швов по ж/б плите подвала в 1-2/А-Г</t>
  </si>
  <si>
    <t>Андрей Денисов: Изменен комментарий с Необходимо согласовать с авторским надзором устройство рабочих швов по ж/б плите лотка на Необходимо согласовать с авторским надзором устройство рабочих швов по ж/б плите лотка в 1-2/А-Г</t>
  </si>
  <si>
    <t>Андрей Денисов: Изменена дата завершения на 27.03.2019</t>
  </si>
  <si>
    <t>Андрей Денисов: Заголовок изменен на Согласовать с авторским надзором устройство рабочих швов по ж/б плите подвала</t>
  </si>
  <si>
    <t>Андрей Денисов: Заголовок изменен на Согласовать с авторским надзором устройство рабочих швов по ж/б плите подвала в/о 1-2/А-Г</t>
  </si>
  <si>
    <t>Андрей Денисов: Редактированный комментарий - "Необходимо согласова..."</t>
  </si>
  <si>
    <t>Maksim Sumatokhin: Запись в журнале авторского надзора</t>
  </si>
  <si>
    <t>Нарушение Технологии Производства Работ По Усилению Грунтов В/О 20/А-Б</t>
  </si>
  <si>
    <t>Операционный контроль усиления грунтов в/о 24-26/М-О, 20-22/А-Г</t>
  </si>
  <si>
    <t>Андрей Денисов: Заголовок изменен на Нарушение Технологии Производства Работ По Усилению Грунтов В/О 20/А-Б</t>
  </si>
  <si>
    <t>Андрей Денисов: Дата начала изменена на мая 21, 2019</t>
  </si>
  <si>
    <t>Андрей Денисов: Дата окончания изменена на мая 27, 2019</t>
  </si>
  <si>
    <t xml:space="preserve">Андрей Денисов: В/О 20/А-Б выполнено усиление грунтов без усиления фундамента цементацией (скважины 2343-2350). Необходимо разработать и согласовать с авторским надзором компенсирующие мероприятия, а так же произвести испытания подтверждающие целостность и несущую способность данного фундамента. </t>
  </si>
  <si>
    <t>Maksim Sumatokhin: Сделана запись в журнале авторского надзора от 30.05.2019</t>
  </si>
  <si>
    <t>Нарушение Последовательности Работ В/О 18/К-И</t>
  </si>
  <si>
    <t>03_2019_Р_УФ-3 усиление грунтов основания изм.1.1</t>
  </si>
  <si>
    <t>Операционный контроль усиления грунтов цементацией 18/К-И</t>
  </si>
  <si>
    <t>Андрей Денисов: Заголовок изменен на Нарушение Последовательности Работ В/О 18/К-И</t>
  </si>
  <si>
    <t>Андрей Денисов: Дата начала изменена на июн. 18, 2019</t>
  </si>
  <si>
    <t>Андрей Денисов: Дата окончания изменена на июн. 24, 2019</t>
  </si>
  <si>
    <t xml:space="preserve">Андрей Денисов: Нарушение Технологии Производства Работ По Усилению Грунтов В/О 18/К-И. </t>
  </si>
  <si>
    <t xml:space="preserve">Андрей Денисов: В/О 18/И-К выполнено усиление грунтов без усиления фундамента цементацией (скважины 1468-1473). Необходимо разработать и согласовать с авторским надзором компенсирующие мероприятия, а так же произвести испытания подтверждающие целостность и несущую способность данного фундамента. </t>
  </si>
  <si>
    <t>Maksim Sumatokhin: Сделана запись  в журнале авторского надзора №82 от 19.07.2019</t>
  </si>
  <si>
    <t>Роман Кузьмин: Проверенное задание</t>
  </si>
  <si>
    <t>Андрей Денисов: Выполнить испытания в 2 точках согласно записи авторского надзора.</t>
  </si>
  <si>
    <t>Maksim Sumatokhin: Выполнили испытание в 2 точках.</t>
  </si>
  <si>
    <t>Установка гильз для прохода ТС</t>
  </si>
  <si>
    <t>Операционный Контроль Армирования Канала Выноса Теплосети В/О 1-2/Д-Е/1</t>
  </si>
  <si>
    <t>Владимир Чугунов: Дата начала изменена на апр. 9, 2019</t>
  </si>
  <si>
    <t>Владимир Чугунов: Дата окончания изменена на апр. 11, 2019</t>
  </si>
  <si>
    <t>Владимир Чугунов: В процессе операционного контроля выявлены отклонения соосности гильз для прохода трубопроводов ТС. По нижней гильзе 150 мм, по верхней 100 мм</t>
  </si>
  <si>
    <t>Maksim Sumatokhin: Планово-высотное положение согласовано и передано в ООО Петропроект.</t>
  </si>
  <si>
    <t>Нарушение СП 70.13330.2012 в части отсутствия фиксации элементов арматурного каркаса для зах.33 выполнить фиксацию согласно РД</t>
  </si>
  <si>
    <t>Арматурный Каркас СВГ Зах.33</t>
  </si>
  <si>
    <t>Владимир Чугунов: Дата начала изменена на июл. 16, 2019</t>
  </si>
  <si>
    <t>Maksim Sumatokhin: Выполнена фиксация элементов.</t>
  </si>
  <si>
    <t>Устройство скважин для усиления фундаментов выполнено по несогласованному проекту в/о Г/19-22</t>
  </si>
  <si>
    <t>Операционный Контроль Усиления Фундаментов Цементацией В/О 23-27/К-Л, 23-26/И-Ж, 19-24/Г-Д</t>
  </si>
  <si>
    <t>Андрей Денисов: Дата начала изменена на апр. 30, 2019</t>
  </si>
  <si>
    <t>Андрей Денисов: Дата окончания изменена на мая 8, 2019</t>
  </si>
  <si>
    <t>Андрей Денисов: Глубина и углы шпуров не соответствуют  проекту.</t>
  </si>
  <si>
    <t>Андрей Денисов: Изменен комментарий с Глубина шпуров не соответствует  проекту. на Глубина и углы шпуров не соответствуют  проекту.</t>
  </si>
  <si>
    <t>Демонтажные Работы В Дворе 1</t>
  </si>
  <si>
    <t>Демонтажные Работы Двор 1</t>
  </si>
  <si>
    <t>Владимир Чугунов: Заголовок изменен на Демонтажные Работы В Дворе 1</t>
  </si>
  <si>
    <t>Владимир Чугунов: Дата начала изменена на мая 24, 2019</t>
  </si>
  <si>
    <t>Владимир Чугунов: Начаты работы по демонтажу ж/б конструкций внутри двора 1. Отсутствует согласованный ППР. В стадии П в разделе ПОД  указание на ручной демонтаж конструкций (1004-1/П15-ПОД). Не завершены работы по усилению фундаментов и грунтов.  
Данные нарушения позволяют приостановить вид работ по демонтажу конструкций здания.</t>
  </si>
  <si>
    <t>Владимир Чугунов: Изменен комментарий с Начаты работы по демонтажу ж/б конструкций внутри двора 1. Отсутствует согласованный ППР. В стадии П в разделе ПОД  указание на ручной демонтаж конструкций (1004-1/П15-ПОД). Не завершены работы по усилению фундаментов.  
Данные нарушения позволяют приостановить вид работ по демонтажу конструкций здания. на Начаты работы по демонтажу ж/б конструкций внутри двора 1. Отсутствует согласованный ППР. В стадии П в разделе ПОД  указание на ручной демонтаж конструкций (1004-1/П15-ПОД). Не завершены работы по усилению фундаментов и грунтов.  
Данные нарушения позволяют приостановить вид работ по демонтажу конструкций здания.</t>
  </si>
  <si>
    <t>Maksim Sumatokhin: ППР шифр 040-04/19 ППР на демонтаж бомбоубежища  и пристроек в 1 дворе согласован.</t>
  </si>
  <si>
    <t>Maksim Sumatokhin: Редактированный комментарий - "ППР на демонтаж бомб..."</t>
  </si>
  <si>
    <t>Нарушение ПОС</t>
  </si>
  <si>
    <t>Владимир Чугунов: Заголовок изменен на Нарушение ПОС</t>
  </si>
  <si>
    <t>Владимир Чугунов: Дата начала изменена на июн. 11, 2019</t>
  </si>
  <si>
    <t>Владимир Чугунов: Удалено комментарий - "В процессе эксплуатации мойки колес выявлено не качественное устройство приемного колодца отстойника"</t>
  </si>
  <si>
    <t>Владимир Чугунов: В процессе эксплуатации мойки колёс выявлено ,что основание под колодец отстойник выполнено не качественно. Проседание щебёночного слоя привело к обрушению бетонного лотка сборника. Выполнить демонтаж, повторно уплотнить основание, освидетельствовать и восстановить колодец.</t>
  </si>
  <si>
    <t>Maksim Sumatokhin: Повторном уплотнили и забетонировали колодец для мойки.</t>
  </si>
  <si>
    <t>Неверно Выполнено Бурение Шпуров В/О 17/Е-Ж</t>
  </si>
  <si>
    <t>Андрей Денисов: Заголовок изменен на Неверно Выполнено Бурение Шпуров В/О 17/Е-Ж</t>
  </si>
  <si>
    <t>Андрей Денисов: Шпуры пробурены с углом 10' в/о 17/Е-Ж. Согласно проекта 13/18-Р-УФ1.1 лист5 на разрезе 1.д.2 данный угол отсутствует. Согласовать данный угол с авторским надзором или вы полнить бурение согласно проекта.</t>
  </si>
  <si>
    <t>Андрей Денисов: Изменен комментарий с Шпуры пробурены с углом 10' Согласно проекта 13/18-Р-УФ1.1 лист5 на разрезе 1.д.2 данный угол отсутствует. Согласовать данный угол с авторским надзором или вы полнить бурение согласно проекта. на Шпуры пробурены с углом 10' в/о 17/Е-Ж. Согласно проекта 13/18-Р-УФ1.1 лист5 на разрезе 1.д.2 данный угол отсутствует. Согласовать данный угол с авторским надзором или вы полнить бурение согласно проекта.</t>
  </si>
  <si>
    <t>Maksim Sumatokhin: Сделана запись в журнале авторского надзора.</t>
  </si>
  <si>
    <t>Андрей Денисов: Необходимо уточнить глубину шпура, а также наименование данной цементной скважины.</t>
  </si>
  <si>
    <t>Maksim Sumatokhin: Сделана уточняющая запись в журнале авторского надзора.</t>
  </si>
  <si>
    <t>Усиление Тела Фундаментов Цементацией</t>
  </si>
  <si>
    <t>Владимир Чугунов: Заголовок изменен на Усиление Тела Фундаментов Цементацией</t>
  </si>
  <si>
    <t>Владимир Чугунов: В процессе цементации усиления тела фундаментов на стены облицованые природным камнем попадают брызги цементного раствора. Данный состав невозможно удалить без механического воздействия. Необходимо произвести очистку загрезнённых мест и выполнять мероприятия по сохранению фасада.</t>
  </si>
  <si>
    <t>Maksim Sumatokhin: Цементный раствор со стен очищен. Произвели очистку загрязненных мест.</t>
  </si>
  <si>
    <t>Нарушение Целостности Покрытия Портика В/О 22-23/А-Б</t>
  </si>
  <si>
    <t>Владимир Чугунов: Заголовок изменен на Нарушение Целостности Покрытия Портика В/О 22-23/А-Б</t>
  </si>
  <si>
    <t>Владимир Чугунов: В процессе подготовки поверхностей для проведения буровых работ с целью усиления основания под фундаменты было нарушена целостность покрытия портика. Данное покрытие является частью памятника истории и культурного наследия и защищено Государством. Настоятельно рекомендуем внести в журнал Авторского надзора запись о порядке согласования и выполнения указанного выше вида работ.</t>
  </si>
  <si>
    <t>Нарушение ПОС. Отсутствует Мойка Колес</t>
  </si>
  <si>
    <t>Владимир Чугунов: Заголовок изменен на Нарушение ПОС. Отсутствует Мойка Колес</t>
  </si>
  <si>
    <t>Владимир Чугунов: Дата начала изменена на июн. 4, 2019</t>
  </si>
  <si>
    <t>Владимир Чугунов: Отсутствует мойка колёс согласно стройгенплана. Шифр проекта 1004-1/П15-ПОС.1</t>
  </si>
  <si>
    <t>Maksim Sumatokhin: Установлена мойка колес на Миллионной улице.</t>
  </si>
  <si>
    <t>Нарушение Технологии Устройства Усиления Грунта Под Фундаментом В/О Б/21-22</t>
  </si>
  <si>
    <t>Операционный контроль усиления грунтов фундаментов в/о 21-22/Б</t>
  </si>
  <si>
    <t>Андрей Денисов: Заголовок изменен на Нарушение Технологии Устройства Усиления Грунта Под Фундаментом</t>
  </si>
  <si>
    <t>Андрей Денисов: Приоритет изменен на P2</t>
  </si>
  <si>
    <t>Андрей Денисов: Заголовок изменен на Нарушение Технологии Устройства Усиления Грунта Под Фундаментом В/О Б/21-22</t>
  </si>
  <si>
    <t>Андрей Денисов: При бурении скважины на проектную глубину должен использоваться раствор в/ц 0.6 с последующим заполнением в/ц 0.4. При производстве работ был использован раствор только в/ц 0.4</t>
  </si>
  <si>
    <t xml:space="preserve">Maksim Sumatokhin: Поменяли раствор на ВЦ 0,6, добурили  до проектной отметки, после прокачали раствором ВЦ 0,4. </t>
  </si>
  <si>
    <t>Нарушение Требований По Сохранности Исторической Части Фасадов -Арка Вход 2й Двор</t>
  </si>
  <si>
    <t>Владимир Чугунов: Заголовок изменен на Нарушение Требований По Сохранности Исторической Части Фасадов -Арка Вход 2й Двор</t>
  </si>
  <si>
    <t>Владимир Чугунов: Дата начала изменена на авг. 15, 2019</t>
  </si>
  <si>
    <t>Maksim Sumatokhin: Фасадный камень в арке очищен.</t>
  </si>
  <si>
    <t>Производство Работ По Усилению Фундаментов И Грунтов Без Временного Интервала В/О 18-21/А</t>
  </si>
  <si>
    <t>Андрей Денисов: Заголовок изменен на Производство Работ По Усилению Фундаментов И Грунтов Без Временного Интервала В/О 18-21/А</t>
  </si>
  <si>
    <t>Андрей Денисов: Дата начала изменена на июл. 9, 2019</t>
  </si>
  <si>
    <t>Андрей Денисов: Дата окончания изменена на июл. 12, 2019</t>
  </si>
  <si>
    <t>Андрей Денисов: В/О 18-21/А производятся работы по усилению фундаментов одновременно с работами по закреплению грунтов интервал между работами менее суток. Необходимо разработать и согласовать с авторским надзором компенсирующие мероприятия, а так же произвести испытания методом отбора кернов по истечению 28 суток после завершения работ.</t>
  </si>
  <si>
    <t>Андрей Денисов: Выполнить испытания в 15 точках согласно записи авторского надзора.</t>
  </si>
  <si>
    <t>Maksim Sumatokhin: Выполнено испытание, согласно записи авторского надзора.</t>
  </si>
  <si>
    <t>Начало Работ По Устройству Стены В Грунте Не Закончив Предшествующие Работы</t>
  </si>
  <si>
    <t>Андрей Денисов: Заголовок изменен на Начало Работ По Устройству Стены В Грунте Не Закончив Предшествующие Работы</t>
  </si>
  <si>
    <t xml:space="preserve">Андрей Денисов: В зоне производства работ по устройству "стена вигрунте" не выполнены работы по усилению фундаментов выделено красным см. ниже. Согласовать с авторским надзором возможность производства работ на данных участках. Необходимо в срочном порядке завершить работы по усилению фундаментов. </t>
  </si>
  <si>
    <t xml:space="preserve">Андрей Денисов: Изменен комментарий с В зоне производства работ по устройству "стена вигрунте" не выполнены работы по усилению фундаментов. Согласовать с авторским надзором возможность производства работ на данных участках. Необходимо в срочном порядке завершить работы по усилению фундаментов. на В зоне производства работ по устройству "стена вигрунте" не выполнены работы по усилению фундаментов выделено красным см. ниже. Согласовать с авторским надзором возможность производства работ на данных участках. Необходимо в срочном порядке завершить работы по усилению фундаментов. </t>
  </si>
  <si>
    <t>Maksim Sumatokhin: Удаленное изображение</t>
  </si>
  <si>
    <t xml:space="preserve">Maksim Sumatokhin: Сделана запись  в журнале авторского надзора №81 от 19.07.2019. </t>
  </si>
  <si>
    <t>Демонтаж Прижимной Стены В/О 18/К-И</t>
  </si>
  <si>
    <t>Андрей Денисов: Заголовок изменен на Демонтаж Прижимной Стены В/О 18/К-И</t>
  </si>
  <si>
    <t>Андрей Денисов: Дата окончания изменена на июл. 3, 2019</t>
  </si>
  <si>
    <t>Андрей Денисов: Дата окончания изменена на июл. 10, 2019</t>
  </si>
  <si>
    <t>Андрей Денисов: Согласовать с авторским надзором демонтаж прижимной стены в подвальной части 18/И-К</t>
  </si>
  <si>
    <t>Maksim Sumatokhin: Сделана запись в журнале авторского надзора №77.</t>
  </si>
  <si>
    <t>Нарушение Технологии Производства Работ</t>
  </si>
  <si>
    <t>Андрей Денисов: Заголовок изменен на Нарушение Технологии Производства Работ</t>
  </si>
  <si>
    <t>Андрей Денисов: Дата начала изменена на июл. 4, 2019</t>
  </si>
  <si>
    <t>Андрей Денисов: Дата окончания изменена на июл. 5, 2019</t>
  </si>
  <si>
    <t>Андрей Денисов: Нарушение Технологии Производства Работ. Начаты работы по выборке грунта для устройства форшахты вперёд работ по усилению фундаментов цементацией. В/о 19/2/К не выполнены скважины 2930-2934 необходимо закончить работы по усилению фундаментов, а после проводить последующие работы.</t>
  </si>
  <si>
    <t>Андрей Денисов: Изменен комментарий с Нарушение Технологии Производства Работ. Начаты работы по выборке грунта для устройства форшахты вперёд работ по усилению фундаментов цементацией. В/о 19/2/К не выполнены скважины 2930-2934 необходимо закончить работы по усилению фундаментов. на Нарушение Технологии Производства Работ. Начаты работы по выборке грунта для устройства форшахты вперёд работ по усилению фундаментов цементацией. В/о 19/2/К не выполнены скважины 2930-2934 необходимо закончить работы по усилению фундаментов, а после проводить последующие работы.</t>
  </si>
  <si>
    <t>Maksim Sumatokhin: Сделана запись  в журнале авторского надзора №81 от 19.07.2019.</t>
  </si>
  <si>
    <t>Владимир Чугунов: Дата начала изменена на июл. 1, 2019</t>
  </si>
  <si>
    <t>Владимир Чугунов: В процессе контроля установки ёмкостей для бентонитового раствора в 1м дворе выявлено нарушение устройства опорных частей ёмкостей. Опирание на основание через опорные пластины выполнено с нарушением, опирание выполнено через металлические уголки. По технологии должно быть опирание во всей плоскости опорных пластин. Выполнить подливку безусадочными растворами.</t>
  </si>
  <si>
    <t>Владимир Чугунов: Дата окончания изменена на июл. 3, 2019</t>
  </si>
  <si>
    <t>Maksim Sumatokhin: Выполнена подливка безусадочным раствором.</t>
  </si>
  <si>
    <t>В/О 20/1-21/1/Т/1 Выполнено усиление грунтов без усиления фундаментов</t>
  </si>
  <si>
    <t>Операционный Контроль Усиления Грунтов В/О 27/И-Ж, 17-18/Л-М</t>
  </si>
  <si>
    <t>Андрей Денисов: Дата начала изменена на июл. 6, 2019</t>
  </si>
  <si>
    <t>Андрей Денисов: Дата окончания изменена на июл. 9, 2019</t>
  </si>
  <si>
    <t xml:space="preserve">Андрей Денисов: В/О 20/1-21/1/Т/1 выполнено усиление грунтов без усиления фундамента цементацией (скважины 4455, 4457). Необходимо разработать и согласовать с авторским надзором компенсирующие мероприятия, а так же произвести испытания подтверждающие целостность и несущую способность данного фундамента. </t>
  </si>
  <si>
    <t>Нарушение Технологии Производства Работ В/О Р-М/23</t>
  </si>
  <si>
    <t>Андрей Денисов: Заголовок изменен на Нарушение Технологии Производства Работ В/О Р-М/23</t>
  </si>
  <si>
    <t>Андрей Денисов: Дата начала изменена на июл. 8, 2019</t>
  </si>
  <si>
    <t>Андрей Денисов: Дата окончания изменена на июл. 14, 2019</t>
  </si>
  <si>
    <t>Андрей Денисов: В/О М-Р/23 производятся работы по усилению фундаментов одновременно с работами по закреплению грунтов. Необходимо разработать и согласовать с авторским надзором компенсирующие мероприятия, а так же произвести испытания методом отбора кернов по истечению 28 суток после завершения работ.</t>
  </si>
  <si>
    <t>Андрей Денисов: Выполнить испытания в 7 точках согласно записи авторского надзора.</t>
  </si>
  <si>
    <t>Maksim Sumatokhin: Выполнили испытание, согласно записи авторского надзора.</t>
  </si>
  <si>
    <t>Нарушение СП 70.13330.2012 Арматурный Каркас Ж/Б Каркас боковой Ограничитель2</t>
  </si>
  <si>
    <t>Владимир Чугунов: Заголовок изменен на Нарушение СП 70.13330.2012 Арматурный Каркас Ж/Б Каркас боковой Ограничитель2</t>
  </si>
  <si>
    <t>Владимир Чугунов: Сварные соединения выполнены не качественно. Имеют место вставки, шлак на швах.</t>
  </si>
  <si>
    <t>Maksim Sumatokhin: Замечания устранили.</t>
  </si>
  <si>
    <t>Загрязнение Цокольного Камня В/О 18-25/А</t>
  </si>
  <si>
    <t>Андрей Денисов: Заголовок изменен на Загрязнение Цокольного Камня В/О 18-25/А</t>
  </si>
  <si>
    <t>Андрей Денисов: Дата начала изменена на июл. 26, 2019</t>
  </si>
  <si>
    <t>Андрей Денисов: Произвести очистку цокольного камня в/о 18-26/А и передать данный участок трёх сторонним актом под последующие работы ООО "ТМГ-ГРУП".</t>
  </si>
  <si>
    <t>Maksim Sumatokhin: Данный участок передан ТМГ групп для производства работ.</t>
  </si>
  <si>
    <t>Не Предъявлены Скрытые Работы При Устройстве Гидроизоляции Проходов Гиль В/О У/1 По Аптекарскому Пер.</t>
  </si>
  <si>
    <t>НФ_Аптекарский</t>
  </si>
  <si>
    <t>Андрей Денисов: Заголовок изменен на Не Предъявлены Скрытые Работы При Устройстве Гидроизоляции Проходов Гиль В/О У/1 По Аптекарьской Ул.</t>
  </si>
  <si>
    <t>Андрей Денисов: Не Предъявлены работы по зачеканке отверстий между гильзой и фундаментом Алит ГРР-1н. Так же не предъявлены работы по подготовке поверхности перед нанесением эластичной гидроизоляции. Произвести контрольное вскрытие для освидетельствования скрытых работ.</t>
  </si>
  <si>
    <t>Андрей Денисов: Заголовок изменен на Не Предъявлены Скрытые Работы При Устройстве Гидроизоляции Проходов Гиль В/О У/1 По Аптекарской Ул.</t>
  </si>
  <si>
    <t>Андрей Денисов: Заголовок изменен на Не Предъявлены Скрытые Работы При Устройстве Гидроизоляции Проходов Гиль В/О У/1 По Аптекарскому Пер.</t>
  </si>
  <si>
    <t>Андрей Денисов: 1. Зачеканка Алитом принята.
2. Удалить отслоившийся слой гидроизоляции, нанести новый слой и предъявить.</t>
  </si>
  <si>
    <t>Maksim Sumatokhin: Замечание устранено, нанесли новый слой гидроизоляции.</t>
  </si>
  <si>
    <t>Нарушение СП 70.13330.2012 - Армирование И Опалубка Ж/Б Канала ТС</t>
  </si>
  <si>
    <t>Владимир Чугунов: Заголовок изменен на Нарушение СП 70.13330.2012 - Армирование И Опалубка Ж/Б Канала ТС</t>
  </si>
  <si>
    <t xml:space="preserve">Владимир Чугунов: Инородные включения (монтажная пена, строительный мусор) Убрать и повторно освидетельствование </t>
  </si>
  <si>
    <t>Maksim Sumatokhin: Монтажную пену и строительный мусор убрали.</t>
  </si>
  <si>
    <t>Отказ При Погружении Бокового Ограничителя Зах.43</t>
  </si>
  <si>
    <t>Владимир Чугунов: Заголовок изменен на Отказ При Погружении Бокового Ограничителя Зах.43</t>
  </si>
  <si>
    <t>Владимир Чугунов: Дата окончания изменена на авг. 6, 2019</t>
  </si>
  <si>
    <t>Владимир Чугунов: При погружении боевого ограничителя зах.43 произошел отказ по глубине погружения. БО не погружен на проектную отметку. Требуется заключение и рекомендации от авторского надзора по возможности выполнения последующих операций (армирование и бетонирование захватки)</t>
  </si>
  <si>
    <t>Maksim Sumatokhin: Согласно записи авт. надзора выступающую часть БО срубили.</t>
  </si>
  <si>
    <t>Производство Работ По Усилению Фундаментов После Работ По Укреплению Грунтов Менее Чем Через 7 Суток В/О А/18-22</t>
  </si>
  <si>
    <t>Операционный контроль усиления фундаментов цементацией в/о 18-22/А, 19/1-21/1/У-Т/1</t>
  </si>
  <si>
    <t xml:space="preserve">Андрей Денисов: В/О 18-22/А выполнено усиление фундамента цементацией после работ по укреплению грунтов менее чем черезт 7 суток. Необходимо разработать и согласовать с авторским надзором компенсирующие мероприятия, а так же произвести испытания подтверждающие целостность и несущую способность данного фундамента. </t>
  </si>
  <si>
    <t>Андрей Денисов: Заголовок изменен на Производство Работ По Усилению Фундаментов После Работ По Укреплению Грунтов Менее Чем Через 7 Суток В/О А/18-22</t>
  </si>
  <si>
    <t>Maksim Sumatokhin: Сделана запись №74 в журнале авторского надзора.</t>
  </si>
  <si>
    <t xml:space="preserve">Андрей Денисов: Согласно журнала производства работ инъектора № 806, 796, 785 выполнены 04.07.19 Работы по усилению фундаментов цементацией производились 06.07.19. Интервал между работами менее 3х суток.
</t>
  </si>
  <si>
    <t>Андрей Денисов: Приоритет изменен на 2</t>
  </si>
  <si>
    <t>Нарушение Проектного Решения Арматурного Каркаса СВГ Зах. 12</t>
  </si>
  <si>
    <t>Владимир Чугунов: Заголовок изменен на Нарушение Проектного Решения Арматурного Каркаса СВГ Зах. 12</t>
  </si>
  <si>
    <t>Владимир Чугунов: Удалено комментарий - "Нарушение решения авторского надзора от 06.09.19 - отсутствует дополнительный хомут диаметр аоматуры 12"</t>
  </si>
  <si>
    <t>Владимир Чугунов: Нарушение Проектного Решения Арматурного Каркаса СВГ Зах. 12 - запись в журнале авторского надзора от 06.09.19- дополнительный хомут шаг 200 мм</t>
  </si>
  <si>
    <t>Скважины в/о 4/1/К/1-И/1, 4/1-8/1/И/1 Отсутствуют В Проекте</t>
  </si>
  <si>
    <t>Операционный Контроль Усиления Фундаментов Цементацией У-И/1/4/1-8/1</t>
  </si>
  <si>
    <t>Андрей Денисов: Заголовок изменен на Скважины в/о 4/1/К/1-И/1, 4/1-8/1/И/1 Отсутствуют В Проекте</t>
  </si>
  <si>
    <t>Андрей Денисов: Дата начала изменена на сент. 9, 2019</t>
  </si>
  <si>
    <t>Андрей Денисов: Скважины в/о 4/1/К/1-И/1, 4/1-8/1/И/1 Отсутствуют В Проекте. Работы ведутся по несогласованному
 проекту. Необходимо согласовать с авторским надзором.</t>
  </si>
  <si>
    <t>Maksim Sumatokhin: Проект согласован в программе Aconex. Также проект изм.2 передан в бумаге ООО Спектрум-Холдинг.</t>
  </si>
  <si>
    <t>Используемый материал не соответствует проекту при первичном инъецировании расширяющимся раствором.</t>
  </si>
  <si>
    <t>Операционный Контроль 1 Этапа Инъецирования Скважины Расширяющимся Раствором В/О 19/2/И</t>
  </si>
  <si>
    <t>Андрей Денисов: Дата начала изменена на окт. 3, 2019</t>
  </si>
  <si>
    <t>Андрей Денисов: Используемый материал не соответствует проекту при первичном инъецировании расширяющимся раствором в/о 19/2/И. Согласно рабочей документации 03/2019-Р-МК-ОП на первом этапе применяется раствор "Газоинжект Geo". Необходимо производить работы согласно проекта, либо согласовать замену материала.</t>
  </si>
  <si>
    <t>Андрей Денисов: Дата окончания изменена на окт. 4, 2019</t>
  </si>
  <si>
    <t>Maksim Sumatokhin: Прикрепил информационное письмо и документы о качестве материалов.</t>
  </si>
  <si>
    <t>Нарушение ТВР при производстве Отделочных Работ (Внутнение Штукатурные Работы) В/О 4-8/А-Г</t>
  </si>
  <si>
    <t>Владимир Чугунов: Заголовок изменен на Нарушение ТВР при производстве Отделочных Работ (Внутнение Штукатурные Работы)</t>
  </si>
  <si>
    <t>Владимир Чугунов: Заголовок изменен на Нарушение ТВР при производстве Отделочных Работ (Внутнение Штукатурные Работы) В/О 4-8/А-Г</t>
  </si>
  <si>
    <t>Владимир Чугунов: Дата начала изменена на дек. 3, 2019</t>
  </si>
  <si>
    <t>Владимир Чугунов: В процессе операционного контроля выявлено нарушение технологии производства работ, в части отсутствие требуемых параметров температурного режима в помещении.  При контроле температуры поверхностей стены, где выполняется заделка швов кирпичной кладки выявлено,  фактическая температура равна от +2,3 до +2.6, что противоречит требованиям СП 71.13330.2012 п. 7.1.1. 
Вывод: Работы приостановить, до момента предъявления требуемых параметров ТВР инженеру строительного контроля.</t>
  </si>
  <si>
    <t xml:space="preserve">Maksim Sumatokhin: Температурный режим внутри подвала восстановили. </t>
  </si>
  <si>
    <t>ООО "Геоизол" Несоответствие Глубины Траншеи СВГ Зах.49</t>
  </si>
  <si>
    <t>Владимир Чугунов: Заголовок изменен на Несоответствие Глубины Траншеи СВГ Зах.49</t>
  </si>
  <si>
    <t>Владимир Чугунов: При разработки траншеи СВГ зах.49 выявлено что траншея разработана до отм -21.000, что не соответствует требованию РД 03/2019-Р-КЖ0-1. Необходимо согласовать конструкцию СВГ в захватке 49. С авторским надзором.</t>
  </si>
  <si>
    <t>Владимир Чугунов: Дата окончания изменена на нояб. 5, 2019</t>
  </si>
  <si>
    <t>Владимир Чугунов: Заголовок изменен на ООО "Геоизол" Несоответствие Глубины Траншеи СВГ Зах.49</t>
  </si>
  <si>
    <t>Владимир Чугунов: Запись авторского надзора от 15.11.19</t>
  </si>
  <si>
    <t>При Производстве Работ По Устройству Буронабивных Свай Для Предпроектного Испытания Не Установлена Металлическая Труба Для Формирования Оголовка Сваи</t>
  </si>
  <si>
    <t>Андрей Денисов: Заголовок изменен на При Производстве Работ По Устройству Буронабивных Свай Для Предпроектного Испытания Не Установлена Металлическая Труба Для Формирования Оголовка Сваи</t>
  </si>
  <si>
    <t>Андрей Денисов: Дата окончания изменена на нояб. 9, 2019</t>
  </si>
  <si>
    <t>Андрей Денисов: Дата окончания изменена на нояб. 13, 2019</t>
  </si>
  <si>
    <t>Андрей Денисов: При Производстве Работ По Устройству Буронабивных Свай Для Предпроектного Испытания Не Установлена Металлическая Труба Для Формирования Оголовка Сваи. Необходимо согласовать с авторским надзором проектное решение.</t>
  </si>
  <si>
    <t>Maksim Sumatokhin: Оголовки 3 шт. на опытные сваи установлены.</t>
  </si>
  <si>
    <t>Maksim Sumatokhin: Оголовки установлены согласно записи в журнале авторского надзора.</t>
  </si>
  <si>
    <t>ТМГ. Нарушение технологии работ по вычинке.</t>
  </si>
  <si>
    <t>tmg-sergey@mail.ru</t>
  </si>
  <si>
    <t>Александр Олуферов: Заголовок изменен на ТМГ. Нарушение технологии работ по вычинке.</t>
  </si>
  <si>
    <t>Александр Олуферов: При проведении операционного контроля работ по реставрации кирпичной кладки выявлено, что ведётся ремонт кирпичной кладки карниза над 1-ым этажом в осях А/1-4, находящегося в аварийном состоянии, без проектного решения, что является нарушением требований СП 70.13330.2012, п. 9.2.11, согласованной технологической карты 1004-1/П15-АР.1 –ТК5, п. 7.
Требую, в соответствии с пунктами 2.1, 5.1.1 договора строительного подряда №25/04/19 от 25.04.2019 г., требованиями действующих строительных регламентов разработать и согласовать со всеми заинтересованными лицами проектное решение по ремонту данного участка кладки, с учетом рекомендаций ГАП в журнале авторского надзора (учётный лист 70). До тех пор работы по ремонту кирпичной кладки методом вычинки на данной захватке запрещаю. Свежеуложенную кирпичную кладку карниза разобрать.</t>
  </si>
  <si>
    <t>Александр Олуферов: Приоритет изменен на 1</t>
  </si>
  <si>
    <t>Александр Олуферов: Изменена дата начала на 21.11.2019</t>
  </si>
  <si>
    <t>Александр Олуферов: Изменена дата завершения на 06.12.2019</t>
  </si>
  <si>
    <t>Александр Олуферов: Сменить ответственное лицо на Сергей Солодовников</t>
  </si>
  <si>
    <t>Sergey Solodovnikov: Разработаны листы по усилению кирпичной кладки карниза, в/о 1-4/А. В данный момент проходят согласование, процесс в Aconex: WF-637.</t>
  </si>
  <si>
    <t>ТМГ_ Фасадные Работы_ Нарушение Температурного Режима В/ О 1-4/А</t>
  </si>
  <si>
    <t>Владимир Чугунов: Заголовок изменен на ТМГ_ Фасадные Работы_ Нарушение Температурного Режима В/ О 1-4/А</t>
  </si>
  <si>
    <t>Владимир Чугунов: Ответственное лицо замещено Sergey Solodovnikov</t>
  </si>
  <si>
    <t>Владимир Чугунов: Дата окончания изменена на дек. 17, 2019</t>
  </si>
  <si>
    <t>Владимир Чугунов: В процессе операционного контроля выявлено несоответствие требований Технологической карты 1004-1/П15-АР.1- ТК-8 в части соблюдения температурного режима п. 7 . В процессе проверки температурные значения основания( кирпичная кладка) от 1.2 до 5 гр. С. Необходимо организовать прогрев основания Ия и повторно предъявить строительному контролю.</t>
  </si>
  <si>
    <t>Владимир Чугунов: Удалено комментарий - "Повторная сдача ТВР основания (кирпичная кладка) #"</t>
  </si>
  <si>
    <t>Владимир Чугунов: Повторная сдача основания для штукатурных работ (кирпичная кладка) не соответствует требованиям нормативных документов.  Температура с диапазоне от 2 до 6 гр. С. Повторная инспекция назначена на 11.30  17.12.19</t>
  </si>
  <si>
    <t>Владимир Чугунов: ТВР основания соответствует требованиям</t>
  </si>
  <si>
    <t>ТМГ. Основание под штукатурку. МП</t>
  </si>
  <si>
    <t>Александр Олуферов: В ходе проведения операционного контроля подготовки основания под нанесение штукатурного слоя на фасаде в осях А/1-4 (2-3 этажи) выявлены следующие замечания:
1. Не в полном объёме выполнена расчистка швов кирпичной кладки от осыпающегося раствора (см. фото 1,5), нарушение, технологическая карта 1004-1/П15-АР.1 –ТК5, п.7;
2. Не в полном объёме выполнено восполнение утрат кирпича потерявшего более 4 см (см. фото 2,3) - нарушение, технологическая карта 1004-1/П15-АР.1 –ТК5, п.7;
3. Не в полном объёме выполнена расчистка основания от старой штукатурки, пыли (см. фото 4) - нарушение, технологическая карта 1004-1/П15-АР.1 –ТК8, п. 6.2;
4. Не в полном объёме выполнены работы по вычинке кирпичной кладки с разрушающейся поверхностью, деструкцией и утратами шовного заполнения (см. фото 6,7,12) - нарушение, технологическая карта 1004-1/П15-АР.1 –ТК5, п. 7;
5. Не выполнена вычинка в нижней части оконных проёмов, не сформирован низ оконного проёма (см. фото 8) - нарушение, технологическая карта 1004-1/П15-АР.1 –ТК8, п. 6.2;
6. Не в полном объёме выполнено восполнение утрат шовного раствора (местами незаполнение более 15 мм) (см. фото 9,10) - нарушение, технологическая карта 1004-1/П15-АР.1 –ТК8, п. 6.2;
7. На захватке не в полном объёме закрыт тепловой контур, не установлены тепловые пушки, основание не прогрето, температура основания ниже 10 градусов.
Требую, устранить замечания и предъявить основание под  нанесение штукатурного слоя службе строительного контроля Заказчика, до выполнения следующего этапа работ.</t>
  </si>
  <si>
    <t>Александр Олуферов: Заголовок изменен на ТМГ. Основание под штукатурку. МП</t>
  </si>
  <si>
    <t>Александр Олуферов: Название категории изменено на Замечание стройконтроля</t>
  </si>
  <si>
    <t>Александр Олуферов: Изменена дата завершения на 25.11.2019</t>
  </si>
  <si>
    <t>Александр Олуферов: Редактированный комментарий - "В ходе проведения оп..."</t>
  </si>
  <si>
    <t>Sergey Solodovnikov: Замечания устранены.
Вычинка выполнена в полном объёме, кирпичная кладка очищена от остатков штукатурки, сформирован низ оконного проёма, шовный раствор восполнен, тепловой контур закрыт, тепловые пушки установлены и поддерживают температуру основания.</t>
  </si>
  <si>
    <t>Sergey Solodovnikov: Завершенное задание</t>
  </si>
  <si>
    <t>ТМГ. Несоответствие проекта и фактического выполнения. Цоколь.</t>
  </si>
  <si>
    <t>Александр Олуферов: Заголовок изменен на ТМГ. Несоответствие проекта и фактического выполнения. Цоколь.</t>
  </si>
  <si>
    <t>Александр Олуферов: В ходе проведения приёмки выполненных работ по монтажу цокольного камня выявлено несоответствие рабочего проекта по реставрации цоколя фасада в осях 1-26/А (см. 0095/19-Р-АР-.Р1-ТМГ-1.6, листы 3-7), фактическому выполнению  (см. исполнительную схему №48/2, ООО "ТМГ ГРУП"), а именно несоответствие геометрических размеров проёмов и простенков.
Требую, привести в соответствие рабочую документацию, совместно с уточнением объёмов работ по цоколю.</t>
  </si>
  <si>
    <t>Александр Олуферов: Местоположение изменено на МП, Фасад</t>
  </si>
  <si>
    <t>Александр Олуферов: Изменена дата начала на 22.11.2019</t>
  </si>
  <si>
    <t>Александр Олуферов: Изменена дата завершения на 29.11.2019</t>
  </si>
  <si>
    <t>Sergey Solodovnikov: Рабочая документация приведена в соответствие. 
09.12.19 - выпущена новая версия, 16.12.19 - согласована в производство работ.  Шифр Aconex: WF-596.</t>
  </si>
  <si>
    <t>ТМГ. Кладка цокольного камня (известняк) нарушения.</t>
  </si>
  <si>
    <t>Александр Олуферов: Заголовок изменен на ТМГ. Кладка цокольного камня (известняк) нарушения.</t>
  </si>
  <si>
    <t>Александр Олуферов: В ходе операционного контроля работ по реставрации цокольного камня (известняка) в осях А/22-26, выявлены следующие замечания:
1. Деревянные включения в швах (фото 1);
2. Металлические включения в швах (фото 2);
3. Некачественное восстановление, либо полное отсутствие фактуры камня (фото 3,8,9,10);
4. Обдирка, расчистка, домастиковка оконных откосов цокольного этажа выполнена не в полном объёме (фото 4,5);
5. Не воссоздана облицовка цоколя в районе входной группы (фото 6,7);
6. Растворные швы не читаемы (фото 3,8,9,10);
7. На цоколе присутствуют пятна грязи (фото 11).
Требую, устранить замечания с последующим предъявлением службе строительного контроля Заказчика.</t>
  </si>
  <si>
    <t>Александр Олуферов: Изменена дата начала на 26.11.2019</t>
  </si>
  <si>
    <t>Александр Олуферов: Изменена дата завершения на 02.12.2019</t>
  </si>
  <si>
    <t>ООО "ТМГ ГРУП", нарушение технологии работ по вычинке. МП</t>
  </si>
  <si>
    <t>Александр Олуферов: Заголовок изменен на ООО "ТМГ ГРУП"</t>
  </si>
  <si>
    <t>Александр Олуферов: Заголовок изменен на ООО "ТМГ ГРУП", нарушение технологии работ по вычинке.МП</t>
  </si>
  <si>
    <t>Александр Олуферов: Заголовок изменен на ООО "ТМГ ГРУП", нарушение технологии работ по вычинке. МП</t>
  </si>
  <si>
    <t>Александр Олуферов: В ходе операционного контроля работ по ремонту кирпичной кладки методом вычинки в осях 1-4/А, 3-ий этаж, выявлено, что работы  выполняются не в полном объёме, а именно: 
1. Не расчищены поверхности кирпича от продуктов разрушения и остатков строительного раствора (1004-1/П15-АР.1 –ТК5, п. 7);
2. Глубина гнёзд не выровнена  (1004-1/П15-АР.1 –ТК5, п. 7);
3. Не выполнена расчистка швов кладки от осыпающегося раствора (1004-1/П15-АР.1 –ТК5, п. 7);
4. Не расчищена поверхности гнезда от раствора в местах вставки (1004-1/П15-АР.1 –ТК5, п. 7);
Требую, устранить замечания и повторно предъявить пробный участок представителям службы строительного контроля Заказчика.
Также требую предъявить лабораторные испытания кладочного раствора на сжатие в результате которых была выбрана кладочная смесь марки М50.</t>
  </si>
  <si>
    <t>Александр Олуферов: Изменена дата начала на 24.10.2019</t>
  </si>
  <si>
    <t>Александр Олуферов: Изменена дата завершения на 31.10.2019</t>
  </si>
  <si>
    <t xml:space="preserve">Sergey Solodovnikov: Замечания устранены, работы предъявлены. </t>
  </si>
  <si>
    <t>ТМГ. Несоответствие проекта по цоколю.</t>
  </si>
  <si>
    <t>Александр Олуферов: Заголовок изменен на ТМГ. Не соответствие проекта по цоколю.</t>
  </si>
  <si>
    <t>Александр Олуферов: Заголовок изменен на ТМГ. Несоответствие проекта по цоколю.</t>
  </si>
  <si>
    <t>Александр Олуферов: В результате приёмочного контроля работ по цоколю в осях 1-26/А выявлено не соответствие рабочего проекта 0995/19-Р-АР.Р1-ТМГ-1.6 и фактически выполненных работ, а именно:
1. Объём работ по докомпановке утрат известняковым камнем по проекту 14,1 м2 (см. лист 13), по факту - 1.98 м2 (см. исполнительную схему №48/2);
2. Удаление биопоражений, плесени, мхов, натечных образований по проекту - 15,0 м2 (см. лист 13), по факту - 28,12 м2 (см. исполнителую схему);
3. Домастиковка камня по проекту - 71 м2 (см. лист 13), по исполнительной документации - 49,21 м2 (см. исполнительную схему №59);
4. Также имеется противоречие в проекте, а именно объёмы работ указанные в проекте на листе 13, противоречат объёмам на листе 19;
5. Геометрические размеры проёмов не соответствуют фактическому выполнению (повторно - см. замечание строительного контроля №712), также отсутствуют уточнённые обмеры по цокольному камню;
6. В проекте отсутствуют указания по применяемым материалам, согласованным в технологических картах, по очерёдности выполняемых работ и перечню исполнительной документации.
Требую, устранить несоответствия с последующим согласованием изменений со всеми заинтересованными лицами.</t>
  </si>
  <si>
    <t>Александр Олуферов: Изменена дата начала на 28.11.2019</t>
  </si>
  <si>
    <t>Александр Олуферов: Изменена дата завершения на 20.12.2019</t>
  </si>
  <si>
    <t>Sergey Solodovnikov: Лист 13 - ведомость дефектов, лист 19 - ведомость реставрационных работ. Объёмы отличаются, так как лист 13-стадия обследования, а 19 лист - уточненные данные для производства реставрационных работ.</t>
  </si>
  <si>
    <t>ТМГ. Штукатурка фасадов.</t>
  </si>
  <si>
    <t>Александр Олуферов: Заголовок изменен на ТМГ. Штукатурка фасадов.</t>
  </si>
  <si>
    <t>Александр Олуферов: В ходе операционного контроля подготовительных работ к нанесению штукатурного слоя на фасад здания в осях 1-4/А (2-3 этаж) выявлено, что в силу кривизны фасада толщина штукатурного слоя составит местами 40 мм и выше (см. исполнительную схему).
Согласно технологии производителя штукатурных смесей "Петромикс" и технологической картой 1004-1/П15-АР.1 –ТК5, в данных местах  необходимо выполнить армирование штукатурного слоя коррозионностойкой сеткой. Также необходимо прогреть основание под нанесение штукатурного слоя до температуры не менее 6 градусов.</t>
  </si>
  <si>
    <t>Александр Олуферов: Изменена дата начала на 29.11.2019</t>
  </si>
  <si>
    <t>Sergey Solodovnikov: Армирование выполнено. Применена штукатурная сетка, в исполнительной документации отражено.</t>
  </si>
  <si>
    <t>Работы по демонтажу фасадной штукатурки ведутся без согласованной рабочей документации</t>
  </si>
  <si>
    <t>Александр Олуферов: Срок исполнения изменен на окт. 9, 2019</t>
  </si>
  <si>
    <t>Александр Олуферов: Изменена дата завершения на 11.10.2019</t>
  </si>
  <si>
    <t>Александр Олуферов: Заголовок изменен на Работы по демонтажу фасадной штукатурки ведутся без согласованной рабочей документации</t>
  </si>
  <si>
    <t>Александр Олуферов: Изменена дата завершения на 14.10.2019</t>
  </si>
  <si>
    <t>Александр Олуферов: В ходе операционного контроля работ в осях 1-26/А, с 1 по 3 этажи выявлено, что ведётся демонтаж фасадной штукатурки, при отсутствии согласования  данного вида работ в рабочей документации (нарушение СП 48.13330.2011, п. 6.1, нарушение договора подряда 25/04/19 от 25.04.2019, пп. 5.1.1, 5.3.5,  5.1.43).
Требую, разработать и произвести все необходимые согласования рабочей документации по демонтажу  штукатурки с фасада в осях 1-26/А.</t>
  </si>
  <si>
    <t>Sergey Solodovnikov: Работы выполнялись по проектной документации, согласованной со статусом В.</t>
  </si>
  <si>
    <t>Александр Олуферов: Представить рабочую документацию со штампом "в производство работ" на каждом листе (СП 48.13330.2011, п. 5.4)</t>
  </si>
  <si>
    <t>Sergey Solodovnikov: Проектная документация согласована и передана в ООО "Спектрум-Холдинг".</t>
  </si>
  <si>
    <t>ТМГ ГРУП. Нарушения по вычинке кирпичной кладки.</t>
  </si>
  <si>
    <t>Александр Олуферов: Изменена дата начала на 29.10.2019</t>
  </si>
  <si>
    <t>Александр Олуферов: Изменена дата завершения на 04.11.2019</t>
  </si>
  <si>
    <t>Александр Олуферов: В ходе проведения операционного контроля выявлено, что работы по вычинке кирпичной кладки в осях А/1-4, 2-3 этажи ведутся с нарушением технологических регламентов, а именно:
1. Не соблюдается толщина швов кладки (от 0 до 30 мм - см. фото) - нарушение СП 70.13330-2012, пп. 9.2.4, 9.18.5, 1004-1/П15-АР.1 –ТК5, п.7;
2. Не соблюдается перевязка кладки (нарушение СП 70.13330-2012, п. 9.18.3, технологическая карта 1004-1/П15-АР.1 –ТК5, п.7);
3. Работы выполняются не в полном объёме, ремонтируются не все участки с "бухтящей" кладкой, кирпич с разрушенной,  поверхностью, деструктированый кирпич, кладка с наличием трещин (нарушение требований технологической карты 1004-1/П15-АР.1 –ТК5, п.7);
4. Ремонтные работы по кладке ведутся на растворе марки М50 на сжатие, без наличия на площадке проекта переданного в производство работ, без лабораторных испытаний на сжатие (нарушение СП 70.13330-2012, пп. 9.17.1, технологическая карта 1004-1/П15-АР.1 –ТК5, п.7).
Требую устранить замечания с последующим предъявлением службе строительного контроля Заказчика.</t>
  </si>
  <si>
    <t>Александр Олуферов: Заголовок изменен на ТМГ ГРУП. Нарушения по вычинке кирпичной кладки.</t>
  </si>
  <si>
    <t>Sergey Solodovnikov: Замечания устранены, работы предъявлены.</t>
  </si>
  <si>
    <t>ТМГ. Несоответствие работ по фасадам стадии П.</t>
  </si>
  <si>
    <t>Александр Олуферов: Заголовок изменен на ТМГ. Несоответствие демонтажных работ</t>
  </si>
  <si>
    <t>Александр Олуферов: Заголовок изменен на ТМГ. Несоответствие работ по фасадам стадии П.</t>
  </si>
  <si>
    <t>Александр Олуферов: Работы по демонтажу штукатурки, выполняемые на восточном фасаде ( Марсовое поле) не соответствуют проекту реставрации прошедшему госэкспертизу 1004-1/П15-АР.Р.1, лист 17 (стадия П).
Требую, устранить данное несоответствие путём согласования изменений со всеми заинтересованными лицами, в том числе с государственными инстанциями.</t>
  </si>
  <si>
    <t>Александр Олуферов: Изменена дата начала на 31.10.2019</t>
  </si>
  <si>
    <t>Александр Олуферов: Изменена дата завершения на 07.11.2019</t>
  </si>
  <si>
    <t xml:space="preserve">Sergey Solodovnikov: ООО "ТМГ ГРУП" выпустило РД, которая была согласована всеми заинтересованными сторонами: ООО "Лотос Отели", ООО "Спектрум-Холдинг", ООО "Архитектурное бюро "Студия 44". Объём демонтажа штукатурки был определён на основании обследований штукатурного слоя, были выявлены многочисленные фрагменты цементосодержащей штукатурки, был проведён лабораторный анализ. 23 июля был составлен и подписан "Акт осмотра штукатурных слоёв лицевого восточного фасада в/о 1-26/А" о необходимости демонтажа цементосодержащих штукатурных слоёв. 
Согласование изменений стадии "П" не входит в объём работ ООО "ТМГ ГРУП". 
С уважением,
Елизавета Манке 
Архитектор
ООО «ТМГ ГРУП», Ул. Введенский канал, д.7, офис №420, 190013 Санкт-Петербург, РФ
т +7 (812) 655 50 99     м +7 911 772 8613, +7 921 412 6919  </t>
  </si>
  <si>
    <t>ТМГ. Нарушение технологии отделки фасадов. МП.</t>
  </si>
  <si>
    <t xml:space="preserve">Александр Олуферов: В ходе проведения операционного контроля работ по реставрации фасадов выявлено, что в осях А/1-4  (2-3 этажи) выполняется очистка и увлажнение основания под нанесение штукатурного слоя. При этом на сегодняшний день непосредственно на данном участке не выполнены работы, которые могут привести к повреждению штукатурных слоёв, а именно:
1.	Демонтаж балок перекрытий;
2.	Монтаж балок перекрытий;
3.	Монтаж перекрытий;
4.	Демонтаж окрытия кровли;
5.	Демонтаж стропильной системы;
6.	Монтаж стропильной системы;
7.	Монтаж окрытия кровли.
Согласно, СП 71.13330.2017 «Изоляционные и отделочные покрытия»:
пункт 7.1.5 До начала отделочных работ должны быть выполнены и приняты следующие работы:
- полностью завершены работы по монтажу строительных конструкций…,
а также:
пункт 7.1.6 До начала фасадных отделочных работ дополнительно должны быть выполнены и приняты следующие работы:
- устроена наружная гидроизоляция;
- выполнена кровля с деталями и примыканиями;
- устроены конструкции пола на балконах;
- установлены все крепежные элементы (для установки водосточных труб, декоративных элементов и т.д.) согласно проектной документации.
В связи этим требую приостановить штукатурный работы на данном участке до момента окончания и сдачи общестроительных работ. 
Также обращаю внимание на соблюдение температурного режима, так как на сегодняшний момент температура основания составляет  в среднем 3 градуса (местами до 1, и до 0)
</t>
  </si>
  <si>
    <t>Александр Олуферов: Заголовок изменен на ТМГ. Нарушение технологии отделки фасадов. МП.</t>
  </si>
  <si>
    <t>Александр Олуферов: Изменена дата начала на 04.12.2019</t>
  </si>
  <si>
    <t>Александр Олуферов: Изменена дата завершения на 31.03.2020</t>
  </si>
  <si>
    <t>Александр Олуферов: Сменить ответственное лицо на Sergey Solodovnikov</t>
  </si>
  <si>
    <t>Александр Олуферов: В связи поступившим письмом ООО "ТМГ ГРУП" замечание переведено в статус "проверенные".</t>
  </si>
  <si>
    <t>ТМГ. Нарушения по вычинке.</t>
  </si>
  <si>
    <t>Александр Олуферов: Заголовок изменен на ТМГ. Нарушения по вычинке.</t>
  </si>
  <si>
    <t>Александр Олуферов: В ходе проведения операционного контроля по реставрации кирпичной кладки в осях 11-12/А, 18-20/А, было выявлено, что воссоздание кладки выполняется не в полном объёме, так как  были демонтированы не воссоздаются выступающие кирпичные вставки, с левой и правой части окон 2-го этажа (см. фото).
Требую, привести кладку в соответствие с историческим обликом.</t>
  </si>
  <si>
    <t>Александр Олуферов: Изменена дата начала на 05.12.2019</t>
  </si>
  <si>
    <t>Александр Олуферов: Изменена дата завершения на 11.12.2019</t>
  </si>
  <si>
    <t>Sergey Solodovnikov: В исторической кладке гребешок из лекального кирпича под профилированными наличниками Ш-11 вокруг оконных проёмов 2ого уровня в/о 4-12/А и 18-22/А был массово подпилен, так как не совпадал с самой высокой точкой профиля Ш-11 и оставался в толще штукатурного слоя, не являясь при этом констурктивной необходимостью для устройства профилированного наличника. Возможно, когда-то профиль наличника был другим. 
Прикрепляем фото с шаблоном наличника. На фото видно насколько гребешок из лекального кирпича не совпадает с шаблоном. 
На чертеже шаблона показано, что верхняя точка шаблона находится на расстоянии 175мм от оконного откоса по штукатурке. 
На фото оконных проёмов, с "историческими" выпусками лекального кирпича видно, что на некоторых из окон, этот размер невозможно выдержать, восстанавливая гребешки в их историческом местоположении, в габаритах исторических проёмов. 
ООО "ТМГ ГРУП" ожидает официального решения по выпускам лекального кирпича оконных проёмов 2 уровня в/о 4-12/А, 18-21/А всех заинтересованных сторон: "АБ "Студия 44" и ООО "Спектрум-Холдинг".</t>
  </si>
  <si>
    <t>Александр Олуферов: Массовой подпилки гребешка не было зафиксировано, о чём свидетельствуют фотоснимки предоставленные ООО "ТМГ ГРУП". Так на фото №5 верхний гребешок был повреждён в процессе демонтажа штукатурного слоя - отсутствует раствор в центральной (пористой) части гребешка, нижний же гребешок - цел На фото №6 представлены прекрасно сохранившиеся гребешки.
Повторно. Требую, привести кладку в соответствие с историческим обликом.
Также в случае обнаружения мест, где установить гребешок в проектное положение без демонтажа коренной кладки не возможно, требую разработать и  согласовать проектное решение в соответствии с пунктами 5.1.1, 5.1.4, 5.1.7 договора строительного подряда №25/04/19 от 25.04.19.</t>
  </si>
  <si>
    <t>Sergey Solodovnikov: Воссоздан в кирпичной кладке гребешок из лекального кирпича под профилированными наличниками Ш-11 вокруг оконных проёмов 2-го этажа в/о 4-12/А и 18-22/А.</t>
  </si>
  <si>
    <t>ТМГ. Нарушение технологии. Вычинка</t>
  </si>
  <si>
    <t>Александр Олуферов: Заголовок изменен на ТМГ. Нарушение технологии. Вычинка</t>
  </si>
  <si>
    <t>Александр Олуферов: Изменена дата начала на 13.11.2019</t>
  </si>
  <si>
    <t>Александр Олуферов: На фасаде в осях А/1-18 ведутся работы по реставрации кирпичной кладки, а также выполняется формирование оконных проёмов при полном отсутствии рабочих проектов по данному виду работ.
Требую, разработать и согласовать рабочий проект на данный вид работ с указанием геометрических размеров и отметками проёмов, четвертей и простенков. Приёмка данных работ до согласования рабочих проектов невозможна.</t>
  </si>
  <si>
    <t xml:space="preserve">Sergey Solodovnikov: Работы ведутся по согласованным рабочим проектам, со всей необходимой информацией. Том 3. 0995_19-Р-АР.Р1-ТМГ-1.3, Том 9. 0995_19-Р-АР.Р1-ТМГ-1.9б  Том 9. 0995_19-Р-АР.Р1-ТМГ-1.8    
Все оконные и дверные проёмы, их габариты, местоположение и конфигурация являются предметом реставрации и охраны. Детальные рабочие чертежи по оконным проёмам ООО "ТМГ ГРУП" получает как задание от ООО "Спецстрой", о чем договорились все заинтересованные стороны; ООО «Спектрум-Холдинг», ООО «Лотос Отели»,  ООО «АБ «Студия 44», ООО "Спецстрой". 
-- 
С уважением,
Елизавета Манке 
Архитектор
</t>
  </si>
  <si>
    <t>Александр Олуферов: Предоставить рабочие чертежи со всеми необходимыми для производства работ по кладке и штукатурке узлами, с разрезами по оконным, дверным проёмам, с указанием рассвета оконных и дверных откосов, размерами выступающих частей кладки, с размерами окон и простенков, с привязками, с применяемыми материалами и т. д., в соответствии с требованиями ГОСТ 21.501-2018, пп. 5.1-5.4, СП 70.133330.2012, пп. 9.1.2, 9.17.1, договором строительного подряда №25/04/19 от 25.04.19, пп. 5.1.1, 5.1.4, 5.1.7.</t>
  </si>
  <si>
    <t xml:space="preserve">Sergey Solodovnikov: Работы ведутся по согласованным рабочим проектам реставрации охраняемого фасада, со всей необходимой информацией. Том 3. 0995_19-Р-АР.Р1-ТМГ-1.3, Том 9. 0995_19-Р-АР.Р1-ТМГ-1.9, Том 5. 0995_19-Р-АР.Р1-ТМГ-1.5. Разрезы, размерные цепочки деталей, есть в перечисленных выше томах. 
Документация выполнена на основании стадии "П". ООО "ТМГ ГРУП" не может вносить изменения относительно стадии "П" без соответствующего письменного указания от Авторского Надзора - ООО «АБ «Студия 44», в том числе и добавлять в деталировки по профилированным тягам "выступающие элементы" кладки.  
Формально в объём работ ООО "ТМГ ГРУП" входят только внешние оконные и дверные четверти. Задания на разработку документации/ работы по внутренней части откосов и дверей  могут быть выданы от ООО "Спецстрой", АБ «Студия 44» через ООО "Спектурм-Ходлинг".
С уважением,
Елизавета Манке 
Архитектор
ООО «ТМГ ГРУП», Ул. Введенский канал, д.7, офис №420, 190013 Санкт-Петербург, РФ
т +7 (812) 655 50 99     м +7 911 772 8613, +7 921 412 6919        </t>
  </si>
  <si>
    <t>Александр Олуферов: Повторно. Предоставить рабочие чертежи со всеми необходимыми для производства работ по кладке и штукатурке узлами, с разрезами по оконным, дверным проёмам, с указанием рассвета оконных и дверных откосов, размерами выступающих частей кладки, с размерами окон и простенков, с привязками, с применяемыми материалами и т. д., в соответствии с требованиями ГОСТ 21.501-2018, пп. 5.1-5.4, СП 70.133330.2012, пп. 9.1.2, 9.17.1, договором строительного подряда №25/04/19 от 25.04.19, пп. 5.1.1, 5.1.4, 5.1.7.</t>
  </si>
  <si>
    <t>Sergey Solodovnikov: 16.12.19 - добавлены листы с сечениями по окнам, в том 0995/19-Р-АР.Р1-ТМГ-1.5. Шифр Aconex: WF-616.</t>
  </si>
  <si>
    <t>ТМГ. Вычинка, нарушение технологии.</t>
  </si>
  <si>
    <t>Александр Олуферов: В результате проведения операционного контроля работ по реставрации кирпичной кладки на фасаде в осях 12-18/А 2 этаж, выявлено, что применяется полнотелый кирпич толщиной в 65 мм, что не соответствует кирпичу в корневой кладке толщиной 50-60 мм, в следствии чего имеются следующие замечания:
1. Толщина горизонтальных швов не соответствует требованиям действующих регламентов, то есть как правило меньше 10 мм, либо больше 15 мм, а также не соответствует толщине швов корневой кладки (СП 70.13330.2012, пп. 9.2.4, 9.18.5 технологические рекомендации производителя https://www.petromix.ru/catalog/kladochnye-rastvory/kladochnyy-rastvor-izvestkovyy-m50-zimniy-petromiks-mm-02/);
2. Толщина вертикальных швов не соответствует требованиям действующих регламентов, то есть как правило больше 12 мм (СП 70.13330.2012, п. 9.2.4 и п. 9.18.5);
3. Толщина четверти вместо 120 мм местами варьируется от 100 до 150 мм (см. фото);
4. Горизонтальность кладки не соблюдается и превышает допустимые отклонения в 10 мм (СП 70.13330.2012, п. 9.2.4 и п. 9.18.5) -см. фото.
Требую, привести кладку в соответствие с действующими строительными регламентами.</t>
  </si>
  <si>
    <t>Александр Олуферов: Удаленное изображение</t>
  </si>
  <si>
    <t>Александр Олуферов: Редактированный комментарий - "В результате проведе..."</t>
  </si>
  <si>
    <t>Александр Олуферов: Изменена дата начала на 14.11.2019</t>
  </si>
  <si>
    <t>Александр Олуферов: Изменена дата завершения на 21.11.2019</t>
  </si>
  <si>
    <t>Александр Олуферов: Заголовок изменен на ТМГ. Вычинка, нарушение технологии.</t>
  </si>
  <si>
    <t>Sergey Solodovnikov: Кирпичная кладка фасада в осях 12-18/А 2-го этажа, приведена в соответствие. 
Применяется полнотелый кирпич толщиной в 65 мм, что  соответствует кирпичу указанному в технологической карте на реставрацию, шифр: 1004-1/П15-АР.1-ТК5.
1. Толщина горизонтальных швов приведена в соответствие требованиям действующих регламентов 15(+3,-2) мм (СП 70.13330.2012, пп. 9.2.4, 9.18.5 );
2. Толщина вертикальных швов приведена в соответствие требованиям действующих регламентов 10(+2,-2) мм (СП 70.13330.2012, пп. 9.2.4, 9.18.5 );
3. Толщина четверти соответствует ширине кирпича и составляет 120 мм. Удалены выступы, образовавшиеся при скалывании кирпича по длинной стороне;
4. Горизонтальность кладки приведена в соответствие СП 70.13330.2012, п. 9.18.5 и не превышает допустимые отклонения в 10 мм.</t>
  </si>
  <si>
    <t>Входной контроль песка строительного природного</t>
  </si>
  <si>
    <t>в1.2_непучинистые материалы для обратной засыпки (песок, пгс, пщс)</t>
  </si>
  <si>
    <t>Yes: 2,1. Материал соответствует требованиям проекта (АОЛ) - 2019-11-22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</si>
  <si>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(АОЛ) - 2019-11-22</t>
  </si>
  <si>
    <t>Yes: 2,3. Предоставлен протокол испытания лаборатории, который подтверждает соответствие нормативам и сопроводительным документам (АОЛ) - 2019-11-22</t>
  </si>
  <si>
    <t>Yes: 2,4. Условия хранения материала соблюдаются (АОЛ) - 2019-11-22</t>
  </si>
  <si>
    <t>Yes: 2,5. Наличие записи в "Журнале входного учета и контроля качества получаемых деталей, материалов, конструкций и оборудования" (АОЛ) - 2019-11-22</t>
  </si>
  <si>
    <t>Yes: 3,1. Материал допускается к производству работ (АОЛ) - 2019-11-22</t>
  </si>
  <si>
    <t>Александр Олуферов: Заголовок изменен на Входной контроль песка строительного природного</t>
  </si>
  <si>
    <t>Александр Олуферов: Изменена дата начала на 01.11.2019</t>
  </si>
  <si>
    <t>УСП. Нарушение Технологии демонтажных Работ Штукатурного Слоя В/О 16/1-18/1/Л/1-Т/1</t>
  </si>
  <si>
    <t>alexeynikiforov@mail.ru</t>
  </si>
  <si>
    <t>Владимир Чугунов: Заголовок изменен на Нарушение Технологии демонтажных Работ Штукатурного Слоя В/О 16/1-18/1/Л/1-Т/1</t>
  </si>
  <si>
    <t>Владимир Чугунов: Дата начала изменена на дек. 9, 2019</t>
  </si>
  <si>
    <t>Владимир Чугунов: Данное нарушение зафиксированно неоднократно.   Имеется видеофиксация</t>
  </si>
  <si>
    <t>Владимир Чугунов: Нарушение п.2.2 3й абзац Технологическая карта на очистку существующих стен и колонн от штукатурки 1й этаж.</t>
  </si>
  <si>
    <t>Владимир Чугунов: Ответственное лицо замещено Алексей Никифоров</t>
  </si>
  <si>
    <t>Владимир Чугунов: Заголовок изменен на УСП. Нарушение Технологии демонтажных Работ Штукатурного Слоя В/О 16/1-18/1/Л/1-Т/1</t>
  </si>
  <si>
    <t>Владимир Чугунов: Дата окончания изменена на дек. 10, 2019</t>
  </si>
  <si>
    <t>Владимир Чугунов: В следствии того, что отделка помещений 34-н и 35 находятся под охраной государства необходимо остановить все демонтажные работы, до внесения записи авторского надзора г возможности демонтажа штукатурных слоёв.</t>
  </si>
  <si>
    <t>Алексей Никифоров: Работы остановлены. Ждём авторский надзор</t>
  </si>
  <si>
    <t>Алексей Никифоров: Завершенное задание</t>
  </si>
  <si>
    <t>Алексей Никифоров: На основании записи в журнале Авторского Надзора работы по удалению штукатурного цементосодержащего слоя будут продолжены. Остальная штукатурка затронута не будет</t>
  </si>
  <si>
    <t>ООО "Свод", лепной декор, нарушение технологии</t>
  </si>
  <si>
    <t>svod.pto@gmail.com</t>
  </si>
  <si>
    <t>Александр Олуферов: Заголовок изменен на ООО "Свод", лепной декор, нарушение технологии</t>
  </si>
  <si>
    <t>Александр Олуферов: В ходе проведения операционного контроля фасадных работ в осях У/ 19/1-25, У/1-12/1, А/1-12/1 было выявлено следующее замечание:
- после расчистки лакокрасочного защитного покрытия гипсовых кронштейнов (триглифов, гуттов) не производится их защита от атмосферных осадков, от влажности и т. п.
Требую незамедлительно выполнить все необходимые мероприятия по защите лепного декора от негативных факторов окружающей среды.</t>
  </si>
  <si>
    <t>Александр Олуферов: Изменена дата завершения на 05.11.2019</t>
  </si>
  <si>
    <t>Александр Олуферов: Сменить ответственное лицо на Ольга Коновалова</t>
  </si>
  <si>
    <t>Ольга Коновалова: Расчищенный лепной декор огрунтован составом Caparol по согласованию с АН.</t>
  </si>
  <si>
    <t>Александр Олуферов: Предъявить службе СК Заказчика.</t>
  </si>
  <si>
    <t xml:space="preserve">Ольга Коновалова: Аллигатор так же согласованный состав
</t>
  </si>
  <si>
    <t>Ольга Коновалова: Обустройство козырька для  защиты:</t>
  </si>
  <si>
    <t xml:space="preserve">Ольга Коновалова: Козырек для защиты от осадков:
</t>
  </si>
  <si>
    <t>Ольга Коновалова: Завершенное задание</t>
  </si>
  <si>
    <t>Ольга Коновалова: Приоритет изменен на 1</t>
  </si>
  <si>
    <t>Нарушение Технологии По Демонтажу Штукатурного Слоя Фасада В/ О</t>
  </si>
  <si>
    <t>ВФ_Двор 3</t>
  </si>
  <si>
    <t>Демонтажные Работы 3 Двор</t>
  </si>
  <si>
    <t>Владимир Чугунов: Заголовок изменен на Нарушение Технологии По Демонтажу Штукатурного Слоя Фасада В/ О</t>
  </si>
  <si>
    <t>Владимир Чугунов: Дата начала изменена на сент. 11, 2019</t>
  </si>
  <si>
    <t>Владимир Чугунов: Дата окончания изменена на сент. 14, 2019</t>
  </si>
  <si>
    <t>Владимир Чугунов: В процессе операционного контроля демонтажа штукатурного слоя фасада в/о 7/ Г-И/1 выявлено грубое нарушение, на поверхности кирпичной кладки имеют место пропилы от режущего инструмента Данные действия недопустимы. Согласовать действия по устранению с представителем авторского надзора. Впредь категорически запрещены данный метод расчистки. Необходимо выполнять работы в строгом соответствии с согласованной РД.</t>
  </si>
  <si>
    <t>Владимир Чугунов: Ответственное лицо замещено Ольга Коновалова</t>
  </si>
  <si>
    <t xml:space="preserve">Ольга Коновалова: Принято к сведению, рабочие дополнительно проинструктированы о методах работы в соответствии с РД, согласование  действий по устранению с представителем авторского надзора - 26.09 </t>
  </si>
  <si>
    <t>ООО "Свод". Нарушение работ по вычинке.</t>
  </si>
  <si>
    <t>2-ой двор, фасады</t>
  </si>
  <si>
    <t>Александр Олуферов: Заголовок изменен на Нарушение работ по вычинке ООО "Свод"</t>
  </si>
  <si>
    <t>Александр Олуферов: В результате проведения операционного контроля по фасадным работам выявлено, что компанией "Свод" начаты работы по ремонту кирпичной кладки методом вычинки, без наличия согласованной технологической карты на данный вид работ.
К тому же работы производятся с применением ударного электроинструмента, что не соответствует методике производства работ и технологической карте 1004-1/П15-АР.Р.1-С3-ТК, пункт 4.1 (лист 6), разработанной ООО "Свод".
Требую, незамедлительно остановить работы с использованием электроинструмента, а также устранить замечания и согласовать технологическую карту на ремонт кирпичной кладки.</t>
  </si>
  <si>
    <t>Александр Олуферов: Местоположение изменено на 2-ой двор, фасады</t>
  </si>
  <si>
    <t>Александр Олуферов: Изменена дата начала на 17.10.2019</t>
  </si>
  <si>
    <t>Александр Олуферов: Изменена дата завершения на 21.10.2019</t>
  </si>
  <si>
    <t>Александр Олуферов: Заголовок изменен на ООО "Свод". Нарушение работ по вычинке.</t>
  </si>
  <si>
    <t>Ольга Коновалова: В данном случае выполнялся демонтаж пробного участка согласно записи в журнале АН. Работы остановлены. Электроинструмент изъят.</t>
  </si>
  <si>
    <t>СВОД. Нарушения по реставрации цокольного камня.</t>
  </si>
  <si>
    <t>Александр Олуферов: Заголовок изменен на СВОД. Нарушения по реставрации цокольного камня.</t>
  </si>
  <si>
    <t>Александр Олуферов: В ходе проведения операционного контроля работ по реставрации цокольного камня (известняк) в осях 26-27/Е-М выявлены следующие замечания:
1. Отвод дождевых вод с кровли организован с нарушениями в результате которых дождевые и талые воды стекают по фасадной штукатурке и цокольному камню (см. фото 1);
2. Швы не в полном объёме расчищены от деструктированного материала, грязи, кирпичной крошки, домастиковочных составов - нарушение п. 4.1.4 технологической карты 1004-1/П15-АР.Р.1-С5-ТК (фото 2,3,4,5);
3. Не полностью удалены металлические включения (см. фото 6,7);
4. Не полностью удалены деревянные включения (см. фото 8);
5. Не выполняется расчистка вертикальных швов - примыкания к штукатурке (см. фото 9);
6. Не выполняется расчистка швов верхней полки - примыкания к штукатурке (см. фото 10);
7. Исполнительная схема, представленная в качестве подтверждения выполненных работ, выполнена некорректно поскольку размеры простенков и оконных проёмов цокольного этажа не ответствуют факту.
Требую устранить замечания с последующим предъявлением строительному контролю Заказчика.</t>
  </si>
  <si>
    <t xml:space="preserve">Ольга Коновалова: Принято к сведению.
Размеры на исполнительной схеме исправлены. </t>
  </si>
  <si>
    <t xml:space="preserve">Ольга Коновалова: Для правильного  отвода  дождевых вод с кровли,  обустроен козырек </t>
  </si>
  <si>
    <t xml:space="preserve">Ольга Коновалова: Защита от осадков:
</t>
  </si>
  <si>
    <t>Ольга Коновалова: Доочистка:</t>
  </si>
  <si>
    <t>Свод. Несоответствие фасадных работ проекту стадии П.</t>
  </si>
  <si>
    <t>2-ой, 3-ий дворы</t>
  </si>
  <si>
    <t>Александр Олуферов: Заголовок изменен на Свод. Несоответствие фасадных работ проекту стадии П.</t>
  </si>
  <si>
    <t>Александр Олуферов: Работы по ремонту фасадов, выполняемые во 2-ом и 3-ем дворах не соответствуют проекту реставрации прошедшему госэкспертизу 1004-1/П15-АР.Р.1, листы 24-31 (стадия П), а именно на фасадах, где необходимо воссоздание штукатурного слоя выполняется расчистка от окрасочных слоёв, в местах где необходима реставрация - значительная часть штукатурного слоя демонтируется.
Требую, устранить данное несоответствие путём согласования изменений со всеми заинтересованными лицами, в том числе с государственными инстанциями.</t>
  </si>
  <si>
    <t>Александр Олуферов: Местоположение изменено на 2-ой, 3-ий дворы</t>
  </si>
  <si>
    <t>Ольга Коновалова: Работы выполняются по картограммам дефектов  из проектной документации стадии Р, согласованной Заказчиком,  в том числе и Спектрумом. 
Согласование гос. инстанций не требуется., представитель КГиОП, приезжавший на объект, видел данную картину  и замечаний не выдавал. 
Отдельные места штукатурки демонтированы в соответствии с записями в журнале АН. Участки на которых обозначено бухтение штукатурки расчищаются согласно методике раздел 3 п.3.2 в том числе для определения причины отслоения штукатурного слоя с целью максимального сохранения исторической штукатурки в связи с указаниями КГиОП.</t>
  </si>
  <si>
    <t>Александр Олуферов: На  сегодняшний день проекты находятся в статусе С.</t>
  </si>
  <si>
    <t>Александр Олуферов: Повторно. Требую, устранить данное несоответствие путём согласования изменений со всеми заинтересованными лицами, в том числе с государственными инстанциями.</t>
  </si>
  <si>
    <t xml:space="preserve">Ольга Коновалова: Работы по дворам 2 и 3  будут приостановлены по согласованию с Заказчиком в связи с отсутствием решений по интерьерам. </t>
  </si>
  <si>
    <t>Ольга Коновалова: Работы выполнялись по согласованной ТК (1004-1_П15-АР.Р.1-С2-ТК Расчистка поверхности и демонтаж штукатурки ) и листам проекта (картограммы дефектов: 0995/19-Р-АР.Р1- СВОД-2.2 (л. 2-6),   0995/19-Р-АР.Р1- СВОД-2.3 (л.2-5). 
Дополнительное согласование в госорганах не требуется.</t>
  </si>
  <si>
    <t>СВОД. Несоответствие проектов.</t>
  </si>
  <si>
    <t>Александр Олуферов: В ходе проведения операционного контроля работ по монтажу цокольного камня выявлено несоответствие рабочего проекта по реставрации цоколя фасада в осях 26/А-У (см. проект 0995/19-Р-АР.Р1- СВОД-2.8, листы 3-6), фактическому выполнению  (см. исполнительную схему №39 от 25.11.2019 г., ООО "Свод"), а именно:
1.  Несоответствие геометрических размеров проёмов и простенков;
2.  В проекте отсутствуют указания по применяемым материалам, согласованным в технологических картах, указания по очерёдности выполняемых работ, ссылки на строительные регламенты и перечень исполнительной документации.
3. В проекте отсутствуют указания на реставрацию гранита.
Требую, привести в соответствие рабочую документацию, совместно с уточнением объёмов работ по цоколю.
В случае, отсутствия актуальных согласованных проектов на момент проверки ежемесячного выполнения, объёмы работ будут удержаны.</t>
  </si>
  <si>
    <t>Александр Олуферов: Заголовок изменен на СВОД. Несоответствие проектов.</t>
  </si>
  <si>
    <t>Александр Олуферов: Изменена дата начала на 03.12.2019</t>
  </si>
  <si>
    <t xml:space="preserve">Ольга Коновалова: Объемы уточнены и отражены в исправленной схеме. 
Проектировщикам переданы замечания для исправления.
</t>
  </si>
  <si>
    <t>Ольга Коновалова: Окончательный вариант РД будет разработан на основании исполнительных схем по окончании строительства согласно общему решению производственного совещания</t>
  </si>
  <si>
    <t>Свод. Нарушения по лесам. Аптекарский.</t>
  </si>
  <si>
    <t>Александр Олуферов: Заголовок изменен на Свод. Нарушения по лесам. Аптекарский.</t>
  </si>
  <si>
    <t>Александр Олуферов: В ходе операционного контроля выполняемых работ на фасадах в осях У/26-1 выявлены следующие замечания:
1. Леса не в полной мере защищают от атмосферных осадков, а именно в результате отсутствия защитной сетки,  возможно попадание атмосферных осадков на леса и дальше на фасад здания, что неизбежно приведёт к потере части исторических слоёв штукатурки. Так на данный момент верхний ярус лесов завален  снегом (см. фото 1,2). Также в результате отсутствия достаточного количества отбойных досок, снег с козырька валится на леса (см. фото 3);
2. Дощатый настил местами упирается в штукатурный фасад (фото 4);
3. Также местами поперечные доски настила стоят с увеличенным шагом, в результате чего наблюдается критический прогиб продольных досок.
Требую устранить замечания с последующим предъявлением представителю службы строительного контроля, либо представителю службы ОТ и ТБ Заказчика.</t>
  </si>
  <si>
    <t xml:space="preserve">Ольга Коновалова: Принято к сведению. Будет предъявлено после устранения. </t>
  </si>
  <si>
    <t>ООО "СпецСтрой" Нарушение правил ОТ при организации строительных работ</t>
  </si>
  <si>
    <t>Нарушение ОТ и ТБ</t>
  </si>
  <si>
    <t>Алексей Александров: Заголовок изменен на ООО "СпецСтрой" Нарушение правил ОТ при организации строительных работ</t>
  </si>
  <si>
    <t>Алексей Александров: Приоритет изменен на 1</t>
  </si>
  <si>
    <t>Алексей Александров: Сменить ответственное лицо на Андрей Козлов</t>
  </si>
  <si>
    <t>Алексей Александров: Демонтаж окон производится без согласованного ППР и ТК. Место работ не убирается после окончания работ. По всей территории внутри здания валяются груды стекол и ломаных оконных рам, захламлены лестничные марши (проход не возможен). Ломаные окна нависают с балок второго уровня и могут упасть. При выполнении работ отсутствует ответственный производитель работ. Работы остановить до устранения выявленных нарушений. Уборку нависающих оконных конструкций со второго уровня осуществлять только в присутствии ответственного производителя работ с применением средств страховки и СИЗ.</t>
  </si>
  <si>
    <t>Алексей Александров: Изменена дата начала на 23.10.2019</t>
  </si>
  <si>
    <t>Andrey Kozlov: ППР и ТК находятся в процессе согласования. Остальные замечания устранены.</t>
  </si>
  <si>
    <t>Andrey Kozlov: Completed task</t>
  </si>
  <si>
    <t>ООО "СПЕЦ СТРОЙ" Нарушение требований правил по ОТ при организации работ на высоте.</t>
  </si>
  <si>
    <t>Алексей Александров: Заголовок изменен на ООО "СПЕЦ СТРОЙ" Нарушение требований правил по ОТ при организации работ на высоте.</t>
  </si>
  <si>
    <t>Алексей Александров: Изменена дата начала на 03.12.2019</t>
  </si>
  <si>
    <t>Алексей Александров: 1. Отсутствуют удостоверения обучения персонала ОТ при работе на высоте.
2. Отсутствует согласованный ППР на производство работ.
3. Не организован доступ к вагончику, расположенного вторым ярусом.
Работы остановить до предъявления удостоверений обучения персонала и согласования ППР.</t>
  </si>
  <si>
    <t xml:space="preserve">Andrey Kozlov: 1)Удостоверения имеются у трех сотрудников. В данный момент работы на высоте не производятся. 
2)ППР находятся на стадии согласования. 
3)Второй ярус не используется. </t>
  </si>
  <si>
    <t>Алексей Александров: Нарушения были не отстранены. 6.12.2019 выполнялись работы по уборки мусора со второго этажа по тонкому перекидному мостику, не имеющему ограждения. Высота 2.5 метра. Работа по демонтажу выполняется с балок и перекрытий не имеющих ровной поверхности. 
До момента согласования ППР работы приостанавливаются.</t>
  </si>
  <si>
    <t>ООО "СпецСтрой" Нарушение правил организации работ на высоте.</t>
  </si>
  <si>
    <t>Алексей Александров: Заголовок изменен на ООО "СпецСтрой" Нарушение правил организации работ на высоте.</t>
  </si>
  <si>
    <t>Алексей Александров: Работники выполняющие работы вблизи перепадов по высоте (открытых меж этажных перекрытий) не имеют соответствующих допусков. 
Отсутствует ответственный производитель работ.
Отсутствует спецодежда. 
Окна сбрасываются с третьего этажа через перекрытия (разлет осколков) должны спускаться по направляющим либо по веревке (ППР или ТК).
Имеется доступ посторонних лиц в место сбрасывания оконных рам и стекол. Провести обучение персонала, постоянное присутствие ответственного производителя работ, согласовать ППР или ТК на проводимые работы и ознакомить с ним рабочий персонал. Работы остановить до устранения выявленных нарушений и предъявления документов.</t>
  </si>
  <si>
    <t>Алексей Александров: Изменена дата начала на 10.12.2019</t>
  </si>
  <si>
    <t>Алексей Александров: Изменена дата завершения на 16.12.2019</t>
  </si>
  <si>
    <t>ООО "СПЕЦ СТРОЙ" Нарушение требований  пожарной безопасности.</t>
  </si>
  <si>
    <t>Алексей Александров: Заголовок изменен на ООО "СПЕЦ СТРОЙ" Нарушение требований  пожарной безопасности.</t>
  </si>
  <si>
    <t>Алексей Александров: Сменить ответственное лицо на 3318261</t>
  </si>
  <si>
    <t>Алексей Александров: 1. Отсутствуют противопожарные извещатели.
2. Нет первичных средств пожаротушения (огнетушители).
3. Лампы дневного света не имеют защитных плафонов.
4. На помещении нет информационной таблички "Ответственный за пожарную безопасность".</t>
  </si>
  <si>
    <t>Алексей Александров: Изменена дата завершения на 05.12.2019</t>
  </si>
  <si>
    <t>Andrey Kozlov: Changed start date to 12/5/19</t>
  </si>
  <si>
    <t>Andrey Kozlov: Все замечания будут устранены 09.12.2019г.</t>
  </si>
  <si>
    <t>Andrey Kozlov: Замечания устранены.</t>
  </si>
  <si>
    <t>Алексей Александров: Проверенное задание</t>
  </si>
  <si>
    <t>ООО "СПЕЦ СТРОЙ" Нарушение требований безопасности при организации работ на высоте.</t>
  </si>
  <si>
    <t>Алексей Александров: Заголовок изменен на ООО "СПЕЦ СТРОЙ" Нарушение требований безопасности при организации работ на высоте.</t>
  </si>
  <si>
    <t>Алексей Александров: Отсутствует перильное ограждение площадки доступа рабочих в бытовку, расположенную вторым ярусом. Доступ осуществляется по лестнице не отвечающей требованиям безопасности.</t>
  </si>
  <si>
    <t>Алексей Александров: Изменена дата завершения на 06.12.2019</t>
  </si>
  <si>
    <t>Andrey Kozlov: Changed cost to 0 RUB</t>
  </si>
  <si>
    <t>Andrey Kozlov: Второй ярус не используется рабочими.</t>
  </si>
  <si>
    <t>ООО "СпецСтрой" Нарушение требований безопасности по окончании работ.</t>
  </si>
  <si>
    <t>Алексей Александров: Заголовок изменен на ООО "СпецСтрой" Нарушение требований безопасности по окончании работ.</t>
  </si>
  <si>
    <t>Алексей Александров: Изменена дата начала на 22.11.2019</t>
  </si>
  <si>
    <t>Алексей Александров: Изменена дата завершения на 25.11.2019</t>
  </si>
  <si>
    <t>Алексей Александров: В местах производства работ и на подмостях для прохода оставлены битые стекла.</t>
  </si>
  <si>
    <t>Andrey Kozlov: Стекла убраны, замечания устранены.</t>
  </si>
  <si>
    <t>ООО "СпецСтрой" Нарушение требований ОТ по завершении работ.</t>
  </si>
  <si>
    <t>Алексей Александров: Заголовок изменен на ООО "СпецСтрой" Нарушение требований ОТ по завершении работ.</t>
  </si>
  <si>
    <t>Алексей Александров: Изменена дата начала на 22.10.2019</t>
  </si>
  <si>
    <t xml:space="preserve">Алексей Александров: Оставление битого стекла и ломаных рам вдоль стен. По окончании работ необходимо убирать рабочее место. </t>
  </si>
  <si>
    <t>Алексей Александров: Заголовок изменен на ООО "Спец"</t>
  </si>
  <si>
    <t xml:space="preserve">Алексей Александров: 1. Лестница изготовлена из материалов не отвечающих требованиям безопасности. 
2. Отсутствует инвентарный номер и дата испытания.
3. Схема, по которой изготовлена (собрана) лестница, не отвечает правилам изготовления (монтажа). 
4. Отсутствую металлические заостренные наконечники на пятках лестницы. Запретить к эксплуатации. Применять только лестницы имеющие паспорт завода изготовителя, прошедшие испытания.  </t>
  </si>
  <si>
    <t>Алексей Александров: Изменена дата начала на 15.10.2019</t>
  </si>
  <si>
    <t>Алексей Александров: Изменена дата завершения на 17.10.2019</t>
  </si>
  <si>
    <t>Andrey Kozlov: Лестница убрана в связи с неиспользуемым вторым ярусом. Доступ на второй этаж отсутствует. Замечания устранены.</t>
  </si>
  <si>
    <t>ООО "Геоизол" Нарушение требований пожарной безопасности.</t>
  </si>
  <si>
    <t>Алексей Александров: Заголовок изменен на ООО "Геоизол" Нарушение требований пожарной безопасности.</t>
  </si>
  <si>
    <t>Алексей Александров: Сменить ответственное лицо на Максим Суматохин</t>
  </si>
  <si>
    <t>Алексей Александров: Изменена дата начала на 23.12.2019</t>
  </si>
  <si>
    <t>Алексей Александров: Изменена дата завершения на 24.12.2019</t>
  </si>
  <si>
    <t>Алексей Александров: Отсутствует заполненная табличка "Ответственный за пожарное состояние".</t>
  </si>
  <si>
    <t>ООО "Геоизол" Нарушение правил организации работ повышенной опасности.</t>
  </si>
  <si>
    <t>Алексей Александров: Заголовок изменен на ООО "Геоизол" Нарушение правил организации работ повышенной опасности.</t>
  </si>
  <si>
    <t xml:space="preserve">Алексей Александров: Леса были разобраны для выполнения работ, что привело к ослаблению конструкции. Работы не были согласованы с ООО "ТМГ-груп". </t>
  </si>
  <si>
    <t>ООО "Геоизол" Нарушение правил складирования материалов.</t>
  </si>
  <si>
    <t>Алексей Александров: Заголовок изменен на ООО "Геоизол" Нарушение правил складирования материалов.</t>
  </si>
  <si>
    <t>Алексей Александров: Складирование материалов и размещение вспомогательного оборудования вблизи лесов выполнено в нарушение требований безопасности (фасад по Аптекарскому переулку). Материалы перегораживают походы к лесам и могут создать препятствия для эвакуации персонала при возникновении аварийной ситуации. Необходимо очистить места доступа к лесам и штатно расположенным средствам пожаротушения.</t>
  </si>
  <si>
    <t>ООО "Геоизол" Нарушение правил ОТ пр организации работ</t>
  </si>
  <si>
    <t>Алексей Александров: Заголовок изменен на ООО "Геоизол" Нарушение правил ОТ пр организации работ</t>
  </si>
  <si>
    <t>Алексей Александров: Изменена дата начала на 11.09.2019</t>
  </si>
  <si>
    <t>Алексей Александров: Изменена дата завершения на 12.09.2019</t>
  </si>
  <si>
    <t>Алексей Александров: Оборудованный настил, в помещении  у арки  прохода в Двор №3, не отвечает безопасности прохода к рабочему месту. Имеется открытый люк. При отсутствии освещения на данном участке работ, данные условия труда могут спровоцировать травмирование рабочего персонала.</t>
  </si>
  <si>
    <t>Maksim Sumatokhin: Настил подправили, отверстия закрыли.</t>
  </si>
  <si>
    <t>Алексей Александров: Приоритет изменен на 2</t>
  </si>
  <si>
    <t>Нарушение Правил Эксплуатации Грузоподъёмных Механизмов</t>
  </si>
  <si>
    <t>Владимир Чугунов: Заголовок изменен на Нарушение Правил Эксплуатации Грузоподъёмных Механизмов</t>
  </si>
  <si>
    <t>Владимир Чугунов: Название категории изменено на Нарушение ОТ и ТБ</t>
  </si>
  <si>
    <t>Владимир Чугунов: Дата окончания изменена на апр. 3, 2019</t>
  </si>
  <si>
    <t xml:space="preserve">Владимир Чугунов: Отсутствует Вахтенный журнал на кран
</t>
  </si>
  <si>
    <t>Владимир Чугунов: 
Нарушение ПБ 10-382-00</t>
  </si>
  <si>
    <t>Предписание</t>
  </si>
  <si>
    <t>Алексей Александров: Заголовок изменен на Предписание</t>
  </si>
  <si>
    <t>Алексей Александров: Изменена дата начала на 15.05.2019</t>
  </si>
  <si>
    <t>Алексей Александров: Изменена дата завершения на 17.05.2019</t>
  </si>
  <si>
    <t>Алексей Александров: Нарушение правил пожарной безопасности: 
1. отсутствие исправных огнетушителей в местах производства работ;
2. пожарные щиты разукомплектованы и не закреплены;
3. отсутствуют лица ответственные за пожарную безопасность при производстве работ (приказ, удостоверение);
4. инструктаж по пожарной безопасности проведен формально (отсутствует лист ознакомления с инструкциями по ПТМ, рабочий персонал не знает где расположены средства пожаротушения и не умеет их применять);</t>
  </si>
  <si>
    <t>Алексей Александров: Завершенное задание</t>
  </si>
  <si>
    <t>Алексей Александров: Приоритет изменен на 3</t>
  </si>
  <si>
    <t>Алексей Александров: Нарушение требований ОТ в строительстве:
1. Персонал подрядной организации не прошел проверку знаний по ОТ в рамках должностных обязанностей (нет протоколов, удостоверений);
2. Персонал подрядной организации не прошел проверку знаний по ОТ при выполнении работ на высоте, нет ответственного должностного лица.
3. Персонал не обеспечен спец.одеждой.</t>
  </si>
  <si>
    <t>Алексей Александров: Изменена дата завершения на 31.05.2019</t>
  </si>
  <si>
    <t>Алексей Александров: Редактированный комментарий - "Нарушение требований..."</t>
  </si>
  <si>
    <t>Алексей Александров: Нарушение правил по ОТ при погрузо-разгрузочных работах: 
1. отсутствует должностное лицо, ответственное за организацию безопасного производства работ ПС; 
2.  отсутствуют обученные стропальщики (приказ, протокол, удостоверение)
3. в момент производства погрузо-разгрузочных работ отсутствовал ответственный;
4. персонал выполняющий работы по разгрузке с применением ПС не обеспечен СИЗ (сигнальные жилет);
5. отсутствует-не ведется журнал учета и осмотра ГПМ и тары;
6. материал   размещен с нарушением  правил складирования (может привести к завалу и травме)!!!
7. мягкие стропа применяются с явными дефектами (выбраковка не производится), низкий контроль должностных лиц.</t>
  </si>
  <si>
    <t>Нарушение правил работы на высоте</t>
  </si>
  <si>
    <t>Алексей Александров: Заголовок изменен на Нарушение правил работы на высоте</t>
  </si>
  <si>
    <t>Алексей Александров: 1. Отсутствует ограждение котлованов. 
2. Свободный доступ к открытым проемам.
3. Недостаточное освещение рабочей зоны.</t>
  </si>
  <si>
    <t>ООО "ГЕОИЗОЛ" Нарушение правил ОТ при работе на высоте.</t>
  </si>
  <si>
    <t>Алексей Александров: Заголовок изменен на ООО "ГЕОИЗОЛ" Нарушение правил ОТ при работе на высоте.</t>
  </si>
  <si>
    <t>Алексей Александров: 1. Отсутствует ограждение котлована вблизи производства работ и прохода рабочих.
2. Размещение  сварочного поста  и поста гибки арматуры в опасной зоне сборки лесов.</t>
  </si>
  <si>
    <t>Алексей Александров: Изменена дата начала на 11.07.2019</t>
  </si>
  <si>
    <t>Алексей Александров: Изменена дата завершения на 12.07.2019</t>
  </si>
  <si>
    <t>Maksim Sumatokhin: Сварочный пост убран на безопасное расстояние. Ограждение котлована выставлено. Леса собраны, зашиты сеткой, вероятности отскока нет.</t>
  </si>
  <si>
    <t>ООО "ГЕОИЗОЛ" Нарушение правил ППБ 01-03</t>
  </si>
  <si>
    <t>Алексей Александров: Заголовок изменен на ООО "ГЕОИЗОЛ" Нарушение правил ППБ 01-03</t>
  </si>
  <si>
    <t>Алексей Александров: 1. Пожарный щит расположен в труднодоступном месте, разукомплетован.  
2. Отсутствуют огнетушители в местах производства работ.
3. Допускается совместное хранение пропановых и кислородных баллонов.</t>
  </si>
  <si>
    <t>Алексей Александров: Изменена дата начала на 01.07.2019</t>
  </si>
  <si>
    <t>Алексей Александров: Изменена дата завершения на 02.07.2019</t>
  </si>
  <si>
    <t>Алексей Александров: Заголовок изменен на Нарушение правил ППБ 01-03</t>
  </si>
  <si>
    <t>Алексей Александров: Изменена дата завершения на 08.07.2019</t>
  </si>
  <si>
    <t>Алексей Александров: Лестница, установленная для доступа в вагон-бытовку второго этажа, не отвечает требованиям пожарной безопасности. Необходимо заменить на лестницу изготовленную из негорючих материалов. 3-й двор.</t>
  </si>
  <si>
    <t>ООО "ГЕОИЗОЛ" Нарушение правил по ОТ в строительстве. ТК РФ.</t>
  </si>
  <si>
    <t>Алексей Александров: Заголовок изменен на ООО "ГЕОИЗОЛ" Нарушение правил по ОТ в строительстве. ТК РФ.</t>
  </si>
  <si>
    <t>Алексей Александров: 1. Отсутствует спецодежда у персонала занятого на пожароопасных работах (электросварка)</t>
  </si>
  <si>
    <t>Maksim Sumatokhin: Спец. одежда выдана.</t>
  </si>
  <si>
    <t>Maksim Sumatokhin: Редактированный комментарий - "Спец. одежда выдано."</t>
  </si>
  <si>
    <t>Нарушение противопожарного режима</t>
  </si>
  <si>
    <t>Алексей Александров: Заголовок изменен на Проверка противо-пожарного состояния вахтового гордка</t>
  </si>
  <si>
    <t>Алексей Александров: 1. В строительных вагончиках отсутствуют средства оповещения (автономные)  НПБ 110-03
2. Отсутствую первичные средства пожаротушения (огнетушители) либо имеются в недостаточном количестве  п. 468 НПБ 166-97
3. Отсутствует табличка "Ответственный за противопожарное состояние " п. 4 ППР-2012</t>
  </si>
  <si>
    <t>Алексей Александров: Заголовок изменен на Нарушение противопожарного режима</t>
  </si>
  <si>
    <t>Алексей Александров: Редактированный комментарий - "1. В строительных ва..."</t>
  </si>
  <si>
    <t>Maksim Sumatokhin: 1. Средства оповещения заказаны, будут установлены после 25.06.2019.
2. Средства пожаротушения есть в каждом вагоне, по одному огнетушителю. Дополнительно заказаны еще огнетушители.
3. Табличку на Вагоне поставили.</t>
  </si>
  <si>
    <t>Maksim Sumatokhin: Приоритет изменен на 3</t>
  </si>
  <si>
    <t>Maksim Sumatokhin: Средства оповещения (автономные) установлены, в каждом вагоне по 2 огнетушителя.</t>
  </si>
  <si>
    <t>Алексей Александров: Нарушение правил эксплуатации эксплуатации электроустановок потребителей: 
1. расположение силовых кабелей по острым кромкам и земле (приподнять на регламентируемую высоту);
2. не ведется-отсутствует журнал учета и испытания электроинструмента и вспомогательного оборудования;
3. отсутствую должностные лица ответственные за ЭБ.</t>
  </si>
  <si>
    <t>Баллоны убраны.</t>
  </si>
  <si>
    <t>Алексей Александров: Заголовок изменен на Нарушение правил эксплуатации сосудов работающих под давлением.</t>
  </si>
  <si>
    <t>Алексей Александров: Нарушение правил хранения кислородных и пропановых баллонов.  ППР в РФ, "Правила промышленной безопасности опасных производств где используется оборудование под давлением Приказ 116 от 25.03.2014 ФЗ Ростехнадзора, ГОСТ 15860-84</t>
  </si>
  <si>
    <t>Алексей Александров: Заголовок изменен на Нарушение правил хранения и эксплуатации СУГ и кислорода</t>
  </si>
  <si>
    <t>Maksim Sumatokhin: Баллоны убраны.</t>
  </si>
  <si>
    <t>нарушения правил обращения с ЛВЖ</t>
  </si>
  <si>
    <t>Алексей Александров: Заголовок изменен на Нарушение правил складирования ЛВЖ (масло, отработка)</t>
  </si>
  <si>
    <t>Алексей Александров: На территории расставлены бочки с ЛВЖ (масло). Нарушение ППБ 01-03 п. 526 Ёмкости должны быть защищены от прямого солнечного света и определено место хранения согласно ППР.</t>
  </si>
  <si>
    <t>Алексей Александров: Заголовок изменен на нарушения правил обращения с ЛВЖ</t>
  </si>
  <si>
    <t>Алексей Александров: Изменена дата начала на 24.06.2019</t>
  </si>
  <si>
    <t>Алексей Александров: Изменена дата завершения на 25.06.2019</t>
  </si>
  <si>
    <t>Maksim Sumatokhin: Емкости убраны и защищены от прямых солнечных лучей.</t>
  </si>
  <si>
    <t>Мусор в местах производства работ</t>
  </si>
  <si>
    <t>Алексей Александров: Заголовок изменен на Захламленность территории производства работ</t>
  </si>
  <si>
    <t xml:space="preserve">Алексей Александров: Нарушение п. 58 п.п.3. Правил по ОТ в строительстве. </t>
  </si>
  <si>
    <t>Алексей Александров: Заголовок изменен на Мусор в местах производства работ</t>
  </si>
  <si>
    <t>Maksim Sumatokhin: Мусор собран для вывоза. Проходы очищены.</t>
  </si>
  <si>
    <t>Нарушение правил по ОТ при работе на высоте ПОТ РМ-012-2000</t>
  </si>
  <si>
    <t>Алексей Александров: Заголовок изменен на Нарушение правил по ОТ при работе на высоте ПОТ РМ-012-2000</t>
  </si>
  <si>
    <t>Алексей Александров: Изменена дата начала на 23.05.2019</t>
  </si>
  <si>
    <t>Алексей Александров: Изменена дата завершения на 27.05.2019</t>
  </si>
  <si>
    <t xml:space="preserve">Алексей Александров: Лестница изготовлена в нарушение требований применяемых к безопасному производству работ. Отсутствует перильное ограждение лестничного марша. Нет упоров. Ступеньки выполнены в внахлест и не соблюдено расстояние между ними. Недопустимо скреплять части лестниц гвоздями. Доступ к лестнице затруднен перильным ограждением и торчащей арматурой.  Имеются открытые проемы в полу, может привести к падению и травмам. </t>
  </si>
  <si>
    <t>Предписание. Нарушение правил производства работ кранами</t>
  </si>
  <si>
    <t>Алексей Александров: Заголовок изменен на Предписание. Нарушение правил производства работ кранами</t>
  </si>
  <si>
    <t>Алексей Александров: 1. Отсутствует удостоверение стропальщика (просрочено);
2. Отсутствует вахтенный журнал крановщика.  Нарушение выявлено при погрузо-разгрузочных работах  на территории склада материалов ООО "Геоизол".</t>
  </si>
  <si>
    <t>Нарушение правил организации работ вблизи перепадов по высоте.</t>
  </si>
  <si>
    <t>Алексей Александров: Заголовок изменен на Нарушение правил организации работ вблизи перепадов по высоте.</t>
  </si>
  <si>
    <t>Алексей Александров: Отсутствует ограждение вблизи вырытых котлованов, рабочие расположены ближе двух метров спинок к котловану. (высокая возможность получения травмы)</t>
  </si>
  <si>
    <t>Требования  безопасности при производстве работ  (должностная инструкция)</t>
  </si>
  <si>
    <t>Алексей Александров: Заголовок изменен на Требования  безопасности при производстве работ  (должностная инструкция)</t>
  </si>
  <si>
    <t>Алексей Александров: Изменена дата начала на 10.06.2019</t>
  </si>
  <si>
    <t xml:space="preserve">Алексей Александров: Оставление инструмента (электрооборудования) в подключенном состоянии без присмотра на месте производства работ. </t>
  </si>
  <si>
    <t>Нарушение при эксплуатации РВД</t>
  </si>
  <si>
    <t>Алексей Александров: Заголовок изменен на Нарушение при эксплуатации РВД</t>
  </si>
  <si>
    <t>Алексей Александров: 1. Износ внешнего слоя, трещины и повреждения;
2. Спутывание, скручивание;
3. Прокладка по территории строительной площадки без защиты от наезда автомобилей.</t>
  </si>
  <si>
    <t>Алексей Александров: Изменена дата завершения на 10.06.2019</t>
  </si>
  <si>
    <t>Алексей Александров: Изменена дата начала на 04.06.2019</t>
  </si>
  <si>
    <t>Алексей Александров: Редактированный комментарий - "1. Износ внешнего сл..."</t>
  </si>
  <si>
    <t>Maksim Sumatokhin: Защиту для шлангов от наезда автомобилей сделали, скрутки шлангов распутали.</t>
  </si>
  <si>
    <t>Нарушение правил ОТ при работах повышенной опасности</t>
  </si>
  <si>
    <t>Алексей Александров: Заголовок изменен на Нарушение правил ОТ при работах повышенной опасности</t>
  </si>
  <si>
    <t>Алексей Александров: Зона производства работ повышенной опасности (демонтаж конструкций здания) не огорожена.</t>
  </si>
  <si>
    <t>Организация мест производства работ</t>
  </si>
  <si>
    <t>Алексей Александров: Заголовок изменен на Организация мест производства работ</t>
  </si>
  <si>
    <t>Алексей Александров: Изменена дата завершения на 17.06.2019</t>
  </si>
  <si>
    <t>Алексей Александров: Захламленность строительного участка мусором и отходами. 
Нарушение правил складирования материалов.</t>
  </si>
  <si>
    <t>Алексей Александров: Изменена дата завершения на 21.06.2019</t>
  </si>
  <si>
    <t>Maksim Sumatokhin: Мусор собран для дальнейшего вывоза. Пухто запланировано до 14.00, 21.06.2019</t>
  </si>
  <si>
    <t>ООО "Геоизол" Нарушение требований ТК РФ ст.217</t>
  </si>
  <si>
    <t>Алексей Александров: Заголовок изменен на ООО "Геоизол" Нарушение требований ТК РФ</t>
  </si>
  <si>
    <t>Алексей Александров: Заголовок изменен на ООО "Геоизол" Нарушение требований ТК РФ ст.217</t>
  </si>
  <si>
    <t>Алексей Александров: Изменена дата завершения на 16.09.2019</t>
  </si>
  <si>
    <t>Алексей Александров: Во исполнение требований ст.217 ТК РФ, а также ввиду характера выполняемых работ, на площадке строительства необходим специалист по ОТ.</t>
  </si>
  <si>
    <t xml:space="preserve">Maksim Sumatokhin: Штатная структура службы охраны труда соответствует требованиям Трудового кодекса РФ, Постановления Министерства труда и социального развития РФ № 10 от22.01.2001г. «Об утверждении межотраслевых нормативов численности работников службы охраны труда в организациях».       
      При всем этом, штатная структура службы охраны труда не позволяет нахождение работника службы на одном объекте постоянно, учитывая расположение объектов в разных регионах РФ.
         Присутствие специалиста  службы охраны труда ООО «ГЕОИЗОЛ» на объекте периодическое, в рабочие дни,  обязательно еженедельно по понедельникам  и при обнаружении предпосылок инцидентов, аварий и производственного травматизма.
       На объекте приказами по ООО закреплены ответственные за соблюдение требований охраны труда, пожарной безопасности, которые находятся на объекте постоянно. 
</t>
  </si>
  <si>
    <t>Рабочие не обеспечены спецодеждой</t>
  </si>
  <si>
    <t>Алексей Александров: Заголовок изменен на Рабочие не обеспечены спецодеждой</t>
  </si>
  <si>
    <t>Алексей Александров: Рабочие выполняющие огневые работы не обеспечены защитной одеждой и обувью. СИЗ (очки) не отвечают требованиям безопасности при резке металла газом.
обеспечение спецодеждой ст.221 ТК РФ</t>
  </si>
  <si>
    <t>ООО "Геоизол" Нарушение требований к хранению баллонов СУГ ППБ 01-03 Приказ Ростехнадзора №116 от 25.03.14</t>
  </si>
  <si>
    <t>Алексей Александров: Заголовок изменен на Нарушение требований к хранению баллонов СУГ ППБ 01-03 Приказ Ростехнадзора №116 от 25.03.14</t>
  </si>
  <si>
    <t>Алексей Александров: Не допускается открытое хранение под прямыми солнечными лучами. Необходимо изготовить шкаф с проветриваемыми стенами (заправленные отдельно хранятся от пустых).</t>
  </si>
  <si>
    <t>Алексей Александров: Изменена дата завершения на 28.06.2019</t>
  </si>
  <si>
    <t>Алексей Александров: Заголовок изменен на ООО "Геоизол" Нарушение требований к хранению баллонов СУГ ППБ 01-03 Приказ Ростехнадзора №116 от 25.03.14</t>
  </si>
  <si>
    <t>ООО "Геоизол" Нарушение СНиП 12-03-2001  Безопасность труда в строительстве. Приказ №155 Привила ОТ при  работе на Высоте.</t>
  </si>
  <si>
    <t>Алексей Александров: Заголовок изменен на ООО "Геоизол" Нарушение СНиП 12-03-2001  Безопасность труда в строительстве. Приказ №155 Привила ОТ при  работе на Высоте.</t>
  </si>
  <si>
    <t>Алексей Александров: 1. Отсутствует ограждение участков с перепадами по высоте (проход рабочих в непосредственной близости);
2. Использование лестницы заведомо не отвечающей требованиям безопасности.</t>
  </si>
  <si>
    <t>Maksim Sumatokhin: Участки перепада высот ограждены, котлован засыпан.</t>
  </si>
  <si>
    <t>Алексей Александров: Пожарные извещатели не исправны. (отсутствуют батарейки).</t>
  </si>
  <si>
    <t>Алексей Александров: Заголовок изменен на ООО "Геоизол" Нарушение правил ППБ 01-03</t>
  </si>
  <si>
    <t>Алексей Александров: Изменена дата завершения на 27.06.2019</t>
  </si>
  <si>
    <t>Maksim Sumatokhin: Батарейки установлены.</t>
  </si>
  <si>
    <t>ООО "Геоизол" Нарушение правил СанПиН 2.2.3.1384-03</t>
  </si>
  <si>
    <t>Алексей Александров: Заголовок изменен на ООО "Геоизол" Нарушение правил СанПиН 2.2.3.1384-03</t>
  </si>
  <si>
    <t>Алексей Александров: Грязь в вагон-бытовках и местах приема пищи.</t>
  </si>
  <si>
    <t>Нарушение требований Постановления правительства РФ  "О противопожарном режиме ".</t>
  </si>
  <si>
    <t>Алексей Александров: Заголовок изменен на Нарушение требований ППБ при организации строительства</t>
  </si>
  <si>
    <t>Алексей Александров: Заголовок изменен на Нарушение требований Постановления правительства РФ  "О противопожарном режиме ".</t>
  </si>
  <si>
    <t xml:space="preserve">Алексей Александров: 1. Отсутствует информация о ответственном за пожарную безопасность в помещении (должность, ФИО, телефон);
2. Отсутствуют пожарные извещатели; СНиП 21-01-97 п.4.3
3. Не исправны средства пожаротушения (огнетушители). п.6.1.1 Охрана труда в строительстве.
4. В вагончике хранятся лакокрасочные материалы и строительный мусор. (недопустимое хранение).п.6.5.3. Охрана труда </t>
  </si>
  <si>
    <t>Нарушение правил хранения материалов.</t>
  </si>
  <si>
    <t>Алексей Александров: Заголовок изменен на Нарушение правил хранения материалов.</t>
  </si>
  <si>
    <t>Алексей Александров: Изменена дата завершения на 06.06.2019</t>
  </si>
  <si>
    <t>Алексей Александров: 1. Нарушение складирования (видимое смещение от оси), три поддона между - сломаны. Может привести к заваливанию. Необходимо оградить опасную зону.</t>
  </si>
  <si>
    <t>ООО "Геоизол" Деревянная лестница ППБ-01-03</t>
  </si>
  <si>
    <t>Алексей Александров: Заголовок изменен на ООО "Геоизол" Деревянная лестница ППБ-01-03</t>
  </si>
  <si>
    <t>Алексей Александров: Лестница, установленная для доступа в вагон-бытовку второго этажа, не отвечает требованиям пожарной безопасности. Необходимо заменить на лестницу изготовленную из негорючих материалов.</t>
  </si>
  <si>
    <t>Алексей Александров: Изменена дата начала на 25.06.2019</t>
  </si>
  <si>
    <t>Maksim Sumatokhin: Изготовлена металлическая лестница.</t>
  </si>
  <si>
    <t>ООО "Геоизол" Нарушение требований безопасности при организации работ</t>
  </si>
  <si>
    <t>Алексей Александров: Заголовок изменен на ООО "Геоизол" Нарушение требований безопасности при организации работ</t>
  </si>
  <si>
    <t>Алексей Александров: Отсутствует ограждение открытых люков и технологических шахт.</t>
  </si>
  <si>
    <t>Maksim Sumatokhin: Люк закрыт</t>
  </si>
  <si>
    <t>ООО "Геоизол" Нарушение требований ПТЭЭП</t>
  </si>
  <si>
    <t>Алексей Александров: Заголовок изменен на ООО "Геоизол" Нарушение требований ПТЭЭП</t>
  </si>
  <si>
    <t xml:space="preserve">Алексей Александров: Кабель  удлинителя проложен по металлическим частям лесов, имеются переломы и скрутки.  </t>
  </si>
  <si>
    <t>Maksim Sumatokhin: Кабель убран</t>
  </si>
  <si>
    <t>Нарушение ПТЭЭП</t>
  </si>
  <si>
    <t>Алексей Александров: Заголовок изменен на Нарушение ПТЭЭП</t>
  </si>
  <si>
    <t>Алексей Александров: 1. Отсутствует заземление строительных вагончиков бытового городка.  ПУЭ Глава 1.7.  Запретить эксплуатацию. 
2. Электрические удлинители проложены непосредственно по земле и бетоно, что может привести к повреждению кабеля и возникновении пошагового напряжения. Запретить применение электро инструмента до прокладке кабелей над поверхностью.</t>
  </si>
  <si>
    <t>Maksim Sumatokhin: Вагоны ООО ГЕОИЗОЛ заземлены. Прокладка кабелей производится над поверхностью.</t>
  </si>
  <si>
    <t>ООО "ГЕОИЗОЛ" Нарушение ППБ 01-03</t>
  </si>
  <si>
    <t>Алексей Александров: Заголовок изменен на ООО "ГЕОИЗОЛ" Нарушение ППБ 01-03</t>
  </si>
  <si>
    <t>Алексей Александров: Захламлено пространство за бытовыми вагончиками в 3 дворе. Нет доступа к заземлению.</t>
  </si>
  <si>
    <t>Maksim Sumatokhin: Пространство за вагонами очищено.</t>
  </si>
  <si>
    <t>ООО "ГЕОИЗОЛ" Нарушение правил СанПиН 2.2.3.1384-03 "Гигиенические требования к организации строительного производства и строительных работ"</t>
  </si>
  <si>
    <t>Алексей Александров: Заголовок изменен на ООО "ГЕОИЗОЛ" Нарушение правил СанПиН 2.2.3.1384-03 "Гигиенические требования к организации строительного производства и строительных работ"</t>
  </si>
  <si>
    <t xml:space="preserve">Алексей Александров: Бытовой мусор и продукты питания складированы за вагончиком-бытовкой в 3-ем дворе. Возможно появление грызунов и тараканов. </t>
  </si>
  <si>
    <t>Алексей Александров: Изменена дата начала на 22.07.2019</t>
  </si>
  <si>
    <t>Maksim Sumatokhin: Мусор убран.</t>
  </si>
  <si>
    <t>ООО "ГЕОИЗОЛ" Нарушение "Правил охраны труда при работе на высоте"</t>
  </si>
  <si>
    <t>Алексей Александров: Заголовок изменен на ООО "ГЕОИЗОЛ" Нарушение "Правил охраны труда при работе на высоте"</t>
  </si>
  <si>
    <t>Алексей Александров: Изменена дата завершения на 23.07.2019</t>
  </si>
  <si>
    <t>Алексей Александров: Изменена дата завершения на 22.07.2019</t>
  </si>
  <si>
    <t>Алексей Александров: 1.Отсутствует ограждение мест возможного падения рабочих. (помещения 3-его двора) (первое фото);
2. Отсутствует ограждение котлована вблизи трубогибочного станка, открыт вход в здание и переброшена доска (видимо для прохода).  Грубейшее пренебрежение работниками требований безопасности на рабочем месте. (фотография вторая).</t>
  </si>
  <si>
    <t>Maksim Sumatokhin: Сделано ограждение возможного падения рабочих.</t>
  </si>
  <si>
    <t>ООО "ГЕОИЗОЛ" Нарушение правил обращения с сосудами находящимися под давлением (пропановые и кислородные) Приказ Ростехнадзора №116 от 25.03.2014</t>
  </si>
  <si>
    <t>Алексей Александров: Заголовок изменен на ООО "ГЕОИЗОЛ" Нарушение правил обращения с сосудами находящимися под давлением (пропановые и кислородные) Приказ Ростехнадзора №116 от 25.03.2014</t>
  </si>
  <si>
    <t>Maksim Sumatokhin: Баллоны убраны в шкаф.</t>
  </si>
  <si>
    <t>ООО "Геоизол" Нарушение правил ОТ в строительстве.</t>
  </si>
  <si>
    <t>Алексей Александров: Заголовок изменен на ООО "Геоизол" Нарушение правил ОТ в строительстве.</t>
  </si>
  <si>
    <t>Алексей Александров: Изменена дата начала на 31.07.2019</t>
  </si>
  <si>
    <t>Алексей Александров: Изменена дата завершения на 07.08.2019</t>
  </si>
  <si>
    <t xml:space="preserve">Алексей Александров: 1. Отсутствует ограждение котлована. Возможно падение рабочих. (фото 1)
2. В местах производства работ нарушено напольное покрытие, имеются провалы. Работы производятся непосредственно по участкам разрушенного покрытия. Может привести к травмированию рабочих в следствии падения. </t>
  </si>
  <si>
    <t>Maksim Sumatokhin: Ограждение установлено. Также выполнено временное укрытие разрушенного пола, на время проведения работ.</t>
  </si>
  <si>
    <t>ООО "Геоизол" Нарушение правил допуска рабочего персонала на объект строительства. Подвал в осях 4-10 А-Б.</t>
  </si>
  <si>
    <t>Алексей Александров: Заголовок изменен на ООО "Геоизол" Нарушение правил допуска рабочего персонала на объект строительства.</t>
  </si>
  <si>
    <t>Алексей Александров: Заголовок изменен на ООО "Геоизол" Нарушение правил допуска рабочего персонала на объект строительства. Подвал в осях 4-10 А-Б.</t>
  </si>
  <si>
    <t>Алексей Александров: Изменена дата начала на 25.11.2019</t>
  </si>
  <si>
    <t>Алексей Александров: Изменена дата завершения на 02.12.2019</t>
  </si>
  <si>
    <t xml:space="preserve">Алексей Александров: Допуск к работе произведен в нарушение требований "ПОЛОЖЕНИЯ О ДОПУСКЕ ПОДРЯДНЫХ КОМПАНИЙ НА ТЕРРИТОРИЮ ДЕЙСТВУЮЩЕГО ПРОИЗВОДСТВЕННОГО ОБЪЕКТА «КАЗАРМЫ ПАВЛОВСКОГО ПОЛКА» ПО АДРЕСУ:  г. САНКТ-ПЕТЕРБУРГ, МАРСОВО ПОЛЕ, Д.1, ЛИТ А, ДЛЯ ПРОИЗВОДСТВА СТРОИТЕЛЬНО-МОНТАЖНЫХ РАБОТ": 
1. Нет удостоверений по ОТ, ПТМ, ЭБ на ответственных лиц подразделения;
2. Нет приказа о назначении ответственных лиц за безопасную организацию и производство работ;
3. Нет удостоверений по ОТ на рабочий персонал;
4. Отсутствуют либо не ведутся журналы инструктажа по ОТ рабочего персонала;
4. Нет ТК на производство работ;
5. Рабочий персонал не ознакомлен с ТК на производство работ;
6. Рабочий персонал не обеспечен спецодеждой;
7. Отсутствует аптечка оказания первой доврачебной помощи; 
8. Отсутствует журнал учета и проверки огнетушителей;
9. Отсутствует огнетушитель на рабочем месте;
10. На строительном вагончике нет таблички "Ответственный за противопожарное состояние".
11. В строительном вагончике не установлены противопожарные извещатели.
Ввиду выявленных нарушений необходимо работы приостановить до устранения вышеперечисленных требований. </t>
  </si>
  <si>
    <t>ООО "Геоизол" Нарушение требований безопасности при хранении и транспортировки баллонов.</t>
  </si>
  <si>
    <t>Алексей Александров: Заголовок изменен на ООО "Геоизол" Нарушение требований безопасности при хранении и транспортировки баллонов.</t>
  </si>
  <si>
    <t xml:space="preserve">Алексей Александров: 1. Баллоны хранились в месте  организации строительного городка.
2. Переносились в ручную на плече.(баллон мог свалиться)
3. Отсутствую защитные колпачки на клапанах. </t>
  </si>
  <si>
    <t>Алексей Александров: Изменена дата начала на 23.09.2019</t>
  </si>
  <si>
    <t>Алексей Александров: Провести инструктаж с бригадой применяющей газовую резку металла.</t>
  </si>
  <si>
    <t>ООО "Геоизол" Нарушение правил ГИГИЕНИЧЕСКИЕ ТРЕБОВАНИЯ К ОРГАНИЗАЦИИ
СТРОИТЕЛЬНОГО ПРОИЗВОДСТВА 
И СТРОИТЕЛЬНЫХ РАБОТ
САНИТАРНО-ЭПИДЕМИОЛОГИЧЕСКИЕ ПРАВИЛА 
И НОРМАТИВЫ 
СП 2.2.3.1384-03</t>
  </si>
  <si>
    <t>Алексей Александров: Заголовок изменен на ООО "Геоизол" Нарушение правил СА</t>
  </si>
  <si>
    <t>Алексей Александров: Заголовок изменен на ООО "Геоизол" Нарушение правил ГИГИЕНИЧЕСКИЕ ТРЕБОВАНИЯ К ОРГАНИЗАЦИИ
СТРОИТЕЛЬНОГО ПРОИЗВОДСТВА 
И СТРОИТЕЛЬНЫХ РАБОТ
САНИТАРНО-ЭПИДЕМИОЛОГИЧЕСКИЕ ПРАВИЛА 
И НОРМАТИВЫ 
СП 2.2.3.1384-03</t>
  </si>
  <si>
    <t xml:space="preserve">Алексей Александров: В вагончиках, предназначенных для переодевания, сушки вещей и обуви, а также приема пищи, отсутствую минимальное соблюдение правил санитарии: грязь, бытовые отходы и остатки пищи, переполненные ведра для мусора. Отсутствует организованное место для мытья рук. </t>
  </si>
  <si>
    <t>Алексей Александров: Изменена дата завершения на 27.09.2019</t>
  </si>
  <si>
    <t>Maksim Sumatokhin: Произведена уборка в вагонах бытовках.</t>
  </si>
  <si>
    <t>ООО "Геоизол" Нарушение правил 
ПОСТАНОВЛЕНИЕ ПРАВИТЕЛЬСТВА РОССИЙСКОЙ ФЕДЕРАЦИИ
от 25 апреля 2012 года N 390
О противопожарном режиме</t>
  </si>
  <si>
    <t>Алексей Александров: Заголовок изменен на ООО "Геоизол" Нарушение правил пожарной  безопасности П</t>
  </si>
  <si>
    <t>Алексей Александров: Заголовок изменен на ООО "Геоизол" Нарушение правил 
ПОСТАНОВЛЕНИЕ ПРАВИТЕЛЬСТВА РОССИЙСКОЙ ФЕДЕРАЦИИ
от 25 апреля 2012 года N 390
О противопожарном режиме</t>
  </si>
  <si>
    <t>Алексей Александров: Изменена дата завершения на 25.09.2019</t>
  </si>
  <si>
    <t xml:space="preserve">Алексей Александров: Отсутствие либо нахождение в неисправном состояние сигнализаторов пожарной тревоги.
Организовать проверку бытовых помещений помещений после окончания работ на предмет выявления нарушений противопожарного состояния перед закрытием на ночь.
Отключать электронагревательные приборы (обогреватели) в отсутствии людей.  </t>
  </si>
  <si>
    <t>Алексей Александров: Провести инструктаж о мерах и требованиях пожарной безопасности в осенне-зимний период.</t>
  </si>
  <si>
    <t>Maksim Sumatokhin: Проверили сигнализаторы, заменили батарейки. Все в рабочем состоянии.</t>
  </si>
  <si>
    <t>ООО "Геоизол" Нарушение по ОТ при организации работ на высоте.</t>
  </si>
  <si>
    <t>Алексей Александров: Заголовок изменен на ООО "Геоизол" Нарушение по ОТ при организации работ на высоте.</t>
  </si>
  <si>
    <t>Алексей Александров: 1. Котлован не огорожен по периметру сигнальной лентой.
2. лестница, применяемая для спуска, не отвечает требованиям безопасности-не имеет инвентарного номера, не имеет упоров, высота не соответствует глубине  котлована.</t>
  </si>
  <si>
    <t>ООО "Геоизол" Нарушение правил организации хранение пропановых и кислородных баллонов.</t>
  </si>
  <si>
    <t>Алексей Александров: Заголовок изменен на ООО "Геоизол" Нарушение правил организации хранение пропановых и кислородных баллонов.</t>
  </si>
  <si>
    <t>Алексей Александров: Изменена дата начала на 05.09.2019</t>
  </si>
  <si>
    <t>Алексей Александров: Изменена дата завершения на 06.09.2019</t>
  </si>
  <si>
    <t>Алексей Александров: Совместное хранение баллонов не допускается. Хранение допускается в разделенных шкафах в вентилируемых помещениях не допускающих попадания прямых солнечных лучей на удалении не менее 15 метров.</t>
  </si>
  <si>
    <t>Алексей Александров: Предписание просрочено. Прошу принять меры к устранению замечания. В противном будет составлен акт и чек-лист в установленном порядке.</t>
  </si>
  <si>
    <t>Maksim Sumatokhin: Баллоны хранятся в отдельном ящике.</t>
  </si>
  <si>
    <t>ООО "Геоизол" Нарушение правил ОТ при работе с инструментом  и нарушение инструкции по ОТ для рабочего персонала.</t>
  </si>
  <si>
    <t>Алексей Александров: Заголовок изменен на ООО "Геоизол" Нарушение правил ОТ при работе с инструментом  и нарушение инструкции по ОТ для рабочего персонала.</t>
  </si>
  <si>
    <t>Алексей Александров: 1. Оставление подключенного инструмента на месте выполнения работ без присмотра.  
2. Нарушение правил организации выполнения работ с электроинструментом (питающий кабель проложен по земле, что не предотвращает его повреждения).</t>
  </si>
  <si>
    <t>Maksim Sumatokhin: Замечания устранили. Инструмент отключили, кабель проложили над землей.</t>
  </si>
  <si>
    <t>ООО "Геоизол" Нарушение требований по ОТ по окончании работ.</t>
  </si>
  <si>
    <t>Алексей Александров: Заголовок изменен на ООО "Геоизол" Нарушение требований по ОТ по окончании работ.</t>
  </si>
  <si>
    <t>Алексей Александров: После окончания работ не были закрыты технологические проемы от случайного падения людей и предметов.</t>
  </si>
  <si>
    <t>Алексей Александров: Изменена дата завершения на 24.09.2019</t>
  </si>
  <si>
    <t>Maksim Sumatokhin: Технологические отверстия закрыты.</t>
  </si>
  <si>
    <t>Maksim Sumatokhin: Все технические отверстия закрыты. Исключена возможность случайного падения человека.</t>
  </si>
  <si>
    <t>Алексей Александров: Изменена дата завершения на 16.10.2019</t>
  </si>
  <si>
    <t>Maksim Sumatokhin: Все технические отверстия закрыты</t>
  </si>
  <si>
    <t>ООО "Геоизол" Нарушение требований СанПиН "Гигиенические требования к организации строительного производства и строительных работ"</t>
  </si>
  <si>
    <t>Алексей Александров: Заголовок изменен на ООО "Геоизол" Нарушение требований СанПиН "Гигиенические требования к организации строительного производства и строительных работ"</t>
  </si>
  <si>
    <t>Алексей Александров: Изменена дата начала на 06.09.2019</t>
  </si>
  <si>
    <t xml:space="preserve">Алексей Александров: Биотуалеты расположенные на территории строительной площадки своевременно не убираются. </t>
  </si>
  <si>
    <t>ООО "Геоизол" Нарушение требований безопасности при организации производства работ в условиях с ограниченной видимостью.</t>
  </si>
  <si>
    <t>Алексей Александров: Заголовок изменен на ООО "Геоизол" Нарушение требований безопасности при организации производства работ в условиях с ограниченной видимостью.</t>
  </si>
  <si>
    <t>Алексей Александров: Изменена дата начала на 10.09.2019</t>
  </si>
  <si>
    <t xml:space="preserve">Алексей Александров: Недостаточное освещение на местах производства работ в подвальных помещениях. Места прохода не освещены в должной мере. Выполнение работ в данных условиях может спровоцировать повышение травм. </t>
  </si>
  <si>
    <t>Maksim Sumatokhin: Организовано освещение рабочих мест и проходы к ним. Также заказаны дополнительно осветительные приборы.</t>
  </si>
  <si>
    <t>ООО "Геоизол" Предоставление на проверку документации</t>
  </si>
  <si>
    <t>Алексей Александров: Заголовок изменен на ООО "Геоизол" Предоставление на проверку документации</t>
  </si>
  <si>
    <t>Алексей Александров: Изменена дата начала на 10.10.2019</t>
  </si>
  <si>
    <t>Алексей Александров: Изменена дата завершения на 11.10.2019</t>
  </si>
  <si>
    <t>Алексей Александров: Предоставить заверенную копию Положения о производственном контроле при организации и производстве работ.</t>
  </si>
  <si>
    <t>Maksim Sumatokhin: Копия положения о производственном контроле</t>
  </si>
  <si>
    <t xml:space="preserve">Алексей Александров: Применение  масленых обогревателей для обогревания строительных вагончиков. необходимо оснастить вагончики калориферами. </t>
  </si>
  <si>
    <t>Алексей Александров: Изменена дата завершения на 04.12.2019</t>
  </si>
  <si>
    <t>Maksim Sumatokhin: Закуплены и установлены конвектора.</t>
  </si>
  <si>
    <t>ООО "ТМГ-Груп" Нарушение правил организации работ.</t>
  </si>
  <si>
    <t>Алексей Александров: Заголовок изменен на ООО "ТМГ-Груп" Нарушение правил организации работ.</t>
  </si>
  <si>
    <t>Алексей Александров: Изменена дата начала на 20.12.2019</t>
  </si>
  <si>
    <t>Алексей Александров: Изменена дата завершения на 23.12.2019</t>
  </si>
  <si>
    <t xml:space="preserve">Алексей Александров: Захламление проходов строительным мусор. Несвоевременная уборка либо оставление мусора. </t>
  </si>
  <si>
    <t>Алексей Александров: Сменить ответственное лицо на Сергей Солодовников</t>
  </si>
  <si>
    <t>Sergey Solodovnikov: Устранено к 26.12</t>
  </si>
  <si>
    <t>ООО "ТМГ-Груп" Нарушение требований правил установки лесов.</t>
  </si>
  <si>
    <t>Алексей Александров: Заголовок изменен на ООО "ТМГ-Груп" Нарушение требований правил установки лесов.</t>
  </si>
  <si>
    <t>Алексей Александров: Изменена дата завершения на 15.01.2020</t>
  </si>
  <si>
    <t>Алексей Александров: В связи с предстоящими работами по устройству распорной системы ограждающей конструкции (стены в грунте) необходимо установить наружные опорные стойки лесов на смонтированную стену в грунте для предотвращения обрушения лесов. Предстоящие работы включаю в себя откопку грунта по срезу стены на глубину 3 метра и длину 12 метров. Не исполнения предписания создаст аварийную ситуацию, при которой работы в будут остановлены до полного демонтажа лесов.</t>
  </si>
  <si>
    <t xml:space="preserve">Sergey Solodovnikov: Стену в грунте будут копать и параллельно устанавливать опорные стойки. В это время на лесах работы проводится не будут. </t>
  </si>
  <si>
    <t>Sergey Solodovnikov: Приоритет изменен на 2</t>
  </si>
  <si>
    <t>Алексей Александров: Схема укрепления отклонена.</t>
  </si>
  <si>
    <t>ООО "ТМГ-Груп" Нарушение правил организации работ вблизи открытых перепадов по высоте.</t>
  </si>
  <si>
    <t>Алексей Александров: Заголовок изменен на ООО "ТМГ-Груп" Нарушение правил организации работ вблизи открытых перепадов по высоте.</t>
  </si>
  <si>
    <t>Алексей Александров: Открытые проемы вблизи колонн (открытое расстояние более 30 см).</t>
  </si>
  <si>
    <t>Sergey Solodovnikov: Устранено до 27.12.2019</t>
  </si>
  <si>
    <t>ООО "ТМГ-Груп" Нарушение требований пожарной безопасности.</t>
  </si>
  <si>
    <t>Алексей Александров: Заголовок изменен на ООО "ТМГ-Груп" Нарушение требований пожарной безопасности.</t>
  </si>
  <si>
    <t>Алексей Александров: 1. Отсутствуют пожарные извещатели в складе хранения (отапливаемое помещение).
2. Таблички ответственного за пожарное состояние не соответствуют ответственному на площадке.</t>
  </si>
  <si>
    <t>Sergey Solodovnikov: Извещатели закупаются.</t>
  </si>
  <si>
    <t>Sergey Solodovnikov: Приоритет изменен на 3</t>
  </si>
  <si>
    <t>ООО "ТМГ-Груп" Нарушение требований ПТЭЭП</t>
  </si>
  <si>
    <t>Алексей Александров: Заголовок изменен на ООО "ТМГ-Груп" Нарушение требований ПТЭЭП</t>
  </si>
  <si>
    <t>Алексей Александров: Изменена дата начала на 14.10.2019</t>
  </si>
  <si>
    <t>Алексей Александров: Изменена дата завершения на 18.10.2019</t>
  </si>
  <si>
    <t xml:space="preserve">Алексей Александров: 1. Щиты на лесах укомплектованы розетками не имеющими защитных крышек.
2. Нанесенная маркером информация о ответственном за электрохозяйство  не видна (плохо читается)
3. Удлинители имеют повреждения и скрутки. 
Выявленные нарушения могут повлечь травмирование рабочего персонала электрическим током. </t>
  </si>
  <si>
    <t>Sergey Solodovnikov: устранено</t>
  </si>
  <si>
    <t>ООО "ТМГ-Груп" Нарушение требований к организации строительного производства.</t>
  </si>
  <si>
    <t>Алексей Александров: Заголовок изменен на ООО "ТМГ-Груп" Нарушение требований к организации строительного производства.</t>
  </si>
  <si>
    <t>Алексей Александров: Захламление подходов к лесам. Не своевременная  уборка мест производства работ.</t>
  </si>
  <si>
    <t>Алексей Александров: Изменена дата начала на 13.08.2019</t>
  </si>
  <si>
    <t xml:space="preserve">Алексей Александров: Распределительный щит установленный со стороны Марсового поля не имеет таблички с указанием ответственного лица. Отсутствует огнетушитель  у щита. Провода удлинителей проложены по земле и металлическим частям лесов.  </t>
  </si>
  <si>
    <t>Sergey Solodovnikov: Устранено.</t>
  </si>
  <si>
    <t>ООО "ТМГ-Груп" Нарушение ПТЭЭП</t>
  </si>
  <si>
    <t>Алексей Александров: Заголовок изменен на ООО "ТМГ-Груп" Нарушение ПТЭЭП</t>
  </si>
  <si>
    <t>Алексей Александров: 1. Использование самодельных удлинителей с розетками, не отвечающими требованиям безопасности на строительном объекте.
2. Силовые кабеля и кабеля удлинителей проложены по острым осколкам стекол, строительному мусору и металлическим частям лесов.
3. Распределительный щит оборудован розетками не предназначеными к использованию на строительной площадке.</t>
  </si>
  <si>
    <t>Sergey Solodovnikov: Устранено</t>
  </si>
  <si>
    <t>ООО "ТМГ-Груп" Нарушение правил ведения документации по ОТ.</t>
  </si>
  <si>
    <t>Алексей Александров: Заголовок изменен на ООО "ТМГ-Груп" Нарушение правил ведения документации по ОТ.</t>
  </si>
  <si>
    <t>Алексей Александров: Несвоевременное оформление в журнале проведения инструктажа на РМ. Некорректные записи в журнале инструктажа на РМ (исправления, помарки). Отсутствие записи о пройденной стажировки рабочим персоналом прошедшим первичный инструктаж на РМ. 
Отсутствие росписей рабочего персонала в личных карточках учета выданной спец.одежды.</t>
  </si>
  <si>
    <t>Sergey Solodovnikov: исправлено.</t>
  </si>
  <si>
    <t>ООО "ТМГ-Груп"  Нарушение правил ОТ при работе на высоте.</t>
  </si>
  <si>
    <t>Алексей Александров: Заголовок изменен на ООО "ТМГ-Груп"  Нарушение правил ОТ при работе на высоте.</t>
  </si>
  <si>
    <t xml:space="preserve">Алексей Александров: Рабочий персонал, находящийся вблизи не огороженных секций лесов, пренебрегает СИЗ (монтажный-пояс).  </t>
  </si>
  <si>
    <t>Sergey Solodovnikov: Устранено. Секции лесов огорожены, пояса не требуются</t>
  </si>
  <si>
    <t>ООО "ТМГ-Груп" Нарушение правил ОТ при работе на высоте.</t>
  </si>
  <si>
    <t>Алексей Александров: Заголовок изменен на ООО "ТМГ-Груп" Нарушение правил ОТ при работе на высоте.</t>
  </si>
  <si>
    <t>Алексей Александров: Изменена дата начала на 06.08.2019</t>
  </si>
  <si>
    <t>Алексей Александров: 1. Применяемые СИЗ (монтажный пояс) не отвечает требованиям надежной страховочной системы при производстве работ по сборке и разборке лесов. Заменить на ремни с пяти точечной системой привязи.
2. Рабочий персонал игнорирует требования безопасности при производстве работ (не использует имеющиеся СИЗ-монтажный пояс).
3. Рабочий персонал перемещается по козырьку галереи, система страховки не продумана и ППР не прописана.
Остановить производство работ по разбору и сборке лесов до устранения выявленных нарушений. Провести целевой инструктаж с рабочим персоналом занятым на работах повышенной опасности. Перед началом работ (до получения разрешения на продолжение работ от технического-заказчика) предъявить СИЗ отвечающие требованиям безопасности при выполнении работ, связанных повышенной опасностью.</t>
  </si>
  <si>
    <t xml:space="preserve">Sergey Solodovnikov: 1. СИЗ заменены.
2. Персонал применяет СИЗ, при работе на высоте.
3. Инструктаж проведен, СИЗ предъявлены. </t>
  </si>
  <si>
    <t>Алексей Александров: Изменена дата начала на 26.08.2019</t>
  </si>
  <si>
    <t>Алексей Александров: Изменена дата завершения на 30.08.2019</t>
  </si>
  <si>
    <t>Алексей Александров: Силовые кабеля и вспомогательные удлинители проложены по металлическим деталям лесов. Может привести к травмам. Необходимо провести разводку электрических сетей  согласно требований ПТЭЭП. При работе используются самодельные удлинители в исполнении не отвечающем требования безопасности (вилки и розетки для бытового применения внутри помещений).</t>
  </si>
  <si>
    <t>ООО "ТМГ-Груп" Нарушение правил охраны труда в строительстве.</t>
  </si>
  <si>
    <t>Алексей Александров: Заголовок изменен на ООО "ТМГ-Груп" Нарушение правил охраны труда в строительстве.</t>
  </si>
  <si>
    <t>Алексей Александров: На рабочем месте обнаружена УШМ, готовая к использованию, у которой отсутствует защитный кожух. Грубейшее нарушение требований безопасности при проведении работ. Использование подобного инструмента может привести к травме. Провести разъяснительную беседу с рабочим персоналом. Запретить к выдачи со склада в работу некомплектный либо неисправный инструмент (с видимым повреждением корпуса и изоляции).</t>
  </si>
  <si>
    <t>Алексей Александров: Изменена дата начала на 29.08.2019</t>
  </si>
  <si>
    <t>ООО "ТМГ-Груп" Нарушение требований ППР монтажу лесов.</t>
  </si>
  <si>
    <t>Алексей Александров: Заголовок изменен на ООО "ТМГ-Груп" Нарушение требований ППР монтажу лесов.</t>
  </si>
  <si>
    <t>Алексей Александров: При установке лесов на балконах в осях 12-18А и 22-26, были выявлены нарушения при монтаже, а именно под пятки лесов установлены небольшие не связанные поперечно доски, что не отвечает требованиям правил монтажа и ППР  утвержденного и согласованного в работу.
Необходимо провести переустановку основания лесов</t>
  </si>
  <si>
    <t>Sergey Solodovnikov: Работы остановлены до демонтажа  балясин, чтобы установить правильно пятки лесов согласно ППР.</t>
  </si>
  <si>
    <t>ООО "ТМГ-Груп" Нарушение правил эксплуатации лесов и подмостей.</t>
  </si>
  <si>
    <t>Алексей Александров: Заголовок изменен на ООО "ТМГ-Груп" Нарушение правил эксплуатации лесов и подмостей.</t>
  </si>
  <si>
    <t>Алексей Александров: 1. Журнал учета и осмотра лесов и подмостей не ведется.
2. Отсутствуют ярлыки проверки строительных лесов. 
Предоставить на проверку журнал учета и осмотра лесов.</t>
  </si>
  <si>
    <t>ООО "ТМГ-Груп" Нарушение ПТЭЭП и Инструкции по ОТ для монтажника.</t>
  </si>
  <si>
    <t>Алексей Александров: Заголовок изменен на ООО "ТМГ-Груп" Нарушение ПТЭЭП и Инструкции по ОТ для монтажника.</t>
  </si>
  <si>
    <t>Алексей Александров: Изменена дата начала на 02.09.2019</t>
  </si>
  <si>
    <t>Алексей Александров: Оставление подключенного инструмента на рабочем месте.</t>
  </si>
  <si>
    <t xml:space="preserve">Алексей Александров: Электрокабеля и удлинители проложены по полу и выступающим железным конструкциям, что может привести к повреждению кабеля и поражению электрическим током. </t>
  </si>
  <si>
    <t>ООО "ТМГ-Груп" Нарушение правил хранения ЛВЖ и Инструкции по ОТ по профессии.</t>
  </si>
  <si>
    <t>Алексей Александров: Заголовок изменен на ООО "ТМГ-Груп" Нарушение правил хранения ЛВЖ и Инструкции по ОТ по профессии.</t>
  </si>
  <si>
    <t>Алексей Александров: Оставление ЛВЖ (масло для двухтактных двигателей) на лесах и вблизи них.</t>
  </si>
  <si>
    <t>ООО "ТМГ-Груп" Нарушение ПТЭЭП и Инструкции по ОТ по профессии.</t>
  </si>
  <si>
    <t>Алексей Александров: Заголовок изменен на ООО "ТМГ-Груп" Нарушение ПТЭЭП и Инструкции по ОТ по профессии.</t>
  </si>
  <si>
    <t xml:space="preserve">Алексей Александров: 1. При использовании УШМ отсутствует защита рук (спецодежда); 
2. Электрокабель проложен по настилу и металлическим частям лесов. </t>
  </si>
  <si>
    <t>ООО "ТМГ-Груп" Нарушение требований ОТ при организации работ на высоте.</t>
  </si>
  <si>
    <t>Алексей Александров: Заголовок изменен на ООО "ТМГ-Груп" Нарушение требований ОТ при организации работ на высоте.</t>
  </si>
  <si>
    <t>Алексей Александров: Изменена дата завершения на 27.11.2019</t>
  </si>
  <si>
    <t>Алексей Александров: 1. Отсутствует леерная страховка при сборке верхних этажей лесов не имеющих штатных ограждений.
2. Использование щитов не отвечающим требованиям безопасности (щели, уложены не плотно, имеются следы рассыхания и трещины)</t>
  </si>
  <si>
    <t>ООО "ТМГ-Груп" Нарушение правил по охране труда при работе на высоте"</t>
  </si>
  <si>
    <t>Алексей Александров: Заголовок изменен на ООО "ТМГ-Груп" Нарушение правил по охране труда при работе на высоте"</t>
  </si>
  <si>
    <t>Алексей Александров: Изменена дата завершения на 09.09.2019</t>
  </si>
  <si>
    <t>Алексей Александров: Открытые оконные проемы в зонах производства работ с лесов, что не отвечает требованиям ОТ при работе на высоте. Необходимо провести ограждение опасных зон.</t>
  </si>
  <si>
    <t>Sergey Solodovnikov: Сделана заявка на закупку досок в необходимом количестве для ограждения.</t>
  </si>
  <si>
    <t xml:space="preserve">Sergey Solodovnikov: Сделана заявка на закупку доски. </t>
  </si>
  <si>
    <t>ООО "ТМГ-Груп" Предоставление документации на проверку</t>
  </si>
  <si>
    <t>Алексей Александров: Заголовок изменен на ООО "ТМГ-Груп" Предоставление документации на проверку</t>
  </si>
  <si>
    <t>Sergey Solodovnikov: Будет предоставлено 14.10.2019</t>
  </si>
  <si>
    <t>Алексей Александров: Повторно. Не предоставлено положение по производственному контролю в установленные сроки. 16.10.19 предоставить документ на проверку в отдел ОТ технического заказчика.</t>
  </si>
  <si>
    <t>Sergey Solodovnikov: ПРЕДОСТАВЛЕНО.</t>
  </si>
  <si>
    <t>ООО "ТМГ-груп" Нарушение требований правил безопасности при работе с электроинструментов.</t>
  </si>
  <si>
    <t>Алексей Александров: Заголовок изменен на ООО "ТМГ-груп" Нарушение требований правил безопасности при работе с электроинструментов.</t>
  </si>
  <si>
    <t>ООО "УСП Монолит" Нарушение требований ОТ при организации работ на высоте.</t>
  </si>
  <si>
    <t>aleksandrov@spgr.ru</t>
  </si>
  <si>
    <t>Алексей Александров: Заголовок изменен на ООО "УСП Монолит" Нарушение требований ОТ при организации работ на высоте.</t>
  </si>
  <si>
    <t>ООО "Корпорация-В" Нарушение ПОС (правила размещения строительных вагончиков)</t>
  </si>
  <si>
    <t>Алексей Александров: Заголовок изменен на ООО "Корпорация-В" Нарушение ПОС (правила размещения строительных вагончиков)</t>
  </si>
  <si>
    <t>Алексей Александров: Строительный вагончик расположен в зоне производства работ повышенной опасности. Правила ОТ в строительстве.</t>
  </si>
  <si>
    <t>ООО "ТМГ-Груп" Нарушение правил ПОТ РМ-012 2000</t>
  </si>
  <si>
    <t>Алексей Александров: Заголовок изменен на ООО "ТМГ-Груп" Нарушение правил ПОТ РМ-012 2000</t>
  </si>
  <si>
    <t>Алексей Александров: 1. Открыт проем-дверь в фасаде у которого монтируются леса. 
2. Расположение рабочих мест постороннего персонала в опасной зоне лесов.</t>
  </si>
  <si>
    <t>ООО "Корпорация-В" Нарушение требований "Правил противопожарного режима в РФ".</t>
  </si>
  <si>
    <t>Алексей Александров: Заголовок изменен на ООО "Корпорация-В" Нарушение требований "Правил противопожарного режима в РФ".</t>
  </si>
  <si>
    <t>Алексей Александров: 1. Нет таблички ответственного за ПБ
2. Нет пожарных извещателей.
3. Нет приказа и удостоверения ответственного за ПБ.</t>
  </si>
  <si>
    <t>ООО "МРЭО"</t>
  </si>
  <si>
    <t>Алексей Александров: Заголовок изменен на ООО "МРЭО"</t>
  </si>
  <si>
    <t>Алексей Александров: Изменена дата завершения на 16.08.2019</t>
  </si>
  <si>
    <t>Алексей Александров: В ходе проверки выявлено повреждение электрического кабеля питающего освещение во втором дворе. Необходимо провести проверку кабеля, провести его безопасное закрепление, для предотвращения дальнейшего повреждения и травмирования рабочих.</t>
  </si>
  <si>
    <t>Корпорация-В Нарушение противопожарного режима ППБ-01-03</t>
  </si>
  <si>
    <t>Алексей Александров: Заголовок изменен на Корпорация-В Нарушение противопожарного режима</t>
  </si>
  <si>
    <t>Алексей Александров: Заголовок изменен на Корпорация-В Нарушение противопожарного режима ППБ-01-03</t>
  </si>
  <si>
    <t xml:space="preserve">Алексей Александров: 1. Отсутствую противопожарные извещатели  в строительных вагончиках. 
2. Отсутствуют огнетушители. 
3. Нет таблички "ОТВЕТСТВЕННЫЙ за ППБ" на строительном вагончике. </t>
  </si>
  <si>
    <t>Алексей Александров: Изменена дата начала на 27.06.2019</t>
  </si>
  <si>
    <t>Алексей Александров: Изменена дата завершения на 05.07.2019</t>
  </si>
  <si>
    <t>ООО "Корпорация-В" Нарушение правил противопожарной безопасности.</t>
  </si>
  <si>
    <t>Алексей Александров: Заголовок изменен на ООО "Корпорация-В" Нарушение правил противопожарной безопасности.</t>
  </si>
  <si>
    <t>ООО "СВОД" Нарушение "Правил по ОТ при работе на высоте"</t>
  </si>
  <si>
    <t>Алексей Александров: Заголовок изменен на ООО "СВОД" Нарушение "Правил по ОТ при работе на высоте"</t>
  </si>
  <si>
    <t>Алексей Александров: При разноске подмостей, а именно их вертикального приема и последующей передачи есть вероятность падения, при этом рабочие не пристегнулись к несущим конструкциям.  Необходимо провести внеплановый инструктаж с рабочим персоналом.</t>
  </si>
  <si>
    <t>Ольга Коновалова: Внеплановый инструктаж будет порведен 23.07.19</t>
  </si>
  <si>
    <t>ООО ИТР  Нарушение СНиП 12-03-2001  Безопасность труда в строительстве. Приказ №155 Привила ОТ при  работе на Высоте.</t>
  </si>
  <si>
    <t>Алексей Александров: Заголовок изменен на ООО ИТР  Нарушение СНиП 12-03-2001  Безопасность труда в строительстве.</t>
  </si>
  <si>
    <t>Алексей Александров: Заголовок изменен на ООО ИТР  Нарушение СНиП 12-03-2001  Безопасность труда в строительстве. Приказ №155 Привила ОТ при  работе на Высоте.</t>
  </si>
  <si>
    <t xml:space="preserve">Алексей Александров: Отсутствует лестница для спуска людей в траншею.  </t>
  </si>
  <si>
    <t>Роман Кузьмин: Изменена дата завершения на 18.07.2019</t>
  </si>
  <si>
    <t>ООО "ТМГ-Груп" Нарушение правил ПТЭЭП.</t>
  </si>
  <si>
    <t>Алексей Александров: Заголовок изменен на ООО "ТМГ-Груп" Нарушение правил ПТЭЭП.</t>
  </si>
  <si>
    <t>Алексей Александров: Удлинители и переноски проложены в скрутках по металлическим частям лесов и по бетону, при этом не использованы защитные гофры для защиты от механического повреждения. Данное нарушение может привести к повреждению токо-ведущего провода и как следствие поражения эл.током рабочего персонала.</t>
  </si>
  <si>
    <t>Алексей Александров: Изменена дата начала на 29.07.2019</t>
  </si>
  <si>
    <t>Алексей Александров: Изменена дата завершения на 31.07.2019</t>
  </si>
  <si>
    <t>ООО "СВОД" Нарушение правил организации работ вблизи перепадов по высоте, не имеющих предохранительных ограждений.</t>
  </si>
  <si>
    <t>Алексей Александров: Заголовок изменен на ООО "СВОД" Нарушение правил организации работ вблизи перепадов по высоте, не имеющих предохранительных ограждений.</t>
  </si>
  <si>
    <t>Алексей Александров: 1. Оконные проемы, вскрытые на втором ярусе лесов, находятся без предохранительных ограждений. Работы, вблизи таких мест, производить с применением леерной страховки и предохранительных поясов.</t>
  </si>
  <si>
    <t>ООО "УСП МОНОЛИТ" Нарушение правил по ОТ при работе на высоте.</t>
  </si>
  <si>
    <t>Алексей Александров: Заголовок изменен на ООО "УСП МОНОЛИТ" Нарушение правил по ОТ при работе на высоте.</t>
  </si>
  <si>
    <t>Алексей Александров: Сменить ответственное лицо на alexeynikiforov</t>
  </si>
  <si>
    <t xml:space="preserve">Алексей Александров: Вышки тур установлены на не выравненную поверхность, не имеют ровной опоры.  Вышки визуально имеют наклон и могут опрокинуться. Вышки не  закреплены к стене, а потому раскачиваются при производстве работ. Для подъема персонала в рабочую зону используются лестницы не отвечающие требованиям безопасности.
Вышки не имеют бирок допуска в эксплуатацию. На лестницах нет сведений с инвентарными номерами и сведений о проведенных испытаниях.
Не оформлен наряд-допуск на проведение работ повышенной опасности. До устранения выявленных нарушений, работы с применением вышек-тура прекратить. 
</t>
  </si>
  <si>
    <t>Алексей Никифоров: Удалено фото</t>
  </si>
  <si>
    <t>Алексей Никифоров: Исправлено. Вышки собраны в соответствии с техкартой</t>
  </si>
  <si>
    <t>ООО "УСП МОНОЛИТ" Нарушение правил ПТЭЭП</t>
  </si>
  <si>
    <t>Алексей Александров: Заголовок изменен на ООО "УСП МОНОЛИТ" Нарушение правил ПТЭЭП</t>
  </si>
  <si>
    <t>Алексей Александров: Изменена дата начала на 21.10.2019</t>
  </si>
  <si>
    <t>Алексей Александров: 1. Используемый электроинструмент и вспомогательное оборудование не имеет инвентарных номеров и сведений о проведенной поверке (испытании).
2. Электрические кабеля проложены по земле либо скручены на лесах в бухты.</t>
  </si>
  <si>
    <t>Алексей Никифоров: Устранено</t>
  </si>
  <si>
    <t>Алексей Никифоров: Changed cost to 0 RUB</t>
  </si>
  <si>
    <t>ООО ПО "УСП-монолит" Нарушение требований ОТ при организации строительных работ на высоте.</t>
  </si>
  <si>
    <t>Алексей Александров: Заголовок изменен на ООО "УСП монолит"</t>
  </si>
  <si>
    <t>Алексей Александров: Заголовок изменен на ООО "УСП монолит" Нарушение требований ОТ при организации строительных работ на высоте.</t>
  </si>
  <si>
    <t>Алексей Александров: Сменить ответственное лицо на Алексей Никифоров</t>
  </si>
  <si>
    <t>Алексей Александров: Заголовок изменен на ООО ПО "УСП-монолит" Нарушение требований ОТ при организации строительных работ на высоте.</t>
  </si>
  <si>
    <t xml:space="preserve">Алексей Александров: 1. Оставлены открытыми  проходы на не огороженные настилы перекрытий 2-го этажа.
2. Отсутствие щитов в местах провала на сводах перекрытия. </t>
  </si>
  <si>
    <t>Алексей Никифоров: Исправлено. Проходы, отверстия в сводах зашиты. Ограждения опущены</t>
  </si>
  <si>
    <t>ООО ПО "УСП-монолит" Нарушение требований пожарной безопасности.</t>
  </si>
  <si>
    <t>Алексей Александров: Заголовок изменен на ООО ПО "УСП-монолит" Нарушение требований пожарной безопасности.</t>
  </si>
  <si>
    <t>Алексей Александров: Огнетушитель на пожарном щите не исправен.</t>
  </si>
  <si>
    <t>Алексей Никифоров: Поменяли. Соответствующую запись в журнале учёта огнетушителей сделали</t>
  </si>
  <si>
    <t>ООО "ПС "УПС монолит" Нарушение правил ОТ при работе на высоте.</t>
  </si>
  <si>
    <t>Алексей Александров: Заголовок изменен на ООО "ПС "УПС монолит" Нарушение правил ОТ при работе на высоте.</t>
  </si>
  <si>
    <t>Алексей Никифоров: Люди дополнительно проинструктированы во избежание подобных ситуаций</t>
  </si>
  <si>
    <t>Алексей Александров: 1. Лестница не имеет бирки испытания с инвентарным номером.
2. Работа с приставной лестницы ударным инструментом запрещена (инструкция по ОТ, ППР, ТК).
3. Рабочий не имеет СИЗ (страховочный пояс).</t>
  </si>
  <si>
    <t>ООО "ПС "УСП-монолит" Нарушение ТК РФ, Правил по ОТ в строительства, инструкций по ОТ для рабочих профессий.</t>
  </si>
  <si>
    <t>Алексей Александров: Заголовок изменен на ООО "ПС "УСП-монолит" Нарушение ТК РФ, Правил по ОТ в строительства, инструкций по ОТ для рабочих профессий.</t>
  </si>
  <si>
    <t>Алексей Александров: Изменена дата завершения на 25.10.2019</t>
  </si>
  <si>
    <t>Алексей Александров: Рабочий персонал не обеспечен средствами защиты и спецодеждой.  Отстранить персонал не обеспеченный спецодеждой и средствами защиты от работы, связанной с загрязнением и производящихся в  условиях повышенной опасности.</t>
  </si>
  <si>
    <t>Алексей Никифоров: Рабочим выданы защитные очки и респираторы. Заявка на  укомплектацию рабочих спецодеждой отправлена. Персонал без спецодежды отстранен от работы.</t>
  </si>
  <si>
    <t>ООО "ПС "УСП-монолит" Нарушение ПТЭЭП.</t>
  </si>
  <si>
    <t>Алексей Александров: Заголовок изменен на ООО "ПС "УСП-монолит" Нарушение ПТЭЭП.</t>
  </si>
  <si>
    <t xml:space="preserve">Алексей Александров: 1. Электрический щит не имеет заземление. Запретить эксплуатацию до устранения.
2. Отсутствует информационная бирка на ответственного за электрохозяйство. </t>
  </si>
  <si>
    <t>Алексей Никифоров: Заземление выполнено</t>
  </si>
  <si>
    <t>ООО "СВОД" Нарушение ТК РФ и Правил ОТ в строительстве.</t>
  </si>
  <si>
    <t>Алексей Александров: Заголовок изменен на ООО "СВОД" Нарушение ТК РФ и Правил ОТ в строительстве.</t>
  </si>
  <si>
    <t>Алексей Александров: Сменить ответственное лицо на Ольга Коновалова</t>
  </si>
  <si>
    <t>Алексей Александров: 1. Рабочий персонал не обеспечен спецодеждой и обувью.</t>
  </si>
  <si>
    <t>ООО "СВОД" Нарушение требований ОТ в строительстве и ТК РФ.</t>
  </si>
  <si>
    <t>Алексей Александров: Заголовок изменен на ООО "СВОД" Нарушение требований ОТ в строительстве и ТК РФ.</t>
  </si>
  <si>
    <t>Алексей Александров: Изменена дата начала на 10.07.2019</t>
  </si>
  <si>
    <t>Алексей Александров: Рабочие не обеспечены спецодеждой и обувью.</t>
  </si>
  <si>
    <t>Ольга Коновалова: Комплекты спецодежды и обуви заказаны и будут  на объекте в ближайшее время.</t>
  </si>
  <si>
    <t>ООО "СВОД" Нарушение ППР при сборке лесов.</t>
  </si>
  <si>
    <t>Алексей Александров: Заголовок изменен на ООО "СВОД" Нарушение ППР при сборке лесов.</t>
  </si>
  <si>
    <t>Алексей Александров: Козырьки над местами прохода выполнены с щелями, отсутствую козырьки между стеной и лесами. Места прохода по конструкциям лесов не оборудованы подмостями. На местах прохода присутствует строительный мусор. Отсутствует ограждение второго яруса со стороны арки прохода в Двор №3.</t>
  </si>
  <si>
    <t xml:space="preserve">Ольга Коновалова: Козырьки накрыты несколькими слоями материала. Меса прохода оборудованы подмостями. СТроительный мусор убран. Ограждение второго яруса установлено </t>
  </si>
  <si>
    <t>ООО "СВОД" Нарушение правил ОТ при производстве работ.</t>
  </si>
  <si>
    <t>Алексей Александров: Заголовок изменен на ООО "СВОД"</t>
  </si>
  <si>
    <t>Алексей Александров: Заголовок изменен на ООО "СВОД" Нарушение правил ОТ при производстве работ.</t>
  </si>
  <si>
    <t>Леса</t>
  </si>
  <si>
    <t>Алексей Александров: Заголовок изменен на Леса</t>
  </si>
  <si>
    <t>Алексей Александров: Удаленное изображение</t>
  </si>
  <si>
    <t>Алексей Александров: Изменена дата начала на 18.06.2019</t>
  </si>
  <si>
    <t>Алексей Александров: 1. Леса прибывшие на объект имеют следы коррозии (ржавчины), существенные деформацию мест крепления. Стойки ограждения имеют сильную деформацию и следы коррозии, в некоторых местах замятие ребер, а также порывы креплений.  Нарушение п.п 2.2.7., 2.2.22, 2.2.25 ПОТ РМ-012-2000. Леса не могут быть введены в эксплуатацию.</t>
  </si>
  <si>
    <t>Ольга Коновалова: В  связи с тем, что данные леса привезены с другого объекта, согласно решению, озвученному Застройщиком на совещании  от 18.06.19г,   будет произведена отбраковка, и пригодные к дальнейшему использованию элементы будут очищены от ржавчины и окрашены краской, в состав которой входит преобразователь ржавчины.</t>
  </si>
  <si>
    <t>Ольга Коновалова: Edited comment - "В связи с тем, что д..."</t>
  </si>
  <si>
    <t>Алексей Александров: Изменена дата завершения на 24.06.2019</t>
  </si>
  <si>
    <t>Алексей Александров: Изменена дата завершения на 01.07.2019</t>
  </si>
  <si>
    <t>ООО "СВОД" Нарушение СНиП 12-03-2001  Безопасность труда в строительстве. Приказ №155 Привила ОТ при  работе на Высоте.</t>
  </si>
  <si>
    <t>Алексей Александров: Заголовок изменен на ООО "СВОД" Нарушение СНиП 12-03-2001  Безопасность труда в строительстве. Приказ №155 Привила ОТ при  работе на Высоте.</t>
  </si>
  <si>
    <t>Алексей Александров: 1. Лестница, установленная в вагон-городке не отвечает требованиям безопасности (ширина ступеней, острые кромки на перилах).  Запретить использование.</t>
  </si>
  <si>
    <t xml:space="preserve">Ольга Коновалова: По результатам совещания  от 25.06.19г. решено,  лестница будет заменена силами ООО "Корпорация В"  до 27.06.19г, материал для лестницы предоставлен ООО "Свод" и находится на территории объекта. </t>
  </si>
  <si>
    <t>ООО "СВОД" Нарушение правил по ОТ при работе на высоте.</t>
  </si>
  <si>
    <t>Алексей Александров: Заголовок изменен на ООО "СВОД" Нарушение правил по ОТ при работе на высоте.</t>
  </si>
  <si>
    <t>Алексей Александров: Леса со стороны демантированных конных блоков не имеют предохранительного ограждения. Возможно падение рабочих и предметов с высоты.</t>
  </si>
  <si>
    <t>ООО "СВОД" Нарушение требований пожарной безопасности</t>
  </si>
  <si>
    <t>Алексей Александров: Заголовок изменен на ООО "СВОД" Нарушение требований пожарной безопасности</t>
  </si>
  <si>
    <t>Алексей Александров: 1. Отсутствуют огнетушители в необходимом количестве на лесах со стороны Аптекарьского переулка.
2. Нет схем эвакуации с лесов.
3. Нет паспортов и бирок приемки в эксплуатацию.</t>
  </si>
  <si>
    <t>Ольга Коновалова: Приоритет изменен на 3</t>
  </si>
  <si>
    <t>Ольга Коновалова: Заявки поданы</t>
  </si>
  <si>
    <t>Ольга Коновалова: устранено</t>
  </si>
  <si>
    <t>ООО "СВОД"  Нарушение правил ОТ при работе на  высоте.</t>
  </si>
  <si>
    <t>Алексей Александров: Заголовок изменен на ООО "СВОД"  Нарушение правил ОТ при работе на  высоте.</t>
  </si>
  <si>
    <t>Алексей Александров: 1. Коррозия и ржавчина на стойках и ригелях  лесов. (не прокрашенные элементы конструкций лесов.)
2. Визуально наблюдаемое отклонение стоек лесов в следствии использования не инвентарных пяток.
3. Установка лесов на не спланированную площадку (видимый наклон подложки).</t>
  </si>
  <si>
    <t>Ольга Коновалова: 1. Изделия будут покрашены после монтажа.
2. Отклонения будут устранены после окончательной выверки и закрепления лесов к стенам фасада.
3. Наклон лесов устраняется путем установки продольной доски (ППР лист11). Доска будет установлена после доставки на объект.</t>
  </si>
  <si>
    <t>ООО "СВОД" Нарушение утвержденного ППР на монтаж лесов.</t>
  </si>
  <si>
    <t>Алексей Александров: Заголовок изменен на ООО "СВОД" Нарушение утвержденного ППР на монтаж лесов.</t>
  </si>
  <si>
    <t>Алексей Александров: Изменена дата завершения на 29.07.2019</t>
  </si>
  <si>
    <t>Алексей Александров: 1. Применяемая проволока для стяжки лесов не отвечает требованиям прописанным в ППР.  
2. Привезенные конструкции имеют деформацию и следы глубокой коррозии.</t>
  </si>
  <si>
    <t xml:space="preserve">Ольга Коновалова: 1.  Будет приведено в соответствиие.
2. Перед установкой все леса проходят входной контроль, очищаются и отбраковываются. </t>
  </si>
  <si>
    <t>ООО "СВОД" Нарушение требований правил по ОТ при работе на высоте</t>
  </si>
  <si>
    <t>Алексей Александров: Заголовок изменен на ООО "СВОД" Нарушение требований правил по ОТ при работе на высоте</t>
  </si>
  <si>
    <t>Алексей Александров: Изменена дата начала на 16.10.2019</t>
  </si>
  <si>
    <t>Алексей Александров: Регулярное не выполнение рабочими правил безопасности при производстве работ на высоте. Провести внеплановый инструктаж по порядку организации производства работ на высоте с персоналом занятом на монтаже и демонтаже лесов по фасаду со стороны ул.Миллионной. Предоставить журнал инструктажа на проверку в службу ОТ технического заказчика до 17:00 16.10.2019.</t>
  </si>
  <si>
    <t>ООО "СВОД" Нарушение требований ОТ при складировании материалов.</t>
  </si>
  <si>
    <t>Алексей Александров: Заголовок изменен на ООО "СВОД" Нарушение требований ОТ при складировании материалов.</t>
  </si>
  <si>
    <t xml:space="preserve">Алексей Александров: 1. В третьем дворе устроена свалка из досок. Материал должен быть складирован в штабеля по типо-размерам.
2. Вдоль фасада со стороны Аптекарьского переулка складированы доски с гвоздями торчащими в верх. </t>
  </si>
  <si>
    <t>ООО "СВОД" Нарушение требований ОТ при организации работ на высоте.</t>
  </si>
  <si>
    <t>Алексей Александров: Заголовок изменен на ООО "СВОД" Нарушение требований ОТ при организации работ на высоте.</t>
  </si>
  <si>
    <t>Алексей Александров: Места подхода-спуска с лесов захламлены, отсутствуют огнетушители и схемы эвакуации. Лестницы не имеют надежной опоры.</t>
  </si>
  <si>
    <t>Ольга Коновалова: Огнетушители на лесах имеются. Находятся через каждые 20м на каждом ярусе.  Подходы к лесам освобождены. Схемы эвакуации лесов находятся в разработке. Ориентировочно будут размещены 12.09.19</t>
  </si>
  <si>
    <t>Ольга Коновалова: Схемы эвакуации размещены</t>
  </si>
  <si>
    <t>ООО "СВОД" Нарушение требований ПОС по размещению бытовых и вспомогательных построек-помещений.</t>
  </si>
  <si>
    <t>Алексей Александров: Заголовок изменен на ООО "СВОД" Нарушение требований ПОС по размещению бытовых и вспомогательных построек-помещений.</t>
  </si>
  <si>
    <t>Алексей Александров: Биотуалет расположен в опасной близости от лесов и возможного падения предметов с высоту. Необходимо переместить из опасной зоны.</t>
  </si>
  <si>
    <t xml:space="preserve">Ольга Коновалова: ПОС занимается ООО "ГЕОИЗОЛ". </t>
  </si>
  <si>
    <t>ООО "СВОД" Несоблюдение ППР.</t>
  </si>
  <si>
    <t>Алексей Александров: Заголовок изменен на ООО "СВОД" Несоблюдение ППР.</t>
  </si>
  <si>
    <t>Алексей Александров: Нарушено требование ППР по технологии сборки лесов и подмостей. Леса собираются последовательно: стойки-ригеля-подмости-ограждение.</t>
  </si>
  <si>
    <t>ООО "СВОД" Нарушение требований ОТ при выполнении и организации работ.</t>
  </si>
  <si>
    <t>Алексей Александров: Заголовок изменен на ООО "СВОД" Нарушение требований ОТ при выполнении и организации работ.</t>
  </si>
  <si>
    <t xml:space="preserve">Алексей Александров: Во втором дворе не убран мусор на 2-м ярусе лесов. </t>
  </si>
  <si>
    <t>Ольга Коновалова: Устранено</t>
  </si>
  <si>
    <t>ООО "СВОД" Нарушение правил ОТ при работе на высоте.</t>
  </si>
  <si>
    <t>Алексей Александров: Заголовок изменен на ООО "СВОД" Нарушение правил ОТ при работе на высоте.</t>
  </si>
  <si>
    <t xml:space="preserve">Алексей Александров: Рабочий персонал не использует СИЗ (монтажный пояс). Пренебрежительное отношение к страховке может привести к нежелательным последствиям.  </t>
  </si>
  <si>
    <t>ООО "СВОД" Нарушение требований к материалам, применяемым в строительстве.</t>
  </si>
  <si>
    <t>Алексей Александров: Заголовок изменен на ООО "СВОД" Нарушение требований к материалам применяемым в строительстве.</t>
  </si>
  <si>
    <t>Алексей Александров: Изменена дата начала на 27.08.2019</t>
  </si>
  <si>
    <t>Алексей Александров: Доска, которая планируется к использованию при монтаже  защитной кровли лесов, не отвечает требования, а именно визуальная гниль.</t>
  </si>
  <si>
    <t>Алексей Александров: Заголовок изменен на ООО "СВОД" Нарушение требований к материалам, применяемым в строительстве.</t>
  </si>
  <si>
    <t>Ольга Коновалова: Доски заменены</t>
  </si>
  <si>
    <t>ООО "СВОД" Нарушение требований безопасности при организации работ на высоте.</t>
  </si>
  <si>
    <t>Алексей Александров: Заголовок изменен на ООО "СВОД" Нарушение требований безопасности при организации работ на высоте.</t>
  </si>
  <si>
    <t>Алексей Александров: Изменена дата завершения на 03.09.2019</t>
  </si>
  <si>
    <t xml:space="preserve">Алексей Александров: 1. Персонал, выполняющий операции по монтажу лесов и подмостей, не использует страховку. (не натянут страховочный линь, страховочный пояс не используется).
Прошу провести дополнительный инструктаж - внеплановый с рабочим персоналом  с записью в журнал.
Ответственный производитель работ должен контролировать организацию и выполнение работ повышенной опасности. 
2. При монтаже ограждающих конструкций лесов, со стороны ул. Миллионная, ограждение привязано на одну тонкую проволочку, что при нагрузке может привести к отрыву конструкции и падению  рабочего. Прошу усилить узел крепления. </t>
  </si>
  <si>
    <t>Ольга Коновалова: Инструктаж проведен 02.09.19</t>
  </si>
  <si>
    <t>ООО "СВОД" Нарушение правил по охране труда при работе на высоте.</t>
  </si>
  <si>
    <t>Алексей Александров: Заголовок изменен на ООО "СВОД" Нарушение правил по охране труда при работе на высоте.</t>
  </si>
  <si>
    <t xml:space="preserve">Алексей Александров: Рабочие, выполняющие работы по монтажу охранного ограждения, при подъеме и приемке ограждений на высоте пренебрегают требованиями безопасности, а именно не пристегиваются предохранительными поясами. </t>
  </si>
  <si>
    <t xml:space="preserve">Алексей Александров: Замечание повторное. Провести разъяснительную беседу. Заказать недостающее леерное оснащение. </t>
  </si>
  <si>
    <t>Ольга Коновалова: Инструктаж проведён 02.09.19</t>
  </si>
  <si>
    <t>ООО "СВОД" Нарушение требований ПТЭЭП</t>
  </si>
  <si>
    <t>Алексей Александров: Заголовок изменен на ООО "СВОД" Нарушение требований ПТЭЭП</t>
  </si>
  <si>
    <t xml:space="preserve">Алексей Александров: 1. Отсутствие уплотнений и крышек на распаечных коробках.
2. Отсутствует крепление кабеля в соответствии с нормами правил.
3. Отсутствуют крышки на розетках.
4. Распаечная коробка со следами горения.
5. Использование кабеля для удлинителей 2х2,5 (заземление в конечной точке отсутствует).
6. Отсутствует подключение заземления на розетках.
Все вышеперечисленные нарушения вместе либо каждый в отдельности являются грубейшими нарушениями по требованиям к безопасному производству работ. </t>
  </si>
  <si>
    <t>Алексей Александров: Изменена дата завершения на 02.10.2019</t>
  </si>
  <si>
    <t>Ольга Коновалова: Исправлено</t>
  </si>
  <si>
    <t>ООО "СВОД" Нарушение к требованиям при сборке лесов. ППР и ТК.</t>
  </si>
  <si>
    <t>Алексей Александров: Заголовок изменен на ООО "СВОД" Нарушение к требованиям при сборке лесов. ППР и ТК.</t>
  </si>
  <si>
    <t>Алексей Александров: 1. Поврежденные элементы конструкций лесов (лестницы).
2. Недопустимые щели между подмостями.
3. Недопустимое расстояние между стеной и подмостями в местах обхода углов  здания (необходимо уложить дополнительные щиты).
4. Отсутствуют ярлыки проверки лесов.</t>
  </si>
  <si>
    <t>Алексей Александров: Изменена дата завершения на 30.09.2019</t>
  </si>
  <si>
    <t>Ольга Коновалова: Выбраковка элементов лесов производится. Приведение к соответствию -  30.09</t>
  </si>
  <si>
    <t>Ольга Коновалова: Редактированный комментарий - "Выбраковка элементов..."</t>
  </si>
  <si>
    <t>ООО "СВОД" Нарушение правил ОТ при организации работ</t>
  </si>
  <si>
    <t>Алексей Александров: Заголовок изменен на ООО "СВОД" Нарушение правил ОТ при организации работ</t>
  </si>
  <si>
    <t xml:space="preserve">Алексей Александров: При выполнении работ с применением УШМ работник нарушил требования безопасности: 
1. С УШМ была снята защита; 
2. Работник был без СИЗ (очки - маска защитные, перчатки для защиты рук).
Провести инструктаж по правилам пользования электроинструментом.  </t>
  </si>
  <si>
    <t>Ольга Коновалова: Работник выполнял работы по резке в очках. Следовательно наличие защитного кожуха не критично (правила работы с электроинструментом).  Вместе с тем сообщаем, что инструктаж работнику проведен 24.09.19</t>
  </si>
  <si>
    <t>Алексей Александров: Работа УШМ без защитного кожуха запрещается.</t>
  </si>
  <si>
    <t>ООО "СВОД" Нарушение правил прохождения стажировки  на РМ и допуска к самостоятельной работе.</t>
  </si>
  <si>
    <t>Алексей Александров: Заголовок изменен на ООО "СВОД" Нарушение правил прохождения стажировки  на РМ и допуска к самостоятельной работе.</t>
  </si>
  <si>
    <t>Алексей Александров: Изменена дата завершения на 04.10.2019</t>
  </si>
  <si>
    <t>Алексей Александров: Сотрудник, не прошедший должным образом инструктаж и обучение по вопросам ОТ и ОТ на высоте, был замечен на лесах без сопровождения ответственного должностного лица.   
Предоставить на проверку приказ на стажировку, журнал инструктажа на РМ, протокол обучения по ОТ, протокол обучения по ОТ на высоту.</t>
  </si>
  <si>
    <t>Ольга Коновалова: Работники обучены.  Срок получения удостоверений - 25.09.19. Инструктажи проведены.</t>
  </si>
  <si>
    <t>ООО "СВОД" Нарушение ПТЭЭП</t>
  </si>
  <si>
    <t>Алексей Александров: Заголовок изменен на ООО "СВОД" Нарушение ПТЭЭП</t>
  </si>
  <si>
    <t>Алексей Александров: Отсутствует заземление лесов  двор №3.</t>
  </si>
  <si>
    <t>Ольга Коновалова: Заземление будет исправлено к 09.09.19</t>
  </si>
  <si>
    <t>Ольга Коновалова: Заземление будет исправлено к 16.09</t>
  </si>
  <si>
    <t>Ольга Коновалова: Заземление устроено</t>
  </si>
  <si>
    <t>ООО "СВОД" Нарушение ППР и правил пожарной безопасности</t>
  </si>
  <si>
    <t>Алексей Александров: Заголовок изменен на ООО "СВОД" Нарушение ППР и правил пожарной безопасности</t>
  </si>
  <si>
    <t>Алексей Александров: 1. Отсутствуют пожарные щиты в местах установки лесов (двор №2 и №3);
2. Нет схем эвакуации с лесов.</t>
  </si>
  <si>
    <t>Ольга Коновалова: Пожарные щиты будут установлены до 16.09.19. схемы эвакуации будут к 09.09.19.</t>
  </si>
  <si>
    <t>Ольга Коновалова: 1. Пожарные щиты закуплены. Поставка на площадку двадцатые числа сентября.
2. Схемы эвакуации в отрисовке.  Размещение на площадке с 12.09.19</t>
  </si>
  <si>
    <t>ООО "СВОД" Нарушение правил ПТЭЭП.</t>
  </si>
  <si>
    <t>Алексей Александров: Заголовок изменен на ООО "СВОД" Нарушение правил ПТЭЭП.</t>
  </si>
  <si>
    <t>Алексей Александров: 1. Электрический кабель проложен по металлическим частям лесов, что может привести к пробою и поражению электрическим током специалистов работающих на лесах.
2. Вилки электрических кабелей не имеют заземляющего контакта.
3. Электрический щит не имеет заземления.
Запретить использование до устранения.</t>
  </si>
  <si>
    <t>ООО "СВОД" Нарушение правил по ОТ при работе на высоте</t>
  </si>
  <si>
    <t>Алексей Александров: Заголовок изменен на ООО "СВОД" Нарушение правил по ОТ при работе на высоте</t>
  </si>
  <si>
    <t>Алексей Александров: Вышка тур, находящаяся в дворе №2, не имеет инвентарного номера, сведениях об успешно проведенных испытаниях, частично отсутствуют домкраты, стяжки и ригеля имеют механические повреждения (погнуты, следы коррозии). Прошу провести выбраковку. Запретить к использованию.</t>
  </si>
  <si>
    <t xml:space="preserve">Ольга Коновалова: Данная вышка тур не используется для работ.  </t>
  </si>
  <si>
    <t>Алексей Александров: Электрокабель проложен по поверхности земли и металлическим частям лесов. При повреждении изоляции кабеля возможно поражение электрическим током рабочего персонала, производящего работы с лесов. 
Необходимо провести инструктаж рабочего персонала на данном участке работ по "Порядок прокладки электрических кабелей" переносных на строительной площадке.</t>
  </si>
  <si>
    <t>Ольга Коновалова: Инструктаж проведен</t>
  </si>
  <si>
    <t>ООО "СВОД" Нарушение требований предъявляемых к элементам лесов и подмостей.</t>
  </si>
  <si>
    <t>Алексей Александров: Заголовок изменен на ООО "СВОД" Нарушение требований предъявляемых к элементам лесов и подмостей.</t>
  </si>
  <si>
    <t xml:space="preserve">Алексей Александров: Вертикальные стойки лесов, подготовленные к монтажу, имеют визуально наблюдаемую недопустимую кривизну. Необходимо проводить дефектовку и не допускать элементы имеющие не допустимую кривизну. </t>
  </si>
  <si>
    <t>Ольга Коновалова: Дефектовка произведена</t>
  </si>
  <si>
    <t>ООО "СВОД" Нарушение правил инструкции по ОТ при работе с ударным инструментом</t>
  </si>
  <si>
    <t>Алексей Александров: Заголовок изменен на ООО</t>
  </si>
  <si>
    <t>Алексей Александров: Заголовок изменен на ООО "СВОД" Нарушение правил инструкции по ОТ при работе с ударным инструментом</t>
  </si>
  <si>
    <t>Алексей Александров: При использовании ударного инструмента (молоток, топор, кувалда) глаза необходимо предохранять от попадания частиц скола очками защитными. Постоянный контроль ответственного производителя работ.</t>
  </si>
  <si>
    <t>Алексей Александров: Лестница для подъема на леса Двор №2 установлена в нарушение требований  (отсутствует надежное крепление, не позволяющее смещение пяток).</t>
  </si>
  <si>
    <t>Ольга Коновалова: Лестница закреплена</t>
  </si>
  <si>
    <t>ООО "СВОД Предоставление документации на проверку</t>
  </si>
  <si>
    <t>Алексей Александров: Заголовок изменен на ООО "СВОД</t>
  </si>
  <si>
    <t>Алексей Александров: Заголовок изменен на ООО "СВОД Предоставление документации на проверку</t>
  </si>
  <si>
    <t>ООО "СВОД" Нарушение конструкции лесов.</t>
  </si>
  <si>
    <t>Алексей Александров: Заголовок изменен на ООО "СВОД" Нарушение конструкции лесов.</t>
  </si>
  <si>
    <t>Алексей Александров: Изменена дата начала на 02.12.2019</t>
  </si>
  <si>
    <t>Алексей Александров: Со стороны Аптекарьского переулка по фасаду здания было разобрано усиление  хомутовых лесов слева от арки второго двора. Работы были выполнены сотрудниками ООО "Геоизол" без согласования и персоналом не имеющим должной квалификации. Работы с этого участка лесов остановить на период полного устранения выявленного нарушения. Допуск к эксплуатации лесов разрешить только после комиссионной  их приемки.</t>
  </si>
  <si>
    <t>ООО "СВОД" Нарушение требований предъявляемым к строительным лесам.</t>
  </si>
  <si>
    <t>Алексей Александров: Заголовок изменен на ООО "СВОД" Нарушение требований предъявляемым к строительным лесам.</t>
  </si>
  <si>
    <t>Алексей Александров: При сборке лесов применяются конструкции и детали имеющие деформации и повреждения.</t>
  </si>
  <si>
    <t>Алексей Александров: Электрический щит поврежден, открыт и опрокинут на землю на бок. Попадание осадков и как следствие замыкание.</t>
  </si>
  <si>
    <t>ООО "СВОД" Нарушение правил работы с электроинструментами.</t>
  </si>
  <si>
    <t>Алексей Александров: Заголовок изменен на ООО "СВОД" Нарушение правил работы с электроинструментами.</t>
  </si>
  <si>
    <t>Алексей Александров: Кабель подключения электроинструмента имеет скрутки не отвечающие требованиям безопасности.</t>
  </si>
  <si>
    <t>Алексей Александров: Изменена дата начала на 08.11.2019</t>
  </si>
  <si>
    <t>Алексей Александров: Исключить из работы не исправный электроинструмент.</t>
  </si>
  <si>
    <t>ООО "СВОД" Нарушение требований к складированию материалов и оборудования.</t>
  </si>
  <si>
    <t>Алексей Александров: Заголовок изменен на ООО "СВОД" Нарушение требований к складированию материалов и оборудования.</t>
  </si>
  <si>
    <t>Алексей Александров: Отходы и материалы складированы в общей куче (3 двор).
Необходимо провести сортировку и выбраковку материалов с последующей утилизаций. 
Необходимо провести уборку территории под лесами 3 двор. (стекло, кирпич, штукатурка).</t>
  </si>
  <si>
    <t xml:space="preserve">Ольга Коновалова: Не имеет отношение к ООО СВОД. </t>
  </si>
  <si>
    <t>ООО "ТМГ-Груп" Нарушение правил ОТ в строительстве.</t>
  </si>
  <si>
    <t>nkasalica@yandex.ru</t>
  </si>
  <si>
    <t>Алексей Александров: Заголовок изменен на ООО "ТМГ-Груп" Нарушение правил ОТ в строительстве.</t>
  </si>
  <si>
    <t>Алексей Александров: Нарушение правил совмещенного хранения материалов и ЛВЖ на складе. Бензин и краска, инструмент, расходники, спецодежда.</t>
  </si>
  <si>
    <t>ООО "ТМГ-Груп" Нарушение правил ОТ на высоте (леса)</t>
  </si>
  <si>
    <t>Алексей Александров: Заголовок изменен на ООО "ТМГ" Нарушение правил ОТ</t>
  </si>
  <si>
    <t>Алексей Александров: Заголовок изменен на ООО "ТМГ" Нарушение правил ОТ на высоте (леса)</t>
  </si>
  <si>
    <t>Алексей Александров: 1. Леса собраны в нарушение схемы указанной в ППР. (расположение подкладок под пятки) Не допускается разрезать подкладочную доску. п.п. 2.2.33 ПОТ РМ -012-2000</t>
  </si>
  <si>
    <t>Алексей Александров: Запретить использование до устранения выявленного нарушения.</t>
  </si>
  <si>
    <t>Алексей Александров: Заголовок изменен на ООО "ТМГ-Груп" Нарушение правил ОТ на высоте (леса)</t>
  </si>
  <si>
    <t>ООО "ТМГ-Груп" Нарушение требований ОТ при работе на Высоте.</t>
  </si>
  <si>
    <t>Алексей Александров: Заголовок изменен на ООО "ТМГ" Нарушение требований ОТ при работе на Высоте.</t>
  </si>
  <si>
    <t>Алексей Александров: 1. Применение не инвентарных лестниц.
2. Лестница, собранная из двух частей в подобие стремянки, не имеет устойчивости. 
3. Ограничители оторваны. Запретить использование.</t>
  </si>
  <si>
    <t>Алексей Александров: Заголовок изменен на ООО "ТМГ-Груп" Нарушение требований ОТ при работе на Высоте.</t>
  </si>
  <si>
    <t>ООО "ТМГ" Нарушение правил ПТЭЭП.</t>
  </si>
  <si>
    <t>Алексей Александров: Заголовок изменен на Нарушение правил ПТЭЭП.</t>
  </si>
  <si>
    <t>Алексей Александров: Сменить ответственное лицо на nkasalica</t>
  </si>
  <si>
    <t xml:space="preserve">Алексей Александров: Отсутствует заземление строительных вагончиков бытового городка.  ПУЭ Глава 1.7.  Запретить эксплуатацию.   </t>
  </si>
  <si>
    <t>Алексей Александров: Заголовок изменен на ООО "ТМГ" Нарушение правил ПТЭЭП.</t>
  </si>
  <si>
    <t>ООО "ТМГ" Нарушение правил ППБ 01-03</t>
  </si>
  <si>
    <t>Алексей Александров: Заголовок изменен на Нарушение правил ППБ 01-003</t>
  </si>
  <si>
    <t>Алексей Александров: Заголовок изменен на ООО "ТМГ" Нарушение правил ППБ 01-03</t>
  </si>
  <si>
    <t>ООО "ТМГ-Груп" Нарушение требований правил ОТ при работе на высоте.</t>
  </si>
  <si>
    <t>Алексей Александров: Заголовок изменен на ООО "ТМГ-Груп" Нарушение требований правил ОТ при работе на высоте.</t>
  </si>
  <si>
    <t>Алексей Александров: Изменена дата завершения на 05.08.2019</t>
  </si>
  <si>
    <t xml:space="preserve">Алексей Александров: Пояса монтажника, выданные рабочим, имеют просроченную дату испытания. У некоторых рабочих пояса с оторванными бирками-паспортами. Запретить использование СИЗ с просроченными датами поверок-испытания. </t>
  </si>
  <si>
    <t>Очистить цокольный камень от цементного раствора</t>
  </si>
  <si>
    <t>Операционный контроль</t>
  </si>
  <si>
    <t>11-16/Л-УЗакрепление грунтов</t>
  </si>
  <si>
    <t>Закрепление грунтов под фундаментами 13/3/Т-У</t>
  </si>
  <si>
    <t>Андрей Денисов: Дата начала изменена на нояб. 29, 2019</t>
  </si>
  <si>
    <t>Андрей Денисов: Дата окончания изменена на нояб. 30, 2019</t>
  </si>
  <si>
    <t>Yes: 1.1 Вертикальный и горизонтальный шаг арматуры соответствует проекту. Отклонение между рядами арматуры не более 10 мм (ВЧУ) - 2019-07-16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</si>
  <si>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- 2019-07-16</t>
  </si>
  <si>
    <t>Yes: 1.3 Отклонение толщины защитного слоя бетона от проектной не более 15 мм и не менее 5 мм при толщине бетона более 300 мм (ВЧУ) - 2019-07-16</t>
  </si>
  <si>
    <t>N/A: 1.4 Сварные соединения соответствуют проекту и требованиям ГОСТ 14098—2014 (MSU) - 2019-07-16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</si>
  <si>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- 2019-07-16</t>
  </si>
  <si>
    <t>No: 2.1 Наличие записи в общем журнале работ (MSU) - 2019-07-16</t>
  </si>
  <si>
    <t>No: 3.1 Разрешается проведение последующих работ по устройству опалубки  или бетонированию конструкции (ВЧУ) - 2019-07-16</t>
  </si>
  <si>
    <t>Владимир Чугунов: Заголовок изменен на Арматурный Каркас СВГ Зах.33</t>
  </si>
  <si>
    <t>Владимир Чугунов: Имеют место нарушения сварных соединений пространственного каркаса.</t>
  </si>
  <si>
    <t>ТМГ_ Фасадные Работы _ Штукатурка Фасадов В/О 1-4/А</t>
  </si>
  <si>
    <t>Владимир Чугунов: Заголовок изменен на ТМГ_ Фасадные Работы _ Штукатурка Фасадов В/О 1-4/А</t>
  </si>
  <si>
    <t>Операционный Контроль Бетонирования Стен Форшахты В/О Л-И/19/2</t>
  </si>
  <si>
    <t>о3.3_бетонирование_монолитных_жб_конструкций</t>
  </si>
  <si>
    <t>Yes: 2,1 Перед укладкой бетонной смеси опалубка и арматура очищается сжатым воздухом  (АДЕ) - 2019-07-09</t>
  </si>
  <si>
    <t>Yes: 2,2 Перед укладкой бетонной смеси поверхность опалубки, соприкасающаяся с бетоном, покрывается смазкой (АДЕ) - 2019-07-09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</si>
  <si>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- 2019-07-09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</si>
  <si>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- 2019-07-09</t>
  </si>
  <si>
    <t>Yes: 2,5 Верхний уровень уложенной бетонной смеси ниже верха щитов опалубки на 50-70 мм  (АДЕ) - 2019-07-09</t>
  </si>
  <si>
    <t>Yes: 2,6 Рабочие швы выполняются в соответствии с проектными требованиями (АДЕ) - 2019-07-09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</si>
  <si>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- 2019-07-09</t>
  </si>
  <si>
    <t>Yes: 3,1 Работы выполняются на основе утвержденного ППР (АДЕ) - 2019-07-09</t>
  </si>
  <si>
    <t>Yes: 3,2 Наличие записи в журнале бетонных работ (АДЕ) - 2019-07-09</t>
  </si>
  <si>
    <t>Андрей Денисов: Заголовок изменен на Операционный Контроль Бетонирования Стен Форшахты В/О Л-И/19/2</t>
  </si>
  <si>
    <t>Операционный Контроль Бетонирования Стен Ж/Б Канала В Местах Прохода Гильз В/О 1-2/Д-И1</t>
  </si>
  <si>
    <t>о2.3_бетонирование_фундамента</t>
  </si>
  <si>
    <t>Yes: 2,1 Перед укладкой бетонной смеси опалубка и арматура очищается сжатым воздухом  (АДЕ) - 2019-05-04</t>
  </si>
  <si>
    <t>Yes: 2,2 Перед укладкой бетонной смеси поверхность опалубки, соприкасающаяся с бетоном, покрывается смазкой (АДЕ) - 2019-05-04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</si>
  <si>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- 2019-05-04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</si>
  <si>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- 2019-05-04</t>
  </si>
  <si>
    <t>Yes: 2,5 Верхний уровень уложенной бетонной смеси ниже верха щитов опалубки на 50-70 мм  (АДЕ) - 2019-05-04</t>
  </si>
  <si>
    <t>Yes: 2,6 Рабочие швы выполняются в соответствии с проектными требованиями (АДЕ) - 2019-05-04</t>
  </si>
  <si>
    <t>N/A: 2,7 Производится отбор проб контрольных образцов бетона для определения фактических показателей качества бетона конструкций  (АДЕ) - 2019-05-04</t>
  </si>
  <si>
    <t>Yes: 3,1 Работы выполняются на основе утвержденного ППР (АДЕ) - 2019-05-04</t>
  </si>
  <si>
    <t>Yes: 3,2 Наличие записи в журнале бетонных работ (АДЕ) - 2019-05-04</t>
  </si>
  <si>
    <t>Андрей Денисов: Заголовок изменен на Операционный Контроль Бетонирования Стен Ж/Б Канала В Местах Прохода Гильз В/О 1-2/Д-И1</t>
  </si>
  <si>
    <t>Андрей Денисов: Название категории изменено на Операционный контроль</t>
  </si>
  <si>
    <t>Андрей Денисов: Дата начала изменена на мая 4, 2019</t>
  </si>
  <si>
    <t>Yes: 1. Работы проводятся в соответствии с РД, утвержденной в производство работ (АДЕ) - 2019-05-04</t>
  </si>
  <si>
    <t>Yes: 2. Геодезическая разбивка скважин, соответствует проекту (АДЕ) - 2019-05-04</t>
  </si>
  <si>
    <t>Yes: 3. Место установки буровой машины на точку бурения, соответствует проекту (АДЕ) - 2019-05-04</t>
  </si>
  <si>
    <t>Yes: 4. Подготовка штанги-бура и раствора выполняется в соотвествии с проектом (АДЕ) - 2019-05-04</t>
  </si>
  <si>
    <t>Yes: 5. Угол наклона стрелы станка, режим и глубина бурения скважин соответствует проекту (АДЕ) - 2019-05-04</t>
  </si>
  <si>
    <t>Yes: 6. Режим заполнения скважины раствором соответствует проекту (АДЕ) - 2019-05-04</t>
  </si>
  <si>
    <t>Андрей Денисов: Заголовок изменен на Операционный контроль усиления грунтов фундаментов в/о 21-22/Б</t>
  </si>
  <si>
    <t>Yes: 2,1 Перед укладкой бетонной смеси опалубка и арматура очищается сжатым воздухом  (АДЕ) - 2019-10-12</t>
  </si>
  <si>
    <t>Yes: 2,2 Перед укладкой бетонной смеси поверхность опалубки, соприкасающаяся с бетоном, покрывается смазкой (АДЕ) - 2019-10-12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</si>
  <si>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- 2019-10-12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</si>
  <si>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- 2019-10-12</t>
  </si>
  <si>
    <t>Yes: 2,5 Верхний уровень уложенной бетонной смеси ниже верха щитов опалубки на 50-70 мм  (АДЕ) - 2019-10-12</t>
  </si>
  <si>
    <t>N/A: 2,6 Рабочие швы выполняются в соответствии с проектными требованиями (АДЕ) - 2019-10-12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</si>
  <si>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- 2019-10-12</t>
  </si>
  <si>
    <t>N/A: 3,1 Работы выполняются на основе утвержденного ППР (АДЕ) - 2019-10-12</t>
  </si>
  <si>
    <t>N/A: 3,2 Наличие записи в журнале бетонных работ (АДЕ) - 2019-10-12</t>
  </si>
  <si>
    <t>Андрей Денисов: Дата начала изменена на окт. 11, 2019</t>
  </si>
  <si>
    <t>Бетонирование СВГ захв. 57</t>
  </si>
  <si>
    <t>п1.8_свг._бетонирование</t>
  </si>
  <si>
    <t>Yes: 1.1. Бетонирование производится бетоном, соответствующим проектным требованиям, прошедшим входной контроль (АДЕ) - 2019-10-12</t>
  </si>
  <si>
    <t>Yes: 1.2. Бетонирование захватки произведено непрерывно с двум бетонных труб в соответствии с технологичекими требованиями (АДЕ) - 2019-10-12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</si>
  <si>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- 2019-10-12</t>
  </si>
  <si>
    <t>Yes: 1.4. Демонтаж межсекционных ограничителей из захваток выполнен через 5-6 ч после окончания бетонирования (АДЕ) - 2019-10-12</t>
  </si>
  <si>
    <t>Yes: 1.5. Бетонирование выполнено до момента поднятия уровня чистой смеси до проектной отметки. (АДЕ) - 2019-10-12</t>
  </si>
  <si>
    <t>Yes: 1.6. Контрольные образцы бетонной смеси изготовлены в количестве не менее 6 шт. на партию бетона (АДЕ) - 2019-10-12</t>
  </si>
  <si>
    <t>Yes: 2.1. Произведены записи в общем журнале работ (Раздел 3, раздел 6) по бетонированию, указаны результаты операционного контроля. (АДЕ) - 2019-10-12</t>
  </si>
  <si>
    <t>N/A: 2.2. Оформлен акт освидетельствования скрытых работ на бетонирование захватки СВГ. (АДЕ) - 2019-10-12</t>
  </si>
  <si>
    <t>Yes: Нормативная документация: СП 45.13330.2012 Земляные сооружения, основания и фундаменты (АДЕ) - 2019-10-12</t>
  </si>
  <si>
    <t>Андрей Денисов: Заголовок изменен на Бетонирование СВГ захв. 57</t>
  </si>
  <si>
    <t>Андрей Денисов: Дата начала изменена на окт. 12, 2019</t>
  </si>
  <si>
    <t>Андрей Денисов: Дата окончания изменена на окт. 11, 2019</t>
  </si>
  <si>
    <t>Бетонирование СВГ захв 58</t>
  </si>
  <si>
    <t>Андрей Денисов: Заголовок изменен на Бетонирование СВГ захв 58</t>
  </si>
  <si>
    <t>Закрепление Грунтов Под Фундаментами 2-12/1/У</t>
  </si>
  <si>
    <t>2-12_Д-У Закрепление грунтов</t>
  </si>
  <si>
    <t>п2.14_закрепление_грунтов_оснований_под_подошвой_фундаментов</t>
  </si>
  <si>
    <t>Yes: 1. При производстве работ использовались материалы, прошедший входной контроль (АДЕ) - 2019-12-12</t>
  </si>
  <si>
    <t>Yes: 2. Количество скважин и их фактическое положение соответствует проекту (АДЕ) - 2019-12-12</t>
  </si>
  <si>
    <t>Yes: 3. Качество тампоновки скважины соответсвует проекту (АДЕ) - 2019-12-12</t>
  </si>
  <si>
    <t>Yes: 4. Выполнен геодезический контроль фактического  положения скважин. Положения скважин соответствует проекту (АДЕ) - 2019-12-12</t>
  </si>
  <si>
    <t>Yes: 5. Наличие полного комплекта исполнительной документации, включая акты освидетельствования скрытых работ (АДЕ) - 2019-12-12</t>
  </si>
  <si>
    <t>Yes: 6. - Произведены лабораторные испытания контрольных образцов бетона (образцы-кубы с ребром 100 мм)
Характеристики контрольных образцов соответствуют требованиям РД. (АДЕ) - 2019-12-12</t>
  </si>
  <si>
    <t>Андрей Денисов: Заголовок изменен на Закрепление Грунтов Под Фундаментами 2-12/1/У</t>
  </si>
  <si>
    <t>Андрей Денисов: Дата начала изменена на дек. 12, 2019</t>
  </si>
  <si>
    <t>Закрепление Грунтов Под Фундаментами 4/1-5/1/К/1-У/1</t>
  </si>
  <si>
    <t>Yes: 1. При производстве работ использовались материалы, прошедший входной контроль (АДЕ) - 2019-12-17</t>
  </si>
  <si>
    <t>Yes: 2. Количество скважин и их фактическое положение соответствует проекту (АДЕ) - 2019-12-17</t>
  </si>
  <si>
    <t>Yes: 3. Качество тампоновки скважины соответсвует проекту (АДЕ) - 2019-12-17</t>
  </si>
  <si>
    <t>Yes: 4. Выполнен геодезический контроль фактического  положения скважин. Положения скважин соответствует проекту (АДЕ) - 2019-12-17</t>
  </si>
  <si>
    <t>Yes: 5. Наличие полного комплекта исполнительной документации, включая акты освидетельствования скрытых работ (АДЕ) - 2019-12-17</t>
  </si>
  <si>
    <t>Yes: 6. - Произведены лабораторные испытания контрольных образцов бетона (образцы-кубы с ребром 100 мм)
Характеристики контрольных образцов соответствуют требованиям РД. (АДЕ) - 2019-12-17</t>
  </si>
  <si>
    <t>Андрей Денисов: Изменена дата начала на 17.12.2019</t>
  </si>
  <si>
    <t>Андрей Денисов: Заголовок изменен на Закрепление Грунтов Под Фундаментами 4/1-5/1/К/1-У/1</t>
  </si>
  <si>
    <t>Yes: 2,1 Перед укладкой бетонной смеси опалубка и арматура очищается сжатым воздухом  (АДЕ) - 2019-03-27</t>
  </si>
  <si>
    <t>Yes: 2,2 Перед укладкой бетонной смеси поверхность опалубки, соприкасающаяся с бетоном, покрывается смазкой (АДЕ) - 2019-03-27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</si>
  <si>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- 2019-03-27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</si>
  <si>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- 2019-03-27</t>
  </si>
  <si>
    <t>Yes: 2,5 Верхний уровень уложенной бетонной смеси ниже верха щитов опалубки на 50-70 мм  (АДЕ) - 2019-03-27</t>
  </si>
  <si>
    <t>Yes: 2,6 Рабочие швы выполняются в соответствии с проектными требованиями (АДЕ) - 2019-03-27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</si>
  <si>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- 2019-03-27</t>
  </si>
  <si>
    <t>Yes: 3,1 Работы выполняются на основе утвержденного ППР (АДЕ) - 2019-03-27</t>
  </si>
  <si>
    <t>Yes: 3,2 Наличие записи в журнале бетонных работ (АДЕ) - 2019-03-27</t>
  </si>
  <si>
    <t>Андрей Денисов: Заголовок изменен на Операционный Контроль Бетонирования Стен Лотка В/О 1-2/И/1-У</t>
  </si>
  <si>
    <t>Бетонирование Основания Форшахты 19/2-21/Д</t>
  </si>
  <si>
    <t>Yes: 2,1 Перед укладкой бетонной смеси опалубка и арматура очищается сжатым воздухом  (АДЕ) - 2019-07-05</t>
  </si>
  <si>
    <t>Yes: 2,2 Перед укладкой бетонной смеси поверхность опалубки, соприкасающаяся с бетоном, покрывается смазкой (АДЕ) - 2019-07-05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</si>
  <si>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- 2019-07-05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</si>
  <si>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- 2019-07-05</t>
  </si>
  <si>
    <t>Yes: 2,5 Верхний уровень уложенной бетонной смеси ниже верха щитов опалубки на 50-70 мм  (АДЕ) - 2019-07-05</t>
  </si>
  <si>
    <t>Yes: 2,6 Рабочие швы выполняются в соответствии с проектными требованиями (АДЕ) - 2019-07-05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</si>
  <si>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- 2019-07-05</t>
  </si>
  <si>
    <t>Yes: 3,1 Работы выполняются на основе утвержденного ППР (АДЕ) - 2019-07-05</t>
  </si>
  <si>
    <t>Yes: 3,2 Наличие записи в журнале бетонных работ (АДЕ) - 2019-07-05</t>
  </si>
  <si>
    <t>Андрей Денисов: Заголовок изменен на Бетонирование Основания Форшахты 19/2-21/Д</t>
  </si>
  <si>
    <t>Андрей Денисов: Дата начала изменена на июл. 5, 2019</t>
  </si>
  <si>
    <t>Операционный Контроль Усиления Грунтов В/О 26-27/Д-Е</t>
  </si>
  <si>
    <t>Yes: 1. Работы проводятся в соответствии с РД, утвержденной в производство работ (АДЕ) - 2019-06-12</t>
  </si>
  <si>
    <t>Yes: 2. Геодезическая разбивка скважин, соответствует проекту (АДЕ) - 2019-06-12</t>
  </si>
  <si>
    <t>Yes: 3. Место установки буровой машины на точку бурения, соответствует проекту (АДЕ) - 2019-06-12</t>
  </si>
  <si>
    <t>Yes: 4. Подготовка штанги-бура и раствора выполняется в соотвествии с проектом (АДЕ) - 2019-06-12</t>
  </si>
  <si>
    <t>Yes: 5. Угол наклона стрелы станка, режим и глубина бурения скважин соответствует проекту (АДЕ) - 2019-06-12</t>
  </si>
  <si>
    <t>Yes: 6. Режим заполнения скважины раствором соответствует проекту (АДЕ) - 2019-06-12</t>
  </si>
  <si>
    <t>Андрей Денисов: Заголовок изменен на Операционный Контроль Усиления Грунтов В/О 26-27/Д-Е</t>
  </si>
  <si>
    <t>Андрей Денисов: Дата начала изменена на июн. 12, 2019</t>
  </si>
  <si>
    <t>Операционный контроль армирования стен приливов в подвале в/о 1-2/А-Г</t>
  </si>
  <si>
    <t>Yes: 1.1 Вертикальный и горизонтальный шаг арматуры соответствует проекту. Отклонение между рядами арматуры не более 10 мм (АДЕ) - 2019-03-29</t>
  </si>
  <si>
    <t>Yes: 1.3 Отклонение толщины защитного слоя бетона от проектной не более 15 мм и не менее 5 мм при толщине бетона более 300 мм (АДЕ) - 2019-03-29</t>
  </si>
  <si>
    <t>N/A: 1.4 Сварные соединения соответствуют проекту и требованиям ГОСТ 14098—2014 (АДЕ) - 2019-03-29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</si>
  <si>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- 2019-03-29</t>
  </si>
  <si>
    <t>Андрей Денисов: Заголовок изменен на Операционный контроль армирования стен приливов в подвале в/о 1-2/А-Г</t>
  </si>
  <si>
    <t>Андрей Денисов: Дата начала изменена на мар. 29, 2019</t>
  </si>
  <si>
    <t>Андрей Денисов: Удалено отметить пункт - "1.2 Длина арматурных элементов соответствуют проекту. Длины нахлестов/анкеровки арматуры составляют не менее 5% длины арматуры (ГОСТ 10922-2012)"</t>
  </si>
  <si>
    <t>Андрей Денисов: Удалено отметить пункт - "2.1 Наличие записи в общем журнале работ"</t>
  </si>
  <si>
    <t>Андрей Денисов: Удалено отметить пункт - "3.1 Разрешается проведение последующих работ по устройству опалубки  или бетонированию конструкции"</t>
  </si>
  <si>
    <t>Операционный Контроль Бетонирования Приливов В/О 1-2/А-Г</t>
  </si>
  <si>
    <t>Yes: 2,1 Перед укладкой бетонной смеси опалубка и арматура очищается сжатым воздухом  (АДЕ) - 2019-04-04</t>
  </si>
  <si>
    <t>Yes: 2,2 Перед укладкой бетонной смеси поверхность опалубки, соприкасающаяся с бетоном, покрывается смазкой (АДЕ) - 2019-04-04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</si>
  <si>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- 2019-04-04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</si>
  <si>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- 2019-04-04</t>
  </si>
  <si>
    <t>Yes: 2,5 Верхний уровень уложенной бетонной смеси ниже верха щитов опалубки на 50-70 мм  (АДЕ) - 2019-04-04</t>
  </si>
  <si>
    <t>Yes: 2,6 Рабочие швы выполняются в соответствии с проектными требованиями (АДЕ) - 2019-04-04</t>
  </si>
  <si>
    <t>N/A: 2,7 Производится отбор проб контрольных образцов бетона для определения фактических показателей качества бетона конструкций  (АДЕ) - 2019-04-04</t>
  </si>
  <si>
    <t>Yes: 3,1 Работы выполняются на основе утвержденного ППР (АДЕ) - 2019-04-04</t>
  </si>
  <si>
    <t>Yes: 3,2 Наличие записи в журнале бетонных работ (АДЕ) - 2019-04-04</t>
  </si>
  <si>
    <t>Андрей Денисов: Заголовок изменен на Операционный Контроль Бетонирования Приливов В/О 1-2/А-Г</t>
  </si>
  <si>
    <t>Андрей Денисов: Дата начала изменена на апр. 4, 2019</t>
  </si>
  <si>
    <t>о2.8_усиление_фундаментов_сваями</t>
  </si>
  <si>
    <t>Yes: 1. Работы производятся в соответствии с РД, утвержденной в производтство работ (АДЕ) - 2019-04-08</t>
  </si>
  <si>
    <t>Yes: 2. При производстве работ используются материалы, прошедший входной контроль (АДЕ) - 2019-04-08</t>
  </si>
  <si>
    <t>Yes: 3. Разметка мест заложения скважин соответствует проекту (АДЕ) - 2019-04-08</t>
  </si>
  <si>
    <t>Yes: 4. Работы по устройству скважины и наполнения раствором на 1-ом этапе соответствуют проекту (АДЕ) - 2019-04-08</t>
  </si>
  <si>
    <t>N/A: 5. Работы по  разбуриванию скважины на 2-ом этапе устройства соответствуют проекту (АДЕ) - 2019-04-08</t>
  </si>
  <si>
    <t>N/A: 6. Работы по заполнению раствором скважины на 2-ом этапе производятся в соответствии с проектом (АДЕ) - 2019-04-08</t>
  </si>
  <si>
    <t>N/A: 7. Тампонирование скважин выполняется в соответствии с проектом (АДЕ) - 2019-04-08</t>
  </si>
  <si>
    <t>Андрей Денисов: Заголовок изменен на Операционный Контроль Усиления Фундаментов Цементацией В/О 26-27/В-Ж</t>
  </si>
  <si>
    <t>Операционный Контроль Усиления Фундаментов Цементацией В/О 18-19/Д-Е, 22-24/Б-Д</t>
  </si>
  <si>
    <t>Yes: 1. Работы производятся в соответствии с РД, утвержденной в производтство работ (АДЕ) - 2019-05-14</t>
  </si>
  <si>
    <t>Yes: 2. При производстве работ используются материалы, прошедший входной контроль (АДЕ) - 2019-05-14</t>
  </si>
  <si>
    <t>Yes: 3. Разметка мест заложения скважин соответствует проекту (АДЕ) - 2019-05-14</t>
  </si>
  <si>
    <t>Yes: 4. Работы по устройству скважины и наполнения раствором на 1-ом этапе соответствуют проекту (АДЕ) - 2019-05-14</t>
  </si>
  <si>
    <t>Yes: 5. Работы по  разбуриванию скважины на 2-ом этапе устройства соответствуют проекту (АДЕ) - 2019-05-14</t>
  </si>
  <si>
    <t>Yes: 6. Работы по заполнению раствором скважины на 2-ом этапе производятся в соответствии с проектом (АДЕ) - 2019-05-14</t>
  </si>
  <si>
    <t>N/A: 7. Тампонирование скважин выполняется в соответствии с проектом (АДЕ) - 2019-05-14</t>
  </si>
  <si>
    <t>Андрей Денисов: Заголовок изменен на Операционный Контроль Усиления Фундаментов Цементацией В/О 18-19/Д-Е, 22-24/Б-Д</t>
  </si>
  <si>
    <t>Андрей Денисов: Дата начала изменена на мая 14, 2019</t>
  </si>
  <si>
    <t>Операционный Контроль Усиления Грунтов Фундаментов В/О 21-22/Г</t>
  </si>
  <si>
    <t>Yes: 1. Работы проводятся в соответствии с РД, утвержденной в производство работ (АДЕ) - 2019-05-15</t>
  </si>
  <si>
    <t>Yes: 2. Геодезическая разбивка скважин, соответствует проекту (АДЕ) - 2019-05-15</t>
  </si>
  <si>
    <t>Yes: 3. Место установки буровой машины на точку бурения, соответствует проекту (АДЕ) - 2019-05-15</t>
  </si>
  <si>
    <t>Yes: 4. Подготовка штанги-бура и раствора выполняется в соотвествии с проектом (АДЕ) - 2019-05-15</t>
  </si>
  <si>
    <t>Yes: 5. Угол наклона стрелы станка, режим и глубина бурения скважин соответствует проекту (АДЕ) - 2019-05-15</t>
  </si>
  <si>
    <t>Yes: 6. Режим заполнения скважины раствором соответствует проекту (АДЕ) - 2019-05-15</t>
  </si>
  <si>
    <t>Андрей Денисов: Заголовок изменен на Операционный Контроль Усиления Грунтов Фундаментов В/О 21-22/Г</t>
  </si>
  <si>
    <t>Андрей Денисов: Дата начала изменена на мая 15, 2019</t>
  </si>
  <si>
    <t>Операционный Контроль Усиления Фундаментов В/О 21-27/А-Ж</t>
  </si>
  <si>
    <t>Yes: 1. Работы производятся в соответствии с РД, утвержденной в производтство работ (АДЕ) - 2019-04-11</t>
  </si>
  <si>
    <t>Yes: 2. При производстве работ используются материалы, прошедший входной контроль (АДЕ) - 2019-04-11</t>
  </si>
  <si>
    <t>Yes: 3. Разметка мест заложения скважин соответствует проекту (АДЕ) - 2019-04-11</t>
  </si>
  <si>
    <t>Yes: 4. Работы по устройству скважины и наполнения раствором на 1-ом этапе соответствуют проекту (АДЕ) - 2019-04-11</t>
  </si>
  <si>
    <t>N/A: 5. Работы по  разбуриванию скважины на 2-ом этапе устройства соответствуют проекту (АДЕ) - 2019-04-11</t>
  </si>
  <si>
    <t>N/A: 6. Работы по заполнению раствором скважины на 2-ом этапе производятся в соответствии с проектом (АДЕ) - 2019-04-11</t>
  </si>
  <si>
    <t>N/A: 7. Тампонирование скважин выполняется в соответствии с проектом (АДЕ) - 2019-04-11</t>
  </si>
  <si>
    <t>Андрей Денисов: Заголовок изменен на Операционный Контроль Усиления Фундаментов В/О 21-27/А-Ж</t>
  </si>
  <si>
    <t>Андрей Денисов: Дата начала изменена на апр. 11, 2019</t>
  </si>
  <si>
    <t>Операционный Контроль Усиления Фундаментов В/О 13-27/А-И</t>
  </si>
  <si>
    <t>Yes: 1. Работы производятся в соответствии с РД, утвержденной в производтство работ (АДЕ) - 2019-04-13</t>
  </si>
  <si>
    <t>Yes: 2. При производстве работ используются материалы, прошедший входной контроль (АДЕ) - 2019-04-13</t>
  </si>
  <si>
    <t>Yes: 3. Разметка мест заложения скважин соответствует проекту (АДЕ) - 2019-04-13</t>
  </si>
  <si>
    <t>Yes: 4. Работы по устройству скважины и наполнения раствором на 1-ом этапе соответствуют проекту (АДЕ) - 2019-04-13</t>
  </si>
  <si>
    <t>N/A: 5. Работы по  разбуриванию скважины на 2-ом этапе устройства соответствуют проекту (АДЕ) - 2019-04-13</t>
  </si>
  <si>
    <t>N/A: 6. Работы по заполнению раствором скважины на 2-ом этапе производятся в соответствии с проектом (АДЕ) - 2019-04-13</t>
  </si>
  <si>
    <t>N/A: 7. Тампонирование скважин выполняется в соответствии с проектом (АДЕ) - 2019-04-13</t>
  </si>
  <si>
    <t>Андрей Денисов: Заголовок изменен на Операционный Контроль Усиления Фундаментов В/О 13-27/А-И</t>
  </si>
  <si>
    <t>Андрей Денисов: Дата начала изменена на апр. 13, 2019</t>
  </si>
  <si>
    <t>Устройство Скважины Для БНС №2</t>
  </si>
  <si>
    <t>БНС1двор_предпроектное Испытание БН Свай</t>
  </si>
  <si>
    <t>о2.5_изготовление_буронабивных_свай__i_этап_бурение_скважины</t>
  </si>
  <si>
    <t>Yes: Диаметр ствола и уширения соответствует проектным требованиям (АДЕ) - 2019-11-21</t>
  </si>
  <si>
    <t>Yes: Вертикальность ствола сваи соответствует нормативным требованиям (АДЕ) - 2019-11-21</t>
  </si>
  <si>
    <t>No: Наличие воды в скважине (АДЕ) - 2019-11-21</t>
  </si>
  <si>
    <t>No: Наличие вывалов грунта при бурении (АДЕ) - 2019-11-21</t>
  </si>
  <si>
    <t>Yes: Бурение скважин с применением обсадных труб осуществляется без опережающего забоя (АДЕ) - 2019-11-21</t>
  </si>
  <si>
    <t>N/A: При бурении в обводненных песках с прослойками плывуна, заполняющего полость обсадной трубы, обеспечивается подача в нее воды для поддержания расчетного уровня подземных вод избыточным напором не менее 4 м (АДЕ) - 2019-11-21</t>
  </si>
  <si>
    <t>N/A: При бурении скважин под защитой глинистого раствора его уровень в процессе бурения выше подземных вод не менее чем на 0,5 м (АДЕ) - 2019-11-21</t>
  </si>
  <si>
    <t>N/A: При бурении скважин под защитой бурового полимерного раствора его уровень в скважине в процессе бурения выше уровня подземных вод на величину, равную 10 % длины сваи, но не менее чем на 2 м (АДЕ) - 2019-11-21</t>
  </si>
  <si>
    <t>N/A: Недопущение бурения в задел (АДЕ) - 2019-11-21</t>
  </si>
  <si>
    <t>Yes: Бурение скважин рядом с ранее изготовленными сваями по прошествии не менее 48 часов после окончания бетонирования последних (сокращение указанного срока при использовании специальных бетонов с ускоренным временем твердения) (АДЕ) - 2019-11-21</t>
  </si>
  <si>
    <t>Yes: После завершения проходки скважины произведена зачистка забоя от шлама механическим способом (АДЕ) - 2019-11-21</t>
  </si>
  <si>
    <t>Yes: Разрешается приемка скважины (АДЕ) - 2019-11-21</t>
  </si>
  <si>
    <t>Yes: Работы выполняются на основе утвержденного ППР (АДЕ) - 2019-11-21</t>
  </si>
  <si>
    <t>Yes: Наличие записи в журнале производства работ (АДЕ) - 2019-11-21</t>
  </si>
  <si>
    <t>Yes: Руководство по производству и приемке работ при устройстве оснований и фундаментов (НИИОСП им. Н.М. Герсиванова). (АДЕ) - 2019-11-21</t>
  </si>
  <si>
    <t>Yes: СП45.13330.2012 Земляные сооружения, основания и фундаменты. (АДЕ) - 2019-11-21</t>
  </si>
  <si>
    <t>Yes: СП50-102-2012 Проектирование и устройство свайных фундаментов (АДЕ) - 2019-11-21</t>
  </si>
  <si>
    <t>Андрей Денисов: Заголовок изменен на Устройство Скважины Для БНС</t>
  </si>
  <si>
    <t>Андрей Денисов: Заголовок изменен на Устройство Скважины Для БНС №2</t>
  </si>
  <si>
    <t>Андрей Денисов: Дата начала изменена на нояб. 9, 2019</t>
  </si>
  <si>
    <t>Армирование Бнс №2</t>
  </si>
  <si>
    <t>о2.6_изготовление_буронабивных_свай__ii_этап_установка_арматурного_каркаса</t>
  </si>
  <si>
    <t>Yes: Сборка арматурного каркаса из отдельных секций осуществляется в сборочных кондукторах, арматурные стержни в месте соединения очищены на длине, превышающей 10 - 15 мм сварной шов или стык, а стыковые и крестообразующие сварочные соединения выполняются в соответствии с проектом и требованиями (АДЕ) - 2019-11-21</t>
  </si>
  <si>
    <t>Yes: Осуществляется комплекс мер, направленных на предотвращение подъема и смещения в плане арматурного каркаса укладываемой бетонной смеси и в процессе извлечения бетонолитной и обсадной трубы, а также во всех случаях армирования не на полную глубину скважины (АДЕ) - 2019-11-21</t>
  </si>
  <si>
    <t>Yes: С помощью трубы-конструктора длиной не менее 1 м с наружным диаметром равным диаметру скважины (АДЕ) - 2019-11-21</t>
  </si>
  <si>
    <t>Yes: С помощью приварки к двум диаметрально расположенным стержням каркаса двух стержней, имеющих длину до дна скважины и снабженных на нижнем конце опорными коротышами из уголков, приваренных непосредственно к нижнему кольцу жесткости (АДЕ) - 2019-11-21</t>
  </si>
  <si>
    <t>Yes: Комбинированным способом (АДЕ) - 2019-11-21</t>
  </si>
  <si>
    <t>Yes: Наличие стального прута, приваренного к одному из продольных стержней каркаса, такой длины, чтобы его верх возвышался над обсадной трубой на 10 - 20 см (с целью контроля положения каркаса по глубине скважины после его установки и в процессе укладки бетонной смеси)  (АДЕ) - 2019-11-21</t>
  </si>
  <si>
    <t>Yes: СП50-102-2012 Проектирование и устройство свайных фундаментов. (АДЕ) - 2019-11-21</t>
  </si>
  <si>
    <t>Андрей Денисов: Заголовок изменен на Армирование Бнс №2</t>
  </si>
  <si>
    <t>No: 1. Работы производятся в соответствии с РД, утвержденной в производтство работ (АДЕ) - 2019-05-17</t>
  </si>
  <si>
    <t>Yes: 2. При производстве работ используются материалы, прошедший входной контроль (АДЕ) - 2019-05-17</t>
  </si>
  <si>
    <t>Yes: 3. Разметка мест заложения скважин соответствует проекту (АДЕ) - 2019-05-17</t>
  </si>
  <si>
    <t>Yes: 4. Работы по устройству скважины и наполнения раствором на 1-ом этапе соответствуют проекту (АДЕ) - 2019-05-17</t>
  </si>
  <si>
    <t>Yes: 5. Работы по  разбуриванию скважины на 2-ом этапе устройства соответствуют проекту (АДЕ) - 2019-05-17</t>
  </si>
  <si>
    <t>Not set: 6. Работы по заполнению раствором скважины на 2-ом этапе производятся в соответствии с проектом (АДЕ) - 2019-05-17</t>
  </si>
  <si>
    <t>Not set: 7. Тампонирование скважин выполняется в соответствии с проектом (АДЕ) - 2019-05-17</t>
  </si>
  <si>
    <t>Устройство Диафрагмы Jet Grouting Е/20-21</t>
  </si>
  <si>
    <t>о2.10__устройство_диафрагмы_по_технологии_jet_grouting</t>
  </si>
  <si>
    <t>Yes: Работы производятся в соответствии с РД, утвержденной в производтство работ (АДЕ) - 2019-11-21</t>
  </si>
  <si>
    <t>Yes: При производстве работ используются материалы, прошедший входной контроль (АДЕ) - 2019-11-21</t>
  </si>
  <si>
    <t>Yes: Разметка мест заложения скважин соответствует проекту (АДЕ) - 2019-11-21</t>
  </si>
  <si>
    <t>Yes: Отклонение погружаемой штанги от вертикали менее 2% (АДЕ) - 2019-11-21</t>
  </si>
  <si>
    <t>Yes: Скорости подъема монитора соответствует проекту (АДЕ) - 2019-11-21</t>
  </si>
  <si>
    <t>Yes: Частота вращения монитора соответствует проекту (АДЕ) - 2019-11-21</t>
  </si>
  <si>
    <t>Yes: Давление подачи цементного раствора соответствует проекту (АДЕ) - 2019-11-21</t>
  </si>
  <si>
    <t>Yes: Соотношение водоцементного-раствора соответствует проекту (АДЕ) - 2019-11-21</t>
  </si>
  <si>
    <t>Yes: СП 24.13330.2011 «Свайные фундаменты» (АДЕ) - 2019-11-21</t>
  </si>
  <si>
    <t>Андрей Денисов: Заголовок изменен на Устройство Диафрагмы Jet Grouting Е/19-20</t>
  </si>
  <si>
    <t>Андрей Денисов: Дата начала изменена на нояб. 21, 2019</t>
  </si>
  <si>
    <t>Андрей Денисов: Заголовок изменен на Устройство Диафрагмы Jet Grouting Е/20-21</t>
  </si>
  <si>
    <t>Операционный Контроль Усиления Фундаментов Цементацией В/О 17-24/Б-Д</t>
  </si>
  <si>
    <t>Yes: 1. Работы производятся в соответствии с РД, утвержденной в производтство работ (АДЕ) - 2019-04-16</t>
  </si>
  <si>
    <t>Yes: 2. При производстве работ используются материалы, прошедший входной контроль (АДЕ) - 2019-04-16</t>
  </si>
  <si>
    <t>Yes: 3. Разметка мест заложения скважин соответствует проекту (АДЕ) - 2019-04-16</t>
  </si>
  <si>
    <t>Yes: 4. Работы по устройству скважины и наполнения раствором на 1-ом этапе соответствуют проекту (АДЕ) - 2019-04-16</t>
  </si>
  <si>
    <t>N/A: 5. Работы по  разбуриванию скважины на 2-ом этапе устройства соответствуют проекту (АДЕ) - 2019-04-16</t>
  </si>
  <si>
    <t>N/A: 6. Работы по заполнению раствором скважины на 2-ом этапе производятся в соответствии с проектом (АДЕ) - 2019-04-16</t>
  </si>
  <si>
    <t>N/A: 7. Тампонирование скважин выполняется в соответствии с проектом (АДЕ) - 2019-04-16</t>
  </si>
  <si>
    <t>Андрей Денисов: Заголовок изменен на Операционный Контроль Усиления Фундаментов Цементацией В/О 17-24/Б-Д</t>
  </si>
  <si>
    <t>Андрей Денисов: Дата начала изменена на апр. 16, 2019</t>
  </si>
  <si>
    <t>Бетонирование Бнс №2</t>
  </si>
  <si>
    <t>о2.7_изготовление_буронабивных_свай___iii_этап_бетонирование_сваи</t>
  </si>
  <si>
    <t>Yes: В начале бетонирования расстояние между забоем скважины и нижним торцом бетонолитной трубы не превышает 30 см. В процессе бетонирования при подъеме бетонолитной трубы ее нижний торец постоянно заглублен под уровень бетонной смеси не менее чем на 1 м  (АДЕ) - 2019-11-21</t>
  </si>
  <si>
    <t>N/A: В процессе бетонирования сотрудниками строительной лаборатории постоянно осуществляется контроль показателей качества бетонной смеси (АДЕ) - 2019-11-21</t>
  </si>
  <si>
    <t>Yes: Контролируется выполнение мероприятий, обеспечивающих поддержание требуемой температуры бетонной смеси при укладке при отрицательных температурах наружного воздуха (температура бетона в скважине в момент укладки не менее 5 °С)  (АДЕ) - 2019-11-21</t>
  </si>
  <si>
    <t>Yes: Производится отбор проб бетонной смеси для изготовления контрольных образцов бетона (АДЕ) - 2019-11-21</t>
  </si>
  <si>
    <t>Yes: В процессе бетонирования бетонолитная труба на всю высоту постоянно заполнена бетонной смесью. Перерывы в подаче отдельных порций бетонной смеси не превышают срока схватывания, установленного лабораторией при данной марке цемента и температуре окружающей среды  (АДЕ) - 2019-11-21</t>
  </si>
  <si>
    <t>Yes: Подача бетонной смеси в скважину осуществляется до момента выхода чистой (без шлама) бетонной смеси на поверхность и заканчивается удалением загрязненного слоя бетонной смеси. Контролируется извлечение последней секции обсадной трубы (при ее наличии) и формирование оголовка сваи  (АДЕ) - 2019-11-21</t>
  </si>
  <si>
    <t>Андрей Денисов: Заголовок изменен на Бетонирование Бнс №2</t>
  </si>
  <si>
    <t>Yes: 2,1 Перед укладкой бетонной смеси опалубка и арматура очищается сжатым воздухом  (АДЕ) - 2019-03-20</t>
  </si>
  <si>
    <t>Yes: 2,2 Перед укладкой бетонной смеси поверхность опалубки, соприкасающаяся с бетоном, покрывается смазкой (АДЕ) - 2019-03-20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</si>
  <si>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- 2019-03-20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</si>
  <si>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- 2019-03-20</t>
  </si>
  <si>
    <t>Yes: 2,5 Верхний уровень уложенной бетонной смеси ниже верха щитов опалубки на 50-70 мм  (АДЕ) - 2019-03-20</t>
  </si>
  <si>
    <t>Yes: 2,6 Рабочие швы выполняются в соответствии с проектными требованиями (АДЕ) - 2019-03-20</t>
  </si>
  <si>
    <t>Yes: 3,1 Работы выполняются на основе утвержденного ППР (АДЕ) - 2019-03-20</t>
  </si>
  <si>
    <t>Yes: 3,2 Наличие записи в журнале бетонных работ (АДЕ) - 2019-03-20</t>
  </si>
  <si>
    <t>Андрей Денисов: Заголовок изменен на Операционный Контроль Бетонирования Ж/Б Плиты Лотка в/о</t>
  </si>
  <si>
    <t>Андрей Денисов: Дата начала изменена на мар. 20, 2019</t>
  </si>
  <si>
    <t>Андрей Денисов: Заголовок изменен на Операционный Контроль Бетонирования Ж/Б Плиты Лотка в/о 1-2/А-Б</t>
  </si>
  <si>
    <t>Андрей Денисов: Местоположение изменено на УФ_Устройство монолитного подземного канала(добавить закладные и гильзы)</t>
  </si>
  <si>
    <t>Андрей Денисов: Местоположение изменено на УФ_ЖБ плита и приливы</t>
  </si>
  <si>
    <t>Андрей Денисов: Удалено отметить пункт - "2,7 Производится отбор проб контрольных образцов бетона для определения фактических показателей качества бетона конструкций "</t>
  </si>
  <si>
    <t>Андрей Денисов: Заголовок изменен на Операционный Контроль Бетонирования Ж/Б Плиты подвала в/о 1-2/А-Г</t>
  </si>
  <si>
    <t>Операционный Контроль Усиление Грунтов В/О 23-27/И-Е</t>
  </si>
  <si>
    <t>Yes: 1. Работы проводятся в соответствии с РД, утвержденной в производство работ (АДЕ) - 2019-06-11</t>
  </si>
  <si>
    <t>Yes: 2. Геодезическая разбивка скважин, соответствует проекту (АДЕ) - 2019-06-11</t>
  </si>
  <si>
    <t>Yes: 3. Место установки буровой машины на точку бурения, соответствует проекту (АДЕ) - 2019-06-11</t>
  </si>
  <si>
    <t>Yes: 4. Подготовка штанги-бура и раствора выполняется в соотвествии с проектом (АДЕ) - 2019-06-11</t>
  </si>
  <si>
    <t>Yes: 5. Угол наклона стрелы станка, режим и глубина бурения скважин соответствует проекту (АДЕ) - 2019-06-11</t>
  </si>
  <si>
    <t>Yes: 6. Режим заполнения скважины раствором соответствует проекту (АДЕ) - 2019-06-11</t>
  </si>
  <si>
    <t>Андрей Денисов: Заголовок изменен на Операционный Контроль Усиление Грунтов В/О 23-27/И-Е</t>
  </si>
  <si>
    <t>Андрей Денисов: Дата начала изменена на июн. 11, 2019</t>
  </si>
  <si>
    <t>Операционный Контроль Усиления Грунтов В/О 24-25/Л</t>
  </si>
  <si>
    <t>Yes: 1. Работы проводятся в соответствии с РД, утвержденной в производство работ (АДЕ) - 2019-06-17</t>
  </si>
  <si>
    <t>Yes: 2. Геодезическая разбивка скважин, соответствует проекту (АДЕ) - 2019-06-17</t>
  </si>
  <si>
    <t>Yes: 3. Место установки буровой машины на точку бурения, соответствует проекту (АДЕ) - 2019-06-17</t>
  </si>
  <si>
    <t>Yes: 4. Подготовка штанги-бура и раствора выполняется в соотвествии с проектом (АДЕ) - 2019-06-17</t>
  </si>
  <si>
    <t>Yes: 5. Угол наклона стрелы станка, режим и глубина бурения скважин соответствует проекту (АДЕ) - 2019-06-17</t>
  </si>
  <si>
    <t>Yes: 6. Режим заполнения скважины раствором соответствует проекту (АДЕ) - 2019-06-17</t>
  </si>
  <si>
    <t>Андрей Денисов: Заголовок изменен на Операционный Контроль Усиления Грунтов В/О 24-25/Л</t>
  </si>
  <si>
    <t>Андрей Денисов: Дата начала изменена на июн. 17, 2019</t>
  </si>
  <si>
    <t>Операционный Контроль Бетонирования СВГ №44 СТмП-9</t>
  </si>
  <si>
    <t>N/A: 2,1 Перед укладкой бетонной смеси опалубка и арматура очищается сжатым воздухом  (АДЕ) - 2019-07-14</t>
  </si>
  <si>
    <t>N/A: 2,2 Перед укладкой бетонной смеси поверхность опалубки, соприкасающаяся с бетоном, покрывается смазкой (АДЕ) - 2019-07-14</t>
  </si>
  <si>
    <t>N/A: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- 2019-07-14</t>
  </si>
  <si>
    <t>N/A: 2,4 Толщина укладываемых слоев бетонной смеси при уплотнении смеси ручными глубинными вибраторами не более 1,25 длины рабочей части вибратора (АДЕ) - 2019-07-14</t>
  </si>
  <si>
    <t>N/A: 2,5 Верхний уровень уложенной бетонной смеси ниже верха щитов опалубки на 50-70 мм  (АДЕ) - 2019-07-14</t>
  </si>
  <si>
    <t>Yes: 2,6 Рабочие швы выполняются в соответствии с проектными требованиями (АДЕ) - 2019-07-14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</si>
  <si>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- 2019-07-14</t>
  </si>
  <si>
    <t>Yes: 3,1 Работы выполняются на основе утвержденного ППР (АДЕ) - 2019-07-14</t>
  </si>
  <si>
    <t>Yes: 3,2 Наличие записи в журнале бетонных работ (АДЕ) - 2019-07-14</t>
  </si>
  <si>
    <t>Андрей Денисов: Заголовок изменен на Операционный Контроль Бетонирования СВГ №44 СТмП-9</t>
  </si>
  <si>
    <t>Андрей Денисов: Дата начала изменена на июл. 14, 2019</t>
  </si>
  <si>
    <t>Операционный Контроль Усиления Фундаментов Цементацией в/о 14-27/А-П</t>
  </si>
  <si>
    <t>Yes: 1. Работы производятся в соответствии с РД, утвержденной в производтство работ (АДЕ) - 2019-04-18</t>
  </si>
  <si>
    <t>Yes: 2. При производстве работ используются материалы, прошедший входной контроль (АДЕ) - 2019-04-18</t>
  </si>
  <si>
    <t>Yes: 3. Разметка мест заложения скважин соответствует проекту (АДЕ) - 2019-04-18</t>
  </si>
  <si>
    <t>Yes: 4. Работы по устройству скважины и наполнения раствором на 1-ом этапе соответствуют проекту (АДЕ) - 2019-04-18</t>
  </si>
  <si>
    <t>Yes: 5. Работы по  разбуриванию скважины на 2-ом этапе устройства соответствуют проекту (АДЕ) - 2019-04-18</t>
  </si>
  <si>
    <t>Yes: 6. Работы по заполнению раствором скважины на 2-ом этапе производятся в соответствии с проектом (АДЕ) - 2019-04-18</t>
  </si>
  <si>
    <t>N/A: 7. Тампонирование скважин выполняется в соответствии с проектом (АДЕ) - 2019-04-18</t>
  </si>
  <si>
    <t>Андрей Денисов: Заголовок изменен на Операционный Контроль Усиления Фундаментов Цементацией</t>
  </si>
  <si>
    <t>Андрей Денисов: Заголовок изменен на Операционный Контроль Усиления Фундаментов Цементацией в/о 14-27/А-П</t>
  </si>
  <si>
    <t>Операционный Контроль Закрепления Грунтов В/О 23/1/У-Т</t>
  </si>
  <si>
    <t>Yes: 1. Работы проводятся в соответствии с РД, утвержденной в производство работ (АДЕ) - 2019-07-26</t>
  </si>
  <si>
    <t>Yes: 2. Геодезическая разбивка скважин, соответствует проекту (АДЕ) - 2019-07-26</t>
  </si>
  <si>
    <t>Yes: 3. Место установки буровой машины на точку бурения, соответствует проекту (АДЕ) - 2019-07-26</t>
  </si>
  <si>
    <t>Yes: 4. Подготовка штанги-бура и раствора выполняется в соотвествии с проектом (АДЕ) - 2019-07-26</t>
  </si>
  <si>
    <t>Yes: 5. Угол наклона стрелы станка, режим и глубина бурения скважин соответствует проекту (АДЕ) - 2019-07-26</t>
  </si>
  <si>
    <t>Yes: 6. Режим заполнения скважины раствором соответствует проекту (АДЕ) - 2019-07-26</t>
  </si>
  <si>
    <t>Андрей Денисов: Заголовок изменен на Операционный Контроль Закрепления Грунтов В/О 23/1/У-Т</t>
  </si>
  <si>
    <t>Стыковка Арматурного Каркаса СВГ №44 СТмП-9</t>
  </si>
  <si>
    <t>Yes: 1.1 Вертикальный и горизонтальный шаг арматуры соответствует проекту. Отклонение между рядами арматуры не более 10 мм (АДЕ) - 2019-07-14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</si>
  <si>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- 2019-07-14</t>
  </si>
  <si>
    <t>Yes: 1.3 Отклонение толщины защитного слоя бетона от проектной не более 15 мм и не менее 5 мм при толщине бетона более 300 мм (АДЕ) - 2019-07-14</t>
  </si>
  <si>
    <t>Yes: 1.4 Сварные соединения соответствуют проекту и требованиям ГОСТ 14098—2014 (АДЕ) - 2019-07-14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</si>
  <si>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- 2019-07-14</t>
  </si>
  <si>
    <t>Yes: 2.1 Наличие записи в общем журнале работ (АДЕ) - 2019-07-14</t>
  </si>
  <si>
    <t>Yes: 3.1 Разрешается проведение последующих работ по устройству опалубки  или бетонированию конструкции (АДЕ) - 2019-07-14</t>
  </si>
  <si>
    <t>Андрей Денисов: Заголовок изменен на Операционный Контроль Армирования СВГ №44 СТмП-9</t>
  </si>
  <si>
    <t>Андрей Денисов: Заголовок изменен на Стыковка Арматурного Каркаса СВГ №44 СТмП-9</t>
  </si>
  <si>
    <t>Операционный Контроль Усиления Грунтов Цементацией В/О 15/Л, 24-26/Б-Г</t>
  </si>
  <si>
    <t>Yes: 1. Работы проводятся в соответствии с РД, утвержденной в производство работ (АДЕ) - 2019-07-15</t>
  </si>
  <si>
    <t>Yes: 2. Геодезическая разбивка скважин, соответствует проекту (АДЕ) - 2019-07-15</t>
  </si>
  <si>
    <t>Yes: 3. Место установки буровой машины на точку бурения, соответствует проекту (АДЕ) - 2019-07-15</t>
  </si>
  <si>
    <t>Yes: 4. Подготовка штанги-бура и раствора выполняется в соотвествии с проектом (АДЕ) - 2019-07-15</t>
  </si>
  <si>
    <t>Yes: 5. Угол наклона стрелы станка, режим и глубина бурения скважин соответствует проекту (АДЕ) - 2019-07-15</t>
  </si>
  <si>
    <t>Yes: 6. Режим заполнения скважины раствором соответствует проекту (АДЕ) - 2019-07-15</t>
  </si>
  <si>
    <t>Андрей Денисов: Заголовок изменен на Операционный Контроль Усиления Грунтов Цементацией В/О 15/Л, 24-26/Б-Г</t>
  </si>
  <si>
    <t>Андрей Денисов: Дата начала изменена на июл. 15, 2019</t>
  </si>
  <si>
    <t>Операционный Контроль Усиления Фундаментов Цементацией В/О 19/2/М-К, 19/1-21/1/У-Т/1, 17-18/Д-Ж</t>
  </si>
  <si>
    <t>Yes: 1. Работы производятся в соответствии с РД, утвержденной в производтство работ (АДЕ) - 2019-05-21</t>
  </si>
  <si>
    <t>Yes: 2. При производстве работ используются материалы, прошедший входной контроль (АДЕ) - 2019-05-21</t>
  </si>
  <si>
    <t>Yes: 3. Разметка мест заложения скважин соответствует проекту (АДЕ) - 2019-05-21</t>
  </si>
  <si>
    <t>Yes: 4. Работы по устройству скважины и наполнения раствором на 1-ом этапе соответствуют проекту (АДЕ) - 2019-05-21</t>
  </si>
  <si>
    <t>Yes: 5. Работы по  разбуриванию скважины на 2-ом этапе устройства соответствуют проекту (АДЕ) - 2019-05-21</t>
  </si>
  <si>
    <t>Yes: 6. Работы по заполнению раствором скважины на 2-ом этапе производятся в соответствии с проектом (АДЕ) - 2019-05-21</t>
  </si>
  <si>
    <t>Not set: 7. Тампонирование скважин выполняется в соответствии с проектом (АДЕ) - 2019-05-21</t>
  </si>
  <si>
    <t>Андрей Денисов: Заголовок изменен на Операционный Контроль Усиления Фундаментов Цементацией В/О 19/2/М-К, 19/1-21/1/У-Т/1, 17-18/Д-Ж</t>
  </si>
  <si>
    <t>No: 1. Работы проводятся в соответствии с РД, утвержденной в производство работ (АДЕ) - 2019-05-21</t>
  </si>
  <si>
    <t>Not set: 2. Геодезическая разбивка скважин, соответствует проекту (АДЕ) - 2019-05-21</t>
  </si>
  <si>
    <t>Not set: 3. Место установки буровой машины на точку бурения, соответствует проекту (АДЕ) - 2019-05-21</t>
  </si>
  <si>
    <t>Not set: 4. Подготовка штанги-бура и раствора выполняется в соотвествии с проектом (АДЕ) - 2019-05-21</t>
  </si>
  <si>
    <t>Not set: 5. Угол наклона стрелы станка, режим и глубина бурения скважин соответствует проекту (АДЕ) - 2019-05-21</t>
  </si>
  <si>
    <t>Not set: 6. Режим заполнения скважины раствором соответствует проекту (АДЕ) - 2019-05-21</t>
  </si>
  <si>
    <t>Операционный Контроль Усиления Фундаментов Цементацией В/О 13-27/А-Л</t>
  </si>
  <si>
    <t>Yes: 1. Работы производятся в соответствии с РД, утвержденной в производтство работ (АДЕ) - 2019-04-24</t>
  </si>
  <si>
    <t>Yes: 2. При производстве работ используются материалы, прошедший входной контроль (АДЕ) - 2019-04-24</t>
  </si>
  <si>
    <t>Yes: 3. Разметка мест заложения скважин соответствует проекту (АДЕ) - 2019-04-24</t>
  </si>
  <si>
    <t>Yes: 4. Работы по устройству скважины и наполнения раствором на 1-ом этапе соответствуют проекту (АДЕ) - 2019-04-24</t>
  </si>
  <si>
    <t>Yes: 5. Работы по  разбуриванию скважины на 2-ом этапе устройства соответствуют проекту (АДЕ) - 2019-04-24</t>
  </si>
  <si>
    <t>Yes: 6. Работы по заполнению раствором скважины на 2-ом этапе производятся в соответствии с проектом (АДЕ) - 2019-04-24</t>
  </si>
  <si>
    <t>N/A: 7. Тампонирование скважин выполняется в соответствии с проектом (АДЕ) - 2019-04-24</t>
  </si>
  <si>
    <t>Андрей Денисов: Заголовок изменен на Операционный Контроль Усиления Фундаментов Цементацией В/О 13-27/А-Л</t>
  </si>
  <si>
    <t>Андрей Денисов: Дата начала изменена на апр. 24, 2019</t>
  </si>
  <si>
    <t>Операционный Контроль Усиления Фундаментов Цементацией В/О 25/П-М; 23-27/Е-И; 19-24/Г-Д</t>
  </si>
  <si>
    <t>Yes: 1. Работы производятся в соответствии с РД, утвержденной в производтство работ (АДЕ) - 2019-04-27</t>
  </si>
  <si>
    <t>Yes: 2. При производстве работ используются материалы, прошедший входной контроль (АДЕ) - 2019-04-27</t>
  </si>
  <si>
    <t>Yes: 3. Разметка мест заложения скважин соответствует проекту (АДЕ) - 2019-04-27</t>
  </si>
  <si>
    <t>Yes: 4. Работы по устройству скважины и наполнения раствором на 1-ом этапе соответствуют проекту (АДЕ) - 2019-04-27</t>
  </si>
  <si>
    <t>Yes: 5. Работы по  разбуриванию скважины на 2-ом этапе устройства соответствуют проекту (АДЕ) - 2019-04-27</t>
  </si>
  <si>
    <t>N/A: 6. Работы по заполнению раствором скважины на 2-ом этапе производятся в соответствии с проектом (АДЕ) - 2019-04-27</t>
  </si>
  <si>
    <t>N/A: 7. Тампонирование скважин выполняется в соответствии с проектом (АДЕ) - 2019-04-27</t>
  </si>
  <si>
    <t>Андрей Денисов: Заголовок изменен на Операционный Контроль Усиления Фундаментов Цементацией В/О 25/П-М; 23-27/Е-И; 19-24/Г-Д</t>
  </si>
  <si>
    <t>Андрей Денисов: Дата начала изменена на апр. 27, 2019</t>
  </si>
  <si>
    <t>Операционный Контроль Усиления Фундаментов Цементацией В/О 16-19/2/Д-П</t>
  </si>
  <si>
    <t>No: 1. Работы производятся в соответствии с РД, утвержденной в производтство работ (АДЕ) - 2019-05-25</t>
  </si>
  <si>
    <t>Not set: 2. При производстве работ используются материалы, прошедший входной контроль (АДЕ) - 2019-05-25</t>
  </si>
  <si>
    <t>Not set: 3. Разметка мест заложения скважин соответствует проекту (АДЕ) - 2019-05-25</t>
  </si>
  <si>
    <t>Not set: 4. Работы по устройству скважины и наполнения раствором на 1-ом этапе соответствуют проекту (АДЕ) - 2019-05-25</t>
  </si>
  <si>
    <t>Not set: 5. Работы по  разбуриванию скважины на 2-ом этапе устройства соответствуют проекту (АДЕ) - 2019-05-25</t>
  </si>
  <si>
    <t>Not set: 6. Работы по заполнению раствором скважины на 2-ом этапе производятся в соответствии с проектом (АДЕ) - 2019-05-25</t>
  </si>
  <si>
    <t>Not set: 7. Тампонирование скважин выполняется в соответствии с проектом (АДЕ) - 2019-05-25</t>
  </si>
  <si>
    <t>Андрей Денисов: Заголовок изменен на Операционный Контроль Усиления Фундаментов Цементацией В/О 16-19/2/Д-П</t>
  </si>
  <si>
    <t>Андрей Денисов: Ответственное лицо замещено Администратор Fieldwire</t>
  </si>
  <si>
    <t>Андрей Денисов: Ответственное лицо замещено Андрей Денисов</t>
  </si>
  <si>
    <t>Андрей Денисов: Дата начала изменена на мая 25, 2019</t>
  </si>
  <si>
    <t>Yes: 1. Работы проводятся в соответствии с РД, утвержденной в производство работ (АДЕ) - 2019-04-30</t>
  </si>
  <si>
    <t>Yes: 2. Геодезическая разбивка скважин, соответствует проекту (АДЕ) - 2019-04-30</t>
  </si>
  <si>
    <t>Yes: 3. Место установки буровой машины на точку бурения, соответствует проекту (АДЕ) - 2019-04-30</t>
  </si>
  <si>
    <t>Yes: 4. Подготовка штанги-бура и раствора выполняется в соотвествии с проектом (АДЕ) - 2019-04-30</t>
  </si>
  <si>
    <t>Yes: 5. Угол наклона стрелы станка, режим и глубина бурения скважин соответствует проекту (АДЕ) - 2019-04-30</t>
  </si>
  <si>
    <t>No: 6. Режим заполнения скважины раствором соответствует проекту (АДЕ) - 2019-04-30</t>
  </si>
  <si>
    <t>Yes: 1. Работы производятся в соответствии с РД, утвержденной в производтство работ (АДЕ) - 2019-04-30</t>
  </si>
  <si>
    <t>Yes: 2. При производстве работ используются материалы, прошедший входной контроль (АДЕ) - 2019-04-30</t>
  </si>
  <si>
    <t>Yes: 3. Разметка мест заложения скважин соответствует проекту (АДЕ) - 2019-04-30</t>
  </si>
  <si>
    <t>Yes: 4. Работы по устройству скважины и наполнения раствором на 1-ом этапе соответствуют проекту (АДЕ) - 2019-04-30</t>
  </si>
  <si>
    <t>Yes: 5. Работы по  разбуриванию скважины на 2-ом этапе устройства соответствуют проекту (АДЕ) - 2019-04-30</t>
  </si>
  <si>
    <t>Yes: 6. Работы по заполнению раствором скважины на 2-ом этапе производятся в соответствии с проектом (АДЕ) - 2019-04-30</t>
  </si>
  <si>
    <t>N/A: 7. Тампонирование скважин выполняется в соответствии с проектом (АДЕ) - 2019-04-30</t>
  </si>
  <si>
    <t>Андрей Денисов: Заголовок изменен на Операционный Контроль Усиления Фундаментов Цементацией В/О</t>
  </si>
  <si>
    <t>Андрей Денисов: Заголовок изменен на Операционный Контроль Усиления Фундаментов Цементацией В/О 23-27/К-Л, 23-26/И-Ж, 19-24/Г-Д</t>
  </si>
  <si>
    <t>Операционный Контроль Устройства Гидроизоляции Прокачка Инжект Системы В/О 1-2/Д-У</t>
  </si>
  <si>
    <t>Андрей Денисов: Заголовок изменен на Операционный Контроль Устройства Гидроизоляции Прокачка Инжект Системы В/О 1-2/Д-У</t>
  </si>
  <si>
    <t>Операционный Контроль Бетонирования Форшахты В/О 21-23/Г-д и 23/Е-И</t>
  </si>
  <si>
    <t>Yes: 2,1 Перед укладкой бетонной смеси опалубка и арматура очищается сжатым воздухом  (АДЕ) - 2019-06-21</t>
  </si>
  <si>
    <t>Yes: 2,2 Перед укладкой бетонной смеси поверхность опалубки, соприкасающаяся с бетоном, покрывается смазкой (АДЕ) - 2019-06-21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</si>
  <si>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- 2019-06-21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</si>
  <si>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- 2019-06-21</t>
  </si>
  <si>
    <t>Yes: 2,5 Верхний уровень уложенной бетонной смеси ниже верха щитов опалубки на 50-70 мм  (АДЕ) - 2019-06-21</t>
  </si>
  <si>
    <t>Yes: 2,6 Рабочие швы выполняются в соответствии с проектными требованиями (АДЕ) - 2019-06-21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</si>
  <si>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- 2019-06-21</t>
  </si>
  <si>
    <t>Yes: 3,1 Работы выполняются на основе утвержденного ППР (АДЕ) - 2019-06-21</t>
  </si>
  <si>
    <t>Yes: 3,2 Наличие записи в журнале бетонных работ (АДЕ) - 2019-06-21</t>
  </si>
  <si>
    <t>Андрей Денисов: Заголовок изменен на Операционный Контроль Бетонирования Форшахты В/О 21-23/Г-д и 23/Е-И</t>
  </si>
  <si>
    <t>Андрей Денисов: Дата начала изменена на июн. 20, 2019</t>
  </si>
  <si>
    <t>Операционный Контроль Бетонирования СВГ №33</t>
  </si>
  <si>
    <t>Yes: 2,1. Материал соответствует требованиям проекта (АДЕ) - 2019-07-16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</si>
  <si>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(АДЕ) - 2019-07-16</t>
  </si>
  <si>
    <t>N/A: 2,3. Предоставлен протокол испытания лаборатории, который подтверждает соответствие нормативам и сопроводительным документам (АДЕ) - 2019-07-16</t>
  </si>
  <si>
    <t>Yes: 2,4. Условия хранения материала соблюдаются (АДЕ) - 2019-07-16</t>
  </si>
  <si>
    <t>Yes: 2,5. Наличие записи в "Журнале входного учета и контроля качества получаемых деталей, материалов, конструкций и оборудования" (АДЕ) - 2019-07-16</t>
  </si>
  <si>
    <t>Yes: 3,1. Допускается к производству работ (АДЕ) - 2019-07-16</t>
  </si>
  <si>
    <t>Андрей Денисов: Заголовок изменен на Операционный Контроль Бетонирования СВГ №33</t>
  </si>
  <si>
    <t>Андрей Денисов: Дата начала изменена на июл. 16, 2019</t>
  </si>
  <si>
    <t>Yes: 1. При производстве работ использовались материалы, прошедший входной контроль (АДЕ) - 2019-12-18</t>
  </si>
  <si>
    <t>Yes: 2. Количество скважин и их фактическое положение соответствует проекту (АДЕ) - 2019-12-18</t>
  </si>
  <si>
    <t>Yes: 3. Качество тампоновки скважины соответсвует проекту (АДЕ) - 2019-12-18</t>
  </si>
  <si>
    <t>Yes: 4. Выполнен геодезический контроль фактического  положения скважин. Положения скважин соответствует проекту (АДЕ) - 2019-12-18</t>
  </si>
  <si>
    <t>Yes: 5. Наличие полного комплекта исполнительной документации, включая акты освидетельствования скрытых работ (АДЕ) - 2019-12-18</t>
  </si>
  <si>
    <t>Yes: 6. - Произведены лабораторные испытания контрольных образцов бетона (образцы-кубы с ребром 100 мм)
Характеристики контрольных образцов соответствуют требованиям РД. (АДЕ) - 2019-12-18</t>
  </si>
  <si>
    <t>Андрей Денисов: Изменена дата начала на 18.12.2019</t>
  </si>
  <si>
    <t>Операционный Контроль Усиления Грунтов В/О Ж-Е/24-26, Д-Е/17-18</t>
  </si>
  <si>
    <t>Yes: 1. Работы проводятся в соответствии с РД, утвержденной в производство работ (АДЕ) - 2019-06-04</t>
  </si>
  <si>
    <t>Yes: 2. Геодезическая разбивка скважин, соответствует проекту (АДЕ) - 2019-06-04</t>
  </si>
  <si>
    <t>Yes: 3. Место установки буровой машины на точку бурения, соответствует проекту (АДЕ) - 2019-06-04</t>
  </si>
  <si>
    <t>Yes: 4. Подготовка штанги-бура и раствора выполняется в соотвествии с проектом (АДЕ) - 2019-06-04</t>
  </si>
  <si>
    <t>Yes: 5. Угол наклона стрелы станка, режим и глубина бурения скважин соответствует проекту (АДЕ) - 2019-06-04</t>
  </si>
  <si>
    <t>Yes: 6. Режим заполнения скважины раствором соответствует проекту (АДЕ) - 2019-06-04</t>
  </si>
  <si>
    <t>Андрей Денисов: Заголовок изменен на Операционный Контроль Усиления Грунтов В/О Ж-Е/24-26, Д-Е/17-18</t>
  </si>
  <si>
    <t>Андрей Денисов: Дата начала изменена на июн. 4, 2019</t>
  </si>
  <si>
    <t>Операционный Контроль Бетонирования Основания Форшахты В/О М-Р/24</t>
  </si>
  <si>
    <t>Yes: 2,1 Перед укладкой бетонной смеси опалубка и арматура очищается сжатым воздухом  (АДЕ) - 2019-07-18</t>
  </si>
  <si>
    <t>Yes: 2,2 Перед укладкой бетонной смеси поверхность опалубки, соприкасающаяся с бетоном, покрывается смазкой (АДЕ) - 2019-07-18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</si>
  <si>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- 2019-07-18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</si>
  <si>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- 2019-07-18</t>
  </si>
  <si>
    <t>Yes: 2,5 Верхний уровень уложенной бетонной смеси ниже верха щитов опалубки на 50-70 мм  (АДЕ) - 2019-07-18</t>
  </si>
  <si>
    <t>Yes: 2,6 Рабочие швы выполняются в соответствии с проектными требованиями (АДЕ) - 2019-07-18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</si>
  <si>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- 2019-07-18</t>
  </si>
  <si>
    <t>Yes: 3,1 Работы выполняются на основе утвержденного ППР (АДЕ) - 2019-07-18</t>
  </si>
  <si>
    <t>Yes: 3,2 Наличие записи в журнале бетонных работ (АДЕ) - 2019-07-18</t>
  </si>
  <si>
    <t>Андрей Денисов: Заголовок изменен на Операционный Контроль Бетонирования Основания Форшахты В/О М-Р/24</t>
  </si>
  <si>
    <t>Операционный Контроль Бетонирования Стен Форшахты В/О М-Р/24</t>
  </si>
  <si>
    <t>Yes: 2,1 Перед укладкой бетонной смеси опалубка и арматура очищается сжатым воздухом  (АДЕ) - 2019-07-19</t>
  </si>
  <si>
    <t>Yes: 2,2 Перед укладкой бетонной смеси поверхность опалубки, соприкасающаяся с бетоном, покрывается смазкой (АДЕ) - 2019-07-19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</si>
  <si>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- 2019-07-19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</si>
  <si>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- 2019-07-19</t>
  </si>
  <si>
    <t>Yes: 2,5 Верхний уровень уложенной бетонной смеси ниже верха щитов опалубки на 50-70 мм  (АДЕ) - 2019-07-19</t>
  </si>
  <si>
    <t>Yes: 2,6 Рабочие швы выполняются в соответствии с проектными требованиями (АДЕ) - 2019-07-19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</si>
  <si>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- 2019-07-19</t>
  </si>
  <si>
    <t>Yes: 3,1 Работы выполняются на основе утвержденного ППР (АДЕ) - 2019-07-19</t>
  </si>
  <si>
    <t>Yes: 3,2 Наличие записи в журнале бетонных работ (АДЕ) - 2019-07-19</t>
  </si>
  <si>
    <t>Андрей Денисов: Заголовок изменен на Операционный Контроль Бетонирования Стен Форшахты В/О М-Р/24</t>
  </si>
  <si>
    <t>Андрей Денисов: Дата начала изменена на июл. 19, 2019</t>
  </si>
  <si>
    <t>Андрей Денисов: Удалено отметить пункт - "1.1 Вертикальный и горизонтальный шаг арматуры соответствует проекту. Отклонение между рядами арматуры не более 10 мм"</t>
  </si>
  <si>
    <t>Андрей Денисов: Удалено отметить пункт - "1.3 Отклонение толщины защитного слоя бетона от проектной не более 15 мм и не менее 5 мм при толщине бетона более 300 мм"</t>
  </si>
  <si>
    <t>Андрей Денисов: Удалено отметить пункт - "1.4 Сварные соединения соответствуют проекту и требованиям ГОСТ 14098—2014"</t>
  </si>
  <si>
    <t>Андрей Денисов: Удалено отметить пункт - "1.5 Закладные элементы , в том числе приспособления для устройства гидроизоляции швов, установлены в соответствии с проектом и закреплены"</t>
  </si>
  <si>
    <t>Операционный Контроль Усиления Грунтов В/О 16-19/Д-Л</t>
  </si>
  <si>
    <t>Yes: 1. Работы проводятся в соответствии с РД, утвержденной в производство работ (АДЕ) - 2019-06-07</t>
  </si>
  <si>
    <t>Yes: 2. Геодезическая разбивка скважин, соответствует проекту (АДЕ) - 2019-06-07</t>
  </si>
  <si>
    <t>Yes: 3. Место установки буровой машины на точку бурения, соответствует проекту (АДЕ) - 2019-06-07</t>
  </si>
  <si>
    <t>Yes: 4. Подготовка штанги-бура и раствора выполняется в соотвествии с проектом (АДЕ) - 2019-06-07</t>
  </si>
  <si>
    <t>Yes: 5. Угол наклона стрелы станка, режим и глубина бурения скважин соответствует проекту (АДЕ) - 2019-06-07</t>
  </si>
  <si>
    <t>Yes: 6. Режим заполнения скважины раствором соответствует проекту (АДЕ) - 2019-06-07</t>
  </si>
  <si>
    <t>Андрей Денисов: Заголовок изменен на Операционный Контроль Усиления Грунтов В/О 16-19/Д-Л</t>
  </si>
  <si>
    <t>Андрей Денисов: Дата начала изменена на июн. 7, 2019</t>
  </si>
  <si>
    <t>Контроль Глубины Траншеи СВГ Зах.35</t>
  </si>
  <si>
    <t>Андрей Денисов: Заголовок изменен на Контроль Глубины Траншеи СВГ Зах.35</t>
  </si>
  <si>
    <t>Операционный Контроль Усиления Фундаментов Цементацией В/0 12/1-13/2/И/1-У</t>
  </si>
  <si>
    <t>о2.8_усиление_фундаментов</t>
  </si>
  <si>
    <t>Yes: 1. Работы производятся в соответствии с РД, утвержденной в производтство работ (АДЕ) - 2019-09-15</t>
  </si>
  <si>
    <t>Yes: 2. При производстве работ используются материалы, прошедший входной контроль (АДЕ) - 2019-09-15</t>
  </si>
  <si>
    <t>Yes: 3. Разметка мест заложения скважин соответствует проекту (АДЕ) - 2019-09-15</t>
  </si>
  <si>
    <t>Yes: 4. Работы по устройству скважины и наполнения раствором на 1-ом этапе соответствуют проекту (АДЕ) - 2019-09-15</t>
  </si>
  <si>
    <t>Yes: 5. Работы по  разбуриванию скважины на 2-ом этапе устройства соответствуют проекту (АДЕ) - 2019-09-15</t>
  </si>
  <si>
    <t>Yes: 6. Работы по заполнению раствором скважины на 2-ом этапе производятся в соответствии с проектом (АДЕ) - 2019-09-15</t>
  </si>
  <si>
    <t>N/A: 7. Тампонирование скважин выполняется в соответствии с проектом (АДЕ) - 2019-09-15</t>
  </si>
  <si>
    <t>Андрей Денисов: Дата начала изменена на сент. 15, 2019</t>
  </si>
  <si>
    <t>Андрей Денисов: Заголовок изменен на Операционный Контроль Усиления Фундаментов Цементацией В/0 12/1-13/2/И/1-У</t>
  </si>
  <si>
    <t>Андрей Денисов: Дата окончания изменена на сент. 14, 2019</t>
  </si>
  <si>
    <t>Бетонирование Захв 59 СВГ</t>
  </si>
  <si>
    <t>Yes: 1.1. Бетонирование производится бетоном, соответствующим проектным требованиям, прошедшим входной контроль (АДЕ) - 2019-10-15</t>
  </si>
  <si>
    <t>Yes: 1.2. Бетонирование захватки произведено непрерывно с двум бетонных труб в соответствии с технологичекими требованиями (АДЕ) - 2019-10-15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</si>
  <si>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- 2019-10-15</t>
  </si>
  <si>
    <t>Yes: 1.4. Демонтаж межсекционных ограничителей из захваток выполнен через 5-6 ч после окончания бетонирования (АДЕ) - 2019-10-15</t>
  </si>
  <si>
    <t>Yes: 1.5. Бетонирование выполнено до момента поднятия уровня чистой смеси до проектной отметки. (АДЕ) - 2019-10-15</t>
  </si>
  <si>
    <t>Yes: 1.6. Контрольные образцы бетонной смеси изготовлены в количестве не менее 6 шт. на партию бетона (АДЕ) - 2019-10-15</t>
  </si>
  <si>
    <t>Yes: 2.1. Произведены записи в общем журнале работ (Раздел 3, раздел 6) по бетонированию, указаны результаты операционного контроля. (АДЕ) - 2019-10-15</t>
  </si>
  <si>
    <t>Yes: 2.2. Оформлен акт освидетельствования скрытых работ на бетонирование захватки СВГ. (АДЕ) - 2019-10-15</t>
  </si>
  <si>
    <t>Yes: Нормативная документация: СП 45.13330.2012 Земляные сооружения, основания и фундаменты (АДЕ) - 2019-10-15</t>
  </si>
  <si>
    <t>Андрей Денисов: Заголовок изменен на Бетонирование Захв 59 СВГ</t>
  </si>
  <si>
    <t>Андрей Денисов: Дата начала изменена на окт. 13, 2019</t>
  </si>
  <si>
    <t>Бетонирование Зах 61 СВГ</t>
  </si>
  <si>
    <t>Андрей Денисов: Заголовок изменен на Бетонирование Зах 61 СВГ</t>
  </si>
  <si>
    <t>Андрей Денисов: Дата начала изменена на окт. 15, 2019</t>
  </si>
  <si>
    <t>Yes: 2,1 Перед укладкой бетонной смеси опалубка и арматура очищается сжатым воздухом  (АДЕ) - 2019-10-15</t>
  </si>
  <si>
    <t>Yes: 2,2 Перед укладкой бетонной смеси поверхность опалубки, соприкасающаяся с бетоном, покрывается смазкой (АДЕ) - 2019-10-15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</si>
  <si>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- 2019-10-15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</si>
  <si>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- 2019-10-15</t>
  </si>
  <si>
    <t>Yes: 2,5 Верхний уровень уложенной бетонной смеси ниже верха щитов опалубки на 50-70 мм  (АДЕ) - 2019-10-15</t>
  </si>
  <si>
    <t>Yes: 2,6 Рабочие швы выполняются в соответствии с проектными требованиями (АДЕ) - 2019-10-15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</si>
  <si>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- 2019-10-15</t>
  </si>
  <si>
    <t>Yes: 3,1 Работы выполняются на основе утвержденного ППР (АДЕ) - 2019-10-15</t>
  </si>
  <si>
    <t>Yes: 3,2 Наличие записи в журнале бетонных работ (АДЕ) - 2019-10-15</t>
  </si>
  <si>
    <t>Бетонирование Захв 60 Свг</t>
  </si>
  <si>
    <t>Андрей Денисов: Заголовок изменен на Бетонирование Захв 60 Свг</t>
  </si>
  <si>
    <t>Андрей Денисов: Дата начала изменена на окт. 14, 2019</t>
  </si>
  <si>
    <t>Стыковка Бетонного Ограничителя Зах. 27</t>
  </si>
  <si>
    <t>Андрей Денисов: Заголовок изменен на Стыковка Бетонного Ограничителя Зах. 27</t>
  </si>
  <si>
    <t>Бетонирование Стена В Грунте Захв.27</t>
  </si>
  <si>
    <t>Yes: 1.1. Бетонирование производится бетоном, соответствующим проектным требованиям, прошедшим входной контроль (АДЕ) - 2019-09-15</t>
  </si>
  <si>
    <t>Yes: 1.2. Бетонирование захватки произведено непрерывно с двум бетонных труб в соответствии с технологичекими требованиями (АДЕ) - 2019-09-15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</si>
  <si>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- 2019-09-15</t>
  </si>
  <si>
    <t>N/A: 1.4. Демонтаж межсекционных ограничителей из захваток выполнен через 5-6 ч после окончания бетонирования (АДЕ) - 2019-09-15</t>
  </si>
  <si>
    <t>Yes: 1.5. Бетонирование выполнено до момента поднятия уровня чистой смеси до проектной отметки. (АДЕ) - 2019-09-15</t>
  </si>
  <si>
    <t>Yes: 1.6. Контрольные образцы бетонной смеси изготовлены в количестве не менее 6 шт. на партию бетона (АДЕ) - 2019-09-15</t>
  </si>
  <si>
    <t>Yes: 2.1. Произведены записи в общем журнале работ (Раздел 3, раздел 6) по бетонированию, указаны результаты операционного контроля. (АДЕ) - 2019-09-15</t>
  </si>
  <si>
    <t>No: 2.2. Оформлен акт освидетельствования скрытых работ на бетонирование захватки СВГ. (АДЕ) - 2019-09-15</t>
  </si>
  <si>
    <t>Yes: Нормативная документация: СП 45.13330.2012 Земляные сооружения, основания и фундаменты (АДЕ) - 2019-09-15</t>
  </si>
  <si>
    <t>Андрей Денисов: Заголовок изменен на Бетонирование Стена В Грунте Захв.27</t>
  </si>
  <si>
    <t>Андрей Денисов: Удалено отметить пункт - "3,2 Наличие записи в журнале бетонных работ"</t>
  </si>
  <si>
    <t>Андрей Денисов: Удалено отметить пункт - "3,1 Работы выполняются на основе утвержденного ППР"</t>
  </si>
  <si>
    <t>Андрей Денисов: Удалено отметить пункт - "2,6 Рабочие швы выполняются в соответствии с проектными требованиями"</t>
  </si>
  <si>
    <t>Андрей Денисов: Удалено отметить пункт - "2,5 Верхний уровень уложенной бетонной смеси ниже верха щитов опалубки на 50-70 мм "</t>
  </si>
  <si>
    <t>Андрей Денисов: Удалено отметить пункт - "2,4 Толщина укладываемых слоев бетонной смеси при уплотнении смеси ручными глубинными вибраторами не более 1,25 длины рабочей части вибратора"</t>
  </si>
  <si>
    <t>Андрей Денисов: Удалено отметить пункт - "2,3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слоях"</t>
  </si>
  <si>
    <t>Андрей Денисов: Удалено отметить пункт - "2,2 Перед укладкой бетонной смеси поверхность опалубки, соприкасающаяся с бетоном, покрывается смазкой"</t>
  </si>
  <si>
    <t>Андрей Денисов: Удалено отметить пункт - "2,1 Перед укладкой бетонной смеси опалубка и арматура очищается сжатым воздухом "</t>
  </si>
  <si>
    <t>Стыковка Армокаркаса Зах. 27</t>
  </si>
  <si>
    <t>Андрей Денисов: Заголовок изменен на Стыковка Армокаркаса Зах. 27</t>
  </si>
  <si>
    <t>Операционный Контроль Усиления Грунтов В/О 18/1/Т</t>
  </si>
  <si>
    <t>Yes: 1. Работы проводятся в соответствии с РД, утвержденной в производство работ (АДЕ) - 2019-08-17</t>
  </si>
  <si>
    <t>Yes: 2. Геодезическая разбивка скважин, соответствует проекту (АДЕ) - 2019-08-17</t>
  </si>
  <si>
    <t>Yes: 3. Место установки буровой машины на точку бурения, соответствует проекту (АДЕ) - 2019-08-17</t>
  </si>
  <si>
    <t>Yes: 4. Подготовка штанги-бура и раствора выполняется в соотвествии с проектом (АДЕ) - 2019-08-17</t>
  </si>
  <si>
    <t>Yes: 5. Угол наклона стрелы станка, режим и глубина бурения скважин соответствует проекту (АДЕ) - 2019-08-17</t>
  </si>
  <si>
    <t>Yes: 6. Режим заполнения скважины раствором соответствует проекту (АДЕ) - 2019-08-17</t>
  </si>
  <si>
    <t>Андрей Денисов: Заголовок изменен на Операционный Контроль Усиления Грунтов В/О 18/1/Т</t>
  </si>
  <si>
    <t>Андрей Денисов: Дата начала изменена на авг. 17, 2019</t>
  </si>
  <si>
    <t>Контроль Глубины Траншеи СВГ 31 Захв. Контроль Бентонитового Раствора</t>
  </si>
  <si>
    <t>п1.6_свг._устройство_траншеи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</si>
  <si>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- 2019-08-17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</si>
  <si>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- 2019-08-17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</si>
  <si>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- 2019-08-17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</si>
  <si>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- 2019-08-17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</si>
  <si>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- 2019-08-17</t>
  </si>
  <si>
    <t>Yes: 2.1. Произведена запись в общий журнал работ (п.15.5.5 СП 70.13330) (АДЕ) - 2019-08-17</t>
  </si>
  <si>
    <t>Yes: Нормативная документация: СП 45.13330.2012 Земляные сооружения, основания и фундаменты (АДЕ) - 2019-08-17</t>
  </si>
  <si>
    <t>Андрей Денисов: Заголовок изменен на Контроль Глубины Траншеи СВГ 31 Захв. Контроль Бентонитового Раствора</t>
  </si>
  <si>
    <t>Операционный Контроль Усиления Грунтов В/О 21-22/А-Б</t>
  </si>
  <si>
    <t>Yes: 1. Работы проводятся в соответствии с РД, утвержденной в производство работ (АДЕ) - 2019-07-03</t>
  </si>
  <si>
    <t>Yes: 2. Геодезическая разбивка скважин, соответствует проекту (АДЕ) - 2019-07-03</t>
  </si>
  <si>
    <t>Yes: 3. Место установки буровой машины на точку бурения, соответствует проекту (АДЕ) - 2019-07-03</t>
  </si>
  <si>
    <t>Yes: 4. Подготовка штанги-бура и раствора выполняется в соотвествии с проектом (АДЕ) - 2019-07-03</t>
  </si>
  <si>
    <t>Yes: 5. Угол наклона стрелы станка, режим и глубина бурения скважин соответствует проекту (АДЕ) - 2019-07-03</t>
  </si>
  <si>
    <t>Yes: 6. Режим заполнения скважины раствором соответствует проекту (АДЕ) - 2019-07-03</t>
  </si>
  <si>
    <t>Андрей Денисов: Заголовок изменен на Операционный Контроль Усиления Грунтов В/О 21-22/А-Б</t>
  </si>
  <si>
    <t>Андрей Денисов: Дата начала изменена на июл. 3, 2019</t>
  </si>
  <si>
    <t>Операционный Контроль Усиления Фундаментов В/О 27/К-Л, 22/1-26/Т/1-У</t>
  </si>
  <si>
    <t>Yes: 1. Работы производятся в соответствии с РД, утвержденной в производтство работ (АДЕ) - 2019-07-22</t>
  </si>
  <si>
    <t>Yes: 2. При производстве работ используются материалы, прошедший входной контроль (АДЕ) - 2019-07-22</t>
  </si>
  <si>
    <t>Yes: 3. Разметка мест заложения скважин соответствует проекту (АДЕ) - 2019-07-22</t>
  </si>
  <si>
    <t>Yes: 4. Работы по устройству скважины и наполнения раствором на 1-ом этапе соответствуют проекту (АДЕ) - 2019-07-22</t>
  </si>
  <si>
    <t>Yes: 5. Работы по  разбуриванию скважины на 2-ом этапе устройства соответствуют проекту (АДЕ) - 2019-07-22</t>
  </si>
  <si>
    <t>Yes: 6. Работы по заполнению раствором скважины на 2-ом этапе производятся в соответствии с проектом (АДЕ) - 2019-07-22</t>
  </si>
  <si>
    <t>N/A: 7. Тампонирование скважин выполняется в соответствии с проектом (АДЕ) - 2019-07-22</t>
  </si>
  <si>
    <t>Андрей Денисов: Заголовок изменен на Операционный Контроль Усиления Фундаментов В/О 27/К-Л, 22/1-26/Т/1-У</t>
  </si>
  <si>
    <t>Андрей Денисов: Дата начала изменена на июл. 22, 2019</t>
  </si>
  <si>
    <t>Армирование Форшахты 19/2-21/Д</t>
  </si>
  <si>
    <t>Yes: 1.1 Вертикальный и горизонтальный шаг арматуры соответствует проекту. Отклонение между рядами арматуры не более 10 мм (АДЕ) - 2019-07-05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</si>
  <si>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- 2019-07-05</t>
  </si>
  <si>
    <t>Yes: 1.3 Отклонение толщины защитного слоя бетона от проектной не более 15 мм и не менее 5 мм при толщине бетона более 300 мм (АДЕ) - 2019-07-05</t>
  </si>
  <si>
    <t>N/A: 1.4 Сварные соединения соответствуют проекту и требованиям ГОСТ 14098—2014 (АДЕ) - 2019-07-05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</si>
  <si>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(АДЕ) - 2019-07-05</t>
  </si>
  <si>
    <t>Yes: 2.1 Наличие записи в общем журнале работ (АДЕ) - 2019-07-05</t>
  </si>
  <si>
    <t>Yes: 3.1 Разрешается проведение последующих работ по устройству опалубки  или бетонированию конструкции (АДЕ) - 2019-07-05</t>
  </si>
  <si>
    <t>Андрей Денисов: Заголовок изменен на Армирование Форшахты 19/2-21/Д</t>
  </si>
  <si>
    <t>Операционный Контроль Бетонирования Основания Форшахты В/О 21/1-22/1/Т/1</t>
  </si>
  <si>
    <t>Yes: 2,1 Перед укладкой бетонной смеси опалубка и арматура очищается сжатым воздухом  (АДЕ) - 2019-08-17</t>
  </si>
  <si>
    <t>Yes: 2,2 Перед укладкой бетонной смеси поверхность опалубки, соприкасающаяся с бетоном, покрывается смазкой (АДЕ) - 2019-08-17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</si>
  <si>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- 2019-08-17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</si>
  <si>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- 2019-08-17</t>
  </si>
  <si>
    <t>Yes: 2,5 Верхний уровень уложенной бетонной смеси ниже верха щитов опалубки на 50-70 мм  (АДЕ) - 2019-08-17</t>
  </si>
  <si>
    <t>Yes: 2,6 Рабочие швы выполняются в соответствии с проектными требованиями (АДЕ) - 2019-08-17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</si>
  <si>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- 2019-08-17</t>
  </si>
  <si>
    <t>Yes: 3,1 Работы выполняются на основе утвержденного ППР (АДЕ) - 2019-08-17</t>
  </si>
  <si>
    <t>Yes: 3,2 Наличие записи в журнале бетонных работ (АДЕ) - 2019-08-17</t>
  </si>
  <si>
    <t>Андрей Денисов: Заголовок изменен на Операционный Контроль Бетонирования Основания Форшахты В/О 21/1-22/1/Т/1</t>
  </si>
  <si>
    <t>Yes: 1. Работы производятся в соответствии с РД, утвержденной в производтство работ (АДЕ) - 2019-07-06</t>
  </si>
  <si>
    <t>Yes: 2. При производстве работ используются материалы, прошедший входной контроль (АДЕ) - 2019-07-06</t>
  </si>
  <si>
    <t>Yes: 3. Разметка мест заложения скважин соответствует проекту (АДЕ) - 2019-07-06</t>
  </si>
  <si>
    <t>Yes: 4. Работы по устройству скважины и наполнения раствором на 1-ом этапе соответствуют проекту (АДЕ) - 2019-07-06</t>
  </si>
  <si>
    <t>Yes: 5. Работы по  разбуриванию скважины на 2-ом этапе устройства соответствуют проекту (АДЕ) - 2019-07-06</t>
  </si>
  <si>
    <t>Yes: 6. Работы по заполнению раствором скважины на 2-ом этапе производятся в соответствии с проектом (АДЕ) - 2019-07-06</t>
  </si>
  <si>
    <t>N/A: 7. Тампонирование скважин выполняется в соответствии с проектом (АДЕ) - 2019-07-06</t>
  </si>
  <si>
    <t>Операционный Контроль Бетонирования Стен Форшахты 20-22/Д</t>
  </si>
  <si>
    <t>Yes: 2,1 Перед укладкой бетонной смеси опалубка и арматура очищается сжатым воздухом  (АДЕ) - 2019-07-06</t>
  </si>
  <si>
    <t>Yes: 2,2 Перед укладкой бетонной смеси поверхность опалубки, соприкасающаяся с бетоном, покрывается смазкой (АДЕ) - 2019-07-06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</si>
  <si>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- 2019-07-06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</si>
  <si>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- 2019-07-06</t>
  </si>
  <si>
    <t>Yes: 2,5 Верхний уровень уложенной бетонной смеси ниже верха щитов опалубки на 50-70 мм  (АДЕ) - 2019-07-06</t>
  </si>
  <si>
    <t>Yes: 2,6 Рабочие швы выполняются в соответствии с проектными требованиями (АДЕ) - 2019-07-06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</si>
  <si>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- 2019-07-06</t>
  </si>
  <si>
    <t>Yes: 3,1 Работы выполняются на основе утвержденного ППР (АДЕ) - 2019-07-06</t>
  </si>
  <si>
    <t>Yes: 3,2 Наличие записи в журнале бетонных работ (АДЕ) - 2019-07-06</t>
  </si>
  <si>
    <t>Андрей Денисов: Заголовок изменен на Операционный Контроль Бетонирования Стен Форшахты 20-22/Д</t>
  </si>
  <si>
    <t>Yes: 1. Работы проводятся в соответствии с РД, утвержденной в производство работ (АДЕ) - 2019-07-06</t>
  </si>
  <si>
    <t>Yes: 2. Геодезическая разбивка скважин, соответствует проекту (АДЕ) - 2019-07-06</t>
  </si>
  <si>
    <t>Yes: 3. Место установки буровой машины на точку бурения, соответствует проекту (АДЕ) - 2019-07-06</t>
  </si>
  <si>
    <t>Yes: 4. Подготовка штанги-бура и раствора выполняется в соотвествии с проектом (АДЕ) - 2019-07-06</t>
  </si>
  <si>
    <t>Yes: 5. Угол наклона стрелы станка, режим и глубина бурения скважин соответствует проекту (АДЕ) - 2019-07-06</t>
  </si>
  <si>
    <t>Yes: 6. Режим заполнения скважины раствором соответствует проекту (АДЕ) - 2019-07-06</t>
  </si>
  <si>
    <t>Андрей Денисов: Заголовок изменен на Операционный Контроль Усиления Грунтов В/О 27/И-Ж, 17-18/Л-М</t>
  </si>
  <si>
    <t>Закрепление Грунтов Под Фундаментами 8/1/Е/1-И/1</t>
  </si>
  <si>
    <t>Yes: 1. Работы проводятся в соответствии с РД, утвержденной в производство работ (АДЕ) - 2019-11-22</t>
  </si>
  <si>
    <t>Yes: 2. Геодезическая разбивка скважин, соответствует проекту (АДЕ) - 2019-11-22</t>
  </si>
  <si>
    <t>Yes: 3. Место установки буровой машины на точку бурения, соответствует проекту (АДЕ) - 2019-11-22</t>
  </si>
  <si>
    <t>Yes: 4. Подготовка штанги-бура и раствора выполняется в соотвествии с проектом (АДЕ) - 2019-11-22</t>
  </si>
  <si>
    <t>Yes: 5. Угол наклона стрелы станка, режим и глубина бурения скважин соответствует проекту (АДЕ) - 2019-11-22</t>
  </si>
  <si>
    <t>Yes: 6. Режим заполнения скважины раствором соответствует проекту (АДЕ) - 2019-11-22</t>
  </si>
  <si>
    <t>Андрей Денисов: Заголовок изменен на Закрепление Грунтов Под Фундаментами 8/1/Е/1-И/1</t>
  </si>
  <si>
    <t>Операционный Контроль Усиления Фундаментов Цементацией В/О 19-27/А-Р</t>
  </si>
  <si>
    <t>Yes: 1. Работы производятся в соответствии с РД, утвержденной в производтство работ (АДЕ) - 2019-05-03</t>
  </si>
  <si>
    <t>Yes: 2. При производстве работ используются материалы, прошедший входной контроль (АДЕ) - 2019-05-03</t>
  </si>
  <si>
    <t>Yes: 3. Разметка мест заложения скважин соответствует проекту (АДЕ) - 2019-05-03</t>
  </si>
  <si>
    <t>Yes: 4. Работы по устройству скважины и наполнения раствором на 1-ом этапе соответствуют проекту (АДЕ) - 2019-05-03</t>
  </si>
  <si>
    <t>Yes: 5. Работы по  разбуриванию скважины на 2-ом этапе устройства соответствуют проекту (АДЕ) - 2019-05-03</t>
  </si>
  <si>
    <t>Yes: 6. Работы по заполнению раствором скважины на 2-ом этапе производятся в соответствии с проектом (АДЕ) - 2019-05-03</t>
  </si>
  <si>
    <t>N/A: 7. Тампонирование скважин выполняется в соответствии с проектом (АДЕ) - 2019-05-03</t>
  </si>
  <si>
    <t>Андрей Денисов: Заголовок изменен на Операционный Контроль Усиления Фундаментов Цементацией В/О 19-27/А-Р</t>
  </si>
  <si>
    <t>Андрей Денисов: Дата начала изменена на мая 3, 2019</t>
  </si>
  <si>
    <t>Операционный Контроль Закрепления Грунтов В/О 25/Т-У</t>
  </si>
  <si>
    <t>Yes: 1. Работы проводятся в соответствии с РД, утвержденной в производство работ (АДЕ) - 2019-07-24</t>
  </si>
  <si>
    <t>Yes: 2. Геодезическая разбивка скважин, соответствует проекту (АДЕ) - 2019-07-24</t>
  </si>
  <si>
    <t>Yes: 3. Место установки буровой машины на точку бурения, соответствует проекту (АДЕ) - 2019-07-24</t>
  </si>
  <si>
    <t>Yes: 4. Подготовка штанги-бура и раствора выполняется в соотвествии с проектом (АДЕ) - 2019-07-24</t>
  </si>
  <si>
    <t>Yes: 5. Угол наклона стрелы станка, режим и глубина бурения скважин соответствует проекту (АДЕ) - 2019-07-24</t>
  </si>
  <si>
    <t>Yes: 6. Режим заполнения скважины раствором соответствует проекту (АДЕ) - 2019-07-24</t>
  </si>
  <si>
    <t>Андрей Денисов: Заголовок изменен на Операционный Контроль Закрепления Грунтов В/О 25/Т-У</t>
  </si>
  <si>
    <t>Андрей Денисов: Дата начала изменена на июл. 24, 2019</t>
  </si>
  <si>
    <t>Стыковка И Погружение БО Зах.37</t>
  </si>
  <si>
    <t>Андрей Денисов: Заголовок изменен на Стыковка И Погружение БО Зах.37</t>
  </si>
  <si>
    <t>Андрей Денисов: Дата начала изменена на июл. 23, 2019</t>
  </si>
  <si>
    <t>Операционный Контроль Армирования Форшахты В/О Л-И/19/2</t>
  </si>
  <si>
    <t>Yes: 1.1 Вертикальный и горизонтальный шаг арматуры соответствует проекту. Отклонение между рядами арматуры не более 10 мм (АДЕ) - 2019-07-08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</si>
  <si>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- 2019-07-08</t>
  </si>
  <si>
    <t>Yes: 1.3 Отклонение толщины защитного слоя бетона от проектной не более 15 мм и не менее 5 мм при толщине бетона более 300 мм (АДЕ) - 2019-07-08</t>
  </si>
  <si>
    <t>N/A: 1.4 Сварные соединения соответствуют проекту и требованиям ГОСТ 14098—2014 (АДЕ) - 2019-07-08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</si>
  <si>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(АДЕ) - 2019-07-08</t>
  </si>
  <si>
    <t>Yes: 2.1 Наличие записи в общем журнале работ (АДЕ) - 2019-07-08</t>
  </si>
  <si>
    <t>Yes: 3.1 Разрешается проведение последующих работ по устройству опалубки  или бетонированию конструкции (АДЕ) - 2019-07-08</t>
  </si>
  <si>
    <t>Андрей Денисов: Заголовок изменен на Операционный Контроль Армирования Форшахты</t>
  </si>
  <si>
    <t>Андрей Денисов: Заголовок изменен на Операционный Контроль Армирования Форшахты В/О Л-И/19/2</t>
  </si>
  <si>
    <t>Операционный Контроль Бетонирования Основания Форшахты В/О Л-И/19/2</t>
  </si>
  <si>
    <t>Yes: 2,1 Перед укладкой бетонной смеси опалубка и арматура очищается сжатым воздухом  (АДЕ) - 2019-07-08</t>
  </si>
  <si>
    <t>Yes: 2,2 Перед укладкой бетонной смеси поверхность опалубки, соприкасающаяся с бетоном, покрывается смазкой (АДЕ) - 2019-07-08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</si>
  <si>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- 2019-07-08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</si>
  <si>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- 2019-07-08</t>
  </si>
  <si>
    <t>Yes: 2,5 Верхний уровень уложенной бетонной смеси ниже верха щитов опалубки на 50-70 мм  (АДЕ) - 2019-07-08</t>
  </si>
  <si>
    <t>Yes: 2,6 Рабочие швы выполняются в соответствии с проектными требованиями (АДЕ) - 2019-07-08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</si>
  <si>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- 2019-07-08</t>
  </si>
  <si>
    <t>Yes: 3,1 Работы выполняются на основе утвержденного ППР (АДЕ) - 2019-07-08</t>
  </si>
  <si>
    <t>Yes: 3,2 Наличие записи в журнале бетонных работ (АДЕ) - 2019-07-08</t>
  </si>
  <si>
    <t>Андрей Денисов: Заголовок изменен на Операционный Контроль Бетонирования Основания Форшахты В/О Л-И/19/2</t>
  </si>
  <si>
    <t>Операционный Контроль Усиления Грунтов В/О Н-М/19-18</t>
  </si>
  <si>
    <t>Yes: 1. При производстве работ использовались материалы, прошедший входной контроль (АДЕ) - 2019-07-25</t>
  </si>
  <si>
    <t>Yes: 2. Количество скважин и их фактическое положение соответствует проекту (АДЕ) - 2019-07-25</t>
  </si>
  <si>
    <t>Yes: 3. Качество тампоновки скважины соответсвует проекту (АДЕ) - 2019-07-25</t>
  </si>
  <si>
    <t>Yes: 4. Выполнен геодезический контроль фактического  положения скважин. Положения скважин соответствует проекту (АДЕ) - 2019-07-25</t>
  </si>
  <si>
    <t>N/A: 5. Наличие полного комплекта исполнительной документации, включая акты освидетельствования скрытых работ (АДЕ) - 2019-07-25</t>
  </si>
  <si>
    <t>Андрей Денисов: Заголовок изменен на Операционный Контроль Усиления Грунтов В/О Н-М/19-18</t>
  </si>
  <si>
    <t>Операционный Контроль Бетонирования Стен Форшахты В/О Л/1-М/22-23</t>
  </si>
  <si>
    <t>Yes: 2,1 Перед укладкой бетонной смеси опалубка и арматура очищается сжатым воздухом  (АДЕ) - 2019-07-25</t>
  </si>
  <si>
    <t>Yes: 2,2 Перед укладкой бетонной смеси поверхность опалубки, соприкасающаяся с бетоном, покрывается смазкой (АДЕ) - 2019-07-25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</si>
  <si>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- 2019-07-25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</si>
  <si>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- 2019-07-25</t>
  </si>
  <si>
    <t>Yes: 2,5 Верхний уровень уложенной бетонной смеси ниже верха щитов опалубки на 50-70 мм  (АДЕ) - 2019-07-25</t>
  </si>
  <si>
    <t>Yes: 2,6 Рабочие швы выполняются в соответствии с проектными требованиями (АДЕ) - 2019-07-25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</si>
  <si>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- 2019-07-25</t>
  </si>
  <si>
    <t>Yes: 3,1 Работы выполняются на основе утвержденного ППР (АДЕ) - 2019-07-25</t>
  </si>
  <si>
    <t>Yes: 3,2 Наличие записи в журнале бетонных работ (АДЕ) - 2019-07-25</t>
  </si>
  <si>
    <t>Андрей Денисов: Заголовок изменен на Операционный Контроль Бетонирования Стен Форшахты В/О Л/1-М/22-23</t>
  </si>
  <si>
    <t>Операционный Контроль Усиления Фундаментов Цементацией В/О 18/1-21/1/У-Т, 4-9/Б-Г</t>
  </si>
  <si>
    <t>Yes: 1. Работы производятся в соответствии с РД, утвержденной в производтство работ (АДЕ) - 2019-07-26</t>
  </si>
  <si>
    <t>Yes: 2. При производстве работ используются материалы, прошедший входной контроль (АДЕ) - 2019-07-26</t>
  </si>
  <si>
    <t>Yes: 3. Разметка мест заложения скважин соответствует проекту (АДЕ) - 2019-07-26</t>
  </si>
  <si>
    <t>Yes: 4. Работы по устройству скважины и наполнения раствором на 1-ом этапе соответствуют проекту (АДЕ) - 2019-07-26</t>
  </si>
  <si>
    <t>Yes: 5. Работы по  разбуриванию скважины на 2-ом этапе устройства соответствуют проекту (АДЕ) - 2019-07-26</t>
  </si>
  <si>
    <t>Yes: 6. Работы по заполнению раствором скважины на 2-ом этапе производятся в соответствии с проектом (АДЕ) - 2019-07-26</t>
  </si>
  <si>
    <t>N/A: 7. Тампонирование скважин выполняется в соответствии с проектом (АДЕ) - 2019-07-26</t>
  </si>
  <si>
    <t>Андрей Денисов: Заголовок изменен на Операционный Контроль Усиления Фундаментов Цементацией В/О 18/1-21/1/У-Т, 4-9/Б-Г</t>
  </si>
  <si>
    <t>Закрепление Грунтов Под Фундаментами 10-12/1/Е/1-У</t>
  </si>
  <si>
    <t>Андрей Денисов: Заголовок изменен на Закрепление Грунтов Под Фундаментами 10-12/1/Е/1-У</t>
  </si>
  <si>
    <t>Андрей Денисов: Дата начала изменена на нояб. 22, 2019</t>
  </si>
  <si>
    <t>Усиление Фундаментов Цементацией В/О 17-18/А, 23-24/А</t>
  </si>
  <si>
    <t>Yes: 1. Работы производятся в соответствии с РД, утвержденной в производтство работ (АДЕ) - 2019-10-16</t>
  </si>
  <si>
    <t>Yes: 2. При производстве работ используются материалы, прошедший входной контроль (АДЕ) - 2019-10-16</t>
  </si>
  <si>
    <t>Yes: 3. Разметка мест заложения скважин соответствует проекту (АДЕ) - 2019-10-16</t>
  </si>
  <si>
    <t>Yes: 4. Работы по устройству скважины и наполнения раствором на 1-ом этапе соответствуют проекту (АДЕ) - 2019-10-16</t>
  </si>
  <si>
    <t>Yes: 5. Работы по  разбуриванию скважины на 2-ом этапе устройства соответствуют проекту (АДЕ) - 2019-10-16</t>
  </si>
  <si>
    <t>Yes: 6. Работы по заполнению раствором скважины на 2-ом этапе производятся в соответствии с проектом (АДЕ) - 2019-10-16</t>
  </si>
  <si>
    <t>N/A: 7. Тампонирование скважин выполняется в соответствии с проектом (АДЕ) - 2019-10-16</t>
  </si>
  <si>
    <t>Андрей Денисов: Дата начала изменена на окт. 16, 2019</t>
  </si>
  <si>
    <t>Андрей Денисов: Заголовок изменен на Усиление Фундаментов Цементацией В/О 17-18/А, 23-24/А</t>
  </si>
  <si>
    <t>Бетонирование Захв 9</t>
  </si>
  <si>
    <t>Yes: 1.1. Бетонирование производится бетоном, соответствующим проектным требованиям, прошедшим входной контроль (АДЕ) - 2019-10-16</t>
  </si>
  <si>
    <t>Yes: 1.2. Бетонирование захватки произведено непрерывно с двум бетонных труб в соответствии с технологичекими требованиями (АДЕ) - 2019-10-16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</si>
  <si>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- 2019-10-16</t>
  </si>
  <si>
    <t>Yes: 1.4. Демонтаж межсекционных ограничителей из захваток выполнен через 5-6 ч после окончания бетонирования (АДЕ) - 2019-10-16</t>
  </si>
  <si>
    <t>Yes: 1.5. Бетонирование выполнено до момента поднятия уровня чистой смеси до проектной отметки. (АДЕ) - 2019-10-16</t>
  </si>
  <si>
    <t>Yes: 1.6. Контрольные образцы бетонной смеси изготовлены в количестве не менее 6 шт. на партию бетона (АДЕ) - 2019-10-16</t>
  </si>
  <si>
    <t>Yes: 2.1. Произведены записи в общем журнале работ (Раздел 3, раздел 6) по бетонированию, указаны результаты операционного контроля. (АДЕ) - 2019-10-16</t>
  </si>
  <si>
    <t>Yes: 2.2. Оформлен акт освидетельствования скрытых работ на бетонирование захватки СВГ. (АДЕ) - 2019-10-16</t>
  </si>
  <si>
    <t>Yes: Нормативная документация: СП 45.13330.2012 Земляные сооружения, основания и фундаменты (АДЕ) - 2019-10-16</t>
  </si>
  <si>
    <t>Андрей Денисов: Заголовок изменен на Бетонирование Захв 9</t>
  </si>
  <si>
    <t>Бетонирование СВГ ЗАЗ. 28</t>
  </si>
  <si>
    <t>Yes: 1.1. Бетонирование производится бетоном, соответствующим проектным требованиям, прошедшим входной контроль (АДЕ) - 2019-09-17</t>
  </si>
  <si>
    <t>Yes: 1.2. Бетонирование захватки произведено непрерывно с двум бетонных труб в соответствии с технологичекими требованиями (АДЕ) - 2019-09-17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</si>
  <si>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- 2019-09-17</t>
  </si>
  <si>
    <t>N/A: 1.4. Демонтаж межсекционных ограничителей из захваток выполнен через 5-6 ч после окончания бетонирования (АДЕ) - 2019-09-17</t>
  </si>
  <si>
    <t>Yes: 1.5. Бетонирование выполнено до момента поднятия уровня чистой смеси до проектной отметки. (АДЕ) - 2019-09-17</t>
  </si>
  <si>
    <t>Yes: 1.6. Контрольные образцы бетонной смеси изготовлены в количестве не менее 6 шт. на партию бетона (АДЕ) - 2019-09-17</t>
  </si>
  <si>
    <t>Yes: 2.1. Произведены записи в общем журнале работ (Раздел 3, раздел 6) по бетонированию, указаны результаты операционного контроля. (АДЕ) - 2019-09-17</t>
  </si>
  <si>
    <t>N/A: 2.2. Оформлен акт освидетельствования скрытых работ на бетонирование захватки СВГ. (АДЕ) - 2019-09-17</t>
  </si>
  <si>
    <t>Yes: Нормативная документация: СП 45.13330.2012 Земляные сооружения, основания и фундаменты (АДЕ) - 2019-09-17</t>
  </si>
  <si>
    <t>Андрей Денисов: Заголовок изменен на Бетонирование СВГ ЗАЗ. 28</t>
  </si>
  <si>
    <t>Андрей Денисов: Дата начала изменена на сент. 16, 2019</t>
  </si>
  <si>
    <t>Операционный Контроль Устройства Обмазочной Гидроизоляции Стен 1слой В/О 1-2/У</t>
  </si>
  <si>
    <t>п_2.12_гидроизоляция_фундаментов</t>
  </si>
  <si>
    <t>Yes: 2,1. Применен материал, успешно прошедший входной контроль и соответствует требованиям РД (АДЕ) - 2019-08-20</t>
  </si>
  <si>
    <t>Yes: 2,2. Нанесение гидроизоляции выполнено в соответствии с технологией производителя, технологической картой или ППР (СП 45.13330.2017 П.15.1) (АДЕ) - 2019-08-20</t>
  </si>
  <si>
    <t>Yes: 2,3. Толщина слоя соответствует требованиям РД (АДЕ) - 2019-08-20</t>
  </si>
  <si>
    <t>Yes: 2,4. На поверхности гидроизоляции отсутствует снег, наледь (СП 45.13330.2017 П.15.3) (АДЕ) - 2019-08-20</t>
  </si>
  <si>
    <t>Yes: 3,1. Наличие записей в общем журнале работ и журнале входного контроля поступаемых материалов/оборудования (РД 11-05-2007, СП 48.13330.2011 П.7.1.3) (АДЕ) - 2019-08-20</t>
  </si>
  <si>
    <t>N/A: 3,2. Наличие актов освидетельствования скрытых работ (АДЕ) - 2019-08-20</t>
  </si>
  <si>
    <t>Андрей Денисов: Заголовок изменен на Операционный Контроль Устройства Обмазочной Гидроизоляции Стен 1слой В/О 1-2/У</t>
  </si>
  <si>
    <t>Андрей Денисов: Дата начала изменена на авг. 20, 2019</t>
  </si>
  <si>
    <t>Стыковка Арматурного Каркаса Зах. 28</t>
  </si>
  <si>
    <t>Андрей Денисов: Заголовок изменен на Стыковка Арматурного Каркаса Зах. 28</t>
  </si>
  <si>
    <t>Бетонирование Форшахты В/О 19-21/М-Н</t>
  </si>
  <si>
    <t>Yes: 2,1 Перед укладкой бетонной смеси опалубка и арматура очищается сжатым воздухом  (АДЕ) - 2019-09-17</t>
  </si>
  <si>
    <t>Yes: 2,2 Перед укладкой бетонной смеси поверхность опалубки, соприкасающаяся с бетоном, покрывается смазкой (АДЕ) - 2019-09-17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</si>
  <si>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- 2019-09-17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</si>
  <si>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- 2019-09-17</t>
  </si>
  <si>
    <t>Yes: 2,5 Верхний уровень уложенной бетонной смеси ниже верха щитов опалубки на 50-70 мм  (АДЕ) - 2019-09-17</t>
  </si>
  <si>
    <t>Yes: 2,6 Рабочие швы выполняются в соответствии с проектными требованиями (АДЕ) - 2019-09-17</t>
  </si>
  <si>
    <t>N/A: 2,7 Производится отбор проб контрольных образцов бетона для определения фактических показателей качества бетона конструкций  (АДЕ) - 2019-09-17</t>
  </si>
  <si>
    <t>Yes: 3,1 Работы выполняются на основе утвержденного ППР (АДЕ) - 2019-09-17</t>
  </si>
  <si>
    <t>Yes: 3,2 Наличие записи в журнале бетонных работ (АДЕ) - 2019-09-17</t>
  </si>
  <si>
    <t>Андрей Денисов: Заголовок изменен на Бетонирование Форшахты В/О 19-21/М-Н</t>
  </si>
  <si>
    <t>Операционный Контроль Усиления Фундаментов Цементацией 4/1-8/1/И/1-К/1</t>
  </si>
  <si>
    <t>Yes: 1. Работы производятся в соответствии с РД, утвержденной в производтство работ (АДЕ) - 2019-09-17</t>
  </si>
  <si>
    <t>Yes: 2. При производстве работ используются материалы, прошедший входной контроль (АДЕ) - 2019-09-17</t>
  </si>
  <si>
    <t>Yes: 3. Разметка мест заложения скважин соответствует проекту (АДЕ) - 2019-09-17</t>
  </si>
  <si>
    <t>Yes: 4. Работы по устройству скважины и наполнения раствором на 1-ом этапе соответствуют проекту (АДЕ) - 2019-09-17</t>
  </si>
  <si>
    <t>Yes: 5. Работы по  разбуриванию скважины на 2-ом этапе устройства соответствуют проекту (АДЕ) - 2019-09-17</t>
  </si>
  <si>
    <t>Yes: 6. Работы по заполнению раствором скважины на 2-ом этапе производятся в соответствии с проектом (АДЕ) - 2019-09-17</t>
  </si>
  <si>
    <t>N/A: 7. Тампонирование скважин выполняется в соответствии с проектом (АДЕ) - 2019-09-17</t>
  </si>
  <si>
    <t>Андрей Денисов: Заголовок изменен на Операционный Контроль Усиления Фундаментов Цементацией 4/1-8/1/И/1-К/1</t>
  </si>
  <si>
    <t>Операционный Контроль Усиления Фундаментов Цементацией В/О 4-15/А</t>
  </si>
  <si>
    <t>Андрей Денисов: Заголовок изменен на Операционный Контроль Усиления Фундаментов Цементацией В/О 4-15/А</t>
  </si>
  <si>
    <t>Андрей Денисов: Дата начала изменена на сент. 17, 2019</t>
  </si>
  <si>
    <t>Операционный Контроль Укрепления Грунтов В/О 24-25/С-Р</t>
  </si>
  <si>
    <t>Yes: 1. Работы проводятся в соответствии с РД, утвержденной в производство работ (АДЕ) - 2019-07-29</t>
  </si>
  <si>
    <t>Yes: 2. Геодезическая разбивка скважин, соответствует проекту (АДЕ) - 2019-07-29</t>
  </si>
  <si>
    <t>Yes: 3. Место установки буровой машины на точку бурения, соответствует проекту (АДЕ) - 2019-07-29</t>
  </si>
  <si>
    <t>Yes: 4. Подготовка штанги-бура и раствора выполняется в соотвествии с проектом (АДЕ) - 2019-07-29</t>
  </si>
  <si>
    <t>Yes: 5. Угол наклона стрелы станка, режим и глубина бурения скважин соответствует проекту (АДЕ) - 2019-07-29</t>
  </si>
  <si>
    <t>Yes: 6. Режим заполнения скважины раствором соответствует проекту (АДЕ) - 2019-07-29</t>
  </si>
  <si>
    <t>Андрей Денисов: Заголовок изменен на Операционный Контроль Укрепления Грунтов В/О</t>
  </si>
  <si>
    <t>Андрей Денисов: Дата начала изменена на июл. 29, 2019</t>
  </si>
  <si>
    <t>Андрей Денисов: Заголовок изменен на Операционный Контроль Укрепления Грунтов В/О 25-25/С-Р</t>
  </si>
  <si>
    <t>Андрей Денисов: Заголовок изменен на Операционный Контроль Укрепления Грунтов В/О 24-25/С-Р</t>
  </si>
  <si>
    <t>Операционный Контроль Закрепления Грунтов В/О 25-26/Р-С</t>
  </si>
  <si>
    <t>Yes: 1. Работы проводятся в соответствии с РД, утвержденной в производство работ (АДЕ) - 2019-07-30</t>
  </si>
  <si>
    <t>Yes: 2. Геодезическая разбивка скважин, соответствует проекту (АДЕ) - 2019-07-30</t>
  </si>
  <si>
    <t>Yes: 3. Место установки буровой машины на точку бурения, соответствует проекту (АДЕ) - 2019-07-30</t>
  </si>
  <si>
    <t>Yes: 4. Подготовка штанги-бура и раствора выполняется в соотвествии с проектом (АДЕ) - 2019-07-30</t>
  </si>
  <si>
    <t>Yes: 5. Угол наклона стрелы станка, режим и глубина бурения скважин соответствует проекту (АДЕ) - 2019-07-30</t>
  </si>
  <si>
    <t>Yes: 6. Режим заполнения скважины раствором соответствует проекту (АДЕ) - 2019-07-30</t>
  </si>
  <si>
    <t>Андрей Денисов: Заголовок изменен на Операционный Контроль Закрепления Грунтов В/О 25-26/Р-С</t>
  </si>
  <si>
    <t>Андрей Денисов: Дата начала изменена на июл. 30, 2019</t>
  </si>
  <si>
    <t>Операционный Контроль Бетонирования Основания Форшахты В/О 22-23/Т/1</t>
  </si>
  <si>
    <t>Yes: 2,1 Перед укладкой бетонной смеси опалубка и арматура очищается сжатым воздухом  (АДЕ) - 2019-07-30</t>
  </si>
  <si>
    <t>Yes: 2,2 Перед укладкой бетонной смеси поверхность опалубки, соприкасающаяся с бетоном, покрывается смазкой (АДЕ) - 2019-07-30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</si>
  <si>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- 2019-07-30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</si>
  <si>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- 2019-07-30</t>
  </si>
  <si>
    <t>Yes: 2,5 Верхний уровень уложенной бетонной смеси ниже верха щитов опалубки на 50-70 мм  (АДЕ) - 2019-07-30</t>
  </si>
  <si>
    <t>Yes: 2,6 Рабочие швы выполняются в соответствии с проектными требованиями (АДЕ) - 2019-07-30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</si>
  <si>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- 2019-07-30</t>
  </si>
  <si>
    <t>Yes: 3,1 Работы выполняются на основе утвержденного ППР (АДЕ) - 2019-07-30</t>
  </si>
  <si>
    <t>Yes: 3,2 Наличие записи в журнале бетонных работ (АДЕ) - 2019-07-30</t>
  </si>
  <si>
    <t>Андрей Денисов: Заголовок изменен на Операционный Контроль Бетонирования Основания Форшахты В/О 22-23/Т/1</t>
  </si>
  <si>
    <t>Операционный Контроль Выборки Траншеи Захв. 21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</si>
  <si>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- 2019-08-31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</si>
  <si>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- 2019-08-31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</si>
  <si>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- 2019-08-31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</si>
  <si>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- 2019-08-31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</si>
  <si>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- 2019-08-31</t>
  </si>
  <si>
    <t>Yes: 2.1. Произведена запись в общий журнал работ (п.15.5.5 СП 70.13330) (АДЕ) - 2019-08-31</t>
  </si>
  <si>
    <t>Yes: Нормативная документация: СП 45.13330.2012 Земляные сооружения, основания и фундаменты (АДЕ) - 2019-08-31</t>
  </si>
  <si>
    <t>Андрей Денисов: Заголовок изменен на Операционный Контроль Выборки Траншеи Захв. 21</t>
  </si>
  <si>
    <t>Андрей Денисов: Дата начала изменена на авг. 30, 2019</t>
  </si>
  <si>
    <t>Операционный Контроль Закрепления Грунтов В/О 22/2/У-Т</t>
  </si>
  <si>
    <t>Yes: 1. Работы проводятся в соответствии с РД, утвержденной в производство работ (АДЕ) - 2019-08-01</t>
  </si>
  <si>
    <t>Yes: 2. Геодезическая разбивка скважин, соответствует проекту (АДЕ) - 2019-08-01</t>
  </si>
  <si>
    <t>Yes: 3. Место установки буровой машины на точку бурения, соответствует проекту (АДЕ) - 2019-08-01</t>
  </si>
  <si>
    <t>Yes: 4. Подготовка штанги-бура и раствора выполняется в соотвествии с проектом (АДЕ) - 2019-08-01</t>
  </si>
  <si>
    <t>Yes: 5. Угол наклона стрелы станка, режим и глубина бурения скважин соответствует проекту (АДЕ) - 2019-08-01</t>
  </si>
  <si>
    <t>Yes: 6. Режим заполнения скважины раствором соответствует проекту (АДЕ) - 2019-08-01</t>
  </si>
  <si>
    <t>Андрей Денисов: Заголовок изменен на Операционный Контроль Закрепления Грунтов В/О 22/2/У-Т</t>
  </si>
  <si>
    <t>Андрей Денисов: Дата начала изменена на авг. 1, 2019</t>
  </si>
  <si>
    <t>Операционный Контроль Бетонирования Перекрытия Канала 1-2/Д-И/1</t>
  </si>
  <si>
    <t>Yes: 2,1 Перед укладкой бетонной смеси опалубка и арматура очищается сжатым воздухом  (АДЕ) - 2019-08-22</t>
  </si>
  <si>
    <t>Yes: 2,2 Перед укладкой бетонной смеси поверхность опалубки, соприкасающаяся с бетоном, покрывается смазкой (АДЕ) - 2019-08-22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</si>
  <si>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- 2019-08-22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</si>
  <si>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- 2019-08-22</t>
  </si>
  <si>
    <t>Yes: 2,5 Верхний уровень уложенной бетонной смеси ниже верха щитов опалубки на 50-70 мм  (АДЕ) - 2019-08-22</t>
  </si>
  <si>
    <t>Yes: 2,6 Рабочие швы выполняются в соответствии с проектными требованиями (АДЕ) - 2019-08-22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</si>
  <si>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- 2019-08-22</t>
  </si>
  <si>
    <t>Yes: 3,1 Работы выполняются на основе утвержденного ППР (АДЕ) - 2019-08-22</t>
  </si>
  <si>
    <t>Yes: 3,2 Наличие записи в журнале бетонных работ (АДЕ) - 2019-08-22</t>
  </si>
  <si>
    <t>Андрей Денисов: Заголовок изменен на Операционный Контроль Бетонирования Перекрытия Канала 1-2/Д-И/1</t>
  </si>
  <si>
    <t>Андрей Денисов: Дата начала изменена на авг. 22, 2019</t>
  </si>
  <si>
    <t>Операционный Контроль Бетонирования Зах. 28</t>
  </si>
  <si>
    <t>Yes: 1.1. Бетонирование производится бетоном, соответствующим проектным требованиям, прошедшим входной контроль (АДЕ) - 2019-08-25</t>
  </si>
  <si>
    <t>Yes: 1.2. Бетонирование захватки произведено непрерывно с двум бетонных труб в соответствии с технологичекими требованиями (АДЕ) - 2019-08-25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</si>
  <si>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- 2019-08-25</t>
  </si>
  <si>
    <t>N/A: 1.4. Демонтаж межсекционных ограничителей из захваток выполнен через 5-6 ч после окончания бетонирования (АДЕ) - 2019-08-25</t>
  </si>
  <si>
    <t>Yes: 1.5. Бетонирование выполнено до момента поднятия уровня чистой смеси до проектной отметки. (АДЕ) - 2019-08-25</t>
  </si>
  <si>
    <t>Yes: 1.6. Контрольные образцы бетонной смеси изготовлены в количестве не менее 6 шт. на партию бетона (АДЕ) - 2019-08-25</t>
  </si>
  <si>
    <t>Yes: 2.1. Произведены записи в общем журнале работ (Раздел 3, раздел 6) по бетонированию, указаны результаты операционного контроля. (АДЕ) - 2019-08-25</t>
  </si>
  <si>
    <t>N/A: 2.2. Оформлен акт освидетельствования скрытых работ на бетонирование захватки СВГ. (АДЕ) - 2019-08-25</t>
  </si>
  <si>
    <t>Yes: Нормативная документация: СП 45.13330.2012 Земляные сооружения, основания и фундаменты (АДЕ) - 2019-08-25</t>
  </si>
  <si>
    <t>Андрей Денисов: Заголовок изменен на Операционный Контроль Бетонирования Зах. 28</t>
  </si>
  <si>
    <t>Андрей Денисов: Дата начала изменена на авг. 25, 2019</t>
  </si>
  <si>
    <t>Операционный Контроль Монтажа БО Зах. 28</t>
  </si>
  <si>
    <t>Андрей Денисов: Заголовок изменен на Операционный Контроль Монтажа БО Зах. 28</t>
  </si>
  <si>
    <t>Операционный Контроль Монтажа Армокаркаса Зах. 28</t>
  </si>
  <si>
    <t>Андрей Денисов: Заголовок изменен на Операционный Контроль Монтажа Армокаркаса Зах. 28</t>
  </si>
  <si>
    <t>Стыковка Армокаркасов СВГ Зах 15</t>
  </si>
  <si>
    <t>Андрей Денисов: Заголовок изменен на Стыковка Армокаркасов СВГ Зах 15</t>
  </si>
  <si>
    <t>Андрей Денисов: Дата начала изменена на сент. 19, 2019</t>
  </si>
  <si>
    <t>Закрепление Грунтов Под Фундаментами 7/Е/1-И/1</t>
  </si>
  <si>
    <t>Yes: 1. Работы проводятся в соответствии с РД, утвержденной в производство работ (АДЕ) - 2019-11-24</t>
  </si>
  <si>
    <t>Yes: 2. Геодезическая разбивка скважин, соответствует проекту (АДЕ) - 2019-11-24</t>
  </si>
  <si>
    <t>Yes: 3. Место установки буровой машины на точку бурения, соответствует проекту (АДЕ) - 2019-11-24</t>
  </si>
  <si>
    <t>Yes: 4. Подготовка штанги-бура и раствора выполняется в соотвествии с проектом (АДЕ) - 2019-11-24</t>
  </si>
  <si>
    <t>Yes: 5. Угол наклона стрелы станка, режим и глубина бурения скважин соответствует проекту (АДЕ) - 2019-11-24</t>
  </si>
  <si>
    <t>Yes: 6. Режим заполнения скважины раствором соответствует проекту (АДЕ) - 2019-11-24</t>
  </si>
  <si>
    <t>Андрей Денисов: Заголовок изменен на Закрепление Грунтов Под Фундаментами 7/Е/1-И/1</t>
  </si>
  <si>
    <t>Андрей Денисов: Дата начала изменена на нояб. 23, 2019</t>
  </si>
  <si>
    <t>Операционный Контроль Устройства Траншеи Захв. 19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</si>
  <si>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- 2019-08-27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</si>
  <si>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- 2019-08-27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</si>
  <si>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- 2019-08-27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</si>
  <si>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- 2019-08-27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</si>
  <si>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- 2019-08-27</t>
  </si>
  <si>
    <t>Yes: 2.1. Произведена запись в общий журнал работ (п.15.5.5 СП 70.13330) (АДЕ) - 2019-08-27</t>
  </si>
  <si>
    <t>Yes: Нормативная документация: СП 45.13330.2012 Земляные сооружения, основания и фундаменты (АДЕ) - 2019-08-27</t>
  </si>
  <si>
    <t>Андрей Денисов: Заголовок изменен на Операционный Контроль Устройства Траншеи Захв. 18</t>
  </si>
  <si>
    <t>Андрей Денисов: Дата начала изменена на авг. 26, 2019</t>
  </si>
  <si>
    <t>Андрей Денисов: Заголовок изменен на Операционный Контроль Устройства Траншеи Захв. 19</t>
  </si>
  <si>
    <t>Операционный контроль стыковки армокаркаса захв. 29</t>
  </si>
  <si>
    <t>Андрей Денисов: Местоположение изменено на СВГ1Д_Устройство СВГ 1-ый двор</t>
  </si>
  <si>
    <t>Андрей Денисов: Изменена дата начала на 27.08.2019</t>
  </si>
  <si>
    <t>Андрей Денисов: Заголовок изменен на Операционный контроль стыковки армокаркаса захв. 29</t>
  </si>
  <si>
    <t>Андрей Денисов: План изменен на Ограждающая конструкция стена в грунте</t>
  </si>
  <si>
    <t>Операционный Контроль Бетонирования Захв. 29</t>
  </si>
  <si>
    <t>Yes: 1.1. Бетонирование производится бетоном, соответствующим проектным требованиям, прошедшим входной контроль (АДЕ) - 2019-08-27</t>
  </si>
  <si>
    <t>Yes: 1.2. Бетонирование захватки произведено непрерывно с двум бетонных труб в соответствии с технологичекими требованиями (АДЕ) - 2019-08-27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</si>
  <si>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- 2019-08-27</t>
  </si>
  <si>
    <t>N/A: 1.4. Демонтаж межсекционных ограничителей из захваток выполнен через 5-6 ч после окончания бетонирования (АДЕ) - 2019-08-27</t>
  </si>
  <si>
    <t>Yes: 1.5. Бетонирование выполнено до момента поднятия уровня чистой смеси до проектной отметки. (АДЕ) - 2019-08-27</t>
  </si>
  <si>
    <t>Yes: 1.6. Контрольные образцы бетонной смеси изготовлены в количестве не менее 6 шт. на партию бетона (АДЕ) - 2019-08-27</t>
  </si>
  <si>
    <t>Yes: 2.1. Произведены записи в общем журнале работ (Раздел 3, раздел 6) по бетонированию, указаны результаты операционного контроля. (АДЕ) - 2019-08-27</t>
  </si>
  <si>
    <t>N/A: 2.2. Оформлен акт освидетельствования скрытых работ на бетонирование захватки СВГ. (АДЕ) - 2019-08-27</t>
  </si>
  <si>
    <t>Андрей Денисов: Заголовок изменен на Операционный Контроль Бетонирования Захв. 29</t>
  </si>
  <si>
    <t>Андрей Денисов: Дата начала изменена на авг. 27, 2019</t>
  </si>
  <si>
    <t>Устройство Диафрагмы Jet Grouting М-Н/20-22</t>
  </si>
  <si>
    <t>Yes: Работы производятся в соответствии с РД, утвержденной в производтство работ (АДЕ) - 2019-12-20</t>
  </si>
  <si>
    <t>Yes: При производстве работ используются материалы, прошедший входной контроль (АДЕ) - 2019-12-20</t>
  </si>
  <si>
    <t>Yes: Разметка мест заложения скважин соответствует проекту (АДЕ) - 2019-12-20</t>
  </si>
  <si>
    <t>Yes: Отклонение погружаемой штанги от вертикали менее 2% (АДЕ) - 2019-12-20</t>
  </si>
  <si>
    <t>Yes: Скорости подъема монитора соответствует проекту (АДЕ) - 2019-12-20</t>
  </si>
  <si>
    <t>Yes: Частота вращения монитора соответствует проекту (АДЕ) - 2019-12-20</t>
  </si>
  <si>
    <t>Yes: Давление подачи цементного раствора соответствует проекту (АДЕ) - 2019-12-20</t>
  </si>
  <si>
    <t>Yes: Соотношение водоцементного-раствора соответствует проекту (АДЕ) - 2019-12-20</t>
  </si>
  <si>
    <t>Yes: СП 24.13330.2011 «Свайные фундаменты» (АДЕ) - 2019-12-20</t>
  </si>
  <si>
    <t>Андрей Денисов: Заголовок изменен на Устройство Диафрагмы Jet Grouting М-Н/20-22</t>
  </si>
  <si>
    <t>Операционный Контроль Выборки Траншеи Захв. 20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</si>
  <si>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- 2019-08-28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</si>
  <si>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- 2019-08-28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</si>
  <si>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- 2019-08-28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</si>
  <si>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- 2019-08-28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</si>
  <si>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- 2019-08-28</t>
  </si>
  <si>
    <t>Yes: 2.1. Произведена запись в общий журнал работ (п.15.5.5 СП 70.13330) (АДЕ) - 2019-08-28</t>
  </si>
  <si>
    <t>Yes: Нормативная документация: СП 45.13330.2012 Земляные сооружения, основания и фундаменты (АДЕ) - 2019-08-28</t>
  </si>
  <si>
    <t>Андрей Денисов: Заголовок изменен на Операционный Контроль Выборки Траншеи Захв. 20</t>
  </si>
  <si>
    <t>Андрей Денисов: Дата начала изменена на авг. 28, 2019</t>
  </si>
  <si>
    <t>Усиление Фундаментов Цементацией 5-10/А</t>
  </si>
  <si>
    <t>Yes: 1. Работы производятся в соответствии с РД, утвержденной в производтство работ (АДЕ) - 2019-09-21</t>
  </si>
  <si>
    <t>Yes: 2. При производстве работ используются материалы, прошедший входной контроль (АДЕ) - 2019-09-21</t>
  </si>
  <si>
    <t>Yes: 3. Разметка мест заложения скважин соответствует проекту (АДЕ) - 2019-09-21</t>
  </si>
  <si>
    <t>Yes: 4. Работы по устройству скважины и наполнения раствором на 1-ом этапе соответствуют проекту (АДЕ) - 2019-09-21</t>
  </si>
  <si>
    <t>Yes: 5. Работы по  разбуриванию скважины на 2-ом этапе устройства соответствуют проекту (АДЕ) - 2019-09-21</t>
  </si>
  <si>
    <t>Yes: 6. Работы по заполнению раствором скважины на 2-ом этапе производятся в соответствии с проектом (АДЕ) - 2019-09-21</t>
  </si>
  <si>
    <t>N/A: 7. Тампонирование скважин выполняется в соответствии с проектом (АДЕ) - 2019-09-21</t>
  </si>
  <si>
    <t>Андрей Денисов: Заголовок изменен на Усиление Фундаментов Цементацией 5-10/А</t>
  </si>
  <si>
    <t>Андрей Денисов: Дата начала изменена на сент. 20, 2019</t>
  </si>
  <si>
    <t>Бетонирование СВГ Зах 14</t>
  </si>
  <si>
    <t>Yes: 1.1. Бетонирование производится бетоном, соответствующим проектным требованиям, прошедшим входной контроль (АДЕ) - 2019-09-21</t>
  </si>
  <si>
    <t>Yes: 1.2. Бетонирование захватки произведено непрерывно с двум бетонных труб в соответствии с технологичекими требованиями (АДЕ) - 2019-09-21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</si>
  <si>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- 2019-09-21</t>
  </si>
  <si>
    <t>N/A: 1.4. Демонтаж межсекционных ограничителей из захваток выполнен через 5-6 ч после окончания бетонирования (АДЕ) - 2019-09-21</t>
  </si>
  <si>
    <t>Yes: 1.5. Бетонирование выполнено до момента поднятия уровня чистой смеси до проектной отметки. (АДЕ) - 2019-09-21</t>
  </si>
  <si>
    <t>Yes: 1.6. Контрольные образцы бетонной смеси изготовлены в количестве не менее 6 шт. на партию бетона (АДЕ) - 2019-09-21</t>
  </si>
  <si>
    <t>Yes: 2.1. Произведены записи в общем журнале работ (Раздел 3, раздел 6) по бетонированию, указаны результаты операционного контроля. (АДЕ) - 2019-09-21</t>
  </si>
  <si>
    <t>No: 2.2. Оформлен акт освидетельствования скрытых работ на бетонирование захватки СВГ. (АДЕ) - 2019-09-21</t>
  </si>
  <si>
    <t>Yes: Нормативная документация: СП 45.13330.2012 Земляные сооружения, основания и фундаменты (АДЕ) - 2019-09-21</t>
  </si>
  <si>
    <t>Андрей Денисов: Заголовок изменен на Бетонирование СВГ Зах 14</t>
  </si>
  <si>
    <t>Стыковка Армокаркаса СВГ Зах 14</t>
  </si>
  <si>
    <t>п1.7_свг._армирование</t>
  </si>
  <si>
    <t>Андрей Денисов: Заголовок изменен на Стыковка Армокаркаса СВГ Зах 14</t>
  </si>
  <si>
    <t>Андрей Денисов: Дата начала изменена на сент. 21, 2019</t>
  </si>
  <si>
    <t>Андрей Денисов: Дата окончания изменена на сент. 20, 2019</t>
  </si>
  <si>
    <t>Андрей Денисов: Удалено отметить пункт - "1.1. Армокаркасы. используемые при армировании. соответствуют РД и прошли входной контроль"</t>
  </si>
  <si>
    <t>Андрей Денисов: Удалено отметить пункт - "1.2. Документы о качестве арматурных каркасов предоставлены. (п.6.33 ГОСТ 10922-2012)"</t>
  </si>
  <si>
    <t>Андрей Денисов: Удалено отметить пункт - "1.3. Аттестация у исполнителей и руководителя сварочных работ подтверждена. (пп.3.23. 10.1.1. 10.1.3  СП 70.13330.2012)"</t>
  </si>
  <si>
    <t>Андрей Денисов: Удалено отметить пункт - "1.4.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+/-50мм."</t>
  </si>
  <si>
    <t>Андрей Денисов: Удалено отметить пункт - "1.5.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10922-2012)"</t>
  </si>
  <si>
    <t>Андрей Денисов: Удалено отметить пункт - "2.1. Необходимые по проекту каркасы оборудованы инклинометрическими датчиками (арматурные каркасы с индексом "И")"</t>
  </si>
  <si>
    <t>Андрей Денисов: Удалено отметить пункт - "2.2. Закладные детали установлены в проектное положение. выверены. исполнительная схема составлена"</t>
  </si>
  <si>
    <t>Андрей Денисов: Удалено отметить пункт - "2.3. Закладные детали крепятся к продольной арматуре каркаса двойной вязальной проволокой 0.8-1мм/ к фиксатору защитного слоя сваркой"</t>
  </si>
  <si>
    <t>Андрей Денисов: Удалено отметить пункт - "3.1.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10922-2012)"</t>
  </si>
  <si>
    <t>Андрей Денисов: Удалено отметить пункт - "3.2. Оформлен акт освидетельствования скрытых работ на армирование. акт на монтаж ограничителей. (п.3.5 СП 70.13330.2012)"</t>
  </si>
  <si>
    <t>Андрей Денисов: Удалено отметить пункт - "Нормативная документация: ГОСТ 10922-2012; СП 70.13330.2012 Несущие и ограждающие конструкции"</t>
  </si>
  <si>
    <t>Стыковка Бетонного Ограничителя Зах. 14</t>
  </si>
  <si>
    <t>Андрей Денисов: Заголовок изменен на Стыковка Бетонного Ограничителя Зах. 14</t>
  </si>
  <si>
    <t>Бетонирование СВГ Захв. 15</t>
  </si>
  <si>
    <t>Андрей Денисов: Заголовок изменен на Бетонирование СВГ Захв. 15</t>
  </si>
  <si>
    <t>Закрепление Грунтов Под Фундаментами 2-3/1/К/1-У</t>
  </si>
  <si>
    <t>Yes: 1. При производстве работ использовались материалы, прошедший входной контроль (АДЕ) - 2019-12-20</t>
  </si>
  <si>
    <t>Yes: 2. Количество скважин и их фактическое положение соответствует проекту (АДЕ) - 2019-12-20</t>
  </si>
  <si>
    <t>Yes: 3. Качество тампоновки скважины соответсвует проекту (АДЕ) - 2019-12-20</t>
  </si>
  <si>
    <t>Yes: 4. Выполнен геодезический контроль фактического  положения скважин. Положения скважин соответствует проекту (АДЕ) - 2019-12-20</t>
  </si>
  <si>
    <t>Yes: 5. Наличие полного комплекта исполнительной документации, включая акты освидетельствования скрытых работ (АДЕ) - 2019-12-20</t>
  </si>
  <si>
    <t>Yes: 6. - Произведены лабораторные испытания контрольных образцов бетона (образцы-кубы с ребром 100 мм)
Характеристики контрольных образцов соответствуют требованиям РД. (АДЕ) - 2019-12-20</t>
  </si>
  <si>
    <t>Андрей Денисов: Заголовок изменен на Закрепление Грунтов Под Фундаментами 2-3/1/К/1-У</t>
  </si>
  <si>
    <t>Операционный Контроль Откопки Траншеи Для СВГ Зах. 12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</si>
  <si>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- 2019-09-23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</si>
  <si>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- 2019-09-23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</si>
  <si>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- 2019-09-23</t>
  </si>
  <si>
    <t>N/A: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- 2019-09-23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</si>
  <si>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- 2019-09-23</t>
  </si>
  <si>
    <t>Yes: 2.1. Произведена запись в общий журнал работ (п.15.5.5 СП 70.13330) (АДЕ) - 2019-09-23</t>
  </si>
  <si>
    <t>Yes: Нормативная документация: СП 45.13330.2012 Земляные сооружения, основания и фундаменты (АДЕ) - 2019-09-23</t>
  </si>
  <si>
    <t>Андрей Денисов: Заголовок изменен на Операционный Контроль Откопки Траншеи Для СВГ Зах. 12</t>
  </si>
  <si>
    <t>Андрей Денисов: Дата начала изменена на сент. 22, 2019</t>
  </si>
  <si>
    <t>Стыковка И Погружение Бетонного Ограничителя Зах. 21</t>
  </si>
  <si>
    <t>N/A: 1.1. Наличие РД и ППР. допущенных в производство работ. Работы ведутся в соответствии с ППР и Технологической картой. (п.15.5.5 СП 50-102-2003) (АДЕ) - 2019-08-31</t>
  </si>
  <si>
    <t>N/A: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- 2019-08-31</t>
  </si>
  <si>
    <t>N/A: 1.3. При разработке грунта глинистый раствор в выработке поддерживается на уровне не ниже 50 см от верха форшахты. (п. 14.1.19  СП 45.13330.2012) (АДЕ) - 2019-08-31</t>
  </si>
  <si>
    <t>N/A: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- 2019-08-31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</si>
  <si>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- 2019-08-31</t>
  </si>
  <si>
    <t>Андрей Денисов: Заголовок изменен на Стыковка Погружени Бетонного Ограничителя Зах. 21</t>
  </si>
  <si>
    <t>Андрей Денисов: Заголовок изменен на Стыковка И Погружение Бетонного Ограничителя Зах. 21</t>
  </si>
  <si>
    <t>Андрей Денисов: Дата начала изменена на авг. 31, 2019</t>
  </si>
  <si>
    <t>Операционный Контроль Бетонирования Стен Форшахты В/О Д-Ж/19</t>
  </si>
  <si>
    <t>Yes: 2,1 Перед укладкой бетонной смеси опалубка и арматура очищается сжатым воздухом  (АДЕ) - 2019-08-31</t>
  </si>
  <si>
    <t>Yes: 2,2 Перед укладкой бетонной смеси поверхность опалубки, соприкасающаяся с бетоном, покрывается смазкой (АДЕ) - 2019-08-31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</si>
  <si>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- 2019-08-31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</si>
  <si>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- 2019-08-31</t>
  </si>
  <si>
    <t>Yes: 2,5 Верхний уровень уложенной бетонной смеси ниже верха щитов опалубки на 50-70 мм  (АДЕ) - 2019-08-31</t>
  </si>
  <si>
    <t>Yes: 2,6 Рабочие швы выполняются в соответствии с проектными требованиями (АДЕ) - 2019-08-31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</si>
  <si>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- 2019-08-31</t>
  </si>
  <si>
    <t>Yes: 3,1 Работы выполняются на основе утвержденного ППР (АДЕ) - 2019-08-31</t>
  </si>
  <si>
    <t>Yes: 3,2 Наличие записи в журнале бетонных работ (АДЕ) - 2019-08-31</t>
  </si>
  <si>
    <t>Андрей Денисов: Заголовок изменен на Операционный Контроль Бетонирования Стен Форшахты В/О Д-Ж/19</t>
  </si>
  <si>
    <t>Операционный Контроль Бетонирования СВГ Зах. 21</t>
  </si>
  <si>
    <t>п3.4.3_бетонирование_стен</t>
  </si>
  <si>
    <t>Yes: 1.1. Бетонирование производится бетоном, соответствующим проектным требованиям, прошедшим входной контроль (АДЕ) - 2019-08-31</t>
  </si>
  <si>
    <t>Yes: 1.2. Бетонирование захватки произведено непрерывно с двум бетонных труб в соответствии с технологичекими требованиями (АДЕ) - 2019-08-31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</si>
  <si>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- 2019-08-31</t>
  </si>
  <si>
    <t>N/A: 1.4. Демонтаж межсекционных ограничителей из захваток выполнен через 5-6 ч после окончания бетонирования (АДЕ) - 2019-08-31</t>
  </si>
  <si>
    <t>Yes: 1.5. Бетонирование выполнено до момента поднятия уровня чистой смеси до проектной отметки. (АДЕ) - 2019-08-31</t>
  </si>
  <si>
    <t>Yes: 1.6. Контрольные образцы бетонной смеси изготовлены в количестве не менее 6 шт. на партию бетона (АДЕ) - 2019-08-31</t>
  </si>
  <si>
    <t>Yes: 2.1. Произведены записи в общем журнале работ (Раздел 3, раздел 6) по бетонированию, указаны результаты операционного контроля. (АДЕ) - 2019-08-31</t>
  </si>
  <si>
    <t>N/A: 2.2. Оформлен акт освидетельствования скрытых работ на бетонирование захватки СВГ. (АДЕ) - 2019-08-31</t>
  </si>
  <si>
    <t>Андрей Денисов: Заголовок изменен на Операционный Контроль Бетонирования СВГ Зах. 21</t>
  </si>
  <si>
    <t>Андрей Денисов: Удалено отметить пункт - "Нормативаная документация: СП 70.13330.2012 Несущие ограждающие конструкции.
ГОСТ 18105-2010 Бетоны. Правила контроля и оценки прочности.
ГОСТ 10060-2012 Бетоны. Методы определения морозостойкости.
ГОСТ 12730.5-84 Бетоны. Методы определения водонепроницаемости."</t>
  </si>
  <si>
    <t>Андрей Денисов: Удалено отметить пункт - "5. Ссылки на нормативную документацию"</t>
  </si>
  <si>
    <t>Андрей Денисов: Удалено отметить пункт - "4. Допускается к производству работ"</t>
  </si>
  <si>
    <t>Андрей Денисов: Удалено отметить пункт - "3,6. Наличие записи в журнале работ"</t>
  </si>
  <si>
    <t>Андрей Денисов: Удалено отметить пункт - "3,5. Наличие записи в журнале бетонных работ"</t>
  </si>
  <si>
    <t>Андрей Денисов: Удалено отметить пункт - "3,4. Наличие исполнительной геодезической схемы"</t>
  </si>
  <si>
    <t>Андрей Денисов: Удалено отметить пункт - "3,3. Наличие положительного заключения строительной лаборатории (качества бетона по прочности, морозостойкости, водонепроницаемости)"</t>
  </si>
  <si>
    <t>Андрей Денисов: Удалено отметить пункт - "3,2. Наличие акта освидетельствования ответственных конструкций"</t>
  </si>
  <si>
    <t>Андрей Денисов: Удалено отметить пункт - "3,1. Наличие акта освидетельствования скрытых работ"</t>
  </si>
  <si>
    <t>Андрей Денисов: Удалено отметить пункт - "3. Наличие, комплектность и корректность документации:"</t>
  </si>
  <si>
    <t>Андрей Денисов: Удалено отметить пункт - "2,3. Показатели водонепроницаемости бетона соответствуют ГОСТ 12730.5-84"</t>
  </si>
  <si>
    <t>Андрей Денисов: Удалено отметить пункт - "2,2. Показатели морозостойкости бетона соответствуют ГОСТ 10060-2012 "</t>
  </si>
  <si>
    <t>Андрей Денисов: Удалено отметить пункт - "2,1. Показатели качества бетона по прочности в конструкциях соответствуют ГОСТ 18105-2015 "</t>
  </si>
  <si>
    <t>Андрей Денисов: Удалено отметить пункт - "2. Оценка качества по параметрам заключения лаборатории (СП 70.13330.2012 п. 3.3; 5.5.4):"</t>
  </si>
  <si>
    <t>Андрей Денисов: Удалено отметить пункт - "1,5. Минимальная прочность бетона при распалубке загруженных конструкций, в том числе от вышележащего бетона (бетонной смеси) не менее значения, определенного в ППР"</t>
  </si>
  <si>
    <t>Андрей Денисов: Удалено отметить пункт - "1,4. Минимальная прочность бетона незагруженных монолитных конструкций при распалубке поверхностей не менее 0,5 Мпа "</t>
  </si>
  <si>
    <t>Андрей Денисов: Удалено отметить пункт - "1,3. Отклонение от прямолинейности и плоскостности поверхности на длине 1-3 м и местные неровности поверхности бетона не более 5 мм "</t>
  </si>
  <si>
    <t>Андрей Денисов: Удалено отметить пункт - "1,2. Отклонения горизонтальной плоскости на всю плоскость выверяемого участка не более ± 20 мм "</t>
  </si>
  <si>
    <t>Андрей Денисов: Удалено отметить пункт - "1,1. Отклонения линий плоскостей пересечения от вертикали или проектного наклона на всю высоту не более 15мм для стен и колонн, поддерживающих монолитные покрытия и перекрытия / 10 мм для стен и колонн, поддерживающих сборные балочные конструкции"</t>
  </si>
  <si>
    <t>Андрей Денисов: Удалено отметить пункт - "1. Оценка качества по параметрам после распалубки (СП 70.13330.2012, п. 5.18.3, табл. 5.12):"</t>
  </si>
  <si>
    <t>Операционный Контроль Бетонирования Основания Форшахты В/О Ж-Д/19</t>
  </si>
  <si>
    <t>Андрей Денисов: Заголовок изменен на Операционный Контроль Бетонирования Основания Форшахты В/О Ж-Д/19</t>
  </si>
  <si>
    <t>Операционный Контроль Стыковки По Погружения Армокаркаса Зах. 21</t>
  </si>
  <si>
    <t>Yes: 1.1. Армокаркасы. используемые при армировании. соответствуют РД и прошли входной контроль (АДЕ) - 2019-08-31</t>
  </si>
  <si>
    <t>Yes: 1.2. Документы о качестве арматурных каркасов предоставлены. (п.6.33 ГОСТ 10922-2012) (АДЕ) - 2019-08-31</t>
  </si>
  <si>
    <t>Yes: 1.3. Аттестация у исполнителей и руководителя сварочных работ подтверждена. (пп.3.23. 10.1.1. 10.1.3  СП 70.13330.2012) (АДЕ) - 2019-08-31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</si>
  <si>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- 2019-08-31</t>
  </si>
  <si>
    <t>N/A: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- 2019-08-31</t>
  </si>
  <si>
    <t>Yes: 2.1. Необходимые по проекту каркасы оборудованы инклинометрическими датчиками (арматурные каркасы с индексом "И") (АДЕ) - 2019-08-31</t>
  </si>
  <si>
    <t>Yes: 2.2. Закладные детали установлены в проектное положение. выверены. исполнительная схема составлена (АДЕ) - 2019-08-31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</si>
  <si>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- 2019-08-31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</si>
  <si>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- 2019-08-31</t>
  </si>
  <si>
    <t>N/A: 3.2. Оформлен акт освидетельствования скрытых работ на армирование. акт на монтаж ограничителей. (п.3.5 СП 70.13330.2012) (АДЕ) - 2019-08-31</t>
  </si>
  <si>
    <t>Yes: Нормативная документация: ГОСТ 10922-2012; СП 70.13330.2012 Несущие и ограждающие конструкции (АДЕ) - 2019-08-31</t>
  </si>
  <si>
    <t>Андрей Денисов: Заголовок изменен на Операционный Контроль Стыковки По Погружения Армокаркаса Зах. 21</t>
  </si>
  <si>
    <t>Устройство Диафрагмы Jet Grouting М-Л/1/22-23</t>
  </si>
  <si>
    <t>Yes: Работы производятся в соответствии с РД, утвержденной в производтство работ (АДЕ) - 2019-12-21</t>
  </si>
  <si>
    <t>Yes: При производстве работ используются материалы, прошедший входной контроль (АДЕ) - 2019-12-21</t>
  </si>
  <si>
    <t>Yes: Разметка мест заложения скважин соответствует проекту (АДЕ) - 2019-12-21</t>
  </si>
  <si>
    <t>Yes: Отклонение погружаемой штанги от вертикали менее 2% (АДЕ) - 2019-12-21</t>
  </si>
  <si>
    <t>Yes: Скорости подъема монитора соответствует проекту (АДЕ) - 2019-12-21</t>
  </si>
  <si>
    <t>Yes: Частота вращения монитора соответствует проекту (АДЕ) - 2019-12-21</t>
  </si>
  <si>
    <t>Yes: Давление подачи цементного раствора соответствует проекту (АДЕ) - 2019-12-21</t>
  </si>
  <si>
    <t>Yes: Соотношение водоцементного-раствора соответствует проекту (АДЕ) - 2019-12-21</t>
  </si>
  <si>
    <t>Yes: СП 24.13330.2011 «Свайные фундаменты» (АДЕ) - 2019-12-21</t>
  </si>
  <si>
    <t>Андрей Денисов: Заголовок изменен на Устройство Диафрагмы Jet Grouting М-Л/22-23</t>
  </si>
  <si>
    <t>Андрей Денисов: Заголовок изменен на Устройство Диафрагмы Jet Grouting М-Л/1/22-23</t>
  </si>
  <si>
    <t>Компенсирующие Мероприятия На Контакте Фундамент-грунт</t>
  </si>
  <si>
    <t>Yes: 1. Работы производятся в соответствии с РД, утвержденной в производтство работ (АДЕ) - 2019-12-21</t>
  </si>
  <si>
    <t>Yes: 2. При производстве работ используются материалы, прошедший входной контроль (АДЕ) - 2019-12-21</t>
  </si>
  <si>
    <t>Yes: 3. Разметка мест заложения скважин соответствует проекту (АДЕ) - 2019-12-21</t>
  </si>
  <si>
    <t>Андрей Денисов: Заголовок изменен на Компенсирующие Мероприятия На Контакте Фундамент-грунт</t>
  </si>
  <si>
    <t>Андрей Денисов: Удалено отметить пункт - "4. Работы по устройству скважины и наполнения раствором на 1-ом этапе соответствуют проекту"</t>
  </si>
  <si>
    <t>Андрей Денисов: Удалено отметить пункт - "5. Работы по  разбуриванию скважины на 2-ом этапе устройства соответствуют проекту"</t>
  </si>
  <si>
    <t>Андрей Денисов: Удалено отметить пункт - "6. Работы по заполнению раствором скважины на 2-ом этапе производятся в соответствии с проектом"</t>
  </si>
  <si>
    <t>Андрей Денисов: Удалено отметить пункт - "7. Тампонирование скважин выполняется в соответствии с проектом"</t>
  </si>
  <si>
    <t>Операционный Контроль Усиления Фундаментов Цементацией В/О Д-Е1/7-10</t>
  </si>
  <si>
    <t>Yes: 1. Работы производятся в соответствии с РД, утвержденной в производтство работ (АДЕ) - 2019-09-03</t>
  </si>
  <si>
    <t>Yes: 2. При производстве работ используются материалы, прошедший входной контроль (АДЕ) - 2019-09-03</t>
  </si>
  <si>
    <t>Yes: 3. Разметка мест заложения скважин соответствует проекту (АДЕ) - 2019-09-03</t>
  </si>
  <si>
    <t>Yes: 4. Работы по устройству скважины и наполнения раствором на 1-ом этапе соответствуют проекту (АДЕ) - 2019-09-03</t>
  </si>
  <si>
    <t>Yes: 5. Работы по  разбуриванию скважины на 2-ом этапе устройства соответствуют проекту (АДЕ) - 2019-09-03</t>
  </si>
  <si>
    <t>Yes: 6. Работы по заполнению раствором скважины на 2-ом этапе производятся в соответствии с проектом (АДЕ) - 2019-09-03</t>
  </si>
  <si>
    <t>N/A: 7. Тампонирование скважин выполняется в соответствии с проектом (АДЕ) - 2019-09-03</t>
  </si>
  <si>
    <t>Андрей Денисов: Дата начала изменена на сент. 3, 2019</t>
  </si>
  <si>
    <t>Андрей Денисов: Заголовок изменен на Операционный Контроль Усиления Фундаментов Цементацией В/О Д-Е1/7-10</t>
  </si>
  <si>
    <t>Бетонирование Бнс № 46</t>
  </si>
  <si>
    <t>Yes: В начале бетонирования расстояние между забоем скважины и нижним торцом бетонолитной трубы не превышает 30 см. В процессе бетонирования при подъеме бетонолитной трубы ее нижний торец постоянно заглублен под уровень бетонной смеси не менее чем на 1 м  (АДЕ) - 2019-12-21</t>
  </si>
  <si>
    <t>N/A: В процессе бетонирования сотрудниками строительной лаборатории постоянно осуществляется контроль показателей качества бетонной смеси (АДЕ) - 2019-12-21</t>
  </si>
  <si>
    <t>Yes: Контролируется выполнение мероприятий, обеспечивающих поддержание требуемой температуры бетонной смеси при укладке при отрицательных температурах наружного воздуха (температура бетона в скважине в момент укладки не менее 5 °С)  (АДЕ) - 2019-12-21</t>
  </si>
  <si>
    <t>Yes: Производится отбор проб бетонной смеси для изготовления контрольных образцов бетона (АДЕ) - 2019-12-21</t>
  </si>
  <si>
    <t>Yes: В процессе бетонирования бетонолитная труба на всю высоту постоянно заполнена бетонной смесью. Перерывы в подаче отдельных порций бетонной смеси не превышают срока схватывания, установленного лабораторией при данной марке цемента и температуре окружающей среды  (АДЕ) - 2019-12-21</t>
  </si>
  <si>
    <t>Yes: Подача бетонной смеси в скважину осуществляется до момента выхода чистой (без шлама) бетонной смеси на поверхность и заканчивается удалением загрязненного слоя бетонной смеси. Контролируется извлечение последней секции обсадной трубы (при ее наличии) и формирование оголовка сваи  (АДЕ) - 2019-12-21</t>
  </si>
  <si>
    <t>Yes: Работы выполняются на основе утвержденного ППР (АДЕ) - 2019-12-21</t>
  </si>
  <si>
    <t>Yes: Наличие записи в журнале производства работ (АДЕ) - 2019-12-21</t>
  </si>
  <si>
    <t>Yes: СП45.13330.2012 Земляные сооружения, основания и фундаменты. (АДЕ) - 2019-12-21</t>
  </si>
  <si>
    <t>Yes: СП50-102-2012 Проектирование и устройство свайных фундаментов. (АДЕ) - 2019-12-21</t>
  </si>
  <si>
    <t>Андрей Денисов: Заголовок изменен на Бетонирование Бнс № 46</t>
  </si>
  <si>
    <t>Армирование Бнс № 46</t>
  </si>
  <si>
    <t>Yes: Сборка арматурного каркаса из отдельных секций осуществляется в сборочных кондукторах, арматурные стержни в месте соединения очищены на длине, превышающей 10 - 15 мм сварной шов или стык, а стыковые и крестообразующие сварочные соединения выполняются в соответствии с проектом и требованиями (АДЕ) - 2019-12-21</t>
  </si>
  <si>
    <t>Yes: Осуществляется комплекс мер, направленных на предотвращение подъема и смещения в плане арматурного каркаса укладываемой бетонной смеси и в процессе извлечения бетонолитной и обсадной трубы, а также во всех случаях армирования не на полную глубину скважины (АДЕ) - 2019-12-21</t>
  </si>
  <si>
    <t>N/A: С помощью трубы-конструктора длиной не менее 1 м с наружным диаметром равным диаметру скважины (АДЕ) - 2019-12-21</t>
  </si>
  <si>
    <t>Yes: С помощью приварки к двум диаметрально расположенным стержням каркаса двух стержней, имеющих длину до дна скважины и снабженных на нижнем конце опорными коротышами из уголков, приваренных непосредственно к нижнему кольцу жесткости (АДЕ) - 2019-12-21</t>
  </si>
  <si>
    <t>Yes: Комбинированным способом (АДЕ) - 2019-12-21</t>
  </si>
  <si>
    <t>Yes: Наличие стального прута, приваренного к одному из продольных стержней каркаса, такой длины, чтобы его верх возвышался над обсадной трубой на 10 - 20 см (с целью контроля положения каркаса по глубине скважины после его установки и в процессе укладки бетонной смеси)  (АДЕ) - 2019-12-21</t>
  </si>
  <si>
    <t>Андрей Денисов: Заголовок изменен на Армирование Бнс № 46</t>
  </si>
  <si>
    <t>Противокапиллярная Защита В/О 12-13/А-В</t>
  </si>
  <si>
    <t>4-20_А-Д Противокапилярная защита</t>
  </si>
  <si>
    <t>Противокапиллярная защита стен здания</t>
  </si>
  <si>
    <t>Yes: 3. Разметка мест заложения скважин соответствует условиям  технологического регламента (АДЕ) - 2019-12-21</t>
  </si>
  <si>
    <t>Yes: 4. Подготовка поверхности для инъекционирования соответствует проекту (АДЕ) - 2019-12-21</t>
  </si>
  <si>
    <t>N/A: 5. Приготовление ремонтных растворов сответствует согласованному технологическому регламенту (АДЕ) - 2019-12-21</t>
  </si>
  <si>
    <t>N/A: 6. Цементация шпуров и их инъектирование соответствует технологическому регламенту (АДЕ) - 2019-12-21</t>
  </si>
  <si>
    <t>Yes: Нормативная документация СП 70.13330.2012 Несущие и ограждающие конструкции СП 72.13330.2012 Защита строительных конструкций от коррозии СП 250.1325800 Защита от подземных вод (АДЕ) - 2019-12-21</t>
  </si>
  <si>
    <t>Андрей Денисов: Заголовок изменен на Противокапиллярная Защита В/О 12-13/А-В</t>
  </si>
  <si>
    <t>п2.5_изготовление_буронабивных_свай__i_этап_бурение_скважины</t>
  </si>
  <si>
    <t>Yes: Диаметр ствола и уширения соответствует проектным требованиям (АДЕ) - 2019-12-21</t>
  </si>
  <si>
    <t>Yes: Вертикальность ствола сваи соответствует нормативным требованиям (АДЕ) - 2019-12-21</t>
  </si>
  <si>
    <t>No: Наличие воды в скважине (АДЕ) - 2019-12-21</t>
  </si>
  <si>
    <t>No: Наличие вывалов грунта при бурении (АДЕ) - 2019-12-21</t>
  </si>
  <si>
    <t>Yes: Бурение скважин с применением обсадных труб осуществляется без опережающего забоя (АДЕ) - 2019-12-21</t>
  </si>
  <si>
    <t>N/A: При бурении в обводненных песках с прослойками плывуна, заполняющего полость обсадной трубы, обеспечивается подача в нее воды для поддержания расчетного уровня подземных вод избыточным напором не менее 4 м (АДЕ) - 2019-12-21</t>
  </si>
  <si>
    <t>N/A: При бурении скважин под защитой глинистого раствора его уровень в процессе бурения выше подземных вод не менее чем на 0,5 м (АДЕ) - 2019-12-21</t>
  </si>
  <si>
    <t>N/A: При бурении скважин под защитой бурового полимерного раствора его уровень в скважине в процессе бурения выше уровня подземных вод на величину, равную 10 % длины сваи, но не менее чем на 2 м (АДЕ) - 2019-12-21</t>
  </si>
  <si>
    <t>Yes: Недопущение бурения в задел (АДЕ) - 2019-12-21</t>
  </si>
  <si>
    <t>Yes: Бурение скважин рядом с ранее изготовленными сваями по прошествии не менее 48 часов после окончания бетонирования последних (сокращение указанного срока при использовании специальных бетонов с ускоренным временем твердения) (АДЕ) - 2019-12-21</t>
  </si>
  <si>
    <t>Yes: После завершения проходки скважины произведена зачистка забоя от шлама механическим способом (АДЕ) - 2019-12-21</t>
  </si>
  <si>
    <t>Yes: Разрешается приемка скважины (АДЕ) - 2019-12-21</t>
  </si>
  <si>
    <t>Yes: Руководство по производству и приемке работ при устройстве оснований и фундаментов (НИИОСП им. Н.М. Герсиванова). (АДЕ) - 2019-12-21</t>
  </si>
  <si>
    <t>Yes: СП50-102-2012 Проектирование и устройство свайных фундаментов (АДЕ) - 2019-12-21</t>
  </si>
  <si>
    <t>Андрей Денисов: Удалено отметить пункт - "Осуществлена проверка размеров скважины и уширения буронабивных свай. Фактические отклонения размеров скважины не превышают предельно допустимых, в том числе:"</t>
  </si>
  <si>
    <t>Андрей Денисов: Удалено отметить пункт - "Отклонение диаметра скважины не более 5 см"</t>
  </si>
  <si>
    <t>Андрей Денисов: Удалено отметить пункт - "Отклонение отметок устья, забоя и уширений не более 10 см"</t>
  </si>
  <si>
    <t>Андрей Денисов: Удалено отметить пункт - "Отклонение вертикальности оси скважины не более 1%"</t>
  </si>
  <si>
    <t>Андрей Денисов: Удалено отметить пункт - "Отклонение диаметра уширения не более 10 см"</t>
  </si>
  <si>
    <t>Андрей Денисов: Удалено отметить пункт - "Отклонение скважин поперек ряда не более 10 см"</t>
  </si>
  <si>
    <t>Андрей Денисов: Удалено отметить пункт - "Отклонение скважин вдоль ряда при кустовом расположении свай не более 15 см"</t>
  </si>
  <si>
    <t>Андрей Денисов: Удалено отметить пункт - "Наличие документов, удостоверяющих проведение комплекса работ по зачистке и уплотнению грунтов в забое (характеристики грунта забоя и степень его уплотнения соответствуют проектным требованиям)"</t>
  </si>
  <si>
    <t>Андрей Денисов: Удалено отметить пункт - "Наличие акта приемки котлована до начала работ со схемой геодезической разбивки и закрепления осей фундаментов"</t>
  </si>
  <si>
    <t>Андрей Денисов: Удалено отметить пункт - "Наличие акта освидетельствования скрытых работ"</t>
  </si>
  <si>
    <t>Андрей Денисов: Удалено отметить пункт - "Наличие записи в журнале производства работ"</t>
  </si>
  <si>
    <t>Андрей Денисов: Удалено отметить пункт - "Разрешается армирование"</t>
  </si>
  <si>
    <t>Андрей Денисов: Удалено отметить пункт - "СП 45.13330.2012 «Земляные сооружения, основания и фундаменты»."</t>
  </si>
  <si>
    <t>Андрей Денисов: Заголовок изменен на Устройство Забоя Бнс № 46</t>
  </si>
  <si>
    <t>Усиление Фундаментов Цементацией В/О 8/1-13/2/И/1-У</t>
  </si>
  <si>
    <t>Yes: 1. Работы производятся в соответствии с РД, утвержденной в производтство работ (АДЕ) - 2019-09-27</t>
  </si>
  <si>
    <t>Yes: 2. При производстве работ используются материалы, прошедший входной контроль (АДЕ) - 2019-09-27</t>
  </si>
  <si>
    <t>Yes: 3. Разметка мест заложения скважин соответствует проекту (АДЕ) - 2019-09-27</t>
  </si>
  <si>
    <t>Yes: 4. Работы по устройству скважины и наполнения раствором на 1-ом этапе соответствуют проекту (АДЕ) - 2019-09-27</t>
  </si>
  <si>
    <t>Yes: 5. Работы по  разбуриванию скважины на 2-ом этапе устройства соответствуют проекту (АДЕ) - 2019-09-27</t>
  </si>
  <si>
    <t>Yes: 6. Работы по заполнению раствором скважины на 2-ом этапе производятся в соответствии с проектом (АДЕ) - 2019-09-27</t>
  </si>
  <si>
    <t>N/A: 7. Тампонирование скважин выполняется в соответствии с проектом (АДЕ) - 2019-09-27</t>
  </si>
  <si>
    <t>Андрей Денисов: Заголовок изменен на Усиление Фундаментов Цементацией В/О</t>
  </si>
  <si>
    <t>Андрей Денисов: Дата начала изменена на сент. 27, 2019</t>
  </si>
  <si>
    <t>Андрей Денисов: Заголовок изменен на Усиление Фундаментов Цементацией В/О 8/1-13/2/И/1-У</t>
  </si>
  <si>
    <t>Операционный Контроль Усиления Фундаментов В/О 5/1-8/1/У-К/1</t>
  </si>
  <si>
    <t>Yes: 1. Работы производятся в соответствии с РД, утвержденной в производтство работ (АДЕ) - 2019-09-06</t>
  </si>
  <si>
    <t>Yes: 2. При производстве работ используются материалы, прошедший входной контроль (АДЕ) - 2019-09-06</t>
  </si>
  <si>
    <t>Yes: 3. Разметка мест заложения скважин соответствует проекту (АДЕ) - 2019-09-06</t>
  </si>
  <si>
    <t>Yes: 4. Работы по устройству скважины и наполнения раствором на 1-ом этапе соответствуют проекту (АДЕ) - 2019-09-06</t>
  </si>
  <si>
    <t>Yes: 5. Работы по  разбуриванию скважины на 2-ом этапе устройства соответствуют проекту (АДЕ) - 2019-09-06</t>
  </si>
  <si>
    <t>Yes: 6. Работы по заполнению раствором скважины на 2-ом этапе производятся в соответствии с проектом (АДЕ) - 2019-09-06</t>
  </si>
  <si>
    <t>N/A: 7. Тампонирование скважин выполняется в соответствии с проектом (АДЕ) - 2019-09-06</t>
  </si>
  <si>
    <t>Андрей Денисов: Заголовок изменен на Операционный Контроль Усиления Фундаментов В/О 5/1-8/1/У-К/1</t>
  </si>
  <si>
    <t>Андрей Денисов: Дата начала изменена на сент. 4, 2019</t>
  </si>
  <si>
    <t>Стыковка Армокаркаса СВГ 7</t>
  </si>
  <si>
    <t>Андрей Денисов: Заголовок изменен на Стыковка Армокаркаса СВГ 7</t>
  </si>
  <si>
    <t>Бетонирование Форшахты В/О 21-22/Т/1</t>
  </si>
  <si>
    <t>N/A: 2,1 Перед укладкой бетонной смеси опалубка и арматура очищается сжатым воздухом  (АДЕ) - 2019-09-06</t>
  </si>
  <si>
    <t>Yes: 2,2 Перед укладкой бетонной смеси поверхность опалубки, соприкасающаяся с бетоном, покрывается смазкой (АДЕ) - 2019-09-06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</si>
  <si>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- 2019-09-06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</si>
  <si>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- 2019-09-06</t>
  </si>
  <si>
    <t>Yes: 2,5 Верхний уровень уложенной бетонной смеси ниже верха щитов опалубки на 50-70 мм  (АДЕ) - 2019-09-06</t>
  </si>
  <si>
    <t>Yes: 2,6 Рабочие швы выполняются в соответствии с проектными требованиями (АДЕ) - 2019-09-06</t>
  </si>
  <si>
    <t>N/A: 2,7 Производится отбор проб контрольных образцов бетона для определения фактических показателей качества бетона конструкций  (АДЕ) - 2019-09-06</t>
  </si>
  <si>
    <t>Yes: 3,1 Работы выполняются на основе утвержденного ППР (АДЕ) - 2019-09-06</t>
  </si>
  <si>
    <t>Yes: 3,2 Наличие записи в журнале бетонных работ (АДЕ) - 2019-09-06</t>
  </si>
  <si>
    <t>Андрей Денисов: Заголовок изменен на Бетонирование Форшахты В/О 21-22/Т/1</t>
  </si>
  <si>
    <t>Андрей Денисов: Дата начала изменена на сент. 5, 2019</t>
  </si>
  <si>
    <t>Андрей Денисов: Дата окончания изменена на сент. 4, 2019</t>
  </si>
  <si>
    <t>Операционный Контроль Усиления Фундаментов Цементацией В/О 9-12/Б-Г</t>
  </si>
  <si>
    <t>Андрей Денисов: Заголовок изменен на Операционный Контроль Усиления Фундаментов Цементацией В/О 9-12/Б-Г</t>
  </si>
  <si>
    <t>Андрей Денисов: Дата начала изменена на сент. 6, 2019</t>
  </si>
  <si>
    <t>Устройство Траншеи Для Стены В Грунте Зх. 25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</si>
  <si>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- 2019-09-08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</si>
  <si>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- 2019-09-08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</si>
  <si>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- 2019-09-08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</si>
  <si>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- 2019-09-08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</si>
  <si>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- 2019-09-08</t>
  </si>
  <si>
    <t>Yes: 2.1. Произведена запись в общий журнал работ (п.15.5.5 СП 70.13330) (АДЕ) - 2019-09-08</t>
  </si>
  <si>
    <t>Yes: Нормативная документация: СП 45.13330.2012 Земляные сооружения, основания и фундаменты (АДЕ) - 2019-09-08</t>
  </si>
  <si>
    <t>Андрей Денисов: Заголовок изменен на Устройство Траншеи Для Стены В Грунте Зх. 24</t>
  </si>
  <si>
    <t>Андрей Денисов: Дата начала изменена на сент. 8, 2019</t>
  </si>
  <si>
    <t>Андрей Денисов: Заголовок изменен на Устройство Траншеи Для Стены В Грунте Зх. 25</t>
  </si>
  <si>
    <t>Бетонирование СВГ Захв 1</t>
  </si>
  <si>
    <t>Yes: 1.1. Бетонирование производится бетоном, соответствующим проектным требованиям, прошедшим входной контроль (АДЕ) - 2019-10-11</t>
  </si>
  <si>
    <t>Yes: 1.2. Бетонирование захватки произведено непрерывно с двум бетонных труб в соответствии с технологичекими требованиями (АДЕ) - 2019-10-11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</si>
  <si>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- 2019-10-11</t>
  </si>
  <si>
    <t>Yes: 1.4. Демонтаж межсекционных ограничителей из захваток выполнен через 5-6 ч после окончания бетонирования (АДЕ) - 2019-10-11</t>
  </si>
  <si>
    <t>Yes: 1.5. Бетонирование выполнено до момента поднятия уровня чистой смеси до проектной отметки. (АДЕ) - 2019-10-11</t>
  </si>
  <si>
    <t>Yes: 1.6. Контрольные образцы бетонной смеси изготовлены в количестве не менее 6 шт. на партию бетона (АДЕ) - 2019-10-11</t>
  </si>
  <si>
    <t>Yes: 2.1. Произведены записи в общем журнале работ (Раздел 3, раздел 6) по бетонированию, указаны результаты операционного контроля. (АДЕ) - 2019-10-11</t>
  </si>
  <si>
    <t>N/A: 2.2. Оформлен акт освидетельствования скрытых работ на бетонирование захватки СВГ. (АДЕ) - 2019-10-11</t>
  </si>
  <si>
    <t>Yes: Нормативная документация: СП 45.13330.2012 Земляные сооружения, основания и фундаменты (АДЕ) - 2019-10-11</t>
  </si>
  <si>
    <t>Андрей Денисов: Заголовок изменен на Бетонирование СВГ Захв 1</t>
  </si>
  <si>
    <t>Андрей Денисов: Дата начала изменена на окт. 9, 2019</t>
  </si>
  <si>
    <t>Yes: 1. Работы производятся в соответствии с РД, утвержденной в производтство работ (АДЕ) - 2019-09-09</t>
  </si>
  <si>
    <t>Yes: 2. При производстве работ используются материалы, прошедший входной контроль (АДЕ) - 2019-09-09</t>
  </si>
  <si>
    <t>Yes: 3. Разметка мест заложения скважин соответствует проекту (АДЕ) - 2019-09-09</t>
  </si>
  <si>
    <t>Yes: 4. Работы по устройству скважины и наполнения раствором на 1-ом этапе соответствуют проекту (АДЕ) - 2019-09-09</t>
  </si>
  <si>
    <t>N/A: 5. Работы по  разбуриванию скважины на 2-ом этапе устройства соответствуют проекту (АДЕ) - 2019-09-09</t>
  </si>
  <si>
    <t>N/A: 6. Работы по заполнению раствором скважины на 2-ом этапе производятся в соответствии с проектом (АДЕ) - 2019-09-09</t>
  </si>
  <si>
    <t>N/A: 7. Тампонирование скважин выполняется в соответствии с проектом (АДЕ) - 2019-09-09</t>
  </si>
  <si>
    <t>Андрей Денисов: Заголовок изменен на Операционный Контроль Усиления Фундаментов Цементацией У-И/1/4/1-8/1</t>
  </si>
  <si>
    <t>Закрепление грунтов Фундаментов В/О К/1-У/8/1-12/1</t>
  </si>
  <si>
    <t>Yes: 1. Работы проводятся в соответствии с РД, утвержденной в производство работ (АДЕ) - 2019-11-27</t>
  </si>
  <si>
    <t>Yes: 2. Геодезическая разбивка скважин, соответствует проекту (АДЕ) - 2019-11-27</t>
  </si>
  <si>
    <t>Yes: 3. Место установки буровой машины на точку бурения, соответствует проекту (АДЕ) - 2019-11-27</t>
  </si>
  <si>
    <t>Yes: 4. Подготовка штанги-бура и раствора выполняется в соотвествии с проектом (АДЕ) - 2019-11-27</t>
  </si>
  <si>
    <t>Yes: 5. Угол наклона стрелы станка, режим и глубина бурения скважин соответствует проекту (АДЕ) - 2019-11-27</t>
  </si>
  <si>
    <t>Yes: 6. Режим заполнения скважины раствором соответствует проекту (АДЕ) - 2019-11-27</t>
  </si>
  <si>
    <t>Андрей Денисов: Заголовок изменен на Закрепление грунтов Фундаментов В/О</t>
  </si>
  <si>
    <t>Андрей Денисов: Заголовок изменен на Закрепление грунтов Фундаментов В/О К/1-У/8/1-12/1</t>
  </si>
  <si>
    <t>Андрей Денисов: Дата начала изменена на нояб. 27, 2019</t>
  </si>
  <si>
    <t>Закрепление грунтов Фундаментов В/О 7-8/Д-Е/1</t>
  </si>
  <si>
    <t>Андрей Денисов: Заголовок изменен на Закрепление грунтов Фундаментов В/О 7-8/Д-Е/1</t>
  </si>
  <si>
    <t>Андрей Денисов: Заголовок изменен на Операционный Контроль 1 Этапа Инъецирования Скважины Расширяющимся Раствором В/О 19/2/И</t>
  </si>
  <si>
    <t>Операционный Контроль Усиления Фундаментов Цементацией В/О 8/2-12/2/И/1-У</t>
  </si>
  <si>
    <t>Yes: 1. Работы производятся в соответствии с РД, утвержденной в производтство работ (АДЕ) - 2019-10-03</t>
  </si>
  <si>
    <t>Yes: 2. При производстве работ используются материалы, прошедший входной контроль (АДЕ) - 2019-10-03</t>
  </si>
  <si>
    <t>Yes: 3. Разметка мест заложения скважин соответствует проекту (АДЕ) - 2019-10-03</t>
  </si>
  <si>
    <t>Yes: 4. Работы по устройству скважины и наполнения раствором на 1-ом этапе соответствуют проекту (АДЕ) - 2019-10-03</t>
  </si>
  <si>
    <t>Yes: 5. Работы по  разбуриванию скважины на 2-ом этапе устройства соответствуют проекту (АДЕ) - 2019-10-03</t>
  </si>
  <si>
    <t>Yes: 6. Работы по заполнению раствором скважины на 2-ом этапе производятся в соответствии с проектом (АДЕ) - 2019-10-03</t>
  </si>
  <si>
    <t>N/A: 7. Тампонирование скважин выполняется в соответствии с проектом (АДЕ) - 2019-10-03</t>
  </si>
  <si>
    <t>Андрей Денисов: Заголовок изменен на Операционный Контроль Усиления Фундаментов Цементацией В/О 8/2-12/2/И/1-У</t>
  </si>
  <si>
    <t>Бетонирование Бнс № 28</t>
  </si>
  <si>
    <t>Yes: В начале бетонирования расстояние между забоем скважины и нижним торцом бетонолитной трубы не превышает 30 см. В процессе бетонирования при подъеме бетонолитной трубы ее нижний торец постоянно заглублен под уровень бетонной смеси не менее чем на 1 м  (АДЕ) - 2019-12-23</t>
  </si>
  <si>
    <t>Yes: В процессе бетонирования сотрудниками строительной лаборатории постоянно осуществляется контроль показателей качества бетонной смеси (АДЕ) - 2019-12-23</t>
  </si>
  <si>
    <t>Yes: Контролируется выполнение мероприятий, обеспечивающих поддержание требуемой температуры бетонной смеси при укладке при отрицательных температурах наружного воздуха (температура бетона в скважине в момент укладки не менее 5 °С)  (АДЕ) - 2019-12-23</t>
  </si>
  <si>
    <t>Yes: Производится отбор проб бетонной смеси для изготовления контрольных образцов бетона (АДЕ) - 2019-12-23</t>
  </si>
  <si>
    <t>Yes: В процессе бетонирования бетонолитная труба на всю высоту постоянно заполнена бетонной смесью. Перерывы в подаче отдельных порций бетонной смеси не превышают срока схватывания, установленного лабораторией при данной марке цемента и температуре окружающей среды  (АДЕ) - 2019-12-23</t>
  </si>
  <si>
    <t>Yes: Подача бетонной смеси в скважину осуществляется до момента выхода чистой (без шлама) бетонной смеси на поверхность и заканчивается удалением загрязненного слоя бетонной смеси. Контролируется извлечение последней секции обсадной трубы (при ее наличии) и формирование оголовка сваи  (АДЕ) - 2019-12-23</t>
  </si>
  <si>
    <t>Yes: Работы выполняются на основе утвержденного ППР (АДЕ) - 2019-12-23</t>
  </si>
  <si>
    <t>Yes: Наличие записи в журнале производства работ (АДЕ) - 2019-12-23</t>
  </si>
  <si>
    <t>Yes: СП45.13330.2012 Земляные сооружения, основания и фундаменты. (АДЕ) - 2019-12-23</t>
  </si>
  <si>
    <t>Yes: СП50-102-2012 Проектирование и устройство свайных фундаментов. (АДЕ) - 2019-12-23</t>
  </si>
  <si>
    <t>Андрей Денисов: Заголовок изменен на Бетонирование Бнс № 28</t>
  </si>
  <si>
    <t>Устройство Забоя Бнс № 28</t>
  </si>
  <si>
    <t>Yes: Диаметр ствола и уширения соответствует проектным требованиям (АДЕ) - 2019-12-23</t>
  </si>
  <si>
    <t>Yes: Вертикальность ствола сваи соответствует нормативным требованиям (АДЕ) - 2019-12-23</t>
  </si>
  <si>
    <t>Yes: Наличие воды в скважине (АДЕ) - 2019-12-23</t>
  </si>
  <si>
    <t>Yes: Наличие вывалов грунта при бурении (АДЕ) - 2019-12-23</t>
  </si>
  <si>
    <t>Yes: Бурение скважин с применением обсадных труб осуществляется без опережающего забоя (АДЕ) - 2019-12-23</t>
  </si>
  <si>
    <t>Yes: Недопущение бурения в задел (АДЕ) - 2019-12-23</t>
  </si>
  <si>
    <t>Yes: Бурение скважин рядом с ранее изготовленными сваями по прошествии не менее 48 часов после окончания бетонирования последних (сокращение указанного срока при использовании специальных бетонов с ускоренным временем твердения) (АДЕ) - 2019-12-23</t>
  </si>
  <si>
    <t>Yes: После завершения проходки скважины произведена зачистка забоя от шлама механическим способом (АДЕ) - 2019-12-23</t>
  </si>
  <si>
    <t>Yes: Разрешается приемка скважины (АДЕ) - 2019-12-23</t>
  </si>
  <si>
    <t>Yes: Руководство по производству и приемке работ при устройстве оснований и фундаментов (НИИОСП им. Н.М. Герсиванова). (АДЕ) - 2019-12-23</t>
  </si>
  <si>
    <t>Yes: СП50-102-2012 Проектирование и устройство свайных фундаментов (АДЕ) - 2019-12-23</t>
  </si>
  <si>
    <t>Андрей Денисов: Удалено отметить пункт - "При бурении в обводненных песках с прослойками плывуна, заполняющего полость обсадной трубы, обеспечивается подача в нее воды для поддержания расчетного уровня подземных вод избыточным напором не менее 4 м"</t>
  </si>
  <si>
    <t>Андрей Денисов: Удалено отметить пункт - "При бурении скважин под защитой глинистого раствора его уровень в процессе бурения выше подземных вод не менее чем на 0,5 м"</t>
  </si>
  <si>
    <t>Андрей Денисов: Удалено отметить пункт - "При бурении скважин под защитой бурового полимерного раствора его уровень в скважине в процессе бурения выше уровня подземных вод на величину, равную 10 % длины сваи, но не менее чем на 2 м"</t>
  </si>
  <si>
    <t>Андрей Денисов: Заголовок изменен на Устройство Забоя Бнс № 28</t>
  </si>
  <si>
    <t>Устройство Диафрагмы Jet Grouting 21-22/Н-П</t>
  </si>
  <si>
    <t>Yes: Работы производятся в соответствии с РД, утвержденной в производтство работ (АДЕ) - 2019-12-23</t>
  </si>
  <si>
    <t>Yes: При производстве работ используются материалы, прошедший входной контроль (АДЕ) - 2019-12-23</t>
  </si>
  <si>
    <t>Yes: Разметка мест заложения скважин соответствует проекту (АДЕ) - 2019-12-23</t>
  </si>
  <si>
    <t>Yes: Отклонение погружаемой штанги от вертикали менее 2% (АДЕ) - 2019-12-23</t>
  </si>
  <si>
    <t>Yes: Скорости подъема монитора соответствует проекту (АДЕ) - 2019-12-23</t>
  </si>
  <si>
    <t>Yes: Частота вращения монитора соответствует проекту (АДЕ) - 2019-12-23</t>
  </si>
  <si>
    <t>Yes: Давление подачи цементного раствора соответствует проекту (АДЕ) - 2019-12-23</t>
  </si>
  <si>
    <t>Yes: Соотношение водоцементного-раствора соответствует проекту (АДЕ) - 2019-12-23</t>
  </si>
  <si>
    <t>Yes: СП 24.13330.2011 «Свайные фундаменты» (АДЕ) - 2019-12-23</t>
  </si>
  <si>
    <t>Андрей Денисов: Заголовок изменен на Устройство Диафрагмы Jet Grouting 21-22/Н-П</t>
  </si>
  <si>
    <t>Андрей Денисов: Дата начала изменена на дек. 23, 2019</t>
  </si>
  <si>
    <t>о2.9_закрепление грунтов основания под подошвой фундаментов</t>
  </si>
  <si>
    <t>Yes: 1. Работы проводятся в соответствии с РД, утвержденной в производство работ (АДЕ) - 2019-11-29</t>
  </si>
  <si>
    <t>Yes: 2. Геодезическая разбивка скважин, соответствует проекту (АДЕ) - 2019-11-29</t>
  </si>
  <si>
    <t>Yes: 3. Место установки буровой машины на точку бурения, соответствует проекту (АДЕ) - 2019-11-29</t>
  </si>
  <si>
    <t>Yes: 4. Подготовка штанги-бура и раствора выполняется в соотвествии с проектом (АДЕ) - 2019-11-29</t>
  </si>
  <si>
    <t>Yes: 5. Угол наклона стрелы станка, режим и глубина бурения скважин соответствует проекту (АДЕ) - 2019-11-29</t>
  </si>
  <si>
    <t>Yes: 6. Режим заполнения скважины раствором соответствует проекту (АДЕ) - 2019-11-29</t>
  </si>
  <si>
    <t>Андрей Денисов: Местоположение изменено на УФ_ Закрепление грунтов основания под подошвой фундаментов</t>
  </si>
  <si>
    <t>Андрей Денисов: Изменена дата начала на 29.11.2019</t>
  </si>
  <si>
    <t>Андрей Денисов: Заголовок изменен на Закрепление грунтов под фундаментами 13/3/Т-У</t>
  </si>
  <si>
    <t>Армирование Бнс № 28</t>
  </si>
  <si>
    <t>Yes: Сборка арматурного каркаса из отдельных секций осуществляется в сборочных кондукторах, арматурные стержни в месте соединения очищены на длине, превышающей 10 - 15 мм сварной шов или стык, а стыковые и крестообразующие сварочные соединения выполняются в соответствии с проектом и требованиями (АДЕ) - 2019-12-23</t>
  </si>
  <si>
    <t>Yes: Осуществляется комплекс мер, направленных на предотвращение подъема и смещения в плане арматурного каркаса укладываемой бетонной смеси и в процессе извлечения бетонолитной и обсадной трубы, а также во всех случаях армирования не на полную глубину скважины (АДЕ) - 2019-12-23</t>
  </si>
  <si>
    <t>Yes: С помощью трубы-конструктора длиной не менее 1 м с наружным диаметром равным диаметру скважины (АДЕ) - 2019-12-23</t>
  </si>
  <si>
    <t>Yes: С помощью приварки к двум диаметрально расположенным стержням каркаса двух стержней, имеющих длину до дна скважины и снабженных на нижнем конце опорными коротышами из уголков, приваренных непосредственно к нижнему кольцу жесткости (АДЕ) - 2019-12-23</t>
  </si>
  <si>
    <t>Yes: Комбинированным способом (АДЕ) - 2019-12-23</t>
  </si>
  <si>
    <t>Yes: Наличие стального прута, приваренного к одному из продольных стержней каркаса, такой длины, чтобы его верх возвышался над обсадной трубой на 10 - 20 см (с целью контроля положения каркаса по глубине скважины после его установки и в процессе укладки бетонной смеси)  (АДЕ) - 2019-12-23</t>
  </si>
  <si>
    <t>Андрей Денисов: Заголовок изменен на Армирование Бнс № 28</t>
  </si>
  <si>
    <t>Закрепление Грунтов Цементацией 8-9/А-Г</t>
  </si>
  <si>
    <t>5-18/А-Г Закрепление грунтов</t>
  </si>
  <si>
    <t>Андрей Денисов: Заголовок изменен на Закрепление Грунтов Цементацией 8-9/А-Г</t>
  </si>
  <si>
    <t>Усиление Фундаментов Цементацией 8/1-12/1/И/1-У</t>
  </si>
  <si>
    <t>Yes: 1. Работы производятся в соответствии с РД, утвержденной в производтство работ (АДЕ) - 2019-10-07</t>
  </si>
  <si>
    <t>Yes: 2. При производстве работ используются материалы, прошедший входной контроль (АДЕ) - 2019-10-07</t>
  </si>
  <si>
    <t>Yes: 3. Разметка мест заложения скважин соответствует проекту (АДЕ) - 2019-10-07</t>
  </si>
  <si>
    <t>Yes: 4. Работы по устройству скважины и наполнения раствором на 1-ом этапе соответствуют проекту (АДЕ) - 2019-10-07</t>
  </si>
  <si>
    <t>Yes: 5. Работы по  разбуриванию скважины на 2-ом этапе устройства соответствуют проекту (АДЕ) - 2019-10-07</t>
  </si>
  <si>
    <t>Yes: 6. Работы по заполнению раствором скважины на 2-ом этапе производятся в соответствии с проектом (АДЕ) - 2019-10-07</t>
  </si>
  <si>
    <t>N/A: 7. Тампонирование скважин выполняется в соответствии с проектом (АДЕ) - 2019-10-07</t>
  </si>
  <si>
    <t>Андрей Денисов: Дата начала изменена на окт. 7, 2019</t>
  </si>
  <si>
    <t>Андрей Денисов: Заголовок изменен на Усиление Фундаментов Цементацией 8/1-12/1/И/1-У</t>
  </si>
  <si>
    <t>Бетонирование СВГ Захв 48</t>
  </si>
  <si>
    <t>Yes: 1.1. Бетонирование производится бетоном, соответствующим проектным требованиям, прошедшим входной контроль (АДЕ) - 2019-10-28</t>
  </si>
  <si>
    <t>Yes: 1.2. Бетонирование захватки произведено непрерывно с двум бетонных труб в соответствии с технологичекими требованиями (АДЕ) - 2019-10-28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</si>
  <si>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- 2019-10-28</t>
  </si>
  <si>
    <t>N/A: 1.4. Демонтаж межсекционных ограничителей из захваток выполнен через 5-6 ч после окончания бетонирования (АДЕ) - 2019-10-28</t>
  </si>
  <si>
    <t>Yes: 1.5. Бетонирование выполнено до момента поднятия уровня чистой смеси до проектной отметки. (АДЕ) - 2019-10-28</t>
  </si>
  <si>
    <t>Yes: 1.6. Контрольные образцы бетонной смеси изготовлены в количестве не менее 6 шт. на партию бетона (АДЕ) - 2019-10-28</t>
  </si>
  <si>
    <t>Yes: 2.1. Произведены записи в общем журнале работ (Раздел 3, раздел 6) по бетонированию, указаны результаты операционного контроля. (АДЕ) - 2019-10-28</t>
  </si>
  <si>
    <t>Yes: 2.2. Оформлен акт освидетельствования скрытых работ на бетонирование захватки СВГ. (АДЕ) - 2019-10-28</t>
  </si>
  <si>
    <t>Yes: Нормативная документация: СП 45.13330.2012 Земляные сооружения, основания и фундаменты (АДЕ) - 2019-10-28</t>
  </si>
  <si>
    <t>Андрей Денисов: Заголовок изменен на Бетонирование СВГ Захв 48</t>
  </si>
  <si>
    <t>Андрей Денисов: Дата начала изменена на окт. 27, 2019</t>
  </si>
  <si>
    <t>Yes: В начале бетонирования расстояние между забоем скважины и нижним торцом бетонолитной трубы не превышает 30 см. В процессе бетонирования при подъеме бетонолитной трубы ее нижний торец постоянно заглублен под уровень бетонной смеси не менее чем на 1 м  (АДЕ) - 2019-12-24</t>
  </si>
  <si>
    <t>Yes: В процессе бетонирования сотрудниками строительной лаборатории постоянно осуществляется контроль показателей качества бетонной смеси (АДЕ) - 2019-12-24</t>
  </si>
  <si>
    <t>Yes: Контролируется выполнение мероприятий, обеспечивающих поддержание требуемой температуры бетонной смеси при укладке при отрицательных температурах наружного воздуха (температура бетона в скважине в момент укладки не менее 5 °С)  (АДЕ) - 2019-12-24</t>
  </si>
  <si>
    <t>Yes: Производится отбор проб бетонной смеси для изготовления контрольных образцов бетона (АДЕ) - 2019-12-24</t>
  </si>
  <si>
    <t>Yes: В процессе бетонирования бетонолитная труба на всю высоту постоянно заполнена бетонной смесью. Перерывы в подаче отдельных порций бетонной смеси не превышают срока схватывания, установленного лабораторией при данной марке цемента и температуре окружающей среды  (АДЕ) - 2019-12-24</t>
  </si>
  <si>
    <t>Yes: Подача бетонной смеси в скважину осуществляется до момента выхода чистой (без шлама) бетонной смеси на поверхность и заканчивается удалением загрязненного слоя бетонной смеси. Контролируется извлечение последней секции обсадной трубы (при ее наличии) и формирование оголовка сваи  (АДЕ) - 2019-12-24</t>
  </si>
  <si>
    <t>Yes: Работы выполняются на основе утвержденного ППР (АДЕ) - 2019-12-24</t>
  </si>
  <si>
    <t>Yes: Наличие записи в журнале производства работ (АДЕ) - 2019-12-24</t>
  </si>
  <si>
    <t>Yes: СП45.13330.2012 Земляные сооружения, основания и фундаменты. (АДЕ) - 2019-12-24</t>
  </si>
  <si>
    <t>Yes: СП50-102-2012 Проектирование и устройство свайных фундаментов. (АДЕ) - 2019-12-24</t>
  </si>
  <si>
    <t>Армирование Бнс № 44</t>
  </si>
  <si>
    <t>Yes: Сборка арматурного каркаса из отдельных секций осуществляется в сборочных кондукторах, арматурные стержни в месте соединения очищены на длине, превышающей 10 - 15 мм сварной шов или стык, а стыковые и крестообразующие сварочные соединения выполняются в соответствии с проектом и требованиями (АДЕ) - 2019-12-24</t>
  </si>
  <si>
    <t>Yes: Осуществляется комплекс мер, направленных на предотвращение подъема и смещения в плане арматурного каркаса укладываемой бетонной смеси и в процессе извлечения бетонолитной и обсадной трубы, а также во всех случаях армирования не на полную глубину скважины (АДЕ) - 2019-12-24</t>
  </si>
  <si>
    <t>Yes: С помощью трубы-конструктора длиной не менее 1 м с наружным диаметром равным диаметру скважины (АДЕ) - 2019-12-24</t>
  </si>
  <si>
    <t>Yes: С помощью приварки к двум диаметрально расположенным стержням каркаса двух стержней, имеющих длину до дна скважины и снабженных на нижнем конце опорными коротышами из уголков, приваренных непосредственно к нижнему кольцу жесткости (АДЕ) - 2019-12-24</t>
  </si>
  <si>
    <t>Yes: Комбинированным способом (АДЕ) - 2019-12-24</t>
  </si>
  <si>
    <t>Yes: Наличие стального прута, приваренного к одному из продольных стержней каркаса, такой длины, чтобы его верх возвышался над обсадной трубой на 10 - 20 см (с целью контроля положения каркаса по глубине скважины после его установки и в процессе укладки бетонной смеси)  (АДЕ) - 2019-12-24</t>
  </si>
  <si>
    <t>Андрей Денисов: Заголовок изменен на Армирование Бнс № 44</t>
  </si>
  <si>
    <t>Андрей Денисов: Дата начала изменена на дек. 24, 2019</t>
  </si>
  <si>
    <t>Устройство Забоя Бнс № 44</t>
  </si>
  <si>
    <t>Yes: Диаметр ствола и уширения соответствует проектным требованиям (АДЕ) - 2019-12-24</t>
  </si>
  <si>
    <t>Yes: Вертикальность ствола сваи соответствует нормативным требованиям (АДЕ) - 2019-12-24</t>
  </si>
  <si>
    <t>Yes: Наличие воды в скважине (АДЕ) - 2019-12-24</t>
  </si>
  <si>
    <t>Yes: Наличие вывалов грунта при бурении (АДЕ) - 2019-12-24</t>
  </si>
  <si>
    <t>Yes: Бурение скважин с применением обсадных труб осуществляется без опережающего забоя (АДЕ) - 2019-12-24</t>
  </si>
  <si>
    <t>Yes: Недопущение бурения в задел (АДЕ) - 2019-12-24</t>
  </si>
  <si>
    <t>Yes: Бурение скважин рядом с ранее изготовленными сваями по прошествии не менее 48 часов после окончания бетонирования последних (сокращение указанного срока при использовании специальных бетонов с ускоренным временем твердения) (АДЕ) - 2019-12-24</t>
  </si>
  <si>
    <t>Yes: После завершения проходки скважины произведена зачистка забоя от шлама механическим способом (АДЕ) - 2019-12-24</t>
  </si>
  <si>
    <t>Yes: Разрешается приемка скважины (АДЕ) - 2019-12-24</t>
  </si>
  <si>
    <t>Yes: Руководство по производству и приемке работ при устройстве оснований и фундаментов (НИИОСП им. Н.М. Герсиванова). (АДЕ) - 2019-12-24</t>
  </si>
  <si>
    <t>Yes: СП50-102-2012 Проектирование и устройство свайных фундаментов (АДЕ) - 2019-12-24</t>
  </si>
  <si>
    <t>Андрей Денисов: Заголовок изменен на Устройство Забоя Бнс № 44</t>
  </si>
  <si>
    <t>Устройство Диафрагмы Jet Grouting Ж-Е/22-23</t>
  </si>
  <si>
    <t>Yes: Работы производятся в соответствии с РД, утвержденной в производтство работ (АДЕ) - 2019-12-01</t>
  </si>
  <si>
    <t>Yes: При производстве работ используются материалы, прошедший входной контроль (АДЕ) - 2019-12-01</t>
  </si>
  <si>
    <t>Yes: Разметка мест заложения скважин соответствует проекту (АДЕ) - 2019-12-01</t>
  </si>
  <si>
    <t>Yes: Отклонение погружаемой штанги от вертикали менее 2% (АДЕ) - 2019-12-01</t>
  </si>
  <si>
    <t>Yes: Скорости подъема монитора соответствует проекту (АДЕ) - 2019-12-01</t>
  </si>
  <si>
    <t>Yes: Частота вращения монитора соответствует проекту (АДЕ) - 2019-12-01</t>
  </si>
  <si>
    <t>Yes: Давление подачи цементного раствора соответствует проекту (АДЕ) - 2019-12-01</t>
  </si>
  <si>
    <t>Yes: Соотношение водоцементного-раствора соответствует проекту (АДЕ) - 2019-12-01</t>
  </si>
  <si>
    <t>Yes: СП 24.13330.2011 «Свайные фундаменты» (АДЕ) - 2019-12-01</t>
  </si>
  <si>
    <t>Андрей Денисов: Заголовок изменен на Устройство Диафрагмы Jet Grouting Ж-Е/22-23</t>
  </si>
  <si>
    <t>Бетонирование СВГ Захв 57</t>
  </si>
  <si>
    <t>Yes: 2.2. Оформлен акт освидетельствования скрытых работ на бетонирование захватки СВГ. (АДЕ) - 2019-10-11</t>
  </si>
  <si>
    <t>Андрей Денисов: Заголовок изменен на Бетонирование СВГ Захв 57</t>
  </si>
  <si>
    <t>Андрей Денисов: Дата начала изменена на окт. 10, 2019</t>
  </si>
  <si>
    <t>Закрепление Грунтов Под Фундаментами 7-10/Е/1-И/1</t>
  </si>
  <si>
    <t>Yes: 1. Работы проводятся в соответствии с РД, утвержденной в производство работ (АДЕ) - 2019-12-02</t>
  </si>
  <si>
    <t>Yes: 2. Геодезическая разбивка скважин, соответствует проекту (АДЕ) - 2019-12-02</t>
  </si>
  <si>
    <t>Yes: 3. Место установки буровой машины на точку бурения, соответствует проекту (АДЕ) - 2019-12-02</t>
  </si>
  <si>
    <t>Yes: 4. Подготовка штанги-бура и раствора выполняется в соотвествии с проектом (АДЕ) - 2019-12-02</t>
  </si>
  <si>
    <t>Yes: 5. Угол наклона стрелы станка, режим и глубина бурения скважин соответствует проекту (АДЕ) - 2019-12-02</t>
  </si>
  <si>
    <t>Yes: 6. Режим заполнения скважины раствором соответствует проекту (АДЕ) - 2019-12-02</t>
  </si>
  <si>
    <t>Андрей Денисов: Заголовок изменен на Закрепление Грунтов Под Фундаментами 7-10/Е/1-И/1</t>
  </si>
  <si>
    <t>Устройство Диафрагмы Jet Grouting И-К/21-22</t>
  </si>
  <si>
    <t>Yes: Работы производятся в соответствии с РД, утвержденной в производтство работ (АДЕ) - 2019-12-02</t>
  </si>
  <si>
    <t>Yes: При производстве работ используются материалы, прошедший входной контроль (АДЕ) - 2019-12-02</t>
  </si>
  <si>
    <t>Yes: Разметка мест заложения скважин соответствует проекту (АДЕ) - 2019-12-02</t>
  </si>
  <si>
    <t>Yes: Отклонение погружаемой штанги от вертикали менее 2% (АДЕ) - 2019-12-02</t>
  </si>
  <si>
    <t>Yes: Скорости подъема монитора соответствует проекту (АДЕ) - 2019-12-02</t>
  </si>
  <si>
    <t>Yes: Частота вращения монитора соответствует проекту (АДЕ) - 2019-12-02</t>
  </si>
  <si>
    <t>Yes: Давление подачи цементного раствора соответствует проекту (АДЕ) - 2019-12-02</t>
  </si>
  <si>
    <t>Yes: Соотношение водоцементного-раствора соответствует проекту (АДЕ) - 2019-12-02</t>
  </si>
  <si>
    <t>Yes: СП 24.13330.2011 «Свайные фундаменты» (АДЕ) - 2019-12-02</t>
  </si>
  <si>
    <t>Андрей Денисов: Заголовок изменен на Устройство Диафрагмы Jet Grouting И-К/21-22</t>
  </si>
  <si>
    <t>Закрепление Грунтов Цементацией 9-12/А-Б</t>
  </si>
  <si>
    <t>Андрей Денисов: Заголовок изменен на Закрепление Грунтов Цементацией 9-12/А-Б</t>
  </si>
  <si>
    <t>Устройство Диафрагмы Jet Grouting Ж-И/19/3-21</t>
  </si>
  <si>
    <t>Yes: Работы производятся в соответствии с РД, утвержденной в производтство работ (АДЕ) - 2019-12-04</t>
  </si>
  <si>
    <t>Yes: При производстве работ используются материалы, прошедший входной контроль (АДЕ) - 2019-12-04</t>
  </si>
  <si>
    <t>Yes: Разметка мест заложения скважин соответствует проекту (АДЕ) - 2019-12-04</t>
  </si>
  <si>
    <t>Yes: Отклонение погружаемой штанги от вертикали менее 2% (АДЕ) - 2019-12-04</t>
  </si>
  <si>
    <t>Yes: Скорости подъема монитора соответствует проекту (АДЕ) - 2019-12-04</t>
  </si>
  <si>
    <t>Yes: Частота вращения монитора соответствует проекту (АДЕ) - 2019-12-04</t>
  </si>
  <si>
    <t>Yes: Давление подачи цементного раствора соответствует проекту (АДЕ) - 2019-12-04</t>
  </si>
  <si>
    <t>Yes: Соотношение водоцементного-раствора соответствует проекту (АДЕ) - 2019-12-04</t>
  </si>
  <si>
    <t>Yes: СП 24.13330.2011 «Свайные фундаменты» (АДЕ) - 2019-12-04</t>
  </si>
  <si>
    <t>Андрей Денисов: Заголовок изменен на Устройство Диафрагмы Jet Grouting Ж-И/19/3-21</t>
  </si>
  <si>
    <t>Андрей Денисов: Изменена дата начала на 04.12.2019</t>
  </si>
  <si>
    <t>Закрепление грунтов под фундаментами 12/1-13/2/У</t>
  </si>
  <si>
    <t>Yes: 1. Работы проводятся в соответствии с РД, утвержденной в производство работ (АДЕ) - 2019-12-06</t>
  </si>
  <si>
    <t>Yes: 2. Геодезическая разбивка скважин, соответствует проекту (АДЕ) - 2019-12-06</t>
  </si>
  <si>
    <t>Yes: 3. Место установки буровой машины на точку бурения, соответствует проекту (АДЕ) - 2019-12-06</t>
  </si>
  <si>
    <t>Yes: 4. Подготовка штанги-бура и раствора выполняется в соотвествии с проектом (АДЕ) - 2019-12-06</t>
  </si>
  <si>
    <t>Yes: 5. Угол наклона стрелы станка, режим и глубина бурения скважин соответствует проекту (АДЕ) - 2019-12-06</t>
  </si>
  <si>
    <t>Yes: 6. Режим заполнения скважины раствором соответствует проекту (АДЕ) - 2019-12-06</t>
  </si>
  <si>
    <t>Андрей Денисов: Заголовок изменен на Закрепление грунтов под фундаментами 12/1-13/2/У</t>
  </si>
  <si>
    <t>Закрепление Грунтов Цементацией 5-8/А-Б</t>
  </si>
  <si>
    <t>Yes: 1. Работы проводятся в соответствии с РД, утвержденной в производство работ (АДЕ) - 2019-12-05</t>
  </si>
  <si>
    <t>Yes: 2. Геодезическая разбивка скважин, соответствует проекту (АДЕ) - 2019-12-05</t>
  </si>
  <si>
    <t>Yes: 3. Место установки буровой машины на точку бурения, соответствует проекту (АДЕ) - 2019-12-05</t>
  </si>
  <si>
    <t>Yes: 4. Подготовка штанги-бура и раствора выполняется в соотвествии с проектом (АДЕ) - 2019-12-05</t>
  </si>
  <si>
    <t>Yes: 5. Угол наклона стрелы станка, режим и глубина бурения скважин соответствует проекту (АДЕ) - 2019-12-05</t>
  </si>
  <si>
    <t>Yes: 6. Режим заполнения скважины раствором соответствует проекту (АДЕ) - 2019-12-05</t>
  </si>
  <si>
    <t>Андрей Денисов: Заголовок изменен на Закрепление Грунтов Цементацией 5-8/А-Б</t>
  </si>
  <si>
    <t>Андрей Денисов: Дата начала изменена на дек. 5, 2019</t>
  </si>
  <si>
    <t>Закрепление Грунтов Под Фундаментами 7-10/Д/1-Е/1</t>
  </si>
  <si>
    <t>Андрей Денисов: Заголовок изменен на Закрепление Грунтов Под Фундаментами 7-10/Д/1-Е/1</t>
  </si>
  <si>
    <t>Yes: Работы производятся в соответствии с РД, утвержденной в производтство работ (АДЕ) - 2019-12-07</t>
  </si>
  <si>
    <t>Yes: При производстве работ используются материалы, прошедший входной контроль (АДЕ) - 2019-12-07</t>
  </si>
  <si>
    <t>Yes: Разметка мест заложения скважин соответствует проекту (АДЕ) - 2019-12-07</t>
  </si>
  <si>
    <t>Yes: Отклонение погружаемой штанги от вертикали менее 2% (АДЕ) - 2019-12-07</t>
  </si>
  <si>
    <t>Yes: Скорости подъема монитора соответствует проекту (АДЕ) - 2019-12-07</t>
  </si>
  <si>
    <t>Yes: Частота вращения монитора соответствует проекту (АДЕ) - 2019-12-07</t>
  </si>
  <si>
    <t>Yes: Давление подачи цементного раствора соответствует проекту (АДЕ) - 2019-12-07</t>
  </si>
  <si>
    <t>Yes: Соотношение водоцементного-раствора соответствует проекту (АДЕ) - 2019-12-07</t>
  </si>
  <si>
    <t>Yes: СП 24.13330.2011 «Свайные фундаменты» (АДЕ) - 2019-12-07</t>
  </si>
  <si>
    <t>Андрей Денисов: Дата начала изменена на дек. 7, 2019</t>
  </si>
  <si>
    <t>Закрепление Грунтов Цементацией 13-14/Г</t>
  </si>
  <si>
    <t>Yes: 1. Работы проводятся в соответствии с РД, утвержденной в производство работ (АДЕ) - 2019-11-07</t>
  </si>
  <si>
    <t>Yes: 2. Геодезическая разбивка скважин, соответствует проекту (АДЕ) - 2019-11-07</t>
  </si>
  <si>
    <t>Yes: 3. Место установки буровой машины на точку бурения, соответствует проекту (АДЕ) - 2019-11-07</t>
  </si>
  <si>
    <t>Yes: 4. Подготовка штанги-бура и раствора выполняется в соотвествии с проектом (АДЕ) - 2019-11-07</t>
  </si>
  <si>
    <t>Yes: 5. Угол наклона стрелы станка, режим и глубина бурения скважин соответствует проекту (АДЕ) - 2019-11-07</t>
  </si>
  <si>
    <t>Yes: 6. Режим заполнения скважины раствором соответствует проекту (АДЕ) - 2019-11-07</t>
  </si>
  <si>
    <t>Андрей Денисов: Заголовок изменен на Закрепление Грунтов Цементацией 13-14/Г</t>
  </si>
  <si>
    <t>Андрей Денисов: Дата начала изменена на нояб. 7, 2019</t>
  </si>
  <si>
    <t>Закрепление Грунтов Цементацией 4-9/Б-Г</t>
  </si>
  <si>
    <t>Yes: 1. Работы проводятся в соответствии с РД, утвержденной в производство работ (АДЕ) - 2019-12-10</t>
  </si>
  <si>
    <t>Yes: 2. Геодезическая разбивка скважин, соответствует проекту (АДЕ) - 2019-12-10</t>
  </si>
  <si>
    <t>Yes: 3. Место установки буровой машины на точку бурения, соответствует проекту (АДЕ) - 2019-12-10</t>
  </si>
  <si>
    <t>Yes: 4. Подготовка штанги-бура и раствора выполняется в соотвествии с проектом (АДЕ) - 2019-12-10</t>
  </si>
  <si>
    <t>Yes: 5. Угол наклона стрелы станка, режим и глубина бурения скважин соответствует проекту (АДЕ) - 2019-12-10</t>
  </si>
  <si>
    <t>Yes: 6. Режим заполнения скважины раствором соответствует проекту (АДЕ) - 2019-12-10</t>
  </si>
  <si>
    <t>Андрей Денисов: Заголовок изменен на Закрепление Грунтов Цементацией 4-9/Б-Г</t>
  </si>
  <si>
    <t>Андрей Денисов: Изменена дата начала на 10.12.2019</t>
  </si>
  <si>
    <t>Устройство Диафрагмы Jet Grouting Ж-К/22-23</t>
  </si>
  <si>
    <t>Yes: Работы производятся в соответствии с РД, утвержденной в производтство работ (АДЕ) - 2019-12-12</t>
  </si>
  <si>
    <t>Yes: При производстве работ используются материалы, прошедший входной контроль (АДЕ) - 2019-12-12</t>
  </si>
  <si>
    <t>Yes: Разметка мест заложения скважин соответствует проекту (АДЕ) - 2019-12-12</t>
  </si>
  <si>
    <t>Yes: Отклонение погружаемой штанги от вертикали менее 2% (АДЕ) - 2019-12-12</t>
  </si>
  <si>
    <t>Yes: Скорости подъема монитора соответствует проекту (АДЕ) - 2019-12-12</t>
  </si>
  <si>
    <t>Yes: Частота вращения монитора соответствует проекту (АДЕ) - 2019-12-12</t>
  </si>
  <si>
    <t>Yes: Давление подачи цементного раствора соответствует проекту (АДЕ) - 2019-12-12</t>
  </si>
  <si>
    <t>Yes: Соотношение водоцементного-раствора соответствует проекту (АДЕ) - 2019-12-12</t>
  </si>
  <si>
    <t>Yes: СП 24.13330.2011 «Свайные фундаменты» (АДЕ) - 2019-12-12</t>
  </si>
  <si>
    <t>Андрей Денисов: Заголовок изменен на Устройство Диафрагмы Jet Grouting Ж-К/22-23</t>
  </si>
  <si>
    <t>Закрепление Грунтов Цементацией 5-8/А</t>
  </si>
  <si>
    <t>Yes: 1. Работы проводятся в соответствии с РД, утвержденной в производство работ (АДЕ) - 2019-12-12</t>
  </si>
  <si>
    <t>Yes: 2. Геодезическая разбивка скважин, соответствует проекту (АДЕ) - 2019-12-12</t>
  </si>
  <si>
    <t>Yes: 3. Место установки буровой машины на точку бурения, соответствует проекту (АДЕ) - 2019-12-12</t>
  </si>
  <si>
    <t>Yes: 4. Подготовка штанги-бура и раствора выполняется в соотвествии с проектом (АДЕ) - 2019-12-12</t>
  </si>
  <si>
    <t>Yes: 5. Угол наклона стрелы станка, режим и глубина бурения скважин соответствует проекту (АДЕ) - 2019-12-12</t>
  </si>
  <si>
    <t>Yes: 6. Режим заполнения скважины раствором соответствует проекту (АДЕ) - 2019-12-12</t>
  </si>
  <si>
    <t>Андрей Денисов: Заголовок изменен на Закрепление Грунтов Цементацией 5-8/А</t>
  </si>
  <si>
    <t>Закрепление Грунтов 11-16/Д</t>
  </si>
  <si>
    <t>Yes: 1. Работы проводятся в соответствии с РД, утвержденной в производство работ (АДЕ) - 2019-11-11</t>
  </si>
  <si>
    <t>Yes: 2. Геодезическая разбивка скважин, соответствует проекту (АДЕ) - 2019-11-11</t>
  </si>
  <si>
    <t>Yes: 3. Место установки буровой машины на точку бурения, соответствует проекту (АДЕ) - 2019-11-11</t>
  </si>
  <si>
    <t>Yes: 4. Подготовка штанги-бура и раствора выполняется в соотвествии с проектом (АДЕ) - 2019-11-11</t>
  </si>
  <si>
    <t>Yes: 5. Угол наклона стрелы станка, режим и глубина бурения скважин соответствует проекту (АДЕ) - 2019-11-11</t>
  </si>
  <si>
    <t>Yes: 6. Режим заполнения скважины раствором соответствует проекту (АДЕ) - 2019-11-11</t>
  </si>
  <si>
    <t>Андрей Денисов: Заголовок изменен на Закрепление Грунтов 11-16/Д</t>
  </si>
  <si>
    <t>Андрей Денисов: Дата начала изменена на нояб. 11, 2019</t>
  </si>
  <si>
    <t>Yes: Работы производятся в соответствии с РД, утвержденной в производтство работ (АДЕ) - 2019-12-13</t>
  </si>
  <si>
    <t>Yes: При производстве работ используются материалы, прошедший входной контроль (АДЕ) - 2019-12-13</t>
  </si>
  <si>
    <t>Yes: Разметка мест заложения скважин соответствует проекту (АДЕ) - 2019-12-13</t>
  </si>
  <si>
    <t>Yes: Отклонение погружаемой штанги от вертикали менее 2% (АДЕ) - 2019-12-13</t>
  </si>
  <si>
    <t>Yes: Скорости подъема монитора соответствует проекту (АДЕ) - 2019-12-13</t>
  </si>
  <si>
    <t>Yes: Частота вращения монитора соответствует проекту (АДЕ) - 2019-12-13</t>
  </si>
  <si>
    <t>Yes: Давление подачи цементного раствора соответствует проекту (АДЕ) - 2019-12-13</t>
  </si>
  <si>
    <t>Yes: Соотношение водоцементного-раствора соответствует проекту (АДЕ) - 2019-12-13</t>
  </si>
  <si>
    <t>Yes: СП 24.13330.2011 «Свайные фундаменты» (АДЕ) - 2019-12-13</t>
  </si>
  <si>
    <t>Андрей Денисов: Дата начала изменена на дек. 13, 2019</t>
  </si>
  <si>
    <t>Устройство Диафрагмы Jet Grouting К-Л/22-23</t>
  </si>
  <si>
    <t>Yes: Работы производятся в соответствии с РД, утвержденной в производтство работ (АДЕ) - 2019-12-16</t>
  </si>
  <si>
    <t>Yes: При производстве работ используются материалы, прошедший входной контроль (АДЕ) - 2019-12-16</t>
  </si>
  <si>
    <t>Yes: Разметка мест заложения скважин соответствует проекту (АДЕ) - 2019-12-16</t>
  </si>
  <si>
    <t>Yes: Отклонение погружаемой штанги от вертикали менее 2% (АДЕ) - 2019-12-16</t>
  </si>
  <si>
    <t>Yes: Скорости подъема монитора соответствует проекту (АДЕ) - 2019-12-16</t>
  </si>
  <si>
    <t>Yes: Частота вращения монитора соответствует проекту (АДЕ) - 2019-12-16</t>
  </si>
  <si>
    <t>Yes: Давление подачи цементного раствора соответствует проекту (АДЕ) - 2019-12-16</t>
  </si>
  <si>
    <t>Yes: Соотношение водоцементного-раствора соответствует проекту (АДЕ) - 2019-12-16</t>
  </si>
  <si>
    <t>Yes: СП 24.13330.2011 «Свайные фундаменты» (АДЕ) - 2019-12-16</t>
  </si>
  <si>
    <t>Андрей Денисов: Заголовок изменен на Устройство Диафрагмы Jet Grouting К-Л/22-23</t>
  </si>
  <si>
    <t>Андрей Денисов: Изменена дата начала на 16.12.2019</t>
  </si>
  <si>
    <t>Закрепление Грунтов Цементацией 8-12/А</t>
  </si>
  <si>
    <t>Yes: 1. Работы проводятся в соответствии с РД, утвержденной в производство работ (АДЕ) - 2019-12-16</t>
  </si>
  <si>
    <t>Yes: 2. Геодезическая разбивка скважин, соответствует проекту (АДЕ) - 2019-12-16</t>
  </si>
  <si>
    <t>Yes: 3. Место установки буровой машины на точку бурения, соответствует проекту (АДЕ) - 2019-12-16</t>
  </si>
  <si>
    <t>Yes: 4. Подготовка штанги-бура и раствора выполняется в соотвествии с проектом (АДЕ) - 2019-12-16</t>
  </si>
  <si>
    <t>Yes: 5. Угол наклона стрелы станка, режим и глубина бурения скважин соответствует проекту (АДЕ) - 2019-12-16</t>
  </si>
  <si>
    <t>Yes: 6. Режим заполнения скважины раствором соответствует проекту (АДЕ) - 2019-12-16</t>
  </si>
  <si>
    <t>Андрей Денисов: Заголовок изменен на Закрепление Грунтов Цементацией 8-12/А</t>
  </si>
  <si>
    <t>Закрепление Грунтов По Фундаментами В/О 12-15/А-Д, 10/Д-И/1</t>
  </si>
  <si>
    <t>Yes: 1. Работы проводятся в соответствии с РД, утвержденной в производство работ (АДЕ) - 2019-11-19</t>
  </si>
  <si>
    <t>Yes: 2. Геодезическая разбивка скважин, соответствует проекту (АДЕ) - 2019-11-19</t>
  </si>
  <si>
    <t>Yes: 3. Место установки буровой машины на точку бурения, соответствует проекту (АДЕ) - 2019-11-19</t>
  </si>
  <si>
    <t>Yes: 4. Подготовка штанги-бура и раствора выполняется в соотвествии с проектом (АДЕ) - 2019-11-19</t>
  </si>
  <si>
    <t>Yes: 5. Угол наклона стрелы станка, режим и глубина бурения скважин соответствует проекту (АДЕ) - 2019-11-19</t>
  </si>
  <si>
    <t>Yes: 6. Режим заполнения скважины раствором соответствует проекту (АДЕ) - 2019-11-19</t>
  </si>
  <si>
    <t>Андрей Денисов: Заголовок изменен на Закрепление Грунтов По Фундаментами В/О 12-15/А-Д, 10/Д-И/1</t>
  </si>
  <si>
    <t>Усиление Фундаментов Цементацией В/О 23-27/М-С, 11-14/А-Д, 14-16-А-Д</t>
  </si>
  <si>
    <t>Yes: 1. Работы производятся в соответствии с РД, утвержденной в производтство работ (ВЧУ) - 2019-07-09</t>
  </si>
  <si>
    <t>Yes: 2. При производстве работ используются материалы, прошедший входной контроль (ВЧУ) - 2019-07-09</t>
  </si>
  <si>
    <t>Yes: 3. Разметка мест заложения скважин соответствует проекту (ВЧУ) - 2019-07-09</t>
  </si>
  <si>
    <t>Yes: 4. Работы по устройству скважины и наполнения раствором на 1-ом этапе соответствуют проекту (ВЧУ) - 2019-07-09</t>
  </si>
  <si>
    <t>Yes: 5. Работы по  разбуриванию скважины на 2-ом этапе устройства соответствуют проекту (ВЧУ) - 2019-07-09</t>
  </si>
  <si>
    <t>Yes: 6. Работы по заполнению раствором скважины на 2-ом этапе производятся в соответствии с проектом (ВЧУ) - 2019-07-09</t>
  </si>
  <si>
    <t>N/A: 7. Тампонирование скважин выполняется в соответствии с проектом (ВЧУ) - 2019-07-09</t>
  </si>
  <si>
    <t>Владимир Чугунов: Заголовок изменен на Усиление Фундаментов Цементацией В/О 23-27/М-С, 11-14/А-Д, 14-16-А-Д</t>
  </si>
  <si>
    <t>Yes: 1.1 Вертикальный и горизонтальный шаг арматуры соответствует проекту. Отклонение между рядами арматуры не более 10 мм (ВЧУ) - 2019-03-25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</si>
  <si>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- 2019-03-25</t>
  </si>
  <si>
    <t>Yes: 1.3 Отклонение толщины защитного слоя бетона от проектной не более 15 мм и не менее 5 мм при толщине бетона более 300 мм (ВЧУ) - 2019-03-25</t>
  </si>
  <si>
    <t>N/A: 1.4 Сварные соединения соответствуют проекту и требованиям ГОСТ 14098—2014 (ВЧУ) - 2019-03-25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</si>
  <si>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(ВЧУ) - 2019-03-25</t>
  </si>
  <si>
    <t>Yes: 2.1 Наличие записи в общем журнале работ (ВЧУ) - 2019-03-25</t>
  </si>
  <si>
    <t>No: Отсутствует проектное решение по усилению проёма выданное в Производство работ (ВЧУ) - 2019-03-25</t>
  </si>
  <si>
    <t>Владимир Чугунов: Заголовок изменен на Операционный Контроль Армирования Проёма 1/Г</t>
  </si>
  <si>
    <t>Владимир Чугунов: Название категории изменено на Операционный контроль</t>
  </si>
  <si>
    <t>Владимир Чугунов: Дата начала изменена на мар. 25, 2019</t>
  </si>
  <si>
    <t>Владимир Чугунов: Удалено отметить пункт - "3.1 Разрешается проведение последующих работ по устройству опалубки  или бетонированию конструкции"</t>
  </si>
  <si>
    <t>Владимир Чугунов: Отмеченный пункт изменен с "Отсутствует" на "Отсутствует проектное решение по усилению проёма выданное в Производство работ"</t>
  </si>
  <si>
    <t>Владимир Чугунов: Ответственное лицо замещено Владимир Чугунов</t>
  </si>
  <si>
    <t>Гидроизоляция Ж/Б Канала Теплотрассы В/О 1-2/А-Г</t>
  </si>
  <si>
    <t>Yes: 1. Работы производятся в соответствии с РД, утвержденной в производтство работ (ВЧУ) - 2019-06-11</t>
  </si>
  <si>
    <t>Yes: 2. При производстве работ используются материалы, прошедший входной контроль (ВЧУ) - 2019-06-11</t>
  </si>
  <si>
    <t>Yes: 3. Разметка мест заложения скважин соответствует условиям  технологического регламента (ВЧУ) - 2019-06-11</t>
  </si>
  <si>
    <t>Yes: 4. Подготовка поверхности для инъекционирования соответствует проекту (ВЧУ) - 2019-06-11</t>
  </si>
  <si>
    <t>Yes: 5. Приготовление ремонтных растворов сответствует согласованному технологическому регламенту (ВЧУ) - 2019-06-11</t>
  </si>
  <si>
    <t>Yes: 6. Цементация шпуров и их инъектирование соответствует технологическому регламенту (ВЧУ) - 2019-06-11</t>
  </si>
  <si>
    <t>Yes: Нормативная документация СП 70.13330.2012 Несущие и ограждающие конструкции СП 72.13330.2012 Защита строительных конструкций от коррозии СП 250.1325800 Защита от подземных вод (ВЧУ) - 2019-06-11</t>
  </si>
  <si>
    <t>Владимир Чугунов: Заголовок изменен на Гидроизоляция Ж/Б Канала Теплотрассы</t>
  </si>
  <si>
    <t>Владимир Чугунов: Заголовок изменен на Гидроизоляция Ж/Б Канала Теплотрассы В/О 1-2/А-Г</t>
  </si>
  <si>
    <t>Контроль Качества Бентонитового Раствора Зах.45</t>
  </si>
  <si>
    <t>Yes: 2,1 Перед укладкой бетонной смеси опалубка и арматура очищается сжатым воздухом  (ВЧУ) - 2019-07-10</t>
  </si>
  <si>
    <t>Yes: 2,2 Перед укладкой бетонной смеси поверхность опалубки, соприкасающаяся с бетоном, покрывается смазкой (ВЧУ) - 2019-07-10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</si>
  <si>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(ВЧУ) - 2019-07-10</t>
  </si>
  <si>
    <t>N/A: 2,4 Толщина укладываемых слоев бетонной смеси при уплотнении смеси ручными глубинными вибраторами не более 1,25 длины рабочей части вибратора (ВЧУ) - 2019-07-10</t>
  </si>
  <si>
    <t>Yes: 2,5 Верхний уровень уложенной бетонной смеси ниже верха щитов опалубки на 50-70 мм  (ВЧУ) - 2019-07-10</t>
  </si>
  <si>
    <t>Yes: 2,6 Рабочие швы выполняются в соответствии с проектными требованиями (ВЧУ) - 2019-07-10</t>
  </si>
  <si>
    <t>Yes: 2,7 Производится отбор проб контрольных образцов бетона для определения фактических показателей качества бетона конструкций  (ВЧУ) - 2019-07-10</t>
  </si>
  <si>
    <t>Yes: 3,1 Работы выполняются на основе утвержденного ППР (ВЧУ) - 2019-07-10</t>
  </si>
  <si>
    <t>Yes: 3,2 Наличие записи в журнале бетонных работ (ВЧУ) - 2019-07-10</t>
  </si>
  <si>
    <t>Владимир Чугунов: Заголовок изменен на Контроль Качества Бентонитового Раствора</t>
  </si>
  <si>
    <t>Владимир Чугунов: Заголовок изменен на Контроль Качества Бентонитового Раствора Зах.45</t>
  </si>
  <si>
    <t>Стыковка И Погружение БО Зах.45</t>
  </si>
  <si>
    <t>Владимир Чугунов: Заголовок изменен на Стыковка И Погружение БО Зах.45</t>
  </si>
  <si>
    <t>Арматурный Каркас Стыковка Зах.45</t>
  </si>
  <si>
    <t>Yes: 1.1 Вертикальный и горизонтальный шаг арматуры соответствует проекту. Отклонение между рядами арматуры не более 10 мм (ВЧУ) - 2019-07-10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</si>
  <si>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- 2019-07-10</t>
  </si>
  <si>
    <t>Yes: 1.3 Отклонение толщины защитного слоя бетона от проектной не более 15 мм и не менее 5 мм при толщине бетона более 300 мм (ВЧУ) - 2019-07-10</t>
  </si>
  <si>
    <t>Yes: 1.4 Сварные соединения соответствуют проекту и требованиям ГОСТ 14098—2014 (ВЧУ) - 2019-07-10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</si>
  <si>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- 2019-07-10</t>
  </si>
  <si>
    <t>Yes: 2.1 Наличие записи в общем журнале работ (ВЧУ) - 2019-07-10</t>
  </si>
  <si>
    <t>Yes: 3.1 Разрешается проведение последующих работ по устройству опалубки  или бетонированию конструкции (ВЧУ) - 2019-07-10</t>
  </si>
  <si>
    <t>Владимир Чугунов: Заголовок изменен на Арматурный Каркас Стыковка Зах.45</t>
  </si>
  <si>
    <t>Операционный Контроль Траншеи Вынос Линий Связи</t>
  </si>
  <si>
    <t>Вынос Линий Связи</t>
  </si>
  <si>
    <t>о_1.2_устройство_котлованов,_траншей,_выемок</t>
  </si>
  <si>
    <t>Yes: 1.1 Отклонение отметок дна при механизированной разработке соответствует проектным требованиям (ВЧУ) - 2019-04-01</t>
  </si>
  <si>
    <t>Yes: 1.2 Отклонение отметок дна при окончательной разработке (доработке) соответствует проектным требованиям (ВЧУ) - 2019-04-01</t>
  </si>
  <si>
    <t>Yes: 1.3 Ширина траншеи при выполнении работ соответствует проектным требованиям (ВЧУ) - 2019-04-01</t>
  </si>
  <si>
    <t>Yes: 1.4 Геометрические размеры котлована при раскопке в плане соответствуют проектным требованиям (ВЧУ) - 2019-04-01</t>
  </si>
  <si>
    <t>N/A: 1.5 Крутизна откосов при выполнении работ соответствует проектным требованиям (ВЧУ) - 2019-04-01</t>
  </si>
  <si>
    <t>N/A: 1.6 Выполняются работы по отводу поверхностных и подземных вод с помощью временных или постоянных устройств  (ВЧУ) - 2019-04-01</t>
  </si>
  <si>
    <t>N/A: 1.7 Случайные переборы грунта в котловане восстанавливаются местным или песчаным грунтом с тщательным уплотнением  (ВЧУ) - 2019-04-01</t>
  </si>
  <si>
    <t>Yes: 2.1 Работы выполняются на основе утвержденного ППР (ВЧУ) - 2019-04-01</t>
  </si>
  <si>
    <t>Yes: 2.2 Наличие записи в журнале производства работ (ВЧУ) - 2019-04-01</t>
  </si>
  <si>
    <t>Владимир Чугунов: Заголовок изменен на Операционный Контроль Траншеи Вынос Линий Связи</t>
  </si>
  <si>
    <t>Усиление Тела Фундамента Цементацией В/О 19-19/2/Д-Н</t>
  </si>
  <si>
    <t>п2.13_усиление_тела_фундамента_цементацией</t>
  </si>
  <si>
    <t>Yes: 1. При производстве работ использовались материалы, прошедший входной контроль (ВЧУ) - 2019-05-10</t>
  </si>
  <si>
    <t>Yes: 2. Количество свай и их фактическое положение соответствует проекту (ВЧУ) - 2019-05-10</t>
  </si>
  <si>
    <t>Yes: 3. Качество тампоновки скважины соответсвует проекту (ВЧУ) - 2019-05-10</t>
  </si>
  <si>
    <t>Yes: 4. Наличие полного комплекта исполнительной документации, включая акты освидетельствования скрытых работ (ВЧУ) - 2019-05-10</t>
  </si>
  <si>
    <t>Владимир Чугунов: Заголовок изменен на Усиление Тела Фундамента Цементацией В/О 19-19/2/Д-Н</t>
  </si>
  <si>
    <t>Владимир Чугунов: Дата начала изменена на мая 10, 2019</t>
  </si>
  <si>
    <t>Усиление Тела Фундамента Цементацией В/О 16-18/Д-И</t>
  </si>
  <si>
    <t>Владимир Чугунов: Заголовок изменен на Усиление Тела Фундамента Цементацией В/О 16-18/Д-И</t>
  </si>
  <si>
    <t>Усиление Тела Фундаментов Цементацией в/о 16-18/Д-И</t>
  </si>
  <si>
    <t>Yes: 1. При производстве работ использовались материалы, прошедший входной контроль (ВЧУ) - 2019-05-11</t>
  </si>
  <si>
    <t>Yes: 2. Количество свай и их фактическое положение соответствует проекту (ВЧУ) - 2019-05-11</t>
  </si>
  <si>
    <t>N/A: 3. Качество тампоновки скважины соответсвует проекту (ВЧУ) - 2019-05-11</t>
  </si>
  <si>
    <t>N/A: 4. Наличие полного комплекта исполнительной документации, включая акты освидетельствования скрытых работ (ВЧУ) - 2019-05-11</t>
  </si>
  <si>
    <t>Владимир Чугунов: Заголовок изменен на Усиление Тела Фундаментов Цементацией в/о 16-18/Д-И</t>
  </si>
  <si>
    <t>Владимир Чугунов: Дата начала изменена на мая 11, 2019</t>
  </si>
  <si>
    <t>Операционный Контроль Усиление Фундаментов В/О 26/А-В</t>
  </si>
  <si>
    <t>Yes: 1. Работы производятся в соответствии с РД, утвержденной в производтство работ (ВЧУ) - 2019-04-05</t>
  </si>
  <si>
    <t>Yes: 2. При производстве работ используются материалы, прошедший входной контроль (ВЧУ) - 2019-04-05</t>
  </si>
  <si>
    <t>Yes: 3. Разметка мест заложения скважин соответствует проекту (ВЧУ) - 2019-04-05</t>
  </si>
  <si>
    <t>Yes: 4. Работы по устройству скважины и наполнения раствором на 1-ом этапе соответствуют проекту (ВЧУ) - 2019-04-05</t>
  </si>
  <si>
    <t>N/A: 5. Работы по  разбуриванию скважины на 2-ом этапе устройства соответствуют проекту (ВЧУ) - 2019-04-05</t>
  </si>
  <si>
    <t>N/A: 6. Работы по заполнению раствором скважины на 2-ом этапе производятся в соответствии с проектом (ВЧУ) - 2019-04-05</t>
  </si>
  <si>
    <t>N/A: 7. Тампонирование скважин выполняется в соответствии с проектом (ВЧУ) - 2019-04-05</t>
  </si>
  <si>
    <t>Владимир Чугунов: Заголовок изменен на Операционный Контроль Усиление Фундаментов</t>
  </si>
  <si>
    <t>Владимир Чугунов: Дата начала изменена на апр. 5, 2019</t>
  </si>
  <si>
    <t>Владимир Чугунов: Удалено видео</t>
  </si>
  <si>
    <t>Владимир Чугунов: Заголовок изменен на Операционный Контроль Усиление Фундаментов В/О 26/А-В</t>
  </si>
  <si>
    <t>Андрей Денисов: Удалено видео</t>
  </si>
  <si>
    <t>Усиление Тела Фундамента Цементацией в/о 19-19/2/Д-Ж</t>
  </si>
  <si>
    <t>Yes: 1. При производстве работ использовались материалы, прошедший входной контроль (ВЧУ) - 2019-05-13</t>
  </si>
  <si>
    <t>Yes: 2. Количество свай и их фактическое положение соответствует проекту (ВЧУ) - 2019-05-13</t>
  </si>
  <si>
    <t>N/A: 3. Качество тампоновки скважины соответсвует проекту (ВЧУ) - 2019-05-13</t>
  </si>
  <si>
    <t>N/A: 4. Наличие полного комплекта исполнительной документации, включая акты освидетельствования скрытых работ (ВЧУ) - 2019-05-13</t>
  </si>
  <si>
    <t>Владимир Чугунов: Заголовок изменен на Усиление Тела Фундамента Цементацией в/о 19-19/2/Д-Ж</t>
  </si>
  <si>
    <t>Владимир Чугунов: Дата начала изменена на мая 13, 2019</t>
  </si>
  <si>
    <t>Операционный Контроль Армирования Ж/Б плиты Подвала В/О 1-2/Г-Д</t>
  </si>
  <si>
    <t>о2.1_армирование_фундамента</t>
  </si>
  <si>
    <t>Yes: 1.1 Вертикальный и горизонтальный шаг арматуры соответствует проекту. Отклонение между рядами арматуры не более 10 мм (ВЧУ) - 2019-04-08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</si>
  <si>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- 2019-04-08</t>
  </si>
  <si>
    <t>Yes: 1.3 Отклонение толщины защитного слоя бетона от проектной не более 15 мм и не менее 5 мм при толщине бетона более 300 мм (ВЧУ) - 2019-04-08</t>
  </si>
  <si>
    <t>N/A: 1.4 Сварные соединения соответствуют проекту и требованиям ГОСТ 14098—2014 (ВЧУ) - 2019-04-08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</si>
  <si>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- 2019-04-08</t>
  </si>
  <si>
    <t>Yes: 2.1 Наличие записи в общем журнале работ (ВЧУ) - 2019-04-08</t>
  </si>
  <si>
    <t>Yes: 3.1 Разрешается проведение последующих работ по устройству опалубки  или бетонированию конструкции (ВЧУ) - 2019-04-08</t>
  </si>
  <si>
    <t>Владимир Чугунов: Заголовок изменен на Операционный Контроль Армирования Ж/Б плиты Подвала В/О 1-2/Г-Д</t>
  </si>
  <si>
    <t>Владимир Чугунов: Дата начала изменена на апр. 8, 2019</t>
  </si>
  <si>
    <t>Армирование Форшахты В/О 22-23/Д-Ж</t>
  </si>
  <si>
    <t>Yes: 1.1 Вертикальный и горизонтальный шаг арматуры соответствует проекту. Отклонение между рядами арматуры не более 10 мм (ВЧУ) - 2019-06-15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</si>
  <si>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- 2019-06-15</t>
  </si>
  <si>
    <t>Yes: 1.3 Отклонение толщины защитного слоя бетона от проектной не более 15 мм и не менее 5 мм при толщине бетона более 300 мм (ВЧУ) - 2019-06-15</t>
  </si>
  <si>
    <t>Yes: 1.4 Сварные соединения соответствуют проекту и требованиям ГОСТ 14098—2014 (ВЧУ) - 2019-06-15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</si>
  <si>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(ВЧУ) - 2019-06-15</t>
  </si>
  <si>
    <t>N/A: 2.1 Наличие записи в общем журнале работ (ВЧУ) - 2019-06-15</t>
  </si>
  <si>
    <t>N/A: 3.1 Разрешается проведение последующих работ по устройству опалубки  или бетонированию конструкции (ВЧУ) - 2019-06-15</t>
  </si>
  <si>
    <t>Владимир Чугунов: Заголовок изменен на Армирование Форшахты В/О 22-23/Д-Ж</t>
  </si>
  <si>
    <t>N/A: 1.1 Вертикальный и горизонтальный шаг арматуры соответствует проекту. Отклонение между рядами арматуры не более 10 мм (ВЧУ) - 2019-04-09</t>
  </si>
  <si>
    <t>N/A: 1.2 Длина арматурных элементов соответствуют проекту. Длины нахлестов/анкеровки арматуры составляют не менее 5% длины арматуры (ГОСТ 10922-2012) (ВЧУ) - 2019-04-09</t>
  </si>
  <si>
    <t>N/A: 1.3 Отклонение толщины защитного слоя бетона от проектной не более 15 мм и не менее 5 мм при толщине бетона более 300 мм (ВЧУ) - 2019-04-09</t>
  </si>
  <si>
    <t>N/A: 1.4 Сварные соединения соответствуют проекту и требованиям ГОСТ 14098—2014 (ВЧУ) - 2019-04-09</t>
  </si>
  <si>
    <t>No: 1.5 Закладные элементы , в том числе приспособления для устройства гидроизоляции швов, установлены в соответствии с проектом и закреплены (ВЧУ) - 2019-04-09</t>
  </si>
  <si>
    <t>Yes: 2.1 Наличие записи в общем журнале работ (ВЧУ) - 2019-04-09</t>
  </si>
  <si>
    <t>No: 3.1 Разрешается проведение последующих работ по устройству опалубки  или бетонированию конструкции (ВЧУ) - 2019-04-09</t>
  </si>
  <si>
    <t>Владимир Чугунов: Заголовок изменен на Операционный Контроль Армирования Канала Выноса Теплосети В/О 1-2/Д-Е/1</t>
  </si>
  <si>
    <t>Операционный Контроль Армирования Свода Проёма На Отм. -2.940 В/О 1-2/Г</t>
  </si>
  <si>
    <t>Yes: 1.1 Вертикальный и горизонтальный шаг арматуры соответствует проекту. Отклонение между рядами арматуры не более 10 мм (ВЧУ) - 2019-04-12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</si>
  <si>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- 2019-04-12</t>
  </si>
  <si>
    <t>Yes: 1.3 Отклонение толщины защитного слоя бетона от проектной не более 15 мм и не менее 5 мм при толщине бетона более 300 мм (ВЧУ) - 2019-04-12</t>
  </si>
  <si>
    <t>N/A: 1.4 Сварные соединения соответствуют проекту и требованиям ГОСТ 14098—2014 (ВЧУ) - 2019-04-12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</si>
  <si>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- 2019-04-12</t>
  </si>
  <si>
    <t>Yes: 2.1 Наличие записи в общем журнале работ (ВЧУ) - 2019-04-12</t>
  </si>
  <si>
    <t>Yes: 3.1 Разрешается проведение последующих работ по устройству опалубки  или бетонированию конструкции (ВЧУ) - 2019-04-12</t>
  </si>
  <si>
    <t>Владимир Чугунов: Заголовок изменен на Операционный Контроль Армирования Свода Проёма На Отм. -3.940 В/О 1-2/Д</t>
  </si>
  <si>
    <t>Владимир Чугунов: Дата начала изменена на апр. 12, 2019</t>
  </si>
  <si>
    <t>Владимир Чугунов: Заголовок изменен на Операционный Контроль Армирования Свода Проёма На Отм. -2.940 В/О 1-2/Д</t>
  </si>
  <si>
    <t>Владимир Чугунов: Заголовок изменен на Операционный Контроль Армирования Свода Проёма На Отм. -2.940 В/О 1-2/Г</t>
  </si>
  <si>
    <t>Усиление Тела Фундамента Цементацией в/о 23-27/Н-П</t>
  </si>
  <si>
    <t>Yes: 1. Работы производятся в соответствии с РД, утвержденной в производтство работ (ВЧУ) - 2019-04-16</t>
  </si>
  <si>
    <t>Yes: 2. При производстве работ используются материалы, прошедший входной контроль (ВЧУ) - 2019-04-16</t>
  </si>
  <si>
    <t>Yes: 3. Разметка мест заложения скважин соответствует проекту (ВЧУ) - 2019-04-16</t>
  </si>
  <si>
    <t>Yes: 4. Работы по устройству скважины и наполнения раствором на 1-ом этапе соответствуют проекту (ВЧУ) - 2019-04-16</t>
  </si>
  <si>
    <t>N/A: 5. Работы по  разбуриванию скважины на 2-ом этапе устройства соответствуют проекту (ВЧУ) - 2019-04-16</t>
  </si>
  <si>
    <t>N/A: 6. Работы по заполнению раствором скважины на 2-ом этапе производятся в соответствии с проектом (ВЧУ) - 2019-04-16</t>
  </si>
  <si>
    <t>N/A: 7. Тампонирование скважин выполняется в соответствии с проектом (ВЧУ) - 2019-04-16</t>
  </si>
  <si>
    <t>Владимир Чугунов: Заголовок изменен на Усиление Тела Фундамента Цементацией в/о 23-27/Н-П</t>
  </si>
  <si>
    <t>Владимир Чугунов: Дата начала изменена на апр. 16, 2019</t>
  </si>
  <si>
    <t>Усиление Тела Фундамента Цементацией В/О 19-19/2/К-Н</t>
  </si>
  <si>
    <t>No: 1. Работы производятся в соответствии с РД, утвержденной в производтство работ (ВЧУ) - 2019-05-18</t>
  </si>
  <si>
    <t>Yes: 2. При производстве работ используются материалы, прошедший входной контроль (ВЧУ) - 2019-05-18</t>
  </si>
  <si>
    <t>Yes: 3. Разметка мест заложения скважин соответствует проекту (ВЧУ) - 2019-05-18</t>
  </si>
  <si>
    <t>Yes: 4. Работы по устройству скважины и наполнения раствором на 1-ом этапе соответствуют проекту (ВЧУ) - 2019-05-18</t>
  </si>
  <si>
    <t>Yes: 5. Работы по  разбуриванию скважины на 2-ом этапе устройства соответствуют проекту (ВЧУ) - 2019-05-18</t>
  </si>
  <si>
    <t>Yes: 6. Работы по заполнению раствором скважины на 2-ом этапе производятся в соответствии с проектом (ВЧУ) - 2019-05-18</t>
  </si>
  <si>
    <t>N/A: 7. Тампонирование скважин выполняется в соответствии с проектом (ВЧУ) - 2019-05-18</t>
  </si>
  <si>
    <t>Yes: 1. При производстве работ использовались материалы, прошедший входной контроль (ВЧУ) - 2019-05-18</t>
  </si>
  <si>
    <t>Yes: 2. Количество свай и их фактическое положение соответствует проекту (ВЧУ) - 2019-05-18</t>
  </si>
  <si>
    <t>N/A: 3. Качество тампоновки скважины соответсвует проекту (ВЧУ) - 2019-05-18</t>
  </si>
  <si>
    <t>N/A: 4. Наличие полного комплекта исполнительной документации, включая акты освидетельствования скрытых работ (ВЧУ) - 2019-05-18</t>
  </si>
  <si>
    <t>Владимир Чугунов: Заголовок изменен на Усиление Тела Фундамента Цементацией В/О 19-19/2/К-Н</t>
  </si>
  <si>
    <t>Владимир Чугунов: Дата начала изменена на мая 18, 2019</t>
  </si>
  <si>
    <t>Усиление Тела Фундамента Цементацией в/о 18-21/Т-У</t>
  </si>
  <si>
    <t>N/A: 1. Работы производятся в соответствии с РД, утвержденной в производтство работ (ВЧУ) - 2019-05-18</t>
  </si>
  <si>
    <t>N/A: 2. При производстве работ используются материалы, прошедший входной контроль (ВЧУ) - 2019-05-18</t>
  </si>
  <si>
    <t>N/A: 3. Разметка мест заложения скважин соответствует проекту (ВЧУ) - 2019-05-18</t>
  </si>
  <si>
    <t>N/A: 4. Работы по устройству скважины и наполнения раствором на 1-ом этапе соответствуют проекту (ВЧУ) - 2019-05-18</t>
  </si>
  <si>
    <t>N/A: 5. Работы по  разбуриванию скважины на 2-ом этапе устройства соответствуют проекту (ВЧУ) - 2019-05-18</t>
  </si>
  <si>
    <t>N/A: 6. Работы по заполнению раствором скважины на 2-ом этапе производятся в соответствии с проектом (ВЧУ) - 2019-05-18</t>
  </si>
  <si>
    <t>Владимир Чугунов: Заголовок изменен на Усиление Тела Фундамента Цементацией в/о 18-21/Т-У</t>
  </si>
  <si>
    <t>Усиление Тела Фундамента Цементацией В/О 18-22/А-Г</t>
  </si>
  <si>
    <t>Владимир Чугунов: Заголовок изменен на Усиление Тела Фундамента Цементацией В/О 18-22/А-Г</t>
  </si>
  <si>
    <t>Владимир Чугунов: Дата начала изменена на апр. 20, 2019</t>
  </si>
  <si>
    <t>Операционный Контроль Усиление Тела Фундамента Цементацией В/О 23-27/А-Д</t>
  </si>
  <si>
    <t>Yes: 1. При производстве работ использовались материалы, прошедший входной контроль (ВЧУ) - 2019-04-25</t>
  </si>
  <si>
    <t>Yes: 2. Количество свай и их фактическое положение соответствует проекту (ВЧУ) - 2019-04-25</t>
  </si>
  <si>
    <t>N/A: 3. Качество тампоновки скважины соответсвует проекту (ВЧУ) - 2019-04-25</t>
  </si>
  <si>
    <t>N/A: 4. Наличие полного комплекта исполнительной документации, включая акты освидетельствования скрытых работ (ВЧУ) - 2019-04-25</t>
  </si>
  <si>
    <t>Владимир Чугунов: Заголовок изменен на Операционный Контроль Усиление Тела Фундамента Цементацией В/О 23-27/А-Д</t>
  </si>
  <si>
    <t>Владимир Чугунов: Дата начала изменена на апр. 25, 2019</t>
  </si>
  <si>
    <t>Операционный Контроль Усиления Тела Фундамента В/О 19-19/2/Ж-Л</t>
  </si>
  <si>
    <t>Владимир Чугунов: Заголовок изменен на Операционный Контроль Усиления Тела Фундамента В/О 19-19/2/Ж-Л</t>
  </si>
  <si>
    <t>Операционный Контроль Усиления Тела Фундамента Цементацией В/О  23-27/К-Н</t>
  </si>
  <si>
    <t>Владимир Чугунов: Заголовок изменен на Операционный Контроль Усиления Тела Фундамента Цементацией В/О  23-27/К-Н</t>
  </si>
  <si>
    <t>Контроль Глубины Траншеи СВГ Зах.44</t>
  </si>
  <si>
    <t>Владимир Чугунов: Заголовок изменен на Контроль Глубины Траншеи СВГ Зах.44</t>
  </si>
  <si>
    <t>Владимир Чугунов: Дата начала изменена на июл. 13, 2019</t>
  </si>
  <si>
    <t>Стыковка Бетонных Ограничителей В Зах.33</t>
  </si>
  <si>
    <t>о1.4_шпунтовое_ограждение</t>
  </si>
  <si>
    <t>Yes: 1. Работы производятся в соответствии с РД, утвержденной в производтство работ (ВЧУ) - 2019-07-16</t>
  </si>
  <si>
    <t>Yes: 2. При производстве работ используются материалы, прошедший входной контроль (ВЧУ) - 2019-07-16</t>
  </si>
  <si>
    <t>Yes: 3. Разметка мест погружения шпунтового ограждения и разбивка осей соответствует проекту (ВЧУ) - 2019-07-16</t>
  </si>
  <si>
    <t>Yes: 4. Метод и технология погружения шпунта соблюдаются (ВЧУ) - 2019-07-16</t>
  </si>
  <si>
    <t>Yes: Нормативная документация: СП 45.13330.2012 Земляные сооружения, основания и фундаменты  ГОСТ 53629-2009 Шпунт и шпунт-сваи из стальных холодногнутых профилей (ВЧУ) - 2019-07-16</t>
  </si>
  <si>
    <t>Владимир Чугунов: Заголовок изменен на Стыковка Бетонных Ограничителей В Зах.33</t>
  </si>
  <si>
    <t>Армирование  СтенЖ/Б Каналов (Гильзы)</t>
  </si>
  <si>
    <t>Yes: 1.1 Вертикальный и горизонтальный шаг арматуры соответствует проекту. Отклонение между рядами арматуры не более 10 мм (ВЧУ) - 2019-04-29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</si>
  <si>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- 2019-04-29</t>
  </si>
  <si>
    <t>Yes: 1.3 Отклонение толщины защитного слоя бетона от проектной не более 15 мм и не менее 5 мм при толщине бетона более 300 мм (ВЧУ) - 2019-04-29</t>
  </si>
  <si>
    <t>N/A: 1.4 Сварные соединения соответствуют проекту и требованиям ГОСТ 14098—2014 (ВЧУ) - 2019-04-29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</si>
  <si>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- 2019-04-29</t>
  </si>
  <si>
    <t>Yes: 2.1 Наличие записи в общем журнале работ (ВЧУ) - 2019-04-29</t>
  </si>
  <si>
    <t>Yes: 3.1 Разрешается проведение последующих работ по устройству опалубки  или бетонированию конструкции (ВЧУ) - 2019-04-29</t>
  </si>
  <si>
    <t>Владимир Чугунов: Заголовок изменен на Армирование  СтенЖ/Б Каналов (Гильзы)</t>
  </si>
  <si>
    <t>Владимир Чугунов: Дата начала изменена на апр. 29, 2019</t>
  </si>
  <si>
    <t>Гидроизоляция Примыкания Стена Плита Ж/Б Лоток</t>
  </si>
  <si>
    <t>Yes: 2,1. Применен материал, успешно прошедший входной контроль и соответствует требованиям РД (ВЧУ) - 2019-05-24</t>
  </si>
  <si>
    <t>Yes: 2,2. Нанесение гидроизоляции выполнено в соответствии с технологией производителя, технологической картой или ППР (СП 45.13330.2017 П.15.1) (ВЧУ) - 2019-05-24</t>
  </si>
  <si>
    <t>Yes: 2,3. Толщина слоя соответствует требованиям РД (ВЧУ) - 2019-05-24</t>
  </si>
  <si>
    <t>No: 2,4. На поверхности гидроизоляции отсутствует снег, наледь (СП 45.13330.2017 П.15.3) (ВЧУ) - 2019-05-24</t>
  </si>
  <si>
    <t>N/A: 3,1. Наличие записей в общем журнале работ и журнале входного контроля поступаемых материалов/оборудования (РД 11-05-2007, СП 48.13330.2011 П.7.1.3) (ВЧУ) - 2019-05-24</t>
  </si>
  <si>
    <t>N/A: 3,2. Наличие актов освидетельствования скрытых работ (ВЧУ) - 2019-05-24</t>
  </si>
  <si>
    <t>Владимир Чугунов: Заголовок изменен на Гидроизоляция Примыкания Стена Плита Ж/Б Лоток</t>
  </si>
  <si>
    <t>Арматурный Каркас И Опалубка Боковые Ограничители 30, 31</t>
  </si>
  <si>
    <t>Yes: 1.1 Вертикальный и горизонтальный шаг арматуры соответствует проекту. Отклонение между рядами арматуры не более 10 мм (ВЧУ) - 2019-07-26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</si>
  <si>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- 2019-07-26</t>
  </si>
  <si>
    <t>Yes: 1.3 Отклонение толщины защитного слоя бетона от проектной не более 15 мм и не менее 5 мм при толщине бетона более 300 мм (ВЧУ) - 2019-07-26</t>
  </si>
  <si>
    <t>Yes: 1.4 Сварные соединения соответствуют проекту и требованиям ГОСТ 14098—2014 (ВЧУ) - 2019-07-26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</si>
  <si>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- 2019-07-26</t>
  </si>
  <si>
    <t>Yes: 2.1 Наличие записи в общем журнале работ (ВЧУ) - 2019-07-26</t>
  </si>
  <si>
    <t>Yes: 3.1 Разрешается проведение последующих работ по устройству опалубки  или бетонированию конструкции (ВЧУ) - 2019-07-26</t>
  </si>
  <si>
    <t>Владимир Чугунов: Заголовок изменен на Арматурный Каркас И Опалубка Боковые Ограничители 30, 31</t>
  </si>
  <si>
    <t>Армирование БО  18</t>
  </si>
  <si>
    <t>Yes: 1.1 Вертикальный и горизонтальный шаг арматуры соответствует проекту. Отклонение между рядами арматуры не более 10 мм (ВЧУ) - 2019-09-13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</si>
  <si>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- 2019-09-13</t>
  </si>
  <si>
    <t>Yes: 1.3 Отклонение толщины защитного слоя бетона от проектной не более 15 мм и не менее 5 мм при толщине бетона более 300 мм (ВЧУ) - 2019-09-13</t>
  </si>
  <si>
    <t>Yes: 1.4 Сварные соединения соответствуют проекту и требованиям ГОСТ 14098—2014 (ВЧУ) - 2019-09-13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</si>
  <si>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- 2019-09-13</t>
  </si>
  <si>
    <t>Yes: 2.1 Наличие записи в общем журнале работ (ВЧУ) - 2019-09-13</t>
  </si>
  <si>
    <t>Yes: 3.1 Разрешается проведение последующих работ по устройству опалубки  или бетонированию конструкции (ВЧУ) - 2019-09-13</t>
  </si>
  <si>
    <t>Владимир Чугунов: Заголовок изменен на Армирование БО  18</t>
  </si>
  <si>
    <t>Yes: 1.1 Вертикальный и горизонтальный шаг арматуры соответствует проекту. Отклонение между рядами арматуры не более 10 мм (ВЧУ) - 2019-04-01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</si>
  <si>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- 2019-04-01</t>
  </si>
  <si>
    <t>Yes: 1.3 Отклонение толщины защитного слоя бетона от проектной не более 15 мм и не менее 5 мм при толщине бетона более 300 мм (ВЧУ) - 2019-04-01</t>
  </si>
  <si>
    <t>N/A: 1.4 Сварные соединения соответствуют проекту и требованиям ГОСТ 14098—2014 (ВЧУ) - 2019-04-01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</si>
  <si>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- 2019-04-01</t>
  </si>
  <si>
    <t>Yes: 2.1 Наличие записи в общем журнале работ (ВЧУ) - 2019-04-01</t>
  </si>
  <si>
    <t>Yes: 3.1 Разрешается проведение последующих работ по устройству опалубки  или бетонированию конструкции (ВЧУ) - 2019-04-01</t>
  </si>
  <si>
    <t>Владимир Чугунов: Заголовок изменен на Приёмочный Контроль Армирования Прилива В/О 1-2/А-Г</t>
  </si>
  <si>
    <t>Владимир Чугунов: Заголовок изменен на Операционныйй Контроль Армирования Прилива В/О 1-2/А-Г</t>
  </si>
  <si>
    <t>Гидроизоляция Плиты И Ж/Б Приливов В/О 1-2/А-Г</t>
  </si>
  <si>
    <t>Yes: 1. Работы производятся в соответствии с РД, утвержденной в производтство работ (ВЧУ) - 2019-05-29</t>
  </si>
  <si>
    <t>Yes: 2. При производстве работ используются материалы, прошедший входной контроль (ВЧУ) - 2019-05-29</t>
  </si>
  <si>
    <t>Yes: 3. Разметка мест заложения скважин соответствует условиям  технологического регламента (ВЧУ) - 2019-05-29</t>
  </si>
  <si>
    <t>Yes: 4. Подготовка поверхности для инъекционирования соответствует проекту (ВЧУ) - 2019-05-29</t>
  </si>
  <si>
    <t>Yes: 5. Приготовление ремонтных растворов сответствует согласованному технологическому регламенту (ВЧУ) - 2019-05-29</t>
  </si>
  <si>
    <t>Yes: 6. Цементация шпуров и их инъектирование соответствует технологическому регламенту (ВЧУ) - 2019-05-29</t>
  </si>
  <si>
    <t>Yes: Нормативная документация СП 70.13330.2012 Несущие и ограждающие конструкции СП 72.13330.2012 Защита строительных конструкций от коррозии СП 250.1325800 Защита от подземных вод (ВЧУ) - 2019-05-29</t>
  </si>
  <si>
    <t>Владимир Чугунов: Заголовок изменен на Гидроизоляция Плиты И Ж/Б Приливов</t>
  </si>
  <si>
    <t>Владимир Чугунов: Заголовок изменен на Гидроизоляция Плиты И Ж/Б Приливов В/О 1-2/А-Г</t>
  </si>
  <si>
    <t>Контроль Глубины Траншеи СВГ Зах.33</t>
  </si>
  <si>
    <t>Владимир Чугунов: Заголовок изменен на Контроль Глубины Траншеи СВГ Зах.33</t>
  </si>
  <si>
    <t>Армокаркасы Для БО 36, 37</t>
  </si>
  <si>
    <t>Yes: 1.1 Вертикальный и горизонтальный шаг арматуры соответствует проекту. Отклонение между рядами арматуры не более 10 мм (ВЧУ) - 2019-07-17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</si>
  <si>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- 2019-07-17</t>
  </si>
  <si>
    <t>Yes: 1.3 Отклонение толщины защитного слоя бетона от проектной не более 15 мм и не менее 5 мм при толщине бетона более 300 мм (ВЧУ) - 2019-07-17</t>
  </si>
  <si>
    <t>Yes: 1.4 Сварные соединения соответствуют проекту и требованиям ГОСТ 14098—2014 (ВЧУ) - 2019-07-17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</si>
  <si>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- 2019-07-17</t>
  </si>
  <si>
    <t>Yes: 2.1 Наличие записи в общем журнале работ (ВЧУ) - 2019-07-17</t>
  </si>
  <si>
    <t>Yes: 3.1 Разрешается проведение последующих работ по устройству опалубки  или бетонированию конструкции (ВЧУ) - 2019-07-17</t>
  </si>
  <si>
    <t>Владимир Чугунов: Заголовок изменен на Армокаркасы Для БО 33, 34</t>
  </si>
  <si>
    <t>Владимир Чугунов: Заголовок изменен на Армокаркасы Для БО 36, 37</t>
  </si>
  <si>
    <t>Усиление Тела Фундамента Цементацией В/О 19-19/2/Е-Ж</t>
  </si>
  <si>
    <t>Yes: 1. При производстве работ использовались материалы, прошедший входной контроль (ВЧУ) - 2019-06-01</t>
  </si>
  <si>
    <t>Yes: 2. Количество свай и их фактическое положение соответствует проекту (ВЧУ) - 2019-06-01</t>
  </si>
  <si>
    <t>N/A: 3. Качество тампоновки скважины соответсвует проекту (ВЧУ) - 2019-06-01</t>
  </si>
  <si>
    <t>N/A: 4. Наличие полного комплекта исполнительной документации, включая акты освидетельствования скрытых работ (ВЧУ) - 2019-06-01</t>
  </si>
  <si>
    <t>Владимир Чугунов: Заголовок изменен на Усиление Тела Фундамента Цементацией В/О 19-19/2/Е-Ж</t>
  </si>
  <si>
    <t>Владимир Чугунов: Дата начала изменена на июн. 1, 2019</t>
  </si>
  <si>
    <t>Усиление Тела Фундаментов Цементацией В/О 18-19/Д-Е</t>
  </si>
  <si>
    <t>Владимир Чугунов: Заголовок изменен на Усиление Тела Фундаментов Цементацией В/О 18-19/Д-Е</t>
  </si>
  <si>
    <t>Контроль Стыковки БО Зах.33</t>
  </si>
  <si>
    <t>Владимир Чугунов: Заголовок изменен на Контроль Стыковки БО Зах.33</t>
  </si>
  <si>
    <t>Освидетельствование арматурных каркасов для БО стены в грунте</t>
  </si>
  <si>
    <t>Yes: 1.1 Вертикальный и горизонтальный шаг арматуры соответствует проекту. Отклонение между рядами арматуры не более 10 мм (ВЧУ) - 2019-06-25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</si>
  <si>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- 2019-06-25</t>
  </si>
  <si>
    <t>Yes: 1.3 Отклонение толщины защитного слоя бетона от проектной не более 15 мм и не менее 5 мм при толщине бетона более 300 мм (ВЧУ) - 2019-06-25</t>
  </si>
  <si>
    <t>Yes: 1.4 Сварные соединения соответствуют проекту и требованиям ГОСТ 14098—2014 (ВЧУ) - 2019-06-25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</si>
  <si>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- 2019-06-25</t>
  </si>
  <si>
    <t>Yes: 2.1 Наличие записи в общем журнале работ (ВЧУ) - 2019-06-25</t>
  </si>
  <si>
    <t>Yes: 3.1 Разрешается проведение последующих работ по устройству опалубки  или бетонированию конструкции (ВЧУ) - 2019-06-25</t>
  </si>
  <si>
    <t>Владимир Чугунов: Освидетельствование арматурных каркасов для БО стены в грунте</t>
  </si>
  <si>
    <t>Роман Кузьмин: Изменена дата завершения на 17.07.2019</t>
  </si>
  <si>
    <t>Усиление Оснований Фундаментов В/О 26-27/И-К</t>
  </si>
  <si>
    <t>Yes: 1. Работы проводятся в соответствии с РД, утвержденной в производство работ (ВЧУ) - 2019-06-28</t>
  </si>
  <si>
    <t>Yes: 2. Геодезическая разбивка скважин, соответствует проекту (ВЧУ) - 2019-06-28</t>
  </si>
  <si>
    <t>Yes: 3. Место установки буровой машины на точку бурения, соответствует проекту (ВЧУ) - 2019-06-28</t>
  </si>
  <si>
    <t>Yes: 4. Подготовка штанги-бура и раствора выполняется в соотвествии с проектом (ВЧУ) - 2019-06-28</t>
  </si>
  <si>
    <t>Yes: 5. Угол наклона стрелы станка, режим и глубина бурения скважин соответствует проекту (ВЧУ) - 2019-06-28</t>
  </si>
  <si>
    <t>Yes: 6. Режим заполнения скважины раствором соответствует проекту (ВЧУ) - 2019-06-28</t>
  </si>
  <si>
    <t>Владимир Чугунов: Заголовок изменен на Усиление Оснований Фундаментов В/О 26-27/И-К</t>
  </si>
  <si>
    <t>Владимир Чугунов: Дата начала изменена на июн. 28, 2019</t>
  </si>
  <si>
    <t>Армирование БО</t>
  </si>
  <si>
    <t>Yes: 1.1 Вертикальный и горизонтальный шаг арматуры соответствует проекту. Отклонение между рядами арматуры не более 10 мм (ВЧУ) - 2019-06-28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</si>
  <si>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- 2019-06-28</t>
  </si>
  <si>
    <t>Yes: 1.3 Отклонение толщины защитного слоя бетона от проектной не более 15 мм и не менее 5 мм при толщине бетона более 300 мм (ВЧУ) - 2019-06-28</t>
  </si>
  <si>
    <t>Yes: 1.4 Сварные соединения соответствуют проекту и требованиям ГОСТ 14098—2014 (ВЧУ) - 2019-06-28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</si>
  <si>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- 2019-06-28</t>
  </si>
  <si>
    <t>Yes: 2.1 Наличие записи в общем журнале работ (ВЧУ) - 2019-06-28</t>
  </si>
  <si>
    <t>Yes: 3.1 Разрешается проведение последующих работ по устройству опалубки  или бетонированию конструкции (ВЧУ) - 2019-06-28</t>
  </si>
  <si>
    <t>Владимир Чугунов: Заголовок изменен на Армирование БО</t>
  </si>
  <si>
    <t>Армирование Форшахты В/О 22-23/Д-Е</t>
  </si>
  <si>
    <t>Yes: 1.1 Вертикальный и горизонтальный шаг арматуры соответствует проекту. Отклонение между рядами арматуры не более 10 мм (ВЧУ) - 2019-06-29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</si>
  <si>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- 2019-06-29</t>
  </si>
  <si>
    <t>Yes: 1.3 Отклонение толщины защитного слоя бетона от проектной не более 15 мм и не менее 5 мм при толщине бетона более 300 мм (ВЧУ) - 2019-06-29</t>
  </si>
  <si>
    <t>Yes: 1.4 Сварные соединения соответствуют проекту и требованиям ГОСТ 14098—2014 (ВЧУ) - 2019-06-29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</si>
  <si>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- 2019-06-29</t>
  </si>
  <si>
    <t>Yes: 2.1 Наличие записи в общем журнале работ (ВЧУ) - 2019-06-29</t>
  </si>
  <si>
    <t>Yes: 3.1 Разрешается проведение последующих работ по устройству опалубки  или бетонированию конструкции (ВЧУ) - 2019-06-29</t>
  </si>
  <si>
    <t>Владимир Чугунов: Заголовок изменен на Армирование Форшахты В/О 22-23/Д-Е</t>
  </si>
  <si>
    <t>Владимир Чугунов: Дата начала изменена на июн. 29, 2019</t>
  </si>
  <si>
    <t>Усиление Фундаментов Цементацией в/о16/1-20/1/Т/1-У</t>
  </si>
  <si>
    <t>Yes: 1. Работы производятся в соответствии с РД, утвержденной в производтство работ (ВЧУ) - 2019-06-29</t>
  </si>
  <si>
    <t>Yes: 2. При производстве работ используются материалы, прошедший входной контроль (ВЧУ) - 2019-06-29</t>
  </si>
  <si>
    <t>Yes: 3. Разметка мест заложения скважин соответствует проекту (ВЧУ) - 2019-06-29</t>
  </si>
  <si>
    <t>Yes: 4. Работы по устройству скважины и наполнения раствором на 1-ом этапе соответствуют проекту (ВЧУ) - 2019-06-29</t>
  </si>
  <si>
    <t>N/A: 5. Работы по  разбуриванию скважины на 2-ом этапе устройства соответствуют проекту (ВЧУ) - 2019-06-29</t>
  </si>
  <si>
    <t>N/A: 6. Работы по заполнению раствором скважины на 2-ом этапе производятся в соответствии с проектом (ВЧУ) - 2019-06-29</t>
  </si>
  <si>
    <t>N/A: 7. Тампонирование скважин выполняется в соответствии с проектом (ВЧУ) - 2019-06-29</t>
  </si>
  <si>
    <t>Владимир Чугунов: Заголовок изменен на Усиление Фундаментов Цементацией в/о16/1-20/1/Т/1-У</t>
  </si>
  <si>
    <t>Арматурный Каркас Бетонные Отсечки 34.35</t>
  </si>
  <si>
    <t>Yes: 1.1 Вертикальный и горизонтальный шаг арматуры соответствует проекту. Отклонение между рядами арматуры не более 10 мм (ВЧУ) - 2019-07-19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</si>
  <si>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- 2019-07-19</t>
  </si>
  <si>
    <t>Yes: 1.3 Отклонение толщины защитного слоя бетона от проектной не более 15 мм и не менее 5 мм при толщине бетона более 300 мм (ВЧУ) - 2019-07-19</t>
  </si>
  <si>
    <t>Yes: 1.4 Сварные соединения соответствуют проекту и требованиям ГОСТ 14098—2014 (ВЧУ) - 2019-07-19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</si>
  <si>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- 2019-07-19</t>
  </si>
  <si>
    <t>Yes: 2.1 Наличие записи в общем журнале работ (ВЧУ) - 2019-07-19</t>
  </si>
  <si>
    <t>Yes: 3.1 Разрешается проведение последующих работ по устройству опалубки  или бетонированию конструкции (ВЧУ) - 2019-07-19</t>
  </si>
  <si>
    <t>Владимир Чугунов: Заголовок изменен на Арматурный Каркас Бетонные Отсечки 34.35</t>
  </si>
  <si>
    <t>Арматурные Каркасы БО 25, 1</t>
  </si>
  <si>
    <t>Yes: 1.1 Вертикальный и горизонтальный шаг арматуры соответствует проекту. Отклонение между рядами арматуры не более 10 мм (ВЧУ) - 2019-08-16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</si>
  <si>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- 2019-08-16</t>
  </si>
  <si>
    <t>Yes: 1.3 Отклонение толщины защитного слоя бетона от проектной не более 15 мм и не менее 5 мм при толщине бетона более 300 мм (ВЧУ) - 2019-08-16</t>
  </si>
  <si>
    <t>Yes: 1.4 Сварные соединения соответствуют проекту и требованиям ГОСТ 14098—2014 (ВЧУ) - 2019-08-16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</si>
  <si>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- 2019-08-16</t>
  </si>
  <si>
    <t>Yes: 2.1 Наличие записи в общем журнале работ (ВЧУ) - 2019-08-16</t>
  </si>
  <si>
    <t>Yes: 3.1 Разрешается проведение последующих работ по устройству опалубки  или бетонированию конструкции (ВЧУ) - 2019-08-16</t>
  </si>
  <si>
    <t>Владимир Чугунов: Заголовок изменен на Арматурные Каркасы БО 25, 1</t>
  </si>
  <si>
    <t>Приёмка Арматурных Каркасов И Опалубки БО 43 БО42</t>
  </si>
  <si>
    <t>Yes: 1.1 Вертикальный и горизонтальный шаг арматуры соответствует проекту. Отклонение между рядами арматуры не более 10 мм (ВЧУ) - 2019-07-02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</si>
  <si>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- 2019-07-02</t>
  </si>
  <si>
    <t>Yes: 1.3 Отклонение толщины защитного слоя бетона от проектной не более 15 мм и не менее 5 мм при толщине бетона более 300 мм (ВЧУ) - 2019-07-02</t>
  </si>
  <si>
    <t>Yes: 1.4 Сварные соединения соответствуют проекту и требованиям ГОСТ 14098—2014 (ВЧУ) - 2019-07-02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</si>
  <si>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- 2019-07-02</t>
  </si>
  <si>
    <t>Yes: 2.1 Наличие записи в общем журнале работ (ВЧУ) - 2019-07-02</t>
  </si>
  <si>
    <t>Yes: 3.1 Разрешается проведение последующих работ по устройству опалубки  или бетонированию конструкции (ВЧУ) - 2019-07-02</t>
  </si>
  <si>
    <t>Владимир Чугунов: Заголовок изменен на Приёмка Арматурных Каркасов И Опалубки БО</t>
  </si>
  <si>
    <t>Владимир Чугунов: Заголовок изменен на Приёмка Арматурных Каркасов И Опалубки БО 43 БО42</t>
  </si>
  <si>
    <t>Стыковка Бетонных Ограничителей Зах.36</t>
  </si>
  <si>
    <t>Владимир Чугунов: Заголовок изменен на Стыковка Бетонных Ограничителей Зах.36</t>
  </si>
  <si>
    <t>Владимир Чугунов: Дата начала изменена на июл. 21, 2019</t>
  </si>
  <si>
    <t>Установка Арматурного Каркаса Зах.36</t>
  </si>
  <si>
    <t>Yes: 1.1 Вертикальный и горизонтальный шаг арматуры соответствует проекту. Отклонение между рядами арматуры не более 10 мм (ВЧУ) - 2019-07-22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</si>
  <si>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- 2019-07-22</t>
  </si>
  <si>
    <t>Yes: 1.3 Отклонение толщины защитного слоя бетона от проектной не более 15 мм и не менее 5 мм при толщине бетона более 300 мм (ВЧУ) - 2019-07-22</t>
  </si>
  <si>
    <t>Yes: 1.4 Сварные соединения соответствуют проекту и требованиям ГОСТ 14098—2014 (ВЧУ) - 2019-07-22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</si>
  <si>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- 2019-07-22</t>
  </si>
  <si>
    <t>Yes: 2.1 Наличие записи в общем журнале работ (ВЧУ) - 2019-07-22</t>
  </si>
  <si>
    <t>Yes: 3.1 Разрешается проведение последующих работ по устройству опалубки  или бетонированию конструкции (ВЧУ) - 2019-07-22</t>
  </si>
  <si>
    <t>Владимир Чугунов: Заголовок изменен на Установка Арматурного Каркаса Зах.36</t>
  </si>
  <si>
    <t>Армировование БО 32,33</t>
  </si>
  <si>
    <t>Yes: 1.1 Вертикальный и горизонтальный шаг арматуры соответствует проекту. Отклонение между рядами арматуры не более 10 мм (ВЧУ) - 2019-07-23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</si>
  <si>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- 2019-07-23</t>
  </si>
  <si>
    <t>Yes: 1.3 Отклонение толщины защитного слоя бетона от проектной не более 15 мм и не менее 5 мм при толщине бетона более 300 мм (ВЧУ) - 2019-07-23</t>
  </si>
  <si>
    <t>Yes: 1.4 Сварные соединения соответствуют проекту и требованиям ГОСТ 14098—2014 (ВЧУ) - 2019-07-23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</si>
  <si>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- 2019-07-23</t>
  </si>
  <si>
    <t>Yes: 2.1 Наличие записи в общем журнале работ (ВЧУ) - 2019-07-23</t>
  </si>
  <si>
    <t>Yes: 3.1 Разрешается проведение последующих работ по устройству опалубки  или бетонированию конструкции (ВЧУ) - 2019-07-23</t>
  </si>
  <si>
    <t>Владимир Чугунов: Заголовок изменен на Армировование БО 34, 34</t>
  </si>
  <si>
    <t>Владимир Чугунов: Заголовок изменен на Армировование БО 32,33</t>
  </si>
  <si>
    <t>Армирование БО Стена В Грунте</t>
  </si>
  <si>
    <t>Yes: 1.1 Вертикальный и горизонтальный шаг арматуры соответствует проекту. Отклонение между рядами арматуры не более 10 мм (ВЧУ) - 2019-07-05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</si>
  <si>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- 2019-07-05</t>
  </si>
  <si>
    <t>Yes: 1.3 Отклонение толщины защитного слоя бетона от проектной не более 15 мм и не менее 5 мм при толщине бетона более 300 мм (ВЧУ) - 2019-07-05</t>
  </si>
  <si>
    <t>Yes: 1.4 Сварные соединения соответствуют проекту и требованиям ГОСТ 14098—2014 (ВЧУ) - 2019-07-05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</si>
  <si>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- 2019-07-05</t>
  </si>
  <si>
    <t>Yes: 2.1 Наличие записи в общем журнале работ (ВЧУ) - 2019-07-05</t>
  </si>
  <si>
    <t>Yes: 3.1 Разрешается проведение последующих работ по устройству опалубки  или бетонированию конструкции (ВЧУ) - 2019-07-05</t>
  </si>
  <si>
    <t>Владимир Чугунов: Заголовок изменен на Армирование БО Стена В Грунте</t>
  </si>
  <si>
    <t>Армирование БО 13 16</t>
  </si>
  <si>
    <t>Yes: 1.1 Вертикальный и горизонтальный шаг арматуры соответствует проекту. Отклонение между рядами арматуры не более 10 мм (ВЧУ) - 2019-09-16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</si>
  <si>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- 2019-09-16</t>
  </si>
  <si>
    <t>Yes: 1.3 Отклонение толщины защитного слоя бетона от проектной не более 15 мм и не менее 5 мм при толщине бетона более 300 мм (ВЧУ) - 2019-09-16</t>
  </si>
  <si>
    <t>Yes: 1.4 Сварные соединения соответствуют проекту и требованиям ГОСТ 14098—2014 (ВЧУ) - 2019-09-16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</si>
  <si>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- 2019-09-16</t>
  </si>
  <si>
    <t>Yes: 2.1 Наличие записи в общем журнале работ (ВЧУ) - 2019-09-16</t>
  </si>
  <si>
    <t>Yes: 3.1 Разрешается проведение последующих работ по устройству опалубки  или бетонированию конструкции (ВЧУ) - 2019-09-16</t>
  </si>
  <si>
    <t>Владимир Чугунов: Заголовок изменен на Армирование БО 13</t>
  </si>
  <si>
    <t>Владимир Чугунов: Заголовок изменен на Армирование БО 13 16</t>
  </si>
  <si>
    <t>Армирование СВГ Зах.37</t>
  </si>
  <si>
    <t>Yes: 1.1 Вертикальный и горизонтальный шаг арматуры соответствует проекту. Отклонение между рядами арматуры не более 10 мм (ВЧУ) - 2019-07-24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</si>
  <si>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- 2019-07-24</t>
  </si>
  <si>
    <t>Yes: 1.3 Отклонение толщины защитного слоя бетона от проектной не более 15 мм и не менее 5 мм при толщине бетона более 300 мм (ВЧУ) - 2019-07-24</t>
  </si>
  <si>
    <t>Yes: 1.4 Сварные соединения соответствуют проекту и требованиям ГОСТ 14098—2014 (ВЧУ) - 2019-07-24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</si>
  <si>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- 2019-07-24</t>
  </si>
  <si>
    <t>Yes: 2.1 Наличие записи в общем журнале работ (ВЧУ) - 2019-07-24</t>
  </si>
  <si>
    <t>Yes: 3.1 Разрешается проведение последующих работ по устройству опалубки  или бетонированию конструкции (ВЧУ) - 2019-07-24</t>
  </si>
  <si>
    <t>Владимир Чугунов: Заголовок изменен на Армирование СВГ Зах.37</t>
  </si>
  <si>
    <t>Стыковка БО Зах.17</t>
  </si>
  <si>
    <t>Владимир Чугунов: Заголовок изменен на Стыковка БО Зах.17</t>
  </si>
  <si>
    <t>Арматурный Каркас БО 3, 4</t>
  </si>
  <si>
    <t>Yes: 1.1 Вертикальный и горизонтальный шаг арматуры соответствует проекту. Отклонение между рядами арматуры не более 10 мм (ВЧУ) - 2019-08-21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</si>
  <si>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- 2019-08-21</t>
  </si>
  <si>
    <t>Yes: 1.3 Отклонение толщины защитного слоя бетона от проектной не более 15 мм и не менее 5 мм при толщине бетона более 300 мм (ВЧУ) - 2019-08-21</t>
  </si>
  <si>
    <t>Yes: 1.4 Сварные соединения соответствуют проекту и требованиям ГОСТ 14098—2014 (ВЧУ) - 2019-08-21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</si>
  <si>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- 2019-08-21</t>
  </si>
  <si>
    <t>Yes: 2.1 Наличие записи в общем журнале работ (ВЧУ) - 2019-08-21</t>
  </si>
  <si>
    <t>Yes: 3.1 Разрешается проведение последующих работ по устройству опалубки  или бетонированию конструкции (ВЧУ) - 2019-08-21</t>
  </si>
  <si>
    <t>Владимир Чугунов: Заголовок изменен на Арматурный Каркас БО 3, 4</t>
  </si>
  <si>
    <t>Стыковка БО Зах.16</t>
  </si>
  <si>
    <t>Владимир Чугунов: Заголовок изменен на Стыковка БО Зах.16</t>
  </si>
  <si>
    <t>Арматурный Каркас БО14, 15</t>
  </si>
  <si>
    <t>Yes: 1.1 Вертикальный и горизонтальный шаг арматуры соответствует проекту. Отклонение между рядами арматуры не более 10 мм (ВЧУ) - 2019-09-18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</si>
  <si>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- 2019-09-18</t>
  </si>
  <si>
    <t>Yes: 1.3 Отклонение толщины защитного слоя бетона от проектной не более 15 мм и не менее 5 мм при толщине бетона более 300 мм (ВЧУ) - 2019-09-18</t>
  </si>
  <si>
    <t>Yes: 1.4 Сварные соединения соответствуют проекту и требованиям ГОСТ 14098—2014 (ВЧУ) - 2019-09-18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</si>
  <si>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- 2019-09-18</t>
  </si>
  <si>
    <t>Yes: 2.1 Наличие записи в общем журнале работ (ВЧУ) - 2019-09-18</t>
  </si>
  <si>
    <t>Yes: 3.1 Разрешается проведение последующих работ по устройству опалубки  или бетонированию конструкции (ВЧУ) - 2019-09-18</t>
  </si>
  <si>
    <t>Владимир Чугунов: Заголовок изменен на Арматурный Каркас БО14, 15</t>
  </si>
  <si>
    <t>Стыковка Арматурного Каркаса Зах.38</t>
  </si>
  <si>
    <t>Yes: 1.1 Вертикальный и горизонтальный шаг арматуры соответствует проекту. Отклонение между рядами арматуры не более 10 мм (ВЧУ) - 2019-07-29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</si>
  <si>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- 2019-07-29</t>
  </si>
  <si>
    <t>Yes: 1.3 Отклонение толщины защитного слоя бетона от проектной не более 15 мм и не менее 5 мм при толщине бетона более 300 мм (ВЧУ) - 2019-07-29</t>
  </si>
  <si>
    <t>Yes: 1.4 Сварные соединения соответствуют проекту и требованиям ГОСТ 14098—2014 (ВЧУ) - 2019-07-29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</si>
  <si>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- 2019-07-29</t>
  </si>
  <si>
    <t>Yes: 2.1 Наличие записи в общем журнале работ (ВЧУ) - 2019-07-29</t>
  </si>
  <si>
    <t>Yes: 3.1 Разрешается проведение последующих работ по устройству опалубки  или бетонированию конструкции (ВЧУ) - 2019-07-29</t>
  </si>
  <si>
    <t>Владимир Чугунов: Заголовок изменен на Стыковка Арматурного Каркаса Зах.38</t>
  </si>
  <si>
    <t>Арматурные Каркасы И Опалубка Боковых Ограничителей 28, 29</t>
  </si>
  <si>
    <t>Yes: 1.1 Вертикальный и горизонтальный шаг арматуры соответствует проекту. Отклонение между рядами арматуры не более 10 мм (ВЧУ) - 2019-07-30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</si>
  <si>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- 2019-07-30</t>
  </si>
  <si>
    <t>Yes: 1.3 Отклонение толщины защитного слоя бетона от проектной не более 15 мм и не менее 5 мм при толщине бетона более 300 мм (ВЧУ) - 2019-07-30</t>
  </si>
  <si>
    <t>Yes: 1.4 Сварные соединения соответствуют проекту и требованиям ГОСТ 14098—2014 (ВЧУ) - 2019-07-30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</si>
  <si>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- 2019-07-30</t>
  </si>
  <si>
    <t>Yes: 2.1 Наличие записи в общем журнале работ (ВЧУ) - 2019-07-30</t>
  </si>
  <si>
    <t>Yes: 3.1 Разрешается проведение последующих работ по устройству опалубки  или бетонированию конструкции (ВЧУ) - 2019-07-30</t>
  </si>
  <si>
    <t>Владимир Чугунов: Заголовок изменен на Арматурные Каркасы И Опалубка Боковых Ограничителей 28, 29</t>
  </si>
  <si>
    <t>Стыковка Арматурных Каркасов Зах.43</t>
  </si>
  <si>
    <t>Yes: 1.1 Вертикальный и горизонтальный шаг арматуры соответствует проекту. Отклонение между рядами арматуры не более 10 мм (ВЧУ) - 2019-08-01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</si>
  <si>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- 2019-08-01</t>
  </si>
  <si>
    <t>Yes: 1.3 Отклонение толщины защитного слоя бетона от проектной не более 15 мм и не менее 5 мм при толщине бетона более 300 мм (ВЧУ) - 2019-08-01</t>
  </si>
  <si>
    <t>Yes: 1.4 Сварные соединения соответствуют проекту и требованиям ГОСТ 14098—2014 (ВЧУ) - 2019-08-01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</si>
  <si>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- 2019-08-01</t>
  </si>
  <si>
    <t>Yes: 2.1 Наличие записи в общем журнале работ (ВЧУ) - 2019-08-01</t>
  </si>
  <si>
    <t>Yes: 3.1 Разрешается проведение последующих работ по устройству опалубки  или бетонированию конструкции (ВЧУ) - 2019-08-01</t>
  </si>
  <si>
    <t>Владимир Чугунов: Заголовок изменен на Стыковка Арматурных Каркасов Зах.43</t>
  </si>
  <si>
    <t>Арматурный Каркас БО 26, 27</t>
  </si>
  <si>
    <t>Yes: 1.1 Вертикальный и горизонтальный шаг арматуры соответствует проекту. Отклонение между рядами арматуры не более 10 мм (ВЧУ) - 2019-08-02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</si>
  <si>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- 2019-08-02</t>
  </si>
  <si>
    <t>Yes: 1.3 Отклонение толщины защитного слоя бетона от проектной не более 15 мм и не менее 5 мм при толщине бетона более 300 мм (ВЧУ) - 2019-08-02</t>
  </si>
  <si>
    <t>Yes: 1.4 Сварные соединения соответствуют проекту и требованиям ГОСТ 14098—2014 (ВЧУ) - 2019-08-02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</si>
  <si>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- 2019-08-02</t>
  </si>
  <si>
    <t>Yes: 2.1 Наличие записи в общем журнале работ (ВЧУ) - 2019-08-02</t>
  </si>
  <si>
    <t>Yes: 3.1 Разрешается проведение последующих работ по устройству опалубки  или бетонированию конструкции (ВЧУ) - 2019-08-02</t>
  </si>
  <si>
    <t>Владимир Чугунов: Заголовок изменен на Арматурный Каркас БО 26, 27</t>
  </si>
  <si>
    <t>Арматурный Каркас Зах.43/2</t>
  </si>
  <si>
    <t>Yes: 1.1 Вертикальный и горизонтальный шаг арматуры соответствует проекту. Отклонение между рядами арматуры не более 10 мм (ВЧУ) - 2019-08-04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</si>
  <si>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- 2019-08-04</t>
  </si>
  <si>
    <t>Yes: 1.3 Отклонение толщины защитного слоя бетона от проектной не более 15 мм и не менее 5 мм при толщине бетона более 300 мм (ВЧУ) - 2019-08-04</t>
  </si>
  <si>
    <t>Yes: 1.4 Сварные соединения соответствуют проекту и требованиям ГОСТ 14098—2014 (ВЧУ) - 2019-08-04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</si>
  <si>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- 2019-08-04</t>
  </si>
  <si>
    <t>Yes: 2.1 Наличие записи в общем журнале работ (ВЧУ) - 2019-08-04</t>
  </si>
  <si>
    <t>Yes: 3.1 Разрешается проведение последующих работ по устройству опалубки  или бетонированию конструкции (ВЧУ) - 2019-08-04</t>
  </si>
  <si>
    <t>Владимир Чугунов: Заголовок изменен на Арматурный Каркас Зах.43/2</t>
  </si>
  <si>
    <t>Арматурный Каркас БО 16, 17</t>
  </si>
  <si>
    <t>Yes: 1.1 Вертикальный и горизонтальный шаг арматуры соответствует проекту. Отклонение между рядами арматуры не более 10 мм (ВЧУ) - 2019-09-20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</si>
  <si>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- 2019-09-20</t>
  </si>
  <si>
    <t>Yes: 1.3 Отклонение толщины защитного слоя бетона от проектной не более 15 мм и не менее 5 мм при толщине бетона более 300 мм (ВЧУ) - 2019-09-20</t>
  </si>
  <si>
    <t>Yes: 1.4 Сварные соединения соответствуют проекту и требованиям ГОСТ 14098—2014 (ВЧУ) - 2019-09-20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</si>
  <si>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- 2019-09-20</t>
  </si>
  <si>
    <t>Yes: 2.1 Наличие записи в общем журнале работ (ВЧУ) - 2019-09-20</t>
  </si>
  <si>
    <t>Yes: 3.1 Разрешается проведение последующих работ по устройству опалубки  или бетонированию конструкции (ВЧУ) - 2019-09-20</t>
  </si>
  <si>
    <t>Владимир Чугунов: Заголовок изменен на Арматурный Каркас БО 16, 17</t>
  </si>
  <si>
    <t>Арматурный Каркас 7</t>
  </si>
  <si>
    <t>Yes: 1.1 Вертикальный и горизонтальный шаг арматуры соответствует проекту. Отклонение между рядами арматуры не более 10 мм (ВЧУ) - 2019-08-26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</si>
  <si>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- 2019-08-26</t>
  </si>
  <si>
    <t>Yes: 1.3 Отклонение толщины защитного слоя бетона от проектной не более 15 мм и не менее 5 мм при толщине бетона более 300 мм (ВЧУ) - 2019-08-26</t>
  </si>
  <si>
    <t>Yes: 1.4 Сварные соединения соответствуют проекту и требованиям ГОСТ 14098—2014 (ВЧУ) - 2019-08-26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</si>
  <si>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- 2019-08-26</t>
  </si>
  <si>
    <t>Yes: 2.1 Наличие записи в общем журнале работ (ВЧУ) - 2019-08-26</t>
  </si>
  <si>
    <t>Yes: 3.1 Разрешается проведение последующих работ по устройству опалубки  или бетонированию конструкции (ВЧУ) - 2019-08-26</t>
  </si>
  <si>
    <t>Владимир Чугунов: Заголовок изменен на Арматурный Каркас 7</t>
  </si>
  <si>
    <t>Арматурный Каркас Зах.42</t>
  </si>
  <si>
    <t>Yes: 1.1 Вертикальный и горизонтальный шаг арматуры соответствует проекту. Отклонение между рядами арматуры не более 10 мм (ВЧУ) - 2019-08-06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</si>
  <si>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- 2019-08-06</t>
  </si>
  <si>
    <t>Yes: 1.3 Отклонение толщины защитного слоя бетона от проектной не более 15 мм и не менее 5 мм при толщине бетона более 300 мм (ВЧУ) - 2019-08-06</t>
  </si>
  <si>
    <t>Yes: 1.4 Сварные соединения соответствуют проекту и требованиям ГОСТ 14098—2014 (ВЧУ) - 2019-08-06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</si>
  <si>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- 2019-08-06</t>
  </si>
  <si>
    <t>Yes: 2.1 Наличие записи в общем журнале работ (ВЧУ) - 2019-08-06</t>
  </si>
  <si>
    <t>Yes: 3.1 Разрешается проведение последующих работ по устройству опалубки  или бетонированию конструкции (ВЧУ) - 2019-08-06</t>
  </si>
  <si>
    <t>Владимир Чугунов: Заголовок изменен на Арматурный Каркас Зах.42</t>
  </si>
  <si>
    <t>Стыковка БО Зах.13</t>
  </si>
  <si>
    <t>Владимир Чугунов: Заголовок изменен на Стыковка БО Зах.13</t>
  </si>
  <si>
    <t>СВГ_ Армирование БО</t>
  </si>
  <si>
    <t>Yes: 1.1 Вертикальный и горизонтальный шаг арматуры соответствует проекту. Отклонение между рядами арматуры не более 10 мм (ВЧУ) - 2019-12-20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</si>
  <si>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- 2019-12-20</t>
  </si>
  <si>
    <t>Yes: 1.3 Отклонение толщины защитного слоя бетона от проектной не более 15 мм и не менее 5 мм при толщине бетона более 300 мм (ВЧУ) - 2019-12-20</t>
  </si>
  <si>
    <t>Yes: 1.4 Сварные соединения соответствуют проекту и требованиям ГОСТ 14098—2014 (ВЧУ) - 2019-12-20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</si>
  <si>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- 2019-12-20</t>
  </si>
  <si>
    <t>Yes: 2.1 Наличие записи в общем журнале работ (ВЧУ) - 2019-12-20</t>
  </si>
  <si>
    <t>Yes: 3.1 Разрешается проведение последующих работ по устройству опалубки  или бетонированию конструкции (ВЧУ) - 2019-12-20</t>
  </si>
  <si>
    <t>Владимир Чугунов: Заголовок изменен на СВГ_ Армирование БО</t>
  </si>
  <si>
    <t>БНС 620</t>
  </si>
  <si>
    <t>N/A: 3.1 Разрешается проведение последующих работ по устройству опалубки  или бетонированию конструкции (ВЧУ) - 2019-12-20</t>
  </si>
  <si>
    <t>Владимир Чугунов: Заголовок изменен на БНС 620</t>
  </si>
  <si>
    <t>Арматурный Каркас БО 8, 26</t>
  </si>
  <si>
    <t>Yes: 1.1 Вертикальный и горизонтальный шаг арматуры соответствует проекту. Отклонение между рядами арматуры не более 10 мм (ВЧУ) - 2019-08-30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</si>
  <si>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- 2019-08-30</t>
  </si>
  <si>
    <t>Yes: 1.3 Отклонение толщины защитного слоя бетона от проектной не более 15 мм и не менее 5 мм при толщине бетона более 300 мм (ВЧУ) - 2019-08-30</t>
  </si>
  <si>
    <t>Yes: 1.4 Сварные соединения соответствуют проекту и требованиям ГОСТ 14098—2014 (ВЧУ) - 2019-08-30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</si>
  <si>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- 2019-08-30</t>
  </si>
  <si>
    <t>Yes: 2.1 Наличие записи в общем журнале работ (ВЧУ) - 2019-08-30</t>
  </si>
  <si>
    <t>Yes: 3.1 Разрешается проведение последующих работ по устройству опалубки  или бетонированию конструкции (ВЧУ) - 2019-08-30</t>
  </si>
  <si>
    <t>Владимир Чугунов: Заголовок изменен на Арматурный Каркас БО 8, 26</t>
  </si>
  <si>
    <t>Армирование БО 11, 12</t>
  </si>
  <si>
    <t>Yes: 1.1 Вертикальный и горизонтальный шаг арматуры соответствует проекту. Отклонение между рядами арматуры не более 10 мм (ВЧУ) - 2019-09-23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</si>
  <si>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- 2019-09-23</t>
  </si>
  <si>
    <t>Yes: 1.3 Отклонение толщины защитного слоя бетона от проектной не более 15 мм и не менее 5 мм при толщине бетона более 300 мм (ВЧУ) - 2019-09-23</t>
  </si>
  <si>
    <t>Yes: 1.4 Сварные соединения соответствуют проекту и требованиям ГОСТ 14098—2014 (ВЧУ) - 2019-09-23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</si>
  <si>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- 2019-09-23</t>
  </si>
  <si>
    <t>Yes: 2.1 Наличие записи в общем журнале работ (ВЧУ) - 2019-09-23</t>
  </si>
  <si>
    <t>Yes: 3.1 Разрешается проведение последующих работ по устройству опалубки  или бетонированию конструкции (ВЧУ) - 2019-09-23</t>
  </si>
  <si>
    <t>Владимир Чугунов: Заголовок изменен на Армирование БО 11, 12</t>
  </si>
  <si>
    <t>Арматурный Каркас БО 19, 20</t>
  </si>
  <si>
    <t>Yes: 1.1 Вертикальный и горизонтальный шаг арматуры соответствует проекту. Отклонение между рядами арматуры не более 10 мм (ВЧУ) - 2019-09-25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</si>
  <si>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- 2019-09-25</t>
  </si>
  <si>
    <t>Yes: 1.3 Отклонение толщины защитного слоя бетона от проектной не более 15 мм и не менее 5 мм при толщине бетона более 300 мм (ВЧУ) - 2019-09-25</t>
  </si>
  <si>
    <t>Yes: 1.4 Сварные соединения соответствуют проекту и требованиям ГОСТ 14098—2014 (ВЧУ) - 2019-09-25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</si>
  <si>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- 2019-09-25</t>
  </si>
  <si>
    <t>Yes: 2.1 Наличие записи в общем журнале работ (ВЧУ) - 2019-09-25</t>
  </si>
  <si>
    <t>Yes: 3.1 Разрешается проведение последующих работ по устройству опалубки  или бетонированию конструкции (ВЧУ) - 2019-09-25</t>
  </si>
  <si>
    <t>Владимир Чугунов: Заголовок изменен на Арматурный Каркас БО 19, 20</t>
  </si>
  <si>
    <t>Арматурный Каркас БО 10, 11, 22</t>
  </si>
  <si>
    <t>Yes: 1.1 Вертикальный и горизонтальный шаг арматуры соответствует проекту. Отклонение между рядами арматуры не более 10 мм (ВЧУ) - 2019-09-03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</si>
  <si>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- 2019-09-03</t>
  </si>
  <si>
    <t>Yes: 1.3 Отклонение толщины защитного слоя бетона от проектной не более 15 мм и не менее 5 мм при толщине бетона более 300 мм (ВЧУ) - 2019-09-03</t>
  </si>
  <si>
    <t>Yes: 1.4 Сварные соединения соответствуют проекту и требованиям ГОСТ 14098—2014 (ВЧУ) - 2019-09-03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</si>
  <si>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- 2019-09-03</t>
  </si>
  <si>
    <t>Yes: 2.1 Наличие записи в общем журнале работ (ВЧУ) - 2019-09-03</t>
  </si>
  <si>
    <t>Yes: 3.1 Разрешается проведение последующих работ по устройству опалубки  или бетонированию конструкции (ВЧУ) - 2019-09-03</t>
  </si>
  <si>
    <t>Владимир Чугунов: Заголовок изменен на Арматурный Каркас БО 10, 11, 22</t>
  </si>
  <si>
    <t>Армирование Ж/Б Прилива В/О 1-2/А-Д</t>
  </si>
  <si>
    <t>Yes: 1.1 Вертикальный и горизонтальный шаг арматуры соответствует проекту. Отклонение между рядами арматуры не более 10 мм (ВЧУ) - 2019-09-26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</si>
  <si>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- 2019-09-26</t>
  </si>
  <si>
    <t>Yes: 1.3 Отклонение толщины защитного слоя бетона от проектной не более 15 мм и не менее 5 мм при толщине бетона более 300 мм (ВЧУ) - 2019-09-26</t>
  </si>
  <si>
    <t>N/A: 1.4 Сварные соединения соответствуют проекту и требованиям ГОСТ 14098—2014 (ВЧУ) - 2019-09-26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</si>
  <si>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- 2019-09-26</t>
  </si>
  <si>
    <t>Yes: 2.1 Наличие записи в общем журнале работ (ВЧУ) - 2019-09-26</t>
  </si>
  <si>
    <t>Yes: 3.1 Разрешается проведение последующих работ по устройству опалубки  или бетонированию конструкции (ВЧУ) - 2019-09-26</t>
  </si>
  <si>
    <t>Владимир Чугунов: Заголовок изменен на Армирование Ж/Б Прилива В/О 1-2/А-Д</t>
  </si>
  <si>
    <t>Стыковка И Погружение БО Зах.6</t>
  </si>
  <si>
    <t>Владимир Чугунов: Заголовок изменен на Стыковка И Погружение БО Зах.6</t>
  </si>
  <si>
    <t>Владимир Чугунов: Дата начала изменена на сент. 27, 2019</t>
  </si>
  <si>
    <t>Контроль Глубины И Угла Скважины Усиления Тела Фундамента Цементацией 3-8/1/Т-У, 2-3/Т-У, 12-18/А</t>
  </si>
  <si>
    <t>Yes: 1. Работы производятся в соответствии с РД, утвержденной в производтство работ (ВЧУ) - 2019-09-05</t>
  </si>
  <si>
    <t>Yes: 2. При производстве работ используются материалы, прошедший входной контроль (ВЧУ) - 2019-09-05</t>
  </si>
  <si>
    <t>Yes: 3. Разметка мест заложения скважин соответствует проекту (ВЧУ) - 2019-09-05</t>
  </si>
  <si>
    <t>Yes: 4. Работы по устройству скважины и наполнения раствором на 1-ом этапе соответствуют проекту (ВЧУ) - 2019-09-05</t>
  </si>
  <si>
    <t>N/A: 5. Работы по  разбуриванию скважины на 2-ом этапе устройства соответствуют проекту (ВЧУ) - 2019-09-05</t>
  </si>
  <si>
    <t>N/A: 6. Работы по заполнению раствором скважины на 2-ом этапе производятся в соответствии с проектом (ВЧУ) - 2019-09-05</t>
  </si>
  <si>
    <t>N/A: 7. Тампонирование скважин выполняется в соответствии с проектом (ВЧУ) - 2019-09-05</t>
  </si>
  <si>
    <t>Владимир Чугунов: Заголовок изменен на Контроль Глубины И Угла Скважины Усиления Тела Фундамента Цементацией 3-8/1/Т-У</t>
  </si>
  <si>
    <t>Владимир Чугунов: Заголовок изменен на Контроль Глубины И Угла Скважины Усиления Тела Фундамента Цементацией 3-8/1/Т-У, 2-3/Т-У, 12-18/А</t>
  </si>
  <si>
    <t>Владимир Чугунов: Дата начала изменена на сент. 5, 2019</t>
  </si>
  <si>
    <t>Армирование Форшахты 2й Двор</t>
  </si>
  <si>
    <t>Yes: 1.1 Вертикальный и горизонтальный шаг арматуры соответствует проекту. Отклонение между рядами арматуры не более 10 мм (ВЧУ) - 2019-12-22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</si>
  <si>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- 2019-12-22</t>
  </si>
  <si>
    <t>Yes: 1.3 Отклонение толщины защитного слоя бетона от проектной не более 15 мм и не менее 5 мм при толщине бетона более 300 мм (ВЧУ) - 2019-12-22</t>
  </si>
  <si>
    <t>Yes: 1.4 Сварные соединения соответствуют проекту и требованиям ГОСТ 14098—2014 (ВЧУ) - 2019-12-22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</si>
  <si>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- 2019-12-22</t>
  </si>
  <si>
    <t>Yes: 2.1 Наличие записи в общем журнале работ (ВЧУ) - 2019-12-22</t>
  </si>
  <si>
    <t>Yes: 3.1 Разрешается проведение последующих работ по устройству опалубки  или бетонированию конструкции (ВЧУ) - 2019-12-22</t>
  </si>
  <si>
    <t>Владимир Чугунов: Заголовок изменен на Армирование Форшахты 2й Двор</t>
  </si>
  <si>
    <t>Арматурный Каркас БО 23, 24</t>
  </si>
  <si>
    <t>Yes: 1.1 Вертикальный и горизонтальный шаг арматуры соответствует проекту. Отклонение между рядами арматуры не более 10 мм (ВЧУ) - 2019-09-30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</si>
  <si>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- 2019-09-30</t>
  </si>
  <si>
    <t>Yes: 1.3 Отклонение толщины защитного слоя бетона от проектной не более 15 мм и не менее 5 мм при толщине бетона более 300 мм (ВЧУ) - 2019-09-30</t>
  </si>
  <si>
    <t>Yes: 1.4 Сварные соединения соответствуют проекту и требованиям ГОСТ 14098—2014 (ВЧУ) - 2019-09-30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</si>
  <si>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- 2019-09-30</t>
  </si>
  <si>
    <t>Yes: 2.1 Наличие записи в общем журнале работ (ВЧУ) - 2019-09-30</t>
  </si>
  <si>
    <t>Yes: 3.1 Разрешается проведение последующих работ по устройству опалубки  или бетонированию конструкции (ВЧУ) - 2019-09-30</t>
  </si>
  <si>
    <t>Владимир Чугунов: Заголовок изменен на Арматурный Каркас БО 23, 34</t>
  </si>
  <si>
    <t>Владимир Чугунов: Заголовок изменен на Арматурный Каркас БО 23, 24</t>
  </si>
  <si>
    <t>Монтаж БО Зах.25</t>
  </si>
  <si>
    <t>Владимир Чугунов: Заголовок изменен на Монтаж БО Зах.25</t>
  </si>
  <si>
    <t>Армирование БО 19, 20</t>
  </si>
  <si>
    <t>Yes: 1.1 Вертикальный и горизонтальный шаг арматуры соответствует проекту. Отклонение между рядами арматуры не более 10 мм (ВЧУ) - 2019-09-10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</si>
  <si>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- 2019-09-10</t>
  </si>
  <si>
    <t>Yes: 1.3 Отклонение толщины защитного слоя бетона от проектной не более 15 мм и не менее 5 мм при толщине бетона более 300 мм (ВЧУ) - 2019-09-10</t>
  </si>
  <si>
    <t>Yes: 1.4 Сварные соединения соответствуют проекту и требованиям ГОСТ 14098—2014 (ВЧУ) - 2019-09-10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</si>
  <si>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- 2019-09-10</t>
  </si>
  <si>
    <t>Yes: 2.1 Наличие записи в общем журнале работ (ВЧУ) - 2019-09-10</t>
  </si>
  <si>
    <t>Yes: 3.1 Разрешается проведение последующих работ по устройству опалубки  или бетонированию конструкции (ВЧУ) - 2019-09-10</t>
  </si>
  <si>
    <t>Владимир Чугунов: Заголовок изменен на Армирование БО 19, 20</t>
  </si>
  <si>
    <t>Устройство Диафрагмы Jet Grouting 1й Двор</t>
  </si>
  <si>
    <t>Yes: Работы производятся в соответствии с РД, утвержденной в производтство работ (ВЧУ) - 2019-12-22</t>
  </si>
  <si>
    <t>Yes: При производстве работ используются материалы, прошедший входной контроль (ВЧУ) - 2019-12-22</t>
  </si>
  <si>
    <t>Yes: Разметка мест заложения скважин соответствует проекту (ВЧУ) - 2019-12-22</t>
  </si>
  <si>
    <t>Yes: Отклонение погружаемой штанги от вертикали менее 2% (ВЧУ) - 2019-12-22</t>
  </si>
  <si>
    <t>Yes: Скорости подъема монитора соответствует проекту (ВЧУ) - 2019-12-22</t>
  </si>
  <si>
    <t>Yes: Частота вращения монитора соответствует проекту (ВЧУ) - 2019-12-22</t>
  </si>
  <si>
    <t>Yes: Давление подачи цементного раствора соответствует проекту (ВЧУ) - 2019-12-22</t>
  </si>
  <si>
    <t>Yes: Соотношение водоцементного-раствора соответствует проекту (ВЧУ) - 2019-12-22</t>
  </si>
  <si>
    <t>Yes: СП 24.13330.2011 «Свайные фундаменты» (ВЧУ) - 2019-12-22</t>
  </si>
  <si>
    <t>Владимир Чугунов: Заголовок изменен на Устройство Диафрагмы Jet Grouting 1й Двор</t>
  </si>
  <si>
    <t>Арматурный Каркас БО 25, 26</t>
  </si>
  <si>
    <t>Yes: 1.1 Вертикальный и горизонтальный шаг арматуры соответствует проекту. Отклонение между рядами арматуры не более 10 мм (ВЧУ) - 2019-10-04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</si>
  <si>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- 2019-10-04</t>
  </si>
  <si>
    <t>Yes: 1.3 Отклонение толщины защитного слоя бетона от проектной не более 15 мм и не менее 5 мм при толщине бетона более 300 мм (ВЧУ) - 2019-10-04</t>
  </si>
  <si>
    <t>Yes: 1.4 Сварные соединения соответствуют проекту и требованиям ГОСТ 14098—2014 (ВЧУ) - 2019-10-04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</si>
  <si>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- 2019-10-04</t>
  </si>
  <si>
    <t>Yes: 2.1 Наличие записи в общем журнале работ (ВЧУ) - 2019-10-04</t>
  </si>
  <si>
    <t>Yes: 3.1 Разрешается проведение последующих работ по устройству опалубки  или бетонированию конструкции (ВЧУ) - 2019-10-04</t>
  </si>
  <si>
    <t>Владимир Чугунов: Заголовок изменен на Арматурный Каркас БО 25, 26</t>
  </si>
  <si>
    <t>Противокапилярная Защита в/о 23-27/А-И</t>
  </si>
  <si>
    <t>Yes: 1. Работы производятся в соответствии с РД, утвержденной в производтство работ (ВЧУ) - 2019-11-29</t>
  </si>
  <si>
    <t>Yes: 2. При производстве работ используются материалы, прошедший входной контроль (ВЧУ) - 2019-11-29</t>
  </si>
  <si>
    <t>Yes: 3. Разметка мест заложения скважин соответствует условиям  технологического регламента (ВЧУ) - 2019-11-29</t>
  </si>
  <si>
    <t>Yes: 4. Подготовка поверхности для инъекционирования соответствует проекту (ВЧУ) - 2019-11-29</t>
  </si>
  <si>
    <t>Yes: 5. Приготовление ремонтных растворов сответствует согласованному технологическому регламенту (ВЧУ) - 2019-11-29</t>
  </si>
  <si>
    <t>Yes: 6. Цементация шпуров и их инъектирование соответствует технологическому регламенту (ВЧУ) - 2019-11-29</t>
  </si>
  <si>
    <t>Yes: Нормативная документация СП 70.13330.2012 Несущие и ограждающие конструкции СП 72.13330.2012 Защита строительных конструкций от коррозии СП 250.1325800 Защита от подземных вод (ВЧУ) - 2019-11-29</t>
  </si>
  <si>
    <t>Владимир Чугунов: Заголовок изменен на Противокапилярная Защита в/о</t>
  </si>
  <si>
    <t>Владимир Чугунов: Заголовок изменен на Противокапилярная Защита в/о 23-27/А-И</t>
  </si>
  <si>
    <t>ГЕО_Противокапилярная Защита В/О 12-28 А-г</t>
  </si>
  <si>
    <t>Yes: 1. Работы производятся в соответствии с РД, утвержденной в производтство работ (ВЧУ) - 2019-12-23</t>
  </si>
  <si>
    <t>Yes: 2. При производстве работ используются материалы, прошедший входной контроль (ВЧУ) - 2019-12-23</t>
  </si>
  <si>
    <t>Yes: 3. Разметка мест заложения скважин соответствует условиям  технологического регламента (ВЧУ) - 2019-12-23</t>
  </si>
  <si>
    <t>Yes: 4. Подготовка поверхности для инъекционирования соответствует проекту (ВЧУ) - 2019-12-23</t>
  </si>
  <si>
    <t>Yes: 5. Приготовление ремонтных растворов сответствует согласованному технологическому регламенту (ВЧУ) - 2019-12-23</t>
  </si>
  <si>
    <t>Yes: 6. Цементация шпуров и их инъектирование соответствует технологическому регламенту (ВЧУ) - 2019-12-23</t>
  </si>
  <si>
    <t>Yes: Нормативная документация СП 70.13330.2012 Несущие и ограждающие конструкции СП 72.13330.2012 Защита строительных конструкций от коррозии СП 250.1325800 Защита от подземных вод (ВЧУ) - 2019-12-23</t>
  </si>
  <si>
    <t>Владимир Чугунов: Заголовок изменен на ГЕО_Противокапилярная Защита В/О 12-28 А-г</t>
  </si>
  <si>
    <t>СВГ_Арматурный Каркас БО</t>
  </si>
  <si>
    <t>Yes: 1.1 Вертикальный и горизонтальный шаг арматуры соответствует проекту. Отклонение между рядами арматуры не более 10 мм (ВЧУ) - 2019-12-24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</si>
  <si>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- 2019-12-24</t>
  </si>
  <si>
    <t>Yes: 1.3 Отклонение толщины защитного слоя бетона от проектной не более 15 мм и не менее 5 мм при толщине бетона более 300 мм (ВЧУ) - 2019-12-24</t>
  </si>
  <si>
    <t>Yes: 1.4 Сварные соединения соответствуют проекту и требованиям ГОСТ 14098—2014 (ВЧУ) - 2019-12-24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</si>
  <si>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- 2019-12-24</t>
  </si>
  <si>
    <t>Yes: 2.1 Наличие записи в общем журнале работ (ВЧУ) - 2019-12-24</t>
  </si>
  <si>
    <t>Yes: 3.1 Разрешается проведение последующих работ по устройству опалубки  или бетонированию конструкции (ВЧУ) - 2019-12-24</t>
  </si>
  <si>
    <t>Владимир Чугунов: Заголовок изменен на СВГ_Арматурный Каркас БО</t>
  </si>
  <si>
    <t>Монтаж Боковых Ограничителей СВГ Зах.53</t>
  </si>
  <si>
    <t>Владимир Чугунов: Заголовок изменен на Монтаж Боковых Ограничителей СВГ Зах.53</t>
  </si>
  <si>
    <t>Владимир Чугунов: Заголовок изменен на Монтаж Боковых Ограничителей СВГ Зах.54</t>
  </si>
  <si>
    <t>Контроль Процесса Испытания СВГ 620</t>
  </si>
  <si>
    <t>Yes: В начале бетонирования расстояние между забоем скважины и нижним торцом бетонолитной трубы не превышает 30 см. В процессе бетонирования при подъеме бетонолитной трубы ее нижний торец постоянно заглублен под уровень бетонной смеси не менее чем на 1 м  (ВЧУ) - 2019-12-06</t>
  </si>
  <si>
    <t>Yes: В процессе бетонирования сотрудниками строительной лаборатории постоянно осуществляется контроль показателей качества бетонной смеси (ВЧУ) - 2019-12-06</t>
  </si>
  <si>
    <t>Yes: Контролируется выполнение мероприятий, обеспечивающих поддержание требуемой температуры бетонной смеси при укладке при отрицательных температурах наружного воздуха (температура бетона в скважине в момент укладки не менее 5 °С)  (ВЧУ) - 2019-12-06</t>
  </si>
  <si>
    <t>Yes: Производится отбор проб бетонной смеси для изготовления контрольных образцов бетона (ВЧУ) - 2019-12-06</t>
  </si>
  <si>
    <t>Yes: В процессе бетонирования бетонолитная труба на всю высоту постоянно заполнена бетонной смесью. Перерывы в подаче отдельных порций бетонной смеси не превышают срока схватывания, установленного лабораторией при данной марке цемента и температуре окружающей среды  (ВЧУ) - 2019-12-06</t>
  </si>
  <si>
    <t>Yes: Подача бетонной смеси в скважину осуществляется до момента выхода чистой (без шлама) бетонной смеси на поверхность и заканчивается удалением загрязненного слоя бетонной смеси. Контролируется извлечение последней секции обсадной трубы (при ее наличии) и формирование оголовка сваи  (ВЧУ) - 2019-12-06</t>
  </si>
  <si>
    <t>Yes: Работы выполняются на основе утвержденного ППР (ВЧУ) - 2019-12-06</t>
  </si>
  <si>
    <t>Yes: Наличие записи в журнале производства работ (ВЧУ) - 2019-12-06</t>
  </si>
  <si>
    <t>Yes: СП45.13330.2012 Земляные сооружения, основания и фундаменты. (ВЧУ) - 2019-12-06</t>
  </si>
  <si>
    <t>Yes: СП50-102-2012 Проектирование и устройство свайных фундаментов. (ВЧУ) - 2019-12-06</t>
  </si>
  <si>
    <t>Владимир Чугунов: Заголовок изменен на Контроль Процесса Испытания СВГ 620</t>
  </si>
  <si>
    <t>Владимир Чугунов: Дата начала изменена на дек. 6, 2019</t>
  </si>
  <si>
    <t>Фасадные Работы. Набрызг На Кирпичную Кладку В/О 1-4/А</t>
  </si>
  <si>
    <t>Владимир Чугунов: Заголовок изменен на Фасадные Работы. Набрызг На Кирпичную Кладку В/О 1-4/А</t>
  </si>
  <si>
    <t>Yes: 2,1 В сопроводительных документах о качестве указаны:
- наименование заказчика;
- наименование продукции и номер заказа;
- номер и объем партии;
- номинальный диаметр и форма периодического профиля;
- группа предельных отклонений по массе 1 м. длины;
- класс проката с указанием доп. набора тех. требований;
- штамп технического контроля качества (ВЧУ) - 2019-12-14</t>
  </si>
  <si>
    <t>Yes: 2,2 В сопроводительных документах есть данные о результатах испытаний (ВЧУ) - 2019-12-14</t>
  </si>
  <si>
    <t>Yes: 2,3 Арматура соответствует требованиям проекта (ВЧУ) - 2019-12-14</t>
  </si>
  <si>
    <t>Yes: 2,4 Наличие записи в "Журнале входного учета и контроля качества получаемых деталей, материалов, конструкций и оборудования" (ВЧУ) - 2019-12-14</t>
  </si>
  <si>
    <t>Yes: 3,1 Допускается к производству работ (ВЧУ) - 2019-12-14</t>
  </si>
  <si>
    <t>Армирование СВГ Захв 57</t>
  </si>
  <si>
    <t>Приемочный контроль</t>
  </si>
  <si>
    <t>Yes: 1.1. Армокаркасы. используемые при армировании. соответствуют РД и прошли входной контроль (АДЕ) - 2019-10-12</t>
  </si>
  <si>
    <t>Yes: 1.2. Документы о качестве арматурных каркасов предоставлены. (п.6.33 ГОСТ 10922-2012) (АДЕ) - 2019-10-12</t>
  </si>
  <si>
    <t>Yes: 1.3. Аттестация у исполнителей и руководителя сварочных работ подтверждена. (пп.3.23. 10.1.1. 10.1.3  СП 70.13330.2012) (АДЕ) - 2019-10-12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</si>
  <si>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- 2019-10-12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</si>
  <si>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- 2019-10-12</t>
  </si>
  <si>
    <t>Yes: 2.1. Необходимые по проекту каркасы оборудованы инклинометрическими датчиками (арматурные каркасы с индексом "И") (АДЕ) - 2019-10-12</t>
  </si>
  <si>
    <t>Yes: 2.2. Закладные детали установлены в проектное положение. выверены. исполнительная схема составлена (АДЕ) - 2019-10-12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</si>
  <si>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- 2019-10-12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</si>
  <si>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- 2019-10-12</t>
  </si>
  <si>
    <t>N/A: 3.2. Оформлен акт освидетельствования скрытых работ на армирование. акт на монтаж ограничителей. (п.3.5 СП 70.13330.2012) (АДЕ) - 2019-10-12</t>
  </si>
  <si>
    <t>Yes: Нормативная документация: ГОСТ 10922-2012; СП 70.13330.2012 Несущие и ограждающие конструкции (АДЕ) - 2019-10-12</t>
  </si>
  <si>
    <t>Андрей Денисов: Заголовок изменен на Армирование СВГ Захв 57</t>
  </si>
  <si>
    <t>Приемочный Контроль Армирования Стен ж/б Лотка в/о 1-2/И/1-2</t>
  </si>
  <si>
    <t>Yes: 1.1 Вертикальный и горизонтальный шаг арматуры соответствует проекту. Отклонение между рядами арматуры не более 10 мм (АДЕ) - 2019-03-25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</si>
  <si>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- 2019-03-25</t>
  </si>
  <si>
    <t>Yes: 1.3 Отклонение толщины защитного слоя бетона от проектной не более 15 мм и не менее 5 мм при толщине бетона более 300 мм (АДЕ) - 2019-03-25</t>
  </si>
  <si>
    <t>N/A: 1.4 Сварные соединения соответствуют проекту и требованиям ГОСТ 14098—2014 (АДЕ) - 2019-03-25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</si>
  <si>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- 2019-03-25</t>
  </si>
  <si>
    <t>Yes: 2.1 Наличие записи в общем журнале работ (АДЕ) - 2019-03-25</t>
  </si>
  <si>
    <t>Yes: 3.1 Разрешается проведение последующих работ по устройству опалубки  или бетонированию конструкции (АДЕ) - 2019-03-25</t>
  </si>
  <si>
    <t>Андрей Денисов: Заголовок изменен на Приемочный Контроль Армирования Стен ж/б Лотка в/о 1-2/И/1-2</t>
  </si>
  <si>
    <t>Андрей Денисов: Дата начала изменена на мар. 25, 2019</t>
  </si>
  <si>
    <t>Yes: 1.1 Вертикальный и горизонтальный шаг арматуры соответствует проекту. Отклонение между рядами арматуры не более 10 мм (АДЕ) - 2019-10-12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</si>
  <si>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- 2019-10-12</t>
  </si>
  <si>
    <t>Yes: 1.3 Отклонение толщины защитного слоя бетона от проектной не более 15 мм и не менее 5 мм при толщине бетона более 300 мм (АДЕ) - 2019-10-12</t>
  </si>
  <si>
    <t>Yes: 1.4 Сварные соединения соответствуют проекту и требованиям ГОСТ 14098—2014 (АДЕ) - 2019-10-12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</si>
  <si>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- 2019-10-12</t>
  </si>
  <si>
    <t>N/A: 2.1 Наличие записи в общем журнале работ (АДЕ) - 2019-10-12</t>
  </si>
  <si>
    <t>Yes: 3.1 Разрешается проведение последующих работ по устройству опалубки  или бетонированию конструкции (АДЕ) - 2019-10-12</t>
  </si>
  <si>
    <t>Андрей Денисов: Заголовок изменен на Армирование БО</t>
  </si>
  <si>
    <t>Устройство Траншеи СВГ Захв 57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</si>
  <si>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- 2019-10-12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</si>
  <si>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- 2019-10-12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</si>
  <si>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- 2019-10-12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</si>
  <si>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- 2019-10-12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</si>
  <si>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- 2019-10-12</t>
  </si>
  <si>
    <t>Yes: 2.1. Произведена запись в общий журнал работ (п.15.5.5 СП 70.13330) (АДЕ) - 2019-10-12</t>
  </si>
  <si>
    <t>Андрей Денисов: Заголовок изменен на Устройство Траншеи СВГ 57</t>
  </si>
  <si>
    <t>Андрей Денисов: Заголовок изменен на Устройство Траншеи СВГ Захв 57</t>
  </si>
  <si>
    <t>Устройство Траншеи СВГ Захв 58</t>
  </si>
  <si>
    <t>Андрей Денисов: Заголовок изменен на Устройство Траншеи СВГ Захв 58</t>
  </si>
  <si>
    <t>Армирование СВГ захв 58</t>
  </si>
  <si>
    <t>Андрей Денисов: Заголовок изменен на Армирование СВГ захв 58</t>
  </si>
  <si>
    <t>Приемочный Контроль Усиление Фундаментов Цементацией В/О К-П/23-27</t>
  </si>
  <si>
    <t>Yes: 1. При производстве работ использовались материалы, прошедший входной контроль (АДЕ) - 2019-06-11</t>
  </si>
  <si>
    <t>Yes: 2. Количество свай и их фактическое положение соответствует проекту (АДЕ) - 2019-06-11</t>
  </si>
  <si>
    <t>Yes: 3. Качество тампоновки скважины соответсвует проекту (АДЕ) - 2019-06-11</t>
  </si>
  <si>
    <t>No: 4. Наличие полного комплекта исполнительной документации, включая акты освидетельствования скрытых работ (АДЕ) - 2019-06-11</t>
  </si>
  <si>
    <t>Андрей Денисов: Заголовок изменен на Приемочный Контроль Усиление Фундаментов Цементацией В/О К-П/23-27</t>
  </si>
  <si>
    <t>Устройство Траншеи СВГ захв 10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</si>
  <si>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- 2019-11-21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</si>
  <si>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- 2019-11-21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</si>
  <si>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- 2019-11-21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</si>
  <si>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- 2019-11-21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</si>
  <si>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- 2019-11-21</t>
  </si>
  <si>
    <t>Yes: 2.1. Произведена запись в общий журнал работ (п.15.5.5 СП 70.13330) (АДЕ) - 2019-11-21</t>
  </si>
  <si>
    <t>Yes: Нормативная документация: СП 45.13330.2012 Земляные сооружения, основания и фундаменты (АДЕ) - 2019-11-21</t>
  </si>
  <si>
    <t>Андрей Денисов: Заголовок изменен на Устройство Траншеи СВГ захв 10</t>
  </si>
  <si>
    <t>Андрей Денисов: Дата начала изменена на нояб. 20, 2019</t>
  </si>
  <si>
    <t>Армирование СВГ Зах 10</t>
  </si>
  <si>
    <t>Yes: 1.1. Армокаркасы. используемые при армировании. соответствуют РД и прошли входной контроль (АДЕ) - 2019-11-21</t>
  </si>
  <si>
    <t>Yes: 1.2. Документы о качестве арматурных каркасов предоставлены. (п.6.33 ГОСТ 10922-2012) (АДЕ) - 2019-11-21</t>
  </si>
  <si>
    <t>Yes: 1.3. Аттестация у исполнителей и руководителя сварочных работ подтверждена. (пп.3.23. 10.1.1. 10.1.3  СП 70.13330.2012) (АДЕ) - 2019-11-21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</si>
  <si>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- 2019-11-21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</si>
  <si>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- 2019-11-21</t>
  </si>
  <si>
    <t>Yes: 2.1. Необходимые по проекту каркасы оборудованы инклинометрическими датчиками (арматурные каркасы с индексом "И") (АДЕ) - 2019-11-21</t>
  </si>
  <si>
    <t>Yes: 2.2. Закладные детали установлены в проектное положение. выверены. исполнительная схема составлена (АДЕ) - 2019-11-21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</si>
  <si>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- 2019-11-21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</si>
  <si>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- 2019-11-21</t>
  </si>
  <si>
    <t>N/A: 3.2. Оформлен акт освидетельствования скрытых работ на армирование. акт на монтаж ограничителей. (п.3.5 СП 70.13330.2012) (АДЕ) - 2019-11-21</t>
  </si>
  <si>
    <t>Yes: Нормативная документация: ГОСТ 10922-2012; СП 70.13330.2012 Несущие и ограждающие конструкции (АДЕ) - 2019-11-21</t>
  </si>
  <si>
    <t>Андрей Денисов: Заголовок изменен на Армирование СВГ Зах 10</t>
  </si>
  <si>
    <t>Приемочный Контроль Усиления Фундаментов Цементацей 19-19/2/Е, 20/1-21/1/Т/1</t>
  </si>
  <si>
    <t>Yes: 1. При производстве работ использовались материалы, прошедший входной контроль (АДЕ) - 2019-06-17</t>
  </si>
  <si>
    <t>Yes: 2. Количество свай и их фактическое положение соответствует проекту (АДЕ) - 2019-06-17</t>
  </si>
  <si>
    <t>Yes: 3. Качество тампоновки скважины соответсвует проекту (АДЕ) - 2019-06-17</t>
  </si>
  <si>
    <t>No: 4. Наличие полного комплекта исполнительной документации, включая акты освидетельствования скрытых работ (АДЕ) - 2019-06-17</t>
  </si>
  <si>
    <t>Андрей Денисов: Заголовок изменен на Приемочный Контроль Усиления Фундаментов Цементацей 19-19/2/Е, 20/1-21/1/Т/1</t>
  </si>
  <si>
    <t>Приемочный Контроль Усиления Фундаментов Цементацией В/О Д-Е/23, Т/1-У/22/1, Б/4-8</t>
  </si>
  <si>
    <t>Yes: 1. При производстве работ использовались материалы, прошедший входной контроль (АДЕ) - 2019-07-15</t>
  </si>
  <si>
    <t>Yes: 2. Количество скважин и их фактическое положение соответствует проекту (АДЕ) - 2019-07-15</t>
  </si>
  <si>
    <t>Yes: 3. Качество тампоновки скважины соответсвует проекту (АДЕ) - 2019-07-15</t>
  </si>
  <si>
    <t>N/A: 4. Наличие полного комплекта исполнительной документации, включая акты освидетельствования скрытых работ (АДЕ) - 2019-07-15</t>
  </si>
  <si>
    <t>Андрей Денисов: Заголовок изменен на Приемочный Контроль Усиления Фундаментов Цементацией В/О Д-Е/23, Т/1-У/22/1, Б/4-8</t>
  </si>
  <si>
    <t>Андрей Денисов: Дата окончания изменена на июл. 15, 2019</t>
  </si>
  <si>
    <t>Приемочный Контроль Армирования Стен Ж/Б Канал В Местах Прохода Гильз В/О 1-2/Д-И1</t>
  </si>
  <si>
    <t>Yes: 1.1 Вертикальный и горизонтальный шаг арматуры соответствует проекту. Отклонение между рядами арматуры не более 10 мм (АДЕ) - 2019-04-26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</si>
  <si>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- 2019-04-26</t>
  </si>
  <si>
    <t>Yes: 1.3 Отклонение толщины защитного слоя бетона от проектной не более 15 мм и не менее 5 мм при толщине бетона более 300 мм (АДЕ) - 2019-04-26</t>
  </si>
  <si>
    <t>N/A: 1.4 Сварные соединения соответствуют проекту и требованиям ГОСТ 14098—2014 (АДЕ) - 2019-04-26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</si>
  <si>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- 2019-04-26</t>
  </si>
  <si>
    <t>Yes: 2.1 Наличие записи в общем журнале работ (АДЕ) - 2019-04-26</t>
  </si>
  <si>
    <t>Yes: 3.1 Разрешается проведение последующих работ по устройству опалубки  или бетонированию конструкции (АДЕ) - 2019-04-26</t>
  </si>
  <si>
    <t>Андрей Денисов: Заголовок изменен на Приемочный Контроль Армирования Стен Ж/Б Канал В Местах Прохода Гильз В/О 1-2/Д-И1</t>
  </si>
  <si>
    <t>Андрей Денисов: Дата начала изменена на апр. 26, 2019</t>
  </si>
  <si>
    <t>Устройство Траншеи СВГ Захв 59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</si>
  <si>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- 2019-10-15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</si>
  <si>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- 2019-10-15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</si>
  <si>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- 2019-10-15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</si>
  <si>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- 2019-10-15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</si>
  <si>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- 2019-10-15</t>
  </si>
  <si>
    <t>Yes: 2.1. Произведена запись в общий журнал работ (п.15.5.5 СП 70.13330) (АДЕ) - 2019-10-15</t>
  </si>
  <si>
    <t>Андрей Денисов: Заголовок изменен на Устройство Траншеи СВГ Захв 59</t>
  </si>
  <si>
    <t>Yes: 1. При производстве работ использовались материалы, прошедший входной контроль (АДЕ) - 2019-08-13</t>
  </si>
  <si>
    <t>Yes: 2. Количество скважин и их фактическое положение соответствует проекту (АДЕ) - 2019-08-13</t>
  </si>
  <si>
    <t>Yes: 3. Качество тампоновки скважины соответсвует проекту (АДЕ) - 2019-08-13</t>
  </si>
  <si>
    <t>N/A: 4. Наличие полного комплекта исполнительной документации, включая акты освидетельствования скрытых работ (АДЕ) - 2019-08-13</t>
  </si>
  <si>
    <t>Андрей Денисов: Заголовок изменен на Приемочный Контроль Усиления Фундаментов Цементацией В/О 5/1-12/1Т-У</t>
  </si>
  <si>
    <t>Приемочный Контроль Усиления Фундаментов Цементацией 18-19/2/Л, 18-19/2/Ж</t>
  </si>
  <si>
    <t>Yes: 1. Работы производятся в соответствии с РД, утвержденной в производтство работ (АДЕ) - 2019-05-28</t>
  </si>
  <si>
    <t>Yes: 2. При производстве работ используются материалы, прошедший входной контроль (АДЕ) - 2019-05-28</t>
  </si>
  <si>
    <t>Yes: 3. Разметка мест заложения скважин соответствует проекту (АДЕ) - 2019-05-28</t>
  </si>
  <si>
    <t>Yes: 4. Работы по устройству скважины и наполнения раствором на 1-ом этапе соответствуют проекту (АДЕ) - 2019-05-28</t>
  </si>
  <si>
    <t>Yes: 5. Работы по  разбуриванию скважины на 2-ом этапе устройства соответствуют проекту (АДЕ) - 2019-05-28</t>
  </si>
  <si>
    <t>Yes: 6. Работы по заполнению раствором скважины на 2-ом этапе производятся в соответствии с проектом (АДЕ) - 2019-05-28</t>
  </si>
  <si>
    <t>Not set: 7. Тампонирование скважин выполняется в соответствии с проектом (АДЕ) - 2019-05-28</t>
  </si>
  <si>
    <t>Андрей Денисов: Заголовок изменен на Приемочный Контроль Усиления Фундаментов Цементацией 18-19/2/Л, 18-19/2/Ж</t>
  </si>
  <si>
    <t>Андрей Денисов: Дата начала изменена на мая 28, 2019</t>
  </si>
  <si>
    <t>Андрей Денисов: Удалено отметить пункт - "1. При производстве работ использовались материалы, прошедший входной контроль"</t>
  </si>
  <si>
    <t>Андрей Денисов: Удалено отметить пункт - "2. Количество свай и их фактическое положение соответствует проекту"</t>
  </si>
  <si>
    <t>Андрей Денисов: Удалено отметить пункт - "3. Качество тампоновки скважины соответсвует проекту"</t>
  </si>
  <si>
    <t>Андрей Денисов: Удалено отметить пункт - "4. Наличие полного комплекта исполнительной документации, включая акты освидетельствования скрытых работ"</t>
  </si>
  <si>
    <t>Приемочный Контроль Усиления Грунтов В/О 18-19/Д-Е, Д/22</t>
  </si>
  <si>
    <t>Yes: 1. При производстве работ использовались материалы, прошедший входной контроль (АДЕ) - 2019-05-28</t>
  </si>
  <si>
    <t>Yes: 2. Количество свай и их фактическое положение соответствует проекту (АДЕ) - 2019-05-28</t>
  </si>
  <si>
    <t>Yes: 3. Качество тампоновки скважины соответсвует проекту (АДЕ) - 2019-05-28</t>
  </si>
  <si>
    <t>Yes: 4. Выполнен геодезический контроль фактического  положения свай. Положения свай соответствуют проекту (АДЕ) - 2019-05-28</t>
  </si>
  <si>
    <t>No: 5. Наличие полного комплекта исполнительной документации, включая акты освидетельствования скрытых работ (АДЕ) - 2019-05-28</t>
  </si>
  <si>
    <t>Андрей Денисов: Заголовок изменен на Приемочный Контроль Усиления Грунтов В/О 18-19/Д-Е, Д/22</t>
  </si>
  <si>
    <t>Операционный Контроль Усиления Фундаментов Цементацией В/О 4/1-8/1/К-И</t>
  </si>
  <si>
    <t>Yes: 1. Работы производятся в соответствии с РД, утвержденной в производтство работ (АДЕ) - 2019-09-13</t>
  </si>
  <si>
    <t>Yes: 2. При производстве работ используются материалы, прошедший входной контроль (АДЕ) - 2019-09-13</t>
  </si>
  <si>
    <t>Yes: 3. Разметка мест заложения скважин соответствует проекту (АДЕ) - 2019-09-13</t>
  </si>
  <si>
    <t>N/A: 4. Работы по устройству скважины и наполнения раствором на 1-ом этапе соответствуют проекту (АДЕ) - 2019-09-13</t>
  </si>
  <si>
    <t>Yes: 5. Работы по  разбуриванию скважины на 2-ом этапе устройства соответствуют проекту (АДЕ) - 2019-09-13</t>
  </si>
  <si>
    <t>Yes: 6. Работы по заполнению раствором скважины на 2-ом этапе производятся в соответствии с проектом (АДЕ) - 2019-09-13</t>
  </si>
  <si>
    <t>N/A: 7. Тампонирование скважин выполняется в соответствии с проектом (АДЕ) - 2019-09-13</t>
  </si>
  <si>
    <t>Андрей Денисов: Заголовок изменен на Операционный Контроль Усиления Фундаментов Цементацией В/О 4/1-8/1/К-И</t>
  </si>
  <si>
    <t>Андрей Денисов: Дата начала изменена на сент. 13, 2019</t>
  </si>
  <si>
    <t>Траншея Зах. 27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</si>
  <si>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- 2019-09-13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</si>
  <si>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- 2019-09-13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</si>
  <si>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- 2019-09-13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</si>
  <si>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- 2019-09-13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</si>
  <si>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- 2019-09-13</t>
  </si>
  <si>
    <t>Yes: 2.1. Произведена запись в общий журнал работ (п.15.5.5 СП 70.13330) (АДЕ) - 2019-09-13</t>
  </si>
  <si>
    <t>Yes: Нормативная документация: СП 45.13330.2012 Земляные сооружения, основания и фундаменты (АДЕ) - 2019-09-13</t>
  </si>
  <si>
    <t>Андрей Денисов: Заголовок изменен на Траншея Зах. 27</t>
  </si>
  <si>
    <t>Приемочный Контроль Усиления Фундаментов В/О 21-23/А-Б</t>
  </si>
  <si>
    <t>Yes: 1. При производстве работ использовались материалы, прошедший входной контроль (АДЕ) - 2019-06-22</t>
  </si>
  <si>
    <t>Yes: 2. Количество свай и их фактическое положение соответствует проекту (АДЕ) - 2019-06-22</t>
  </si>
  <si>
    <t>Yes: 3. Качество тампоновки скважины соответсвует проекту (АДЕ) - 2019-06-22</t>
  </si>
  <si>
    <t>N/A: 4. Наличие полного комплекта исполнительной документации, включая акты освидетельствования скрытых работ (АДЕ) - 2019-06-22</t>
  </si>
  <si>
    <t>Андрей Денисов: Заголовок изменен на Приемочный Контроль Усиления Фундаментов В/О 21-23/А-Б</t>
  </si>
  <si>
    <t>Андрей Денисов: Дата начала изменена на июн. 22, 2019</t>
  </si>
  <si>
    <t>Приемочный Контроль Усиления Фундаментов Цементацией В/О 23-27/К-М, 27/Ж-И, Т/1/21/1-19/1, Н-Л/18-19/2</t>
  </si>
  <si>
    <t>Yes: 1. При производстве работ использовались материалы, прошедший входной контроль (АДЕ) - 2019-06-04</t>
  </si>
  <si>
    <t>Yes: 2. Количество свай и их фактическое положение соответствует проекту (АДЕ) - 2019-06-04</t>
  </si>
  <si>
    <t>N/A: 3. Качество тампоновки скважины соответсвует проекту (АДЕ) - 2019-06-04</t>
  </si>
  <si>
    <t>No: 4. Наличие полного комплекта исполнительной документации, включая акты освидетельствования скрытых работ (АДЕ) - 2019-06-04</t>
  </si>
  <si>
    <t>Андрей Денисов: Заголовок изменен на Приемочный Контроль Усиления Фундаментов Цементацией В/О 23-27/К-М, 27/Ж-И, Т/1/21/1-19/1, Н-Л/18-19/2</t>
  </si>
  <si>
    <t>Приемочный Контроль Усиление Фундаментов Цементацией В/О 22-26/А, 27/Ж-И, 23/Е-Д</t>
  </si>
  <si>
    <t>Yes: 1. При производстве работ использовались материалы, прошедший входной контроль (АДЕ) - 2019-06-25</t>
  </si>
  <si>
    <t>Yes: 2. Количество свай и их фактическое положение соответствует проекту (АДЕ) - 2019-06-25</t>
  </si>
  <si>
    <t>Yes: 3. Качество тампоновки скважины соответсвует проекту (АДЕ) - 2019-06-25</t>
  </si>
  <si>
    <t>N/A: 4. Наличие полного комплекта исполнительной документации, включая акты освидетельствования скрытых работ (АДЕ) - 2019-06-25</t>
  </si>
  <si>
    <t>Андрей Денисов: Заголовок изменен на Приемочный Контроль Усиление Фундаментов Цементацией В/О 22-26/А, 27/Ж-И, 23/Е-Д</t>
  </si>
  <si>
    <t>Андрей Денисов: Дата начала изменена на июн. 25, 2019</t>
  </si>
  <si>
    <t>Приемочный Контроль Армирования Форшахты В/О М-Р/24</t>
  </si>
  <si>
    <t>Yes: 1.1 Вертикальный и горизонтальный шаг арматуры соответствует проекту. Отклонение между рядами арматуры не более 10 мм (АДЕ) - 2019-07-18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</si>
  <si>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- 2019-07-18</t>
  </si>
  <si>
    <t>Yes: 1.3 Отклонение толщины защитного слоя бетона от проектной не более 15 мм и не менее 5 мм при толщине бетона более 300 мм (АДЕ) - 2019-07-18</t>
  </si>
  <si>
    <t>N/A: 1.4 Сварные соединения соответствуют проекту и требованиям ГОСТ 14098—2014 (АДЕ) - 2019-07-18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</si>
  <si>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(АДЕ) - 2019-07-18</t>
  </si>
  <si>
    <t>Yes: 2.1 Наличие записи в общем журнале работ (АДЕ) - 2019-07-18</t>
  </si>
  <si>
    <t>Yes: 3.1 Разрешается проведение последующих работ по устройству опалубки  или бетонированию конструкции (АДЕ) - 2019-07-18</t>
  </si>
  <si>
    <t>Андрей Денисов: Заголовок изменен на Приемочный Контроль Армирования Форшахты В/О М-Р/24</t>
  </si>
  <si>
    <t>Стыковка Арматурного Каркаса СВГ Зах.34</t>
  </si>
  <si>
    <t>Yes: 1.4 Сварные соединения соответствуют проекту и требованиям ГОСТ 14098—2014 (АДЕ) - 2019-07-18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</si>
  <si>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- 2019-07-18</t>
  </si>
  <si>
    <t>Yes: 3.1 Разрешается проведение последующих работ по бетонированию конструкции (АДЕ) - 2019-07-18</t>
  </si>
  <si>
    <t>Андрей Денисов: Заголовок изменен на Стыковка Арматурного Каркаса СВГ Зах.34</t>
  </si>
  <si>
    <t>Андрей Денисов: Отмеченный пункт изменен с "3.1 Разрешается проведение последующих работ по устройству опалубки  или бетонированию конструкции" на "3.1 Разрешается проведение последующих работ по бетонированию конструкции"</t>
  </si>
  <si>
    <t>Приемочный Контроль Усиление Фундаментов Цементацией В/О 22/1-26/Т-У</t>
  </si>
  <si>
    <t>Yes: 1. При производстве работ использовались материалы, прошедший входной контроль (АДЕ) - 2019-07-18</t>
  </si>
  <si>
    <t>Yes: 2. Количество скважин и их фактическое положение соответствует проекту (АДЕ) - 2019-07-18</t>
  </si>
  <si>
    <t>Yes: 3. Качество тампоновки скважины соответсвует проекту (АДЕ) - 2019-07-18</t>
  </si>
  <si>
    <t>N/A: 4. Наличие полного комплекта исполнительной документации, включая акты освидетельствования скрытых работ (АДЕ) - 2019-07-18</t>
  </si>
  <si>
    <t>Андрей Денисов: Заголовок изменен на Приемочный Контроль Усиление Фундаментов Цементацией В/О 22/1-26/Т-У</t>
  </si>
  <si>
    <t>Приемочный Контроль В/О 16/Д-К</t>
  </si>
  <si>
    <t>Yes: 1. При производстве работ использовались материалы, прошедший входной контроль (АДЕ) - 2019-06-07</t>
  </si>
  <si>
    <t>Yes: 2. Количество свай и их фактическое положение соответствует проекту (АДЕ) - 2019-06-07</t>
  </si>
  <si>
    <t>Yes: 3. Качество тампоновки скважины соответсвует проекту (АДЕ) - 2019-06-07</t>
  </si>
  <si>
    <t>N/A: 4. Наличие полного комплекта исполнительной документации, включая акты освидетельствования скрытых работ (АДЕ) - 2019-06-07</t>
  </si>
  <si>
    <t>Андрей Денисов: Заголовок изменен на Приемочный Контроль В/О 16/Д-К</t>
  </si>
  <si>
    <t>Армирование Захватки 59 СВГ</t>
  </si>
  <si>
    <t>Yes: 1.1. Армокаркасы. используемые при армировании. соответствуют РД и прошли входной контроль (АДЕ) - 2019-10-15</t>
  </si>
  <si>
    <t>Yes: 1.2. Документы о качестве арматурных каркасов предоставлены. (п.6.33 ГОСТ 10922-2012) (АДЕ) - 2019-10-15</t>
  </si>
  <si>
    <t>Yes: 1.3. Аттестация у исполнителей и руководителя сварочных работ подтверждена. (пп.3.23. 10.1.1. 10.1.3  СП 70.13330.2012) (АДЕ) - 2019-10-15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</si>
  <si>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- 2019-10-15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</si>
  <si>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- 2019-10-15</t>
  </si>
  <si>
    <t>Yes: 2.1. Необходимые по проекту каркасы оборудованы инклинометрическими датчиками (арматурные каркасы с индексом "И") (АДЕ) - 2019-10-15</t>
  </si>
  <si>
    <t>Yes: 2.2. Закладные детали установлены в проектное положение. выверены. исполнительная схема составлена (АДЕ) - 2019-10-15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</si>
  <si>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- 2019-10-15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</si>
  <si>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- 2019-10-15</t>
  </si>
  <si>
    <t>Yes: 3.2. Оформлен акт освидетельствования скрытых работ на армирование. акт на монтаж ограничителей. (п.3.5 СП 70.13330.2012) (АДЕ) - 2019-10-15</t>
  </si>
  <si>
    <t>Yes: Нормативная документация: ГОСТ 10922-2012; СП 70.13330.2012 Несущие и ограждающие конструкции (АДЕ) - 2019-10-15</t>
  </si>
  <si>
    <t>Андрей Денисов: Заголовок изменен на Армирование Захватки 59 СВГ</t>
  </si>
  <si>
    <t>Устройство Траншеи Захв 60 СВГ</t>
  </si>
  <si>
    <t>Андрей Денисов: Заголовок изменен на Устройство Траншеи Захв 60 СВГ</t>
  </si>
  <si>
    <t>Yes: 1.1 Вертикальный и горизонтальный шаг арматуры соответствует проекту. Отклонение между рядами арматуры не более 10 мм (АДЕ) - 2019-10-15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</si>
  <si>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- 2019-10-15</t>
  </si>
  <si>
    <t>Yes: 1.3 Отклонение толщины защитного слоя бетона от проектной не более 15 мм и не менее 5 мм при толщине бетона более 300 мм (АДЕ) - 2019-10-15</t>
  </si>
  <si>
    <t>Yes: 1.4 Сварные соединения соответствуют проекту и требованиям ГОСТ 14098—2014 (АДЕ) - 2019-10-15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</si>
  <si>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- 2019-10-15</t>
  </si>
  <si>
    <t>Yes: 2.1 Наличие записи в общем журнале работ (АДЕ) - 2019-10-15</t>
  </si>
  <si>
    <t>Yes: 3.1 Разрешается проведение последующих работ по устройству опалубки  или бетонированию конструкции (АДЕ) - 2019-10-15</t>
  </si>
  <si>
    <t>Устройство Траншеи Захв 61 Свг</t>
  </si>
  <si>
    <t>Андрей Денисов: Заголовок изменен на Устройство Траншеи Захв 61 Свг</t>
  </si>
  <si>
    <t>Армирование Захв 61 Свг</t>
  </si>
  <si>
    <t>Андрей Денисов: Заголовок изменен на Армирование Захв 61 Свг</t>
  </si>
  <si>
    <t>Приемочный Контроль Усиление Фундаментов Цементацией В/О 15-16/Б-В</t>
  </si>
  <si>
    <t>Yes: 1. При производстве работ использовались материалы, прошедший входной контроль (АДЕ) - 2019-07-01</t>
  </si>
  <si>
    <t>Yes: 2. Количество свай и их фактическое положение соответствует проекту (АДЕ) - 2019-07-01</t>
  </si>
  <si>
    <t>N/A: 3. Качество тампоновки скважины соответсвует проекту (АДЕ) - 2019-07-01</t>
  </si>
  <si>
    <t>N/A: 4. Наличие полного комплекта исполнительной документации, включая акты освидетельствования скрытых работ (АДЕ) - 2019-07-01</t>
  </si>
  <si>
    <t>Андрей Денисов: Заголовок изменен на Приемочный Контроль Усиление Фундаментов Цементацией В/О 15-16/Б-В</t>
  </si>
  <si>
    <t>Андрей Денисов: Дата начала изменена на июл. 1, 2019</t>
  </si>
  <si>
    <t>Стыковка Арматурного Каркаса СВГ Зах.35</t>
  </si>
  <si>
    <t>Yes: 1.1 Вертикальный и горизонтальный шаг арматуры соответствует проекту. Отклонение между рядами арматуры не более 10 мм (АДЕ) - 2019-07-20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</si>
  <si>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- 2019-07-20</t>
  </si>
  <si>
    <t>Yes: 1.3 Отклонение толщины защитного слоя бетона от проектной не более 15 мм и не менее 5 мм при толщине бетона более 300 мм (АДЕ) - 2019-07-20</t>
  </si>
  <si>
    <t>Yes: 1.4 Сварные соединения соответствуют проекту и требованиям ГОСТ 14098—2014 (АДЕ) - 2019-07-20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</si>
  <si>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- 2019-07-20</t>
  </si>
  <si>
    <t>Yes: 2.1 Наличие записи в общем журнале работ (АДЕ) - 2019-07-20</t>
  </si>
  <si>
    <t>Yes: 3.1 Разрешается проведение последующих работ по бетонированию конструкции (АДЕ) - 2019-07-20</t>
  </si>
  <si>
    <t>Андрей Денисов: Заголовок изменен на Стыковка Арматурного Каркаса СВГ Зах.35</t>
  </si>
  <si>
    <t>Приемочный Контроль Усиление Фундаментов Цементацией В/О 22/1-26/П-У, 8/1-12/1/У</t>
  </si>
  <si>
    <t>Yes: 1. При производстве работ использовались материалы, прошедший входной контроль (АДЕ) - 2019-07-20</t>
  </si>
  <si>
    <t>Yes: 2. Количество скважин и их фактическое положение соответствует проекту (АДЕ) - 2019-07-20</t>
  </si>
  <si>
    <t>Yes: 3. Качество тампоновки скважины соответсвует проекту (АДЕ) - 2019-07-20</t>
  </si>
  <si>
    <t>N/A: 4. Наличие полного комплекта исполнительной документации, включая акты освидетельствования скрытых работ (АДЕ) - 2019-07-20</t>
  </si>
  <si>
    <t>Андрей Денисов: Заголовок изменен на Приемочный Контроль Усиление Фундаментов Цементацией В/О 22/1-26/П-У, 8/1-12/1/У</t>
  </si>
  <si>
    <t>Армирование Захв 60 СВГ</t>
  </si>
  <si>
    <t>Андрей Денисов: Заголовок изменен на Армирование Захв 60 СВГ</t>
  </si>
  <si>
    <t>Приемочный Контроль Армирования Форшахты В/О 21/1-22/1/Т/1</t>
  </si>
  <si>
    <t>Yes: 1.1 Вертикальный и горизонтальный шаг арматуры соответствует проекту. Отклонение между рядами арматуры не более 10 мм (АДЕ) - 2019-08-17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</si>
  <si>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- 2019-08-17</t>
  </si>
  <si>
    <t>Yes: 1.3 Отклонение толщины защитного слоя бетона от проектной не более 15 мм и не менее 5 мм при толщине бетона более 300 мм (АДЕ) - 2019-08-17</t>
  </si>
  <si>
    <t>Yes: 1.4 Сварные соединения соответствуют проекту и требованиям ГОСТ 14098—2014 (АДЕ) - 2019-08-17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</si>
  <si>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(АДЕ) - 2019-08-17</t>
  </si>
  <si>
    <t>Yes: 2.1 Наличие записи в общем журнале работ (АДЕ) - 2019-08-17</t>
  </si>
  <si>
    <t>Yes: 3.1 Разрешается проведение последующих работ по устройству опалубки  или бетонированию конструкции (АДЕ) - 2019-08-17</t>
  </si>
  <si>
    <t>Андрей Денисов: Заголовок изменен на Приемочный Контроль Армирования Форшахты В/О 21/1-22/2/1/Т/1</t>
  </si>
  <si>
    <t>Андрей Денисов: Заголовок изменен на Приемочный Контроль Армирования Форшахты В/О 21/1-22/1/Т/1</t>
  </si>
  <si>
    <t>Контроль Глубины Траншеи Зах.38</t>
  </si>
  <si>
    <t>Андрей Денисов: Заголовок изменен на Контроль Глубины Траншеи Зах.39</t>
  </si>
  <si>
    <t>Андрей Денисов: Дата начала изменена на июл. 28, 2019</t>
  </si>
  <si>
    <t>Андрей Денисов: Заголовок изменен на Контроль Глубины Траншеи Зах.38</t>
  </si>
  <si>
    <t>Стыковка И Погружение БО Зах.38</t>
  </si>
  <si>
    <t>Андрей Денисов: Заголовок изменен на Стыковка И Погружение БО Зах.39</t>
  </si>
  <si>
    <t>Андрей Денисов: Заголовок изменен на Стыковка И Погружение БО Зах.38</t>
  </si>
  <si>
    <t>N/A: 4. Наличие полного комплекта исполнительной документации, включая акты освидетельствования скрытых работ (АДЕ) - 2019-07-25</t>
  </si>
  <si>
    <t>Андрей Денисов: Заголовок изменен на Приемочный Контроль Усиления Фундаментов Цементацией В/О 22/1-26/У-Т/1, 16/1-19/1/У-Т/1</t>
  </si>
  <si>
    <t>Армирование Саш Захв 9</t>
  </si>
  <si>
    <t>Yes: 1.1. Армокаркасы. используемые при армировании. соответствуют РД и прошли входной контроль (АДЕ) - 2019-10-16</t>
  </si>
  <si>
    <t>Yes: 1.2. Документы о качестве арматурных каркасов предоставлены. (п.6.33 ГОСТ 10922-2012) (АДЕ) - 2019-10-16</t>
  </si>
  <si>
    <t>Yes: 1.3. Аттестация у исполнителей и руководителя сварочных работ подтверждена. (пп.3.23. 10.1.1. 10.1.3  СП 70.13330.2012) (АДЕ) - 2019-10-16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</si>
  <si>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- 2019-10-16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</si>
  <si>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- 2019-10-16</t>
  </si>
  <si>
    <t>Yes: 2.1. Необходимые по проекту каркасы оборудованы инклинометрическими датчиками (арматурные каркасы с индексом "И") (АДЕ) - 2019-10-16</t>
  </si>
  <si>
    <t>Yes: 2.2. Закладные детали установлены в проектное положение. выверены. исполнительная схема составлена (АДЕ) - 2019-10-16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</si>
  <si>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- 2019-10-16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</si>
  <si>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- 2019-10-16</t>
  </si>
  <si>
    <t>Yes: 3.2. Оформлен акт освидетельствования скрытых работ на армирование. акт на монтаж ограничителей. (п.3.5 СП 70.13330.2012) (АДЕ) - 2019-10-16</t>
  </si>
  <si>
    <t>Yes: Нормативная документация: ГОСТ 10922-2012; СП 70.13330.2012 Несущие и ограждающие конструкции (АДЕ) - 2019-10-16</t>
  </si>
  <si>
    <t>Андрей Денисов: Заголовок изменен на Армирование Саш Захв 9</t>
  </si>
  <si>
    <t>Устройство Траншеи Захв 9 Свг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</si>
  <si>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- 2019-10-16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</si>
  <si>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- 2019-10-16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</si>
  <si>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- 2019-10-16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</si>
  <si>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- 2019-10-16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</si>
  <si>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- 2019-10-16</t>
  </si>
  <si>
    <t>Yes: 2.1. Произведена запись в общий журнал работ (п.15.5.5 СП 70.13330) (АДЕ) - 2019-10-16</t>
  </si>
  <si>
    <t>Андрей Денисов: Заголовок изменен на Устройство Траншеи Захв 9 Свг</t>
  </si>
  <si>
    <t>Приемочный Контроль Цементации Фундаментов В/О 19/1-23/1/Т-У</t>
  </si>
  <si>
    <t>Yes: 1. При производстве работ использовались материалы, прошедший входной контроль (АДЕ) - 2019-07-29</t>
  </si>
  <si>
    <t>Yes: 2. Количество скважин и их фактическое положение соответствует проекту (АДЕ) - 2019-07-29</t>
  </si>
  <si>
    <t>Yes: 3. Качество тампоновки скважины соответсвует проекту (АДЕ) - 2019-07-29</t>
  </si>
  <si>
    <t>N/A: 4. Наличие полного комплекта исполнительной документации, включая акты освидетельствования скрытых работ (АДЕ) - 2019-07-29</t>
  </si>
  <si>
    <t>Андрей Денисов: Заголовок изменен на Приемочный Контроль Цементации Фундаментов В/О 19/1-23/1/Т-У</t>
  </si>
  <si>
    <t>Приемочный Контроль Усиления Фундаментов Цементацией В/О 19/1-21/1/Т-У, Д-Е/7-10</t>
  </si>
  <si>
    <t>Yes: 1. При производстве работ использовались материалы, прошедший входной контроль (АДЕ) - 2019-07-30</t>
  </si>
  <si>
    <t>Yes: 2. Количество скважин и их фактическое положение соответствует проекту (АДЕ) - 2019-07-30</t>
  </si>
  <si>
    <t>Yes: 3. Качество тампоновки скважины соответсвует проекту (АДЕ) - 2019-07-30</t>
  </si>
  <si>
    <t>Yes: 4. Наличие полного комплекта исполнительной документации, включая акты освидетельствования скрытых работ (АДЕ) - 2019-07-30</t>
  </si>
  <si>
    <t>Андрей Денисов: Заголовок изменен на Приемочный Контроль Усиления Фундаментов Цементацией В/О 19/1-21/1/Т-У, Д-Е/7-10</t>
  </si>
  <si>
    <t>Приемочный Контроль Армирования Форшахты В/О 22-23/Т/1</t>
  </si>
  <si>
    <t>Yes: 1.1 Вертикальный и горизонтальный шаг арматуры соответствует проекту. Отклонение между рядами арматуры не более 10 мм (АДЕ) - 2019-07-30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</si>
  <si>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- 2019-07-30</t>
  </si>
  <si>
    <t>Yes: 1.3 Отклонение толщины защитного слоя бетона от проектной не более 15 мм и не менее 5 мм при толщине бетона более 300 мм (АДЕ) - 2019-07-30</t>
  </si>
  <si>
    <t>N/A: 1.4 Сварные соединения соответствуют проекту и требованиям ГОСТ 14098—2014 (АДЕ) - 2019-07-30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</si>
  <si>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(АДЕ) - 2019-07-30</t>
  </si>
  <si>
    <t>Yes: 2.1 Наличие записи в общем журнале работ (АДЕ) - 2019-07-30</t>
  </si>
  <si>
    <t>Yes: 3.1 Разрешается проведение последующих работ по устройству опалубки  или бетонированию конструкции (АДЕ) - 2019-07-30</t>
  </si>
  <si>
    <t>Андрей Денисов: Заголовок изменен на Приемочный Контроль Армирования Форшахты В/О 22-23/Т/1</t>
  </si>
  <si>
    <t>Приемочный Контроль Армирования Приливов В/О 1-2/А-Д</t>
  </si>
  <si>
    <t>Yes: 1.4 Сварные соединения соответствуют проекту и требованиям ГОСТ 14098—2014 (АДЕ) - 2019-07-30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</si>
  <si>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- 2019-07-30</t>
  </si>
  <si>
    <t>Андрей Денисов: Заголовок изменен на Приемочный Контроль Армирования Приливов В/О 1-2/А-Д</t>
  </si>
  <si>
    <t>Устройство Траншеи Захв 63 СВГ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</si>
  <si>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- 2019-10-17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</si>
  <si>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- 2019-10-17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</si>
  <si>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- 2019-10-17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</si>
  <si>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- 2019-10-17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</si>
  <si>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- 2019-10-17</t>
  </si>
  <si>
    <t>Yes: 2.1. Произведена запись в общий журнал работ (п.15.5.5 СП 70.13330) (АДЕ) - 2019-10-17</t>
  </si>
  <si>
    <t>Yes: Нормативная документация: СП 45.13330.2012 Земляные сооружения, основания и фундаменты (АДЕ) - 2019-10-17</t>
  </si>
  <si>
    <t>Андрей Денисов: Заголовок изменен на Устройство Траншеи Захв 63 СВГ</t>
  </si>
  <si>
    <t>Андрей Денисов: Дата начала изменена на окт. 17, 2019</t>
  </si>
  <si>
    <t>Приемочный Контроль Усиление Фундаментов Цементацией Д-И/1/7-10</t>
  </si>
  <si>
    <t>Yes: 1. При производстве работ использовались материалы, прошедший входной контроль (АДЕ) - 2019-08-01</t>
  </si>
  <si>
    <t>Yes: 2. Количество скважин и их фактическое положение соответствует проекту (АДЕ) - 2019-08-01</t>
  </si>
  <si>
    <t>Yes: 3. Качество тампоновки скважины соответсвует проекту (АДЕ) - 2019-08-01</t>
  </si>
  <si>
    <t>N/A: 4. Наличие полного комплекта исполнительной документации, включая акты освидетельствования скрытых работ (АДЕ) - 2019-08-01</t>
  </si>
  <si>
    <t>Андрей Денисов: Заголовок изменен на Приемочный Контроль Усиление Фундаментов Цементацией Д-И/1/7-10</t>
  </si>
  <si>
    <t>Устройство Траншеи СВГ Зах 15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</si>
  <si>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- 2019-09-19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</si>
  <si>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- 2019-09-19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</si>
  <si>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- 2019-09-19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</si>
  <si>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- 2019-09-19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</si>
  <si>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- 2019-09-19</t>
  </si>
  <si>
    <t>Yes: 2.1. Произведена запись в общий журнал работ (п.15.5.5 СП 70.13330) (АДЕ) - 2019-09-19</t>
  </si>
  <si>
    <t>Yes: Нормативная документация: СП 45.13330.2012 Земляные сооружения, основания и фундаменты (АДЕ) - 2019-09-19</t>
  </si>
  <si>
    <t>Андрей Денисов: Заголовок изменен на Устройство Траншеи СВГ Зах 15</t>
  </si>
  <si>
    <t>Приемочный Контроль Цементации Фундаментов В/О 8/1-12/1/Т-У</t>
  </si>
  <si>
    <t>Yes: 1. При производстве работ использовались материалы, прошедший входной контроль (АДЕ) - 2019-08-08</t>
  </si>
  <si>
    <t>Yes: 2. Количество скважин и их фактическое положение соответствует проекту (АДЕ) - 2019-08-08</t>
  </si>
  <si>
    <t>Yes: 3. Качество тампоновки скважины соответсвует проекту (АДЕ) - 2019-08-08</t>
  </si>
  <si>
    <t>N/A: 4. Наличие полного комплекта исполнительной документации, включая акты освидетельствования скрытых работ (АДЕ) - 2019-08-08</t>
  </si>
  <si>
    <t>Андрей Денисов: Заголовок изменен на Приемочный Контроль Цементации Фундаментов В/О 8/1-12/1/Т-У</t>
  </si>
  <si>
    <t>Андрей Денисов: Дата начала изменена на авг. 8, 2019</t>
  </si>
  <si>
    <t>Устройство Траншеи СВГ Захв 12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</si>
  <si>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- 2019-09-24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</si>
  <si>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- 2019-09-24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</si>
  <si>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- 2019-09-24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</si>
  <si>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- 2019-09-24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</si>
  <si>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- 2019-09-24</t>
  </si>
  <si>
    <t>Yes: 2.1. Произведена запись в общий журнал работ (п.15.5.5 СП 70.13330) (АДЕ) - 2019-09-24</t>
  </si>
  <si>
    <t>Yes: Нормативная документация: СП 45.13330.2012 Земляные сооружения, основания и фундаменты (АДЕ) - 2019-09-24</t>
  </si>
  <si>
    <t>Андрей Денисов: Заголовок изменен на Устройство Траншеи СВГ Захв 12</t>
  </si>
  <si>
    <t>Андрей Денисов: Дата окончания изменена на сент. 23, 2019</t>
  </si>
  <si>
    <t>Устройство Траншеи СВГ 11 Захв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</si>
  <si>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- 2019-09-25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</si>
  <si>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- 2019-09-25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</si>
  <si>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- 2019-09-25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</si>
  <si>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- 2019-09-25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</si>
  <si>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- 2019-09-25</t>
  </si>
  <si>
    <t>Yes: 2.1. Произведена запись в общий журнал работ (п.15.5.5 СП 70.13330) (АДЕ) - 2019-09-25</t>
  </si>
  <si>
    <t>Yes: Нормативная документация: СП 45.13330.2012 Земляные сооружения, основания и фундаменты (АДЕ) - 2019-09-25</t>
  </si>
  <si>
    <t>Андрей Денисов: Заголовок изменен на Устройство Траншеи СВГ 11 Захв</t>
  </si>
  <si>
    <t>Андрей Денисов: Дата начала изменена на сент. 25, 2019</t>
  </si>
  <si>
    <t>Армирование Стен И Основания Форшахты В/О Е/1-И/1/10</t>
  </si>
  <si>
    <t>03_2019-Р-КЖ0-4[02] форшахта 2 Двор</t>
  </si>
  <si>
    <t>Стена в грунте 2 двор</t>
  </si>
  <si>
    <t>Yes: 1.1 Вертикальный и горизонтальный шаг арматуры соответствует проекту. Отклонение между рядами арматуры не более 10 мм (АДЕ) - 2019-12-21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</si>
  <si>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- 2019-12-21</t>
  </si>
  <si>
    <t>Yes: 1.3 Отклонение толщины защитного слоя бетона от проектной не более 15 мм и не менее 5 мм при толщине бетона более 300 мм (АДЕ) - 2019-12-21</t>
  </si>
  <si>
    <t>Yes: 1.4 Сварные соединения соответствуют проекту и требованиям ГОСТ 14098—2014 (АДЕ) - 2019-12-21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</si>
  <si>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(АДЕ) - 2019-12-21</t>
  </si>
  <si>
    <t>Yes: 2.1 Наличие записи в общем журнале работ (АДЕ) - 2019-12-21</t>
  </si>
  <si>
    <t>Yes: 3.1 Разрешается проведение последующих работ по устройству опалубки  или бетонированию конструкции (АДЕ) - 2019-12-21</t>
  </si>
  <si>
    <t>Андрей Денисов: Заголовок изменен на Армирование Стен И Основания Форшахты В/О</t>
  </si>
  <si>
    <t>Андрей Денисов: Заголовок изменен на Армирование Стен И Основания Форшахты В/О Е/1-И/1/10</t>
  </si>
  <si>
    <t>Устройство Траншеи Зах. 23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</si>
  <si>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- 2019-09-03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</si>
  <si>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- 2019-09-03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</si>
  <si>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- 2019-09-03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</si>
  <si>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- 2019-09-03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</si>
  <si>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- 2019-09-03</t>
  </si>
  <si>
    <t>Yes: 2.1. Произведена запись в общий журнал работ (п.15.5.5 СП 70.13330) (АДЕ) - 2019-09-03</t>
  </si>
  <si>
    <t>Yes: Нормативная документация: СП 45.13330.2012 Земляные сооружения, основания и фундаменты (АДЕ) - 2019-09-03</t>
  </si>
  <si>
    <t>Андрей Денисов: Заголовок изменен на Устройство Траншеи Зах. 23</t>
  </si>
  <si>
    <t>Армирование СВГ Захв 56</t>
  </si>
  <si>
    <t>Yes: 1.1. Армокаркасы. используемые при армировании. соответствуют РД и прошли входной контроль (АДЕ) - 2019-10-06</t>
  </si>
  <si>
    <t>Yes: 1.2. Документы о качестве арматурных каркасов предоставлены. (п.6.33 ГОСТ 10922-2012) (АДЕ) - 2019-10-06</t>
  </si>
  <si>
    <t>Yes: 1.3. Аттестация у исполнителей и руководителя сварочных работ подтверждена. (пп.3.23. 10.1.1. 10.1.3  СП 70.13330.2012) (АДЕ) - 2019-10-06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</si>
  <si>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- 2019-10-06</t>
  </si>
  <si>
    <t>N/A: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- 2019-10-06</t>
  </si>
  <si>
    <t>Yes: 2.1. Необходимые по проекту каркасы оборудованы инклинометрическими датчиками (арматурные каркасы с индексом "И") (АДЕ) - 2019-10-06</t>
  </si>
  <si>
    <t>Yes: 2.2. Закладные детали установлены в проектное положение. выверены. исполнительная схема составлена (АДЕ) - 2019-10-06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</si>
  <si>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- 2019-10-06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</si>
  <si>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- 2019-10-06</t>
  </si>
  <si>
    <t>N/A: 3.2. Оформлен акт освидетельствования скрытых работ на армирование. акт на монтаж ограничителей. (п.3.5 СП 70.13330.2012) (АДЕ) - 2019-10-06</t>
  </si>
  <si>
    <t>Yes: Нормативная документация: ГОСТ 10922-2012; СП 70.13330.2012 Несущие и ограждающие конструкции (АДЕ) - 2019-10-06</t>
  </si>
  <si>
    <t>Андрей Денисов: Заголовок изменен на Армирование СВГ Захв 56</t>
  </si>
  <si>
    <t>Андрей Денисов: Дата начала изменена на окт. 6, 2019</t>
  </si>
  <si>
    <t>Бетонирование СВГ Зах 56</t>
  </si>
  <si>
    <t>Андрей Денисов: Заголовок изменен на Бетонирование СВГ Зах 56</t>
  </si>
  <si>
    <t>Бетонирование СВГ Захв 2</t>
  </si>
  <si>
    <t>Yes: 1.1. Бетонирование производится бетоном, соответствующим проектным требованиям, прошедшим входной контроль (АДЕ) - 2019-10-08</t>
  </si>
  <si>
    <t>Yes: 1.2. Бетонирование захватки произведено непрерывно с двум бетонных труб в соответствии с технологичекими требованиями (АДЕ) - 2019-10-08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</si>
  <si>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- 2019-10-08</t>
  </si>
  <si>
    <t>N/A: 1.4. Демонтаж межсекционных ограничителей из захваток выполнен через 5-6 ч после окончания бетонирования (АДЕ) - 2019-10-08</t>
  </si>
  <si>
    <t>Yes: 1.5. Бетонирование выполнено до момента поднятия уровня чистой смеси до проектной отметки. (АДЕ) - 2019-10-08</t>
  </si>
  <si>
    <t>Yes: 1.6. Контрольные образцы бетонной смеси изготовлены в количестве не менее 6 шт. на партию бетона (АДЕ) - 2019-10-08</t>
  </si>
  <si>
    <t>Yes: 2.1. Произведены записи в общем журнале работ (Раздел 3, раздел 6) по бетонированию, указаны результаты операционного контроля. (АДЕ) - 2019-10-08</t>
  </si>
  <si>
    <t>N/A: 2.2. Оформлен акт освидетельствования скрытых работ на бетонирование захватки СВГ. (АДЕ) - 2019-10-08</t>
  </si>
  <si>
    <t>Yes: Нормативная документация: СП 45.13330.2012 Земляные сооружения, основания и фундаменты (АДЕ) - 2019-10-08</t>
  </si>
  <si>
    <t>Андрей Денисов: Заголовок изменен на Бетонирование СВГ Захв 2</t>
  </si>
  <si>
    <t>Устройство Траншеи СВГ 7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</si>
  <si>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- 2019-09-28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</si>
  <si>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- 2019-09-28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</si>
  <si>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- 2019-09-28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</si>
  <si>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- 2019-09-28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</si>
  <si>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- 2019-09-28</t>
  </si>
  <si>
    <t>Yes: 2.1. Произведена запись в общий журнал работ (п.15.5.5 СП 70.13330) (АДЕ) - 2019-09-28</t>
  </si>
  <si>
    <t>Yes: Нормативная документация: СП 45.13330.2012 Земляные сооружения, основания и фундаменты (АДЕ) - 2019-09-28</t>
  </si>
  <si>
    <t>Андрей Денисов: Заголовок изменен на Арматурный Каркас БО</t>
  </si>
  <si>
    <t>Андрей Денисов: Заголовок изменен на Устройство Траншеи СВГ 7</t>
  </si>
  <si>
    <t>Yes: 1.1 Вертикальный и горизонтальный шаг арматуры соответствует проекту. Отклонение между рядами арматуры не более 10 мм (АДЕ) - 2019-09-28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</si>
  <si>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- 2019-09-28</t>
  </si>
  <si>
    <t>Yes: 1.3 Отклонение толщины защитного слоя бетона от проектной не более 15 мм и не менее 5 мм при толщине бетона более 300 мм (АДЕ) - 2019-09-28</t>
  </si>
  <si>
    <t>Yes: 1.4 Сварные соединения соответствуют проекту и требованиям ГОСТ 14098—2014 (АДЕ) - 2019-09-28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</si>
  <si>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- 2019-09-28</t>
  </si>
  <si>
    <t>Yes: 2.1 Наличие записи в общем журнале работ (АДЕ) - 2019-09-28</t>
  </si>
  <si>
    <t>Yes: 3.1 Разрешается проведение последующих работ по устройству опалубки  или бетонированию конструкции (АДЕ) - 2019-09-28</t>
  </si>
  <si>
    <t>БЕТОНИРОВАНИЕ СВГ ЗАХВ 7</t>
  </si>
  <si>
    <t>Yes: 1.1. Бетонирование производится бетоном, соответствующим проектным требованиям, прошедшим входной контроль (АДЕ) - 2019-09-28</t>
  </si>
  <si>
    <t>Yes: 1.2. Бетонирование захватки произведено непрерывно с двум бетонных труб в соответствии с технологичекими требованиями (АДЕ) - 2019-09-28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</si>
  <si>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(АДЕ) - 2019-09-28</t>
  </si>
  <si>
    <t>Yes: 1.4. Демонтаж межсекционных ограничителей из захваток выполнен через 5-6 ч после окончания бетонирования (АДЕ) - 2019-09-28</t>
  </si>
  <si>
    <t>Yes: 1.5. Бетонирование выполнено до момента поднятия уровня чистой смеси до проектной отметки. (АДЕ) - 2019-09-28</t>
  </si>
  <si>
    <t>Yes: 1.6. Контрольные образцы бетонной смеси изготовлены в количестве не менее 6 шт. на партию бетона (АДЕ) - 2019-09-28</t>
  </si>
  <si>
    <t>Yes: 2.1. Произведены записи в общем журнале работ (Раздел 3, раздел 6) по бетонированию, указаны результаты операционного контроля. (АДЕ) - 2019-09-28</t>
  </si>
  <si>
    <t>N/A: 2.2. Оформлен акт освидетельствования скрытых работ на бетонирование захватки СВГ. (АДЕ) - 2019-09-28</t>
  </si>
  <si>
    <t>Андрей Денисов: Заголовок изменен на БЕТОНИРОВАНИЕ СВГ ЗАХВ 7</t>
  </si>
  <si>
    <t>Приемочный Контроль Устройства Обмазочной Гидроизоляции Стен И Плиты В/О 1-2/А-Г</t>
  </si>
  <si>
    <t>Not set: 2,1. Применен материал, успешно прошедший входной контроль и соответствует требованиям РД (АДЕ) - 2019-09-06</t>
  </si>
  <si>
    <t>Not set: 2,2. Нанесение гидроизоляции выполнено в соответствии с технологией производителя, технологической картой или ППР (СП 45.13330.2017 П.15.1) (АДЕ) - 2019-09-06</t>
  </si>
  <si>
    <t>Not set: 2,3. Толщина слоя соответствует требованиям РД (АДЕ) - 2019-09-06</t>
  </si>
  <si>
    <t>Not set: 2,4. На поверхности гидроизоляции отсутствует снег, наледь (СП 45.13330.2017 П.15.3) (АДЕ) - 2019-09-06</t>
  </si>
  <si>
    <t>Not set: 3,1. Наличие записей в общем журнале работ и журнале входного контроля поступаемых материалов/оборудования (РД 11-05-2007, СП 48.13330.2011 П.7.1.3) (АДЕ) - 2019-09-06</t>
  </si>
  <si>
    <t>Not set: 3,2. Наличие актов освидетельствования скрытых работ (АДЕ) - 2019-09-06</t>
  </si>
  <si>
    <t>Андрей Денисов: Заголовок изменен на Приемочный Контроль Устройства Обмазочной Гидроизоляции Стен И Плиты В/О 1-2/А-Г</t>
  </si>
  <si>
    <t>Устройство Под Свг Траншеи Зах. 24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</si>
  <si>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- 2019-09-06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</si>
  <si>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- 2019-09-06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</si>
  <si>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- 2019-09-06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</si>
  <si>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- 2019-09-06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</si>
  <si>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- 2019-09-06</t>
  </si>
  <si>
    <t>Yes: 2.1. Произведена запись в общий журнал работ (п.15.5.5 СП 70.13330) (АДЕ) - 2019-09-06</t>
  </si>
  <si>
    <t>Yes: Нормативная документация: СП 45.13330.2012 Земляные сооружения, основания и фундаменты (АДЕ) - 2019-09-06</t>
  </si>
  <si>
    <t>Андрей Денисов: Заголовок изменен на Устройство Под Свг Траншеи Зах. 24</t>
  </si>
  <si>
    <t>Устройство Траншеи СВГ захв 1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</si>
  <si>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- 2019-10-09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</si>
  <si>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- 2019-10-09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</si>
  <si>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- 2019-10-09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</si>
  <si>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- 2019-10-09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</si>
  <si>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- 2019-10-09</t>
  </si>
  <si>
    <t>Yes: 2.1. Произведена запись в общий журнал работ (п.15.5.5 СП 70.13330) (АДЕ) - 2019-10-09</t>
  </si>
  <si>
    <t>Yes: Нормативная документация: СП 45.13330.2012 Земляные сооружения, основания и фундаменты (АДЕ) - 2019-10-09</t>
  </si>
  <si>
    <t>Андрей Денисов: Заголовок изменен на Устройство Траншеи СВГ захв 1</t>
  </si>
  <si>
    <t>Устройство Траншеи СВГ Зах 56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</si>
  <si>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- 2019-10-06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</si>
  <si>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- 2019-10-06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</si>
  <si>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- 2019-10-06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</si>
  <si>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- 2019-10-06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</si>
  <si>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- 2019-10-06</t>
  </si>
  <si>
    <t>Yes: 2.1. Произведена запись в общий журнал работ (п.15.5.5 СП 70.13330) (АДЕ) - 2019-10-06</t>
  </si>
  <si>
    <t>Yes: Нормативная документация: СП 45.13330.2012 Земляные сооружения, основания и фундаменты (АДЕ) - 2019-10-06</t>
  </si>
  <si>
    <t>Андрей Денисов: Заголовок изменен на Устройство Траншеи СВГ Зах 56</t>
  </si>
  <si>
    <t>Армирование СВГ Захв 48</t>
  </si>
  <si>
    <t>Yes: 1.1. Армокаркасы. используемые при армировании. соответствуют РД и прошли входной контроль (АДЕ) - 2019-10-28</t>
  </si>
  <si>
    <t>Yes: 1.2. Документы о качестве арматурных каркасов предоставлены. (п.6.33 ГОСТ 10922-2012) (АДЕ) - 2019-10-28</t>
  </si>
  <si>
    <t>Yes: 1.3. Аттестация у исполнителей и руководителя сварочных работ подтверждена. (пп.3.23. 10.1.1. 10.1.3  СП 70.13330.2012) (АДЕ) - 2019-10-28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</si>
  <si>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- 2019-10-28</t>
  </si>
  <si>
    <t>N/A: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- 2019-10-28</t>
  </si>
  <si>
    <t>Yes: 2.1. Необходимые по проекту каркасы оборудованы инклинометрическими датчиками (арматурные каркасы с индексом "И") (АДЕ) - 2019-10-28</t>
  </si>
  <si>
    <t>Yes: 2.2. Закладные детали установлены в проектное положение. выверены. исполнительная схема составлена (АДЕ) - 2019-10-28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</si>
  <si>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- 2019-10-28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</si>
  <si>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- 2019-10-28</t>
  </si>
  <si>
    <t>Yes: 3.2. Оформлен акт освидетельствования скрытых работ на армирование. акт на монтаж ограничителей. (п.3.5 СП 70.13330.2012) (АДЕ) - 2019-10-28</t>
  </si>
  <si>
    <t>Yes: Нормативная документация: ГОСТ 10922-2012; СП 70.13330.2012 Несущие и ограждающие конструкции (АДЕ) - 2019-10-28</t>
  </si>
  <si>
    <t>Андрей Денисов: Заголовок изменен на Армирование Сан Захв 48</t>
  </si>
  <si>
    <t>Андрей Денисов: Дата начала изменена на окт. 28, 2019</t>
  </si>
  <si>
    <t>Андрей Денисов: Дата начала изменена на окт. 20, 2019</t>
  </si>
  <si>
    <t>Андрей Денисов: Дата окончания изменена на окт. 27, 2019</t>
  </si>
  <si>
    <t>Андрей Денисов: Заголовок изменен на Армирование СВГ Захв 48</t>
  </si>
  <si>
    <t>Устройство Траншеи СВГ Зах 48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</si>
  <si>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- 2019-10-27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</si>
  <si>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- 2019-10-27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</si>
  <si>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- 2019-10-27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</si>
  <si>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- 2019-10-27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</si>
  <si>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- 2019-10-27</t>
  </si>
  <si>
    <t>Yes: 2.1. Произведена запись в общий журнал работ (п.15.5.5 СП 70.13330) (АДЕ) - 2019-10-27</t>
  </si>
  <si>
    <t>Yes: Нормативная документация: СП 45.13330.2012 Земляные сооружения, основания и фундаменты (АДЕ) - 2019-10-27</t>
  </si>
  <si>
    <t>Андрей Денисов: Заголовок изменен на Устройство Траншеи СВГ Зах 48</t>
  </si>
  <si>
    <t>Устройство Траншеи СВГ Захв 2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</si>
  <si>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- 2019-10-08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</si>
  <si>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- 2019-10-08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</si>
  <si>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- 2019-10-08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</si>
  <si>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- 2019-10-08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</si>
  <si>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- 2019-10-08</t>
  </si>
  <si>
    <t>Yes: 2.1. Произведена запись в общий журнал работ (п.15.5.5 СП 70.13330) (АДЕ) - 2019-10-08</t>
  </si>
  <si>
    <t>Андрей Денисов: Заголовок изменен на Устройство Траншеи СВГ Захв 2</t>
  </si>
  <si>
    <t>Армирование Захв 2</t>
  </si>
  <si>
    <t>Yes: 1.1. Армокаркасы. используемые при армировании. соответствуют РД и прошли входной контроль (АДЕ) - 2019-10-08</t>
  </si>
  <si>
    <t>Yes: 1.2. Документы о качестве арматурных каркасов предоставлены. (п.6.33 ГОСТ 10922-2012) (АДЕ) - 2019-10-08</t>
  </si>
  <si>
    <t>Yes: 1.3. Аттестация у исполнителей и руководителя сварочных работ подтверждена. (пп.3.23. 10.1.1. 10.1.3  СП 70.13330.2012) (АДЕ) - 2019-10-08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</si>
  <si>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- 2019-10-08</t>
  </si>
  <si>
    <t>N/A: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- 2019-10-08</t>
  </si>
  <si>
    <t>Yes: 2.1. Необходимые по проекту каркасы оборудованы инклинометрическими датчиками (арматурные каркасы с индексом "И") (АДЕ) - 2019-10-08</t>
  </si>
  <si>
    <t>Yes: 2.2. Закладные детали установлены в проектное положение. выверены. исполнительная схема составлена (АДЕ) - 2019-10-08</t>
  </si>
  <si>
    <t>N/A: 2.3. Закладные детали крепятся к продольной арматуре каркаса двойной вязальной проволокой 0.8-1мм/ к фиксатору защитного слоя сваркой (АДЕ) - 2019-10-08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</si>
  <si>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- 2019-10-08</t>
  </si>
  <si>
    <t>N/A: 3.2. Оформлен акт освидетельствования скрытых работ на армирование. акт на монтаж ограничителей. (п.3.5 СП 70.13330.2012) (АДЕ) - 2019-10-08</t>
  </si>
  <si>
    <t>Yes: Нормативная документация: ГОСТ 10922-2012; СП 70.13330.2012 Несущие и ограждающие конструкции (АДЕ) - 2019-10-08</t>
  </si>
  <si>
    <t>Андрей Денисов: Заголовок изменен на Армирование Захв 2</t>
  </si>
  <si>
    <t>Yes: 1.1 Вертикальный и горизонтальный шаг арматуры соответствует проекту. Отклонение между рядами арматуры не более 10 мм (АДЕ) - 2019-10-08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</si>
  <si>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(АДЕ) - 2019-10-08</t>
  </si>
  <si>
    <t>Yes: 1.3 Отклонение толщины защитного слоя бетона от проектной не более 15 мм и не менее 5 мм при толщине бетона более 300 мм (АДЕ) - 2019-10-08</t>
  </si>
  <si>
    <t>Yes: 1.4 Сварные соединения соответствуют проекту и требованиям ГОСТ 14098—2014 (АДЕ) - 2019-10-08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</si>
  <si>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(АДЕ) - 2019-10-08</t>
  </si>
  <si>
    <t>N/A: 2.1 Наличие записи в общем журнале работ (АДЕ) - 2019-10-08</t>
  </si>
  <si>
    <t>Yes: 3.1 Разрешается проведение последующих работ по устройству опалубки  или бетонированию конструкции (АДЕ) - 2019-10-08</t>
  </si>
  <si>
    <t>Андрей Денисов: Дата начала изменена на окт. 8, 2019</t>
  </si>
  <si>
    <t>Устройство Траншеи СВГ захв 6</t>
  </si>
  <si>
    <t>Андрей Денисов: Заголовок изменен на Устройство Траншеи СВГ захв 6</t>
  </si>
  <si>
    <t>Армирование СВГ Захв 6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</si>
  <si>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- 2019-10-08</t>
  </si>
  <si>
    <t>Андрей Денисов: Заголовок изменен на Армирование СВГ Захв 6</t>
  </si>
  <si>
    <t>Yes: 2,1 Перед укладкой бетонной смеси опалубка и арматура очищается сжатым воздухом  (АДЕ) - 2019-10-08</t>
  </si>
  <si>
    <t>Yes: 2,2 Перед укладкой бетонной смеси поверхность опалубки, соприкасающаяся с бетоном, покрывается смазкой (АДЕ) - 2019-10-08</t>
  </si>
  <si>
    <t>Yes: 2,3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(АДЕ) - 2019-10-08</t>
  </si>
  <si>
    <t>Yes: 2,4 Толщина укладываемых слоев бетонной смеси при уплотнении смеси ручными глубинными вибраторами не более 1,25 длины рабочей части вибратора (АДЕ) - 2019-10-08</t>
  </si>
  <si>
    <t>Yes: 2,5 Верхний уровень уложенной бетонной смеси ниже верха щитов опалубки на 50-70 мм  (АДЕ) - 2019-10-08</t>
  </si>
  <si>
    <t>Yes: 2,6 Рабочие швы выполняются в соответствии с проектными требованиями (АДЕ) - 2019-10-08</t>
  </si>
  <si>
    <t>Yes: 2,7 Производится отбор проб контрольных образцов бетона для определения фактических показателей качества бетона конструкций  (АДЕ) - 2019-10-08</t>
  </si>
  <si>
    <t>Yes: 3,1 Работы выполняются на основе утвержденного ППР (АДЕ) - 2019-10-08</t>
  </si>
  <si>
    <t>Yes: 3,2 Наличие записи в журнале бетонных работ (АДЕ) - 2019-10-08</t>
  </si>
  <si>
    <t>Армирование СВГ Захв 1</t>
  </si>
  <si>
    <t>Yes: 1.1. Армокаркасы. используемые при армировании. соответствуют РД и прошли входной контроль (АДЕ) - 2019-10-09</t>
  </si>
  <si>
    <t>Yes: 1.2. Документы о качестве арматурных каркасов предоставлены. (п.6.33 ГОСТ 10922-2012) (АДЕ) - 2019-10-09</t>
  </si>
  <si>
    <t>Yes: 1.3. Аттестация у исполнителей и руководителя сварочных работ подтверждена. (пп.3.23. 10.1.1. 10.1.3  СП 70.13330.2012) (АДЕ) - 2019-10-09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</si>
  <si>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- 2019-10-09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</si>
  <si>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- 2019-10-09</t>
  </si>
  <si>
    <t>Yes: 2.1. Необходимые по проекту каркасы оборудованы инклинометрическими датчиками (арматурные каркасы с индексом "И") (АДЕ) - 2019-10-09</t>
  </si>
  <si>
    <t>Yes: 2.2. Закладные детали установлены в проектное положение. выверены. исполнительная схема составлена (АДЕ) - 2019-10-09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</si>
  <si>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- 2019-10-09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</si>
  <si>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- 2019-10-09</t>
  </si>
  <si>
    <t>Yes: 3.2. Оформлен акт освидетельствования скрытых работ на армирование. акт на монтаж ограничителей. (п.3.5 СП 70.13330.2012) (АДЕ) - 2019-10-09</t>
  </si>
  <si>
    <t>Yes: Нормативная документация: ГОСТ 10922-2012; СП 70.13330.2012 Несущие и ограждающие конструкции (АДЕ) - 2019-10-09</t>
  </si>
  <si>
    <t>Андрей Денисов: Заголовок изменен на Армирование СВГ Захв 1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</si>
  <si>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- 2019-10-11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</si>
  <si>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- 2019-10-11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</si>
  <si>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- 2019-10-11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</si>
  <si>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- 2019-10-11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</si>
  <si>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- 2019-10-11</t>
  </si>
  <si>
    <t>Yes: 2.1. Произведена запись в общий журнал работ (п.15.5.5 СП 70.13330) (АДЕ) - 2019-10-11</t>
  </si>
  <si>
    <t>Yes: 1.1. Армокаркасы. используемые при армировании. соответствуют РД и прошли входной контроль (АДЕ) - 2019-10-11</t>
  </si>
  <si>
    <t>Yes: 1.2. Документы о качестве арматурных каркасов предоставлены. (п.6.33 ГОСТ 10922-2012) (АДЕ) - 2019-10-11</t>
  </si>
  <si>
    <t>Yes: 1.3. Аттестация у исполнителей и руководителя сварочных работ подтверждена. (пп.3.23. 10.1.1. 10.1.3  СП 70.13330.2012) (АДЕ) - 2019-10-11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</si>
  <si>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(АДЕ) - 2019-10-11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</si>
  <si>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(АДЕ) - 2019-10-11</t>
  </si>
  <si>
    <t>Yes: 2.1. Необходимые по проекту каркасы оборудованы инклинометрическими датчиками (арматурные каркасы с индексом "И") (АДЕ) - 2019-10-11</t>
  </si>
  <si>
    <t>Yes: 2.2. Закладные детали установлены в проектное положение. выверены. исполнительная схема составлена (АДЕ) - 2019-10-11</t>
  </si>
  <si>
    <t>Yes: 2.3. Закладные детали крепятся к продольной арматуре каркаса двойной вязальной проволокой 0.8-1мм/ к фиксатору защитного слоя сваркой (АДЕ) - 2019-10-11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</si>
  <si>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(АДЕ) - 2019-10-11</t>
  </si>
  <si>
    <t>N/A: 3.2. Оформлен акт освидетельствования скрытых работ на армирование. акт на монтаж ограничителей. (п.3.5 СП 70.13330.2012) (АДЕ) - 2019-10-11</t>
  </si>
  <si>
    <t>Yes: Нормативная документация: ГОСТ 10922-2012; СП 70.13330.2012 Несущие и ограждающие конструкции (АДЕ) - 2019-10-11</t>
  </si>
  <si>
    <t>Устройство Траншеи Свг Захв 51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</si>
  <si>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- 2019-10-31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</si>
  <si>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- 2019-10-31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</si>
  <si>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- 2019-10-31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</si>
  <si>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- 2019-10-31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</si>
  <si>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- 2019-10-31</t>
  </si>
  <si>
    <t>Yes: 2.1. Произведена запись в общий журнал работ (п.15.5.5 СП 70.13330) (АДЕ) - 2019-10-31</t>
  </si>
  <si>
    <t>Yes: Нормативная документация: СП 45.13330.2012 Земляные сооружения, основания и фундаменты (АДЕ) - 2019-10-31</t>
  </si>
  <si>
    <t>Андрей Денисов: Заголовок изменен на Устройство Траншеи Свг Захв 51</t>
  </si>
  <si>
    <t>Андрей Денисов: Дата начала изменена на окт. 31, 2019</t>
  </si>
  <si>
    <t>Устройство Траншеи СВГ Захв 62</t>
  </si>
  <si>
    <t>Yes: 1.1. Наличие РД и ППР. допущенных в производство работ. Работы ведутся в соответствии с ППР и Технологической картой. (п.15.5.5 СП 50-102-2003) (АДЕ) - 2019-11-17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</si>
  <si>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(АДЕ) - 2019-11-17</t>
  </si>
  <si>
    <t>Yes: 1.3. При разработке грунта глинистый раствор в выработке поддерживается на уровне не ниже 50 см от верха форшахты. (п. 14.1.19  СП 45.13330.2012) (АДЕ) - 2019-11-17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</si>
  <si>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(АДЕ) - 2019-11-17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</si>
  <si>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(АДЕ) - 2019-11-17</t>
  </si>
  <si>
    <t>Yes: 2.1. Произведена запись в общий журнал работ (п.15.5.5 СП 70.13330) (АДЕ) - 2019-11-17</t>
  </si>
  <si>
    <t>Yes: Нормативная документация: СП 45.13330.2012 Земляные сооружения, основания и фундаменты (АДЕ) - 2019-11-17</t>
  </si>
  <si>
    <t>Андрей Денисов: Заголовок изменен на Устройство Траншеи СВГ Захв 62</t>
  </si>
  <si>
    <t>Андрей Денисов: Дата начала изменена на нояб. 17, 2019</t>
  </si>
  <si>
    <t>СВГ_Армирование Боковых Бетонных Ограничителей</t>
  </si>
  <si>
    <t>Yes: 1.1 Вертикальный и горизонтальный шаг арматуры соответствует проекту. Отклонение между рядами арматуры не более 10 мм (ВЧУ) - 2019-12-17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</si>
  <si>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- 2019-12-17</t>
  </si>
  <si>
    <t>Yes: 1.3 Отклонение толщины защитного слоя бетона от проектной не более 15 мм и не менее 5 мм при толщине бетона более 300 мм (ВЧУ) - 2019-12-17</t>
  </si>
  <si>
    <t>Yes: 1.4 Сварные соединения соответствуют проекту и требованиям ГОСТ 14098—2014 (ВЧУ) - 2019-12-17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</si>
  <si>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- 2019-12-17</t>
  </si>
  <si>
    <t>Yes: 2.1 Наличие записи в общем журнале работ (ВЧУ) - 2019-12-17</t>
  </si>
  <si>
    <t>Yes: 3.1 Разрешается проведение последующих работ по устройству опалубки  или бетонированию конструкции (ВЧУ) - 2019-12-17</t>
  </si>
  <si>
    <t>Владимир Чугунов: Заголовок изменен на СВГ_Армирование Боковых Бетонных Ограничителей</t>
  </si>
  <si>
    <t>Траншея . Зах.26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</si>
  <si>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- 2019-09-11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</si>
  <si>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- 2019-09-11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</si>
  <si>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- 2019-09-11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</si>
  <si>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- 2019-09-11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</si>
  <si>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- 2019-09-11</t>
  </si>
  <si>
    <t>Yes: 2.1. Произведена запись в общий журнал работ (п.15.5.5 СП 70.13330) (ВЧУ) - 2019-09-11</t>
  </si>
  <si>
    <t>Yes: Нормативная документация: СП 45.13330.2012 Земляные сооружения, основания и фундаменты (ВЧУ) - 2019-09-11</t>
  </si>
  <si>
    <t>Владимир Чугунов: Заголовок изменен на Траншея . Зах.26</t>
  </si>
  <si>
    <t>Приёмочный Контроль Траншеи Для Переноса Линий Связи</t>
  </si>
  <si>
    <t>п_1.2_устройство_котлованов,_траншей,_выемок</t>
  </si>
  <si>
    <t>Yes: 1.1 Минимальная ширина выемки не менее ширины конструкции с запасом по 0,2 м с каждой стороны (ВЧУ) - 2019-03-29</t>
  </si>
  <si>
    <t>Yes: 1.2 Отклонение продольного уклона дна траншеи, выемки от проектного не превышает 0,0005  (ВЧУ) - 2019-03-29</t>
  </si>
  <si>
    <t>Yes: 1.3 Отклонение отметок дна выемок в местах устройства фундаментов при окончательной разработке не превышает 5 см  (ВЧУ) - 2019-03-29</t>
  </si>
  <si>
    <t>Yes: 1.4 Вид и характеристики вскрытого грунта естественного основания под фундаменты соответствуют проектным требованиям  (ВЧУ) - 2019-03-29</t>
  </si>
  <si>
    <t>Yes: 1.5 Отсутствует размыв, размягчение, разрыхление или промерзание верхнего слоя грунта основания толщиной более 3 см (ВЧУ) - 2019-03-29</t>
  </si>
  <si>
    <t>Yes: 1.6 Размеры выемки соответствуют проектным требованиям (ВЧУ) - 2019-03-29</t>
  </si>
  <si>
    <t>Yes: 1.7 Крутизна откосов соответствует нормативным требованиям, выполнено укрепление откосов в соответствии с проектом (ВЧУ) - 2019-03-29</t>
  </si>
  <si>
    <t>Yes: 2.1 Наличие записи в журнале производства работ (ВЧУ) - 2019-03-29</t>
  </si>
  <si>
    <t>N/A: 2.2 Наличие протоколов строительной лаборатории, подтверждающих, что вид и характеристики грунта основания соответствуют проектным  (ВЧУ) - 2019-03-29</t>
  </si>
  <si>
    <t>Yes: 2.3 Наличие акта освидетельствования скрытых работ, подтверждающий приемку котлована (траншеи) для производства последующих работ (ВЧУ) - 2019-03-29</t>
  </si>
  <si>
    <t>No: 2.4 Наличие исполнительной схемы (ВЧУ) - 2019-03-29</t>
  </si>
  <si>
    <t>Владимир Чугунов: Заголовок изменен на Приёмочный Контроль Траншеи Для Переноса Линий Связи</t>
  </si>
  <si>
    <t>Владимир Чугунов: Дата начала изменена на мар. 28, 2019</t>
  </si>
  <si>
    <t>Владимир Чугунов: Дата начала изменена на мар. 29, 2019</t>
  </si>
  <si>
    <t>Усиление Фундаментов Цементацией В/О 18-27/А-У</t>
  </si>
  <si>
    <t>Yes: 1. При производстве работ использовались материалы, прошедший входной контроль (ВЧУ) - 2019-06-13</t>
  </si>
  <si>
    <t>Yes: 2. Количество свай и их фактическое положение соответствует проекту (ВЧУ) - 2019-06-13</t>
  </si>
  <si>
    <t>Yes: 3. Качество тампоновки скважины соответсвует проекту (ВЧУ) - 2019-06-13</t>
  </si>
  <si>
    <t>N/A: 4. Наличие полного комплекта исполнительной документации, включая акты освидетельствования скрытых работ (ВЧУ) - 2019-06-13</t>
  </si>
  <si>
    <t>Владимир Чугунов: Заголовок изменен на Усиление Фундаментов Цементацией В/О 18-27/А-У</t>
  </si>
  <si>
    <t>Владимир Чугунов: Дата начала изменена на июн. 13, 2019</t>
  </si>
  <si>
    <t>Стыковка БО Зах.26</t>
  </si>
  <si>
    <t>Владимир Чугунов: Заголовок изменен на Монтаж БО Зах.26</t>
  </si>
  <si>
    <t>Владимир Чугунов: Заголовок изменен на Стыковка БО Зах.26</t>
  </si>
  <si>
    <t>Усиление Тела Фундаментов Цементацией В/О 16-19/Д-М</t>
  </si>
  <si>
    <t>Yes: 1. При производстве работ использовались материалы, прошедший входной контроль (ВЧУ) - 2019-06-15</t>
  </si>
  <si>
    <t>Yes: 2. Количество свай и их фактическое положение соответствует проекту (ВЧУ) - 2019-06-15</t>
  </si>
  <si>
    <t>N/A: 3. Качество тампоновки скважины соответсвует проекту (ВЧУ) - 2019-06-15</t>
  </si>
  <si>
    <t>N/A: 4. Наличие полного комплекта исполнительной документации, включая акты освидетельствования скрытых работ (ВЧУ) - 2019-06-15</t>
  </si>
  <si>
    <t>Владимир Чугунов: Заголовок изменен на Усиление Тела Фундаментов Цементацией В/О 16-19/Д-М</t>
  </si>
  <si>
    <t>Владимир Чугунов: Дата начала изменена на июн. 15, 2019</t>
  </si>
  <si>
    <t>Стыковка Арматурного Каркаса СВГ Зах.46</t>
  </si>
  <si>
    <t>Yes: 1.1 Вертикальный и горизонтальный шаг арматуры соответствует проекту. Отклонение между рядами арматуры не более 10 мм (ВЧУ) - 2019-07-12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</si>
  <si>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- 2019-07-12</t>
  </si>
  <si>
    <t>Yes: 1.3 Отклонение толщины защитного слоя бетона от проектной не более 15 мм и не менее 5 мм при толщине бетона более 300 мм (ВЧУ) - 2019-07-12</t>
  </si>
  <si>
    <t>Yes: 1.4 Сварные соединения соответствуют проекту и требованиям ГОСТ 14098—2014 (ВЧУ) - 2019-07-12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</si>
  <si>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- 2019-07-12</t>
  </si>
  <si>
    <t>Yes: 2.1 Наличие записи в общем журнале работ (ВЧУ) - 2019-07-12</t>
  </si>
  <si>
    <t>Yes: 3.1 Разрешается проведение последующих работ по устройству опалубки  или бетонированию конструкции (ВЧУ) - 2019-07-12</t>
  </si>
  <si>
    <t>Владимир Чугунов: Заголовок изменен на Стыковка Арматурного Каркаса СВГ Зах.46</t>
  </si>
  <si>
    <t>Стыковка  Бетонного Ограничителя Зах.46</t>
  </si>
  <si>
    <t>Владимир Чугунов: Заголовок изменен на Стыковка  Бетонного Ограничителя Зах.46</t>
  </si>
  <si>
    <t>Арматурный Каркас Зах.26</t>
  </si>
  <si>
    <t>Yes: 1.1. Армокаркасы. используемые при армировании. соответствуют РД и прошли входной контроль (ВЧУ) - 2019-09-12</t>
  </si>
  <si>
    <t>Yes: 1.2. Документы о качестве арматурных каркасов предоставлены. (п.6.33 ГОСТ 10922-2012) (ВЧУ) - 2019-09-12</t>
  </si>
  <si>
    <t>Yes: 1.3. Аттестация у исполнителей и руководителя сварочных работ подтверждена. (пп.3.23. 10.1.1. 10.1.3  СП 70.13330.2012) (ВЧУ) - 2019-09-12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</si>
  <si>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- 2019-09-12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</si>
  <si>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- 2019-09-12</t>
  </si>
  <si>
    <t>Yes: 2.1. Необходимые по проекту каркасы оборудованы инклинометрическими датчиками (арматурные каркасы с индексом "И") (ВЧУ) - 2019-09-12</t>
  </si>
  <si>
    <t>Yes: 2.2. Закладные детали установлены в проектное положение. выверены. исполнительная схема составлена (ВЧУ) - 2019-09-12</t>
  </si>
  <si>
    <t>N/A: 2.3. Закладные детали крепятся к продольной арматуре каркаса двойной вязальной проволокой 0.8-1мм/ к фиксатору защитного слоя сваркой (ВЧУ) - 2019-09-12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</si>
  <si>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- 2019-09-12</t>
  </si>
  <si>
    <t>Yes: 3.2. Оформлен акт освидетельствования скрытых работ на армирование. акт на монтаж ограничителей. (п.3.5 СП 70.13330.2012) (ВЧУ) - 2019-09-12</t>
  </si>
  <si>
    <t>Yes: Нормативная документация: ГОСТ 10922-2012; СП 70.13330.2012 Несущие и ограждающие конструкции (ВЧУ) - 2019-09-12</t>
  </si>
  <si>
    <t>Владимир Чугунов: Заголовок изменен на Арматурный Каркас Зах.26</t>
  </si>
  <si>
    <t>Усиление Фундаментов  Цементацией В/О 8/1-12/1-У,  18/1-20/1/У, 23/2-25/С-У,</t>
  </si>
  <si>
    <t>Yes: 1. При производстве работ использовались материалы, прошедший входной контроль (ВЧУ) - 2019-07-13</t>
  </si>
  <si>
    <t>Yes: 2. Количество скважин и их фактическое положение соответствует проекту (ВЧУ) - 2019-07-13</t>
  </si>
  <si>
    <t>Yes: 3. Качество тампоновки скважины соответсвует проекту (ВЧУ) - 2019-07-13</t>
  </si>
  <si>
    <t>N/A: 4. Наличие полного комплекта исполнительной документации, включая акты освидетельствования скрытых работ (ВЧУ) - 2019-07-13</t>
  </si>
  <si>
    <t>Владимир Чугунов: Заголовок изменен на Усиление Фундаментов  Цементацией В/О 8/1-12/1-У,  18/1-20/1/У, 23/2-25/С-У,</t>
  </si>
  <si>
    <t>Монтаж Бетонного Ограничителя Зах.44</t>
  </si>
  <si>
    <t>Владимир Чугунов: Заголовок изменен на Монтаж Бетонного Ограничителя Зах.44</t>
  </si>
  <si>
    <t>Цементация Тела Фундамента В/О 22-27/М-П</t>
  </si>
  <si>
    <t>Yes: 1. При производстве работ использовались материалы, прошедший входной контроль (ВЧУ) - 2019-04-20</t>
  </si>
  <si>
    <t>Yes: 2. Количество свай и их фактическое положение соответствует проекту (ВЧУ) - 2019-04-20</t>
  </si>
  <si>
    <t>N/A: 3. Качество тампоновки скважины соответсвует проекту (ВЧУ) - 2019-04-20</t>
  </si>
  <si>
    <t>N/A: 4. Наличие полного комплекта исполнительной документации, включая акты освидетельствования скрытых работ (ВЧУ) - 2019-04-20</t>
  </si>
  <si>
    <t>Владимир Чугунов: Заголовок изменен на Цементация Тела Фундамента В/О 22-27/М-П</t>
  </si>
  <si>
    <t>Владимир Чугунов: Дата окончания изменена на апр. 20, 2019</t>
  </si>
  <si>
    <t>Траншея Зах.39</t>
  </si>
  <si>
    <t>Yes: 1.1. Армокаркасы. используемые при армировании. соответствуют РД и прошли входной контроль (ВЧУ) - 2019-08-13</t>
  </si>
  <si>
    <t>Yes: 1.2. Документы о качестве арматурных каркасов предоставлены. (п.6.33 ГОСТ 10922-2012) (ВЧУ) - 2019-08-13</t>
  </si>
  <si>
    <t>Yes: 1.3. Аттестация у исполнителей и руководителя сварочных работ подтверждена. (пп.3.23. 10.1.1. 10.1.3  СП 70.13330.2012) (ВЧУ) - 2019-08-13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</si>
  <si>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- 2019-08-13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</si>
  <si>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- 2019-08-13</t>
  </si>
  <si>
    <t>Yes: 2.1. Необходимые по проекту каркасы оборудованы инклинометрическими датчиками (арматурные каркасы с индексом "И") (ВЧУ) - 2019-08-13</t>
  </si>
  <si>
    <t>Yes: 2.2. Закладные детали установлены в проектное положение. выверены. исполнительная схема составлена (ВЧУ) - 2019-08-13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</si>
  <si>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- 2019-08-13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</si>
  <si>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- 2019-08-13</t>
  </si>
  <si>
    <t>Yes: 3.2. Оформлен акт освидетельствования скрытых работ на армирование. акт на монтаж ограничителей. (п.3.5 СП 70.13330.2012) (ВЧУ) - 2019-08-13</t>
  </si>
  <si>
    <t>Yes: Нормативная документация: ГОСТ 10922-2012; СП 70.13330.2012 Несущие и ограждающие конструкции (ВЧУ) - 2019-08-13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</si>
  <si>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- 2019-08-13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</si>
  <si>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- 2019-08-13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</si>
  <si>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- 2019-08-13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</si>
  <si>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- 2019-08-13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</si>
  <si>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- 2019-08-13</t>
  </si>
  <si>
    <t>Yes: 2.1. Произведена запись в общий журнал работ (п.15.5.5 СП 70.13330) (ВЧУ) - 2019-08-13</t>
  </si>
  <si>
    <t>Yes: Нормативная документация: СП 45.13330.2012 Земляные сооружения, основания и фундаменты (ВЧУ) - 2019-08-13</t>
  </si>
  <si>
    <t>Владимир Чугунов: Заголовок изменен на Траншея Зах.39</t>
  </si>
  <si>
    <t>Владимир Чугунов: Дата начала изменена на авг. 13, 2019</t>
  </si>
  <si>
    <t>Усиление Тела Фундамента Цементацией В/О 23-27/К-Р</t>
  </si>
  <si>
    <t>Yes: 1. При производстве работ использовались материалы, прошедший входной контроль (ВЧУ) - 2019-04-29</t>
  </si>
  <si>
    <t>Yes: 2. Количество свай и их фактическое положение соответствует проекту (ВЧУ) - 2019-04-29</t>
  </si>
  <si>
    <t>N/A: 3. Качество тампоновки скважины соответсвует проекту (ВЧУ) - 2019-04-29</t>
  </si>
  <si>
    <t>N/A: 4. Наличие полного комплекта исполнительной документации, включая акты освидетельствования скрытых работ (РСП) - 2019-04-29</t>
  </si>
  <si>
    <t>Владимир Чугунов: Заголовок изменен на Усиление Тела Фундамента Цементацией В/О 23-27/К-Р</t>
  </si>
  <si>
    <t>Усиление Тела Фундамента Цементацией В/О 19-19/2/К-П</t>
  </si>
  <si>
    <t>N/A: 4. Наличие полного комплекта исполнительной документации, включая акты освидетельствования скрытых работ (ВЧУ) - 2019-04-29</t>
  </si>
  <si>
    <t>Владимир Чугунов: Заголовок изменен на Усиление Тела Фундамента Цементацией В/О 19-19/2/К-П</t>
  </si>
  <si>
    <t>Усиление Тела Фундамента Цементацией В/О 23-27/А-И</t>
  </si>
  <si>
    <t>Владимир Чугунов: Заголовок изменен на Усиление Тела Фундамента Цементацией В/О 23-27/А-И</t>
  </si>
  <si>
    <t>Арматурный Каркас Зах.39</t>
  </si>
  <si>
    <t>Yes: 1.1. Армокаркасы. используемые при армировании. соответствуют РД и прошли входной контроль (ВЧУ) - 2019-08-14</t>
  </si>
  <si>
    <t>Yes: 1.2. Документы о качестве арматурных каркасов предоставлены. (п.6.33 ГОСТ 10922-2012) (ВЧУ) - 2019-08-14</t>
  </si>
  <si>
    <t>Yes: 1.3. Аттестация у исполнителей и руководителя сварочных работ подтверждена. (пп.3.23. 10.1.1. 10.1.3  СП 70.13330.2012) (ВЧУ) - 2019-08-14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</si>
  <si>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- 2019-08-14</t>
  </si>
  <si>
    <t>N/A: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- 2019-08-14</t>
  </si>
  <si>
    <t>Yes: 2.1. Необходимые по проекту каркасы оборудованы инклинометрическими датчиками (арматурные каркасы с индексом "И") (ВЧУ) - 2019-08-14</t>
  </si>
  <si>
    <t>Yes: 2.2. Закладные детали установлены в проектное положение. выверены. исполнительная схема составлена (ВЧУ) - 2019-08-14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</si>
  <si>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- 2019-08-14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</si>
  <si>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- 2019-08-14</t>
  </si>
  <si>
    <t>Yes: 3.2. Оформлен акт освидетельствования скрытых работ на армирование. акт на монтаж ограничителей. (п.3.5 СП 70.13330.2012) (ВЧУ) - 2019-08-14</t>
  </si>
  <si>
    <t>Yes: Нормативная документация: ГОСТ 10922-2012; СП 70.13330.2012 Несущие и ограждающие конструкции (ВЧУ) - 2019-08-14</t>
  </si>
  <si>
    <t>Владимир Чугунов: Заголовок изменен на Арматурный Каркас Зах.39</t>
  </si>
  <si>
    <t>Бетонирование Зах.39</t>
  </si>
  <si>
    <t>Yes: 1.1. Бетонирование производится бетоном, соответствующим проектным требованиям, прошедшим входной контроль (ВЧУ) - 2019-08-14</t>
  </si>
  <si>
    <t>Yes: 1.2. Бетонирование захватки произведено непрерывно с двум бетонных труб в соответствии с технологичекими требованиями (ВЧУ) - 2019-08-14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</si>
  <si>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(ВЧУ) - 2019-08-14</t>
  </si>
  <si>
    <t>N/A: 1.4. Демонтаж межсекционных ограничителей из захваток выполнен через 5-6 ч после окончания бетонирования (ВЧУ) - 2019-08-14</t>
  </si>
  <si>
    <t>Yes: 1.5. Бетонирование выполнено до момента поднятия уровня чистой смеси до проектной отметки. (ВЧУ) - 2019-08-14</t>
  </si>
  <si>
    <t>Yes: 1.6. Контрольные образцы бетонной смеси изготовлены в количестве не менее 6 шт. на партию бетона (ВЧУ) - 2019-08-14</t>
  </si>
  <si>
    <t>Yes: 2.1. Произведены записи в общем журнале работ (Раздел 3, раздел 6) по бетонированию, указаны результаты операционного контроля. (ВЧУ) - 2019-08-14</t>
  </si>
  <si>
    <t>Yes: 2.2. Оформлен акт освидетельствования скрытых работ на бетонирование захватки СВГ. (ВЧУ) - 2019-08-14</t>
  </si>
  <si>
    <t>Yes: Нормативная документация: СП 45.13330.2012 Земляные сооружения, основания и фундаменты (ВЧУ) - 2019-08-14</t>
  </si>
  <si>
    <t>Владимир Чугунов: Заголовок изменен на Бетонирование Зах.39</t>
  </si>
  <si>
    <t>Усиление Фундамента Цементацией В/О 13/3/С-У</t>
  </si>
  <si>
    <t>Владимир Чугунов: Заголовок изменен на Усиление Фундамента Цементацией В/О 13/3/С-У</t>
  </si>
  <si>
    <t>Усиление Тела Фундаментов Цементацией В/О 36-27/К-Л</t>
  </si>
  <si>
    <t>Владимир Чугунов: Заголовок изменен на Усиление Тела Фундаментов Цементацией В/О 36-27/К-Л</t>
  </si>
  <si>
    <t>Приёмка Бетонных Ограничителей</t>
  </si>
  <si>
    <t>п_2.3_бетонирование_фундамента</t>
  </si>
  <si>
    <t>Yes: 2,1 Отклонение линий плоскостей пересечения от вертикали или проектного наклона на всю высоту не более 20 мм (ВЧУ) - 2019-06-29</t>
  </si>
  <si>
    <t>Yes: 2,2 Отклонение горизонтальных плоскостей на всю длину выверяемого участка не более 20 мм (ВЧУ) - 2019-06-29</t>
  </si>
  <si>
    <t>Yes: 2,3 Местные неровности поверхности бетона при проверке двухметровой рейкой не более 5 мм (ВЧУ) - 2019-06-29</t>
  </si>
  <si>
    <t>Yes: 2,4 Отклонение отметок поверхностей и закладных изделий, служащих опорами для металлических или сборных железобетонных колонн и других сборных элементов не более 5 мм (ВЧУ) - 2019-06-29</t>
  </si>
  <si>
    <t>Yes: 2,5 Размер поперечного сечения - +6 мм, -3 мм (ВЧУ) - 2019-06-29</t>
  </si>
  <si>
    <t>Yes: 2,6 Минимальная прочность бетона при распалубке фундамента соответствует проектным требованиям (ВЧУ) - 2019-06-29</t>
  </si>
  <si>
    <t>N/A: 3,1 Наличие исполнительной геодезической схемы (ВЧУ) - 2019-06-29</t>
  </si>
  <si>
    <t>No: 3,2 Наличие акта освидетельствования ответственных конструкций (ВЧУ) - 2019-06-29</t>
  </si>
  <si>
    <t>No: 3,3 Наличие положительного заключения строительной лаборатории (качество бетона по прочности, морозостойкости, водонепроницаемости) (ВЧУ) - 2019-06-29</t>
  </si>
  <si>
    <t>Yes: 3,4 Наличие записи в журнале бетонных работ (ВЧУ) - 2019-06-29</t>
  </si>
  <si>
    <t>Yes: 3,5 Наличие записи в журнале производства работ (ВЧУ) - 2019-06-29</t>
  </si>
  <si>
    <t>Владимир Чугунов: Заголовок изменен на Приёмка Бетонных Ограничителей</t>
  </si>
  <si>
    <t>Арматурный Каркас Зах.28</t>
  </si>
  <si>
    <t>Yes: 1.1. Армокаркасы. используемые при армировании. соответствуют РД и прошли входной контроль (ВЧУ) - 2019-09-16</t>
  </si>
  <si>
    <t>Yes: 1.2. Документы о качестве арматурных каркасов предоставлены. (п.6.33 ГОСТ 10922-2012) (ВЧУ) - 2019-09-16</t>
  </si>
  <si>
    <t>Yes: 1.3. Аттестация у исполнителей и руководителя сварочных работ подтверждена. (пп.3.23. 10.1.1. 10.1.3  СП 70.13330.2012) (ВЧУ) - 2019-09-16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</si>
  <si>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- 2019-09-16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</si>
  <si>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- 2019-09-16</t>
  </si>
  <si>
    <t>Yes: 2.1. Необходимые по проекту каркасы оборудованы инклинометрическими датчиками (арматурные каркасы с индексом "И") (ВЧУ) - 2019-09-16</t>
  </si>
  <si>
    <t>Yes: 2.2. Закладные детали установлены в проектное положение. выверены. исполнительная схема составлена (ВЧУ) - 2019-09-16</t>
  </si>
  <si>
    <t>N/A: 2.3. Закладные детали крепятся к продольной арматуре каркаса двойной вязальной проволокой 0.8-1мм/ к фиксатору защитного слоя сваркой (ВЧУ) - 2019-09-16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</si>
  <si>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- 2019-09-16</t>
  </si>
  <si>
    <t>Yes: 3.2. Оформлен акт освидетельствования скрытых работ на армирование. акт на монтаж ограничителей. (п.3.5 СП 70.13330.2012) (ВЧУ) - 2019-09-16</t>
  </si>
  <si>
    <t>Yes: Нормативная документация: ГОСТ 10922-2012; СП 70.13330.2012 Несущие и ограждающие конструкции (ВЧУ) - 2019-09-16</t>
  </si>
  <si>
    <t>Владимир Чугунов: Заголовок изменен на Арматурный Каркас Зах.28</t>
  </si>
  <si>
    <t>Контроль Глубины Траншеи Зах.36</t>
  </si>
  <si>
    <t>Владимир Чугунов: Заголовок изменен на Контроль Траншеи Зах.36</t>
  </si>
  <si>
    <t>Владимир Чугунов: Заголовок изменен на Контроль Глубины Траншеи Зах.36</t>
  </si>
  <si>
    <t>Арматурный Каркас Зах.31</t>
  </si>
  <si>
    <t>Yes: 1.1. Армокаркасы. используемые при армировании. соответствуют РД и прошли входной контроль (ВЧУ) - 2019-08-18</t>
  </si>
  <si>
    <t>Yes: 1.2. Документы о качестве арматурных каркасов предоставлены. (п.6.33 ГОСТ 10922-2012) (ВЧУ) - 2019-08-18</t>
  </si>
  <si>
    <t>Yes: 1.3. Аттестация у исполнителей и руководителя сварочных работ подтверждена. (пп.3.23. 10.1.1. 10.1.3  СП 70.13330.2012) (ВЧУ) - 2019-08-18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</si>
  <si>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- 2019-08-18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</si>
  <si>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- 2019-08-18</t>
  </si>
  <si>
    <t>Yes: 2.1. Необходимые по проекту каркасы оборудованы инклинометрическими датчиками (арматурные каркасы с индексом "И") (ВЧУ) - 2019-08-18</t>
  </si>
  <si>
    <t>Yes: 2.2. Закладные детали установлены в проектное положение. выверены. исполнительная схема составлена (ВЧУ) - 2019-08-18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</si>
  <si>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- 2019-08-18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</si>
  <si>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- 2019-08-18</t>
  </si>
  <si>
    <t>Yes: 3.2. Оформлен акт освидетельствования скрытых работ на армирование. акт на монтаж ограничителей. (п.3.5 СП 70.13330.2012) (ВЧУ) - 2019-08-18</t>
  </si>
  <si>
    <t>Yes: Нормативная документация: ГОСТ 10922-2012; СП 70.13330.2012 Несущие и ограждающие конструкции (ВЧУ) - 2019-08-18</t>
  </si>
  <si>
    <t>Владимир Чугунов: Заголовок изменен на Арматурный Каркас Зах.31</t>
  </si>
  <si>
    <t>Траншея Зах.31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</si>
  <si>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- 2019-08-18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</si>
  <si>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- 2019-08-18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</si>
  <si>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- 2019-08-18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</si>
  <si>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- 2019-08-18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</si>
  <si>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- 2019-08-18</t>
  </si>
  <si>
    <t>Yes: 2.1. Произведена запись в общий журнал работ (п.15.5.5 СП 70.13330) (ВЧУ) - 2019-08-18</t>
  </si>
  <si>
    <t>Yes: Нормативная документация: СП 45.13330.2012 Земляные сооружения, основания и фундаменты (ВЧУ) - 2019-08-18</t>
  </si>
  <si>
    <t>Владимир Чугунов: Заголовок изменен на Траншея Зах.31</t>
  </si>
  <si>
    <t>Бетонирование Зах.31</t>
  </si>
  <si>
    <t>Yes: 1.1. Бетонирование производится бетоном, соответствующим проектным требованиям, прошедшим входной контроль (ВЧУ) - 2019-08-18</t>
  </si>
  <si>
    <t>Yes: 1.2. Бетонирование захватки произведено непрерывно с двум бетонных труб в соответствии с технологичекими требованиями (ВЧУ) - 2019-08-18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</si>
  <si>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(ВЧУ) - 2019-08-18</t>
  </si>
  <si>
    <t>N/A: 1.4. Демонтаж межсекционных ограничителей из захваток выполнен через 5-6 ч после окончания бетонирования (ВЧУ) - 2019-08-18</t>
  </si>
  <si>
    <t>Yes: 1.5. Бетонирование выполнено до момента поднятия уровня чистой смеси до проектной отметки. (ВЧУ) - 2019-08-18</t>
  </si>
  <si>
    <t>Yes: 1.6. Контрольные образцы бетонной смеси изготовлены в количестве не менее 6 шт. на партию бетона (ВЧУ) - 2019-08-18</t>
  </si>
  <si>
    <t>Yes: 2.1. Произведены записи в общем журнале работ (Раздел 3, раздел 6) по бетонированию, указаны результаты операционного контроля. (ВЧУ) - 2019-08-18</t>
  </si>
  <si>
    <t>N/A: 2.2. Оформлен акт освидетельствования скрытых работ на бетонирование захватки СВГ. (ВЧУ) - 2019-08-18</t>
  </si>
  <si>
    <t>Владимир Чугунов: Заголовок изменен на Бетонирование Зах.31</t>
  </si>
  <si>
    <t>Арматурный Каркас БО 2</t>
  </si>
  <si>
    <t>Yes: 1.1. Армокаркасы. используемые при армировании. соответствуют РД и прошли входной контроль (ВЧУ) - 2019-08-19</t>
  </si>
  <si>
    <t>Yes: 1.2. Документы о качестве арматурных каркасов предоставлены. (п.6.33 ГОСТ 10922-2012) (ВЧУ) - 2019-08-19</t>
  </si>
  <si>
    <t>Yes: 1.3. Аттестация у исполнителей и руководителя сварочных работ подтверждена. (пп.3.23. 10.1.1. 10.1.3  СП 70.13330.2012) (ВЧУ) - 2019-08-19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</si>
  <si>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- 2019-08-19</t>
  </si>
  <si>
    <t>No: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- 2019-08-19</t>
  </si>
  <si>
    <t>Yes: 2.1. Необходимые по проекту каркасы оборудованы инклинометрическими датчиками (арматурные каркасы с индексом "И") (ВЧУ) - 2019-08-19</t>
  </si>
  <si>
    <t>Yes: 2.2. Закладные детали установлены в проектное положение. выверены. исполнительная схема составлена (ВЧУ) - 2019-08-19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</si>
  <si>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- 2019-08-19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</si>
  <si>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- 2019-08-19</t>
  </si>
  <si>
    <t>No: 3.2. Оформлен акт освидетельствования скрытых работ на армирование. акт на монтаж ограничителей. (п.3.5 СП 70.13330.2012) (ВЧУ) - 2019-08-19</t>
  </si>
  <si>
    <t>Yes: Нормативная документация: ГОСТ 10922-2012; СП 70.13330.2012 Несущие и ограждающие конструкции (ВЧУ) - 2019-08-19</t>
  </si>
  <si>
    <t>Владимир Чугунов: Заголовок изменен на Арматурный Каркас БО 2</t>
  </si>
  <si>
    <t>Траншея Зах. 30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</si>
  <si>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- 2019-08-19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</si>
  <si>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- 2019-08-19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</si>
  <si>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- 2019-08-19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</si>
  <si>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- 2019-08-19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</si>
  <si>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- 2019-08-19</t>
  </si>
  <si>
    <t>Yes: 2.1. Произведена запись в общий журнал работ (п.15.5.5 СП 70.13330) (ВЧУ) - 2019-08-19</t>
  </si>
  <si>
    <t>Yes: Нормативная документация: СП 45.13330.2012 Земляные сооружения, основания и фундаменты (ВЧУ) - 2019-08-19</t>
  </si>
  <si>
    <t>Владимир Чугунов: Заголовок изменен на Траншея Зах. 30</t>
  </si>
  <si>
    <t>Траншея Зах.17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</si>
  <si>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- 2019-09-17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</si>
  <si>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- 2019-09-17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</si>
  <si>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- 2019-09-17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</si>
  <si>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- 2019-09-17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</si>
  <si>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- 2019-09-17</t>
  </si>
  <si>
    <t>Yes: 2.1. Произведена запись в общий журнал работ (п.15.5.5 СП 70.13330) (ВЧУ) - 2019-09-17</t>
  </si>
  <si>
    <t>Yes: Нормативная документация: СП 45.13330.2012 Земляные сооружения, основания и фундаменты (ВЧУ) - 2019-09-17</t>
  </si>
  <si>
    <t>Владимир Чугунов: Заголовок изменен на Траншея Зах.17</t>
  </si>
  <si>
    <t>Арматурный Каркас Зах.17</t>
  </si>
  <si>
    <t>Yes: 1.1. Армокаркасы. используемые при армировании. соответствуют РД и прошли входной контроль (ВЧУ) - 2019-09-17</t>
  </si>
  <si>
    <t>Yes: 1.2. Документы о качестве арматурных каркасов предоставлены. (п.6.33 ГОСТ 10922-2012) (ВЧУ) - 2019-09-17</t>
  </si>
  <si>
    <t>Yes: 1.3. Аттестация у исполнителей и руководителя сварочных работ подтверждена. (пп.3.23. 10.1.1. 10.1.3  СП 70.13330.2012) (ВЧУ) - 2019-09-17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</si>
  <si>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- 2019-09-17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</si>
  <si>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- 2019-09-17</t>
  </si>
  <si>
    <t>Yes: 2.1. Необходимые по проекту каркасы оборудованы инклинометрическими датчиками (арматурные каркасы с индексом "И") (ВЧУ) - 2019-09-17</t>
  </si>
  <si>
    <t>Yes: 2.2. Закладные детали установлены в проектное положение. выверены. исполнительная схема составлена (ВЧУ) - 2019-09-17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</si>
  <si>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- 2019-09-17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</si>
  <si>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- 2019-09-17</t>
  </si>
  <si>
    <t>Yes: 3.2. Оформлен акт освидетельствования скрытых работ на армирование. акт на монтаж ограничителей. (п.3.5 СП 70.13330.2012) (ВЧУ) - 2019-09-17</t>
  </si>
  <si>
    <t>Yes: Нормативная документация: ГОСТ 10922-2012; СП 70.13330.2012 Несущие и ограждающие конструкции (ВЧУ) - 2019-09-17</t>
  </si>
  <si>
    <t>Владимир Чугунов: Заголовок изменен на Арматурный Каркас Зах.17</t>
  </si>
  <si>
    <t>Арматурный Каркас Зах.30</t>
  </si>
  <si>
    <t>Yes: 1.1. Армокаркасы. используемые при армировании. соответствуют РД и прошли входной контроль (ВЧУ) - 2019-08-20</t>
  </si>
  <si>
    <t>Yes: 1.2. Документы о качестве арматурных каркасов предоставлены. (п.6.33 ГОСТ 10922-2012) (ВЧУ) - 2019-08-20</t>
  </si>
  <si>
    <t>Yes: 1.3. Аттестация у исполнителей и руководителя сварочных работ подтверждена. (пп.3.23. 10.1.1. 10.1.3  СП 70.13330.2012) (ВЧУ) - 2019-08-20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</si>
  <si>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- 2019-08-20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</si>
  <si>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- 2019-08-20</t>
  </si>
  <si>
    <t>Yes: 2.1. Необходимые по проекту каркасы оборудованы инклинометрическими датчиками (арматурные каркасы с индексом "И") (ВЧУ) - 2019-08-20</t>
  </si>
  <si>
    <t>Yes: 2.2. Закладные детали установлены в проектное положение. выверены. исполнительная схема составлена (ВЧУ) - 2019-08-20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</si>
  <si>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- 2019-08-20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</si>
  <si>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- 2019-08-20</t>
  </si>
  <si>
    <t>No: 3.2. Оформлен акт освидетельствования скрытых работ на армирование. акт на монтаж ограничителей. (п.3.5 СП 70.13330.2012) (ВЧУ) - 2019-08-20</t>
  </si>
  <si>
    <t>Yes: Нормативная документация: ГОСТ 10922-2012; СП 70.13330.2012 Несущие и ограждающие конструкции (ВЧУ) - 2019-08-20</t>
  </si>
  <si>
    <t>Владимир Чугунов: Заголовок изменен на Арматурный Каркас Зах.30</t>
  </si>
  <si>
    <t>Траншея Зах.16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</si>
  <si>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- 2019-09-18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</si>
  <si>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- 2019-09-18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</si>
  <si>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- 2019-09-18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</si>
  <si>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- 2019-09-18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</si>
  <si>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- 2019-09-18</t>
  </si>
  <si>
    <t>Yes: 2.1. Произведена запись в общий журнал работ (п.15.5.5 СП 70.13330) (ВЧУ) - 2019-09-18</t>
  </si>
  <si>
    <t>Yes: Нормативная документация: СП 45.13330.2012 Земляные сооружения, основания и фундаменты (ВЧУ) - 2019-09-18</t>
  </si>
  <si>
    <t>Владимир Чугунов: Заголовок изменен на Траншея Зах.16</t>
  </si>
  <si>
    <t>Контроль Глубины И Угла Скважины Усиления Фундаментов Цементацией В/О 19/1-21/1/Т-У</t>
  </si>
  <si>
    <t>Yes: 1. При производстве работ использовались материалы, прошедший входной контроль (ВЧУ) - 2019-07-27</t>
  </si>
  <si>
    <t>Yes: 2. Количество скважин и их фактическое положение соответствует проекту (ВЧУ) - 2019-07-27</t>
  </si>
  <si>
    <t>Yes: 3. Качество тампоновки скважины соответсвует проекту (ВЧУ) - 2019-07-27</t>
  </si>
  <si>
    <t>Yes: 4. Наличие полного комплекта исполнительной документации, включая акты освидетельствования скрытых работ (ВЧУ) - 2019-07-27</t>
  </si>
  <si>
    <t>Владимир Чугунов: Заголовок изменен на Контроль Глубины И Угла Скважины Усиления Фундаментов Цементацией В/О 19/1-21/1/Т-У</t>
  </si>
  <si>
    <t>Владимир Чугунов: Дата начала изменена на июл. 27, 2019</t>
  </si>
  <si>
    <t>Усиление Оснований Фундаментов 24-25/У</t>
  </si>
  <si>
    <t>03_2019_Р_УФ-3 усиление грунтов основания изм.1.1 4</t>
  </si>
  <si>
    <t>N/A: 3. Качество тампоновки скважины соответсвует проекту (ВЧУ) - 2019-07-27</t>
  </si>
  <si>
    <t>Yes: 4. Выполнен геодезический контроль фактического  положения скважин. Положения скважин соответствует проекту (ВЧУ) - 2019-07-27</t>
  </si>
  <si>
    <t>Yes: 5. Наличие полного комплекта исполнительной документации, включая акты освидетельствования скрытых работ (ВЧУ) - 2019-07-27</t>
  </si>
  <si>
    <t>Владимир Чугунов: Заголовок изменен на Усиление Оснований Фундаментов 24-25/У</t>
  </si>
  <si>
    <t>Армирование СВГ Зах.16</t>
  </si>
  <si>
    <t>Yes: 1.1. Армокаркасы. используемые при армировании. соответствуют РД и прошли входной контроль (ВЧУ) - 2019-09-18</t>
  </si>
  <si>
    <t>Yes: 1.2. Документы о качестве арматурных каркасов предоставлены. (п.6.33 ГОСТ 10922-2012) (ВЧУ) - 2019-09-18</t>
  </si>
  <si>
    <t>Yes: 1.3. Аттестация у исполнителей и руководителя сварочных работ подтверждена. (пп.3.23. 10.1.1. 10.1.3  СП 70.13330.2012) (ВЧУ) - 2019-09-18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</si>
  <si>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- 2019-09-18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</si>
  <si>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- 2019-09-18</t>
  </si>
  <si>
    <t>Yes: 2.1. Необходимые по проекту каркасы оборудованы инклинометрическими датчиками (арматурные каркасы с индексом "И") (ВЧУ) - 2019-09-18</t>
  </si>
  <si>
    <t>Yes: 2.2. Закладные детали установлены в проектное положение. выверены. исполнительная схема составлена (ВЧУ) - 2019-09-18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</si>
  <si>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- 2019-09-18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</si>
  <si>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- 2019-09-18</t>
  </si>
  <si>
    <t>Yes: 3.2. Оформлен акт освидетельствования скрытых работ на армирование. акт на монтаж ограничителей. (п.3.5 СП 70.13330.2012) (ВЧУ) - 2019-09-18</t>
  </si>
  <si>
    <t>Yes: Нормативная документация: ГОСТ 10922-2012; СП 70.13330.2012 Несущие и ограждающие конструкции (ВЧУ) - 2019-09-18</t>
  </si>
  <si>
    <t>Владимир Чугунов: Заголовок изменен на Армирование СВГ Зах.16</t>
  </si>
  <si>
    <t>Траншея Зах.29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</si>
  <si>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- 2019-08-22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</si>
  <si>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- 2019-08-22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</si>
  <si>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- 2019-08-22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</si>
  <si>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- 2019-08-22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</si>
  <si>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- 2019-08-22</t>
  </si>
  <si>
    <t>Yes: 2.1. Произведена запись в общий журнал работ (п.15.5.5 СП 70.13330) (ВЧУ) - 2019-08-22</t>
  </si>
  <si>
    <t>Yes: Нормативная документация: СП 45.13330.2012 Земляные сооружения, основания и фундаменты (ВЧУ) - 2019-08-22</t>
  </si>
  <si>
    <t>Владимир Чугунов: Заголовок изменен на Траншея Зах.29</t>
  </si>
  <si>
    <t>Арматурный Каркас Зах.29</t>
  </si>
  <si>
    <t>Yes: 1.1. Армокаркасы. используемые при армировании. соответствуют РД и прошли входной контроль (ВЧУ) - 2019-08-22</t>
  </si>
  <si>
    <t>Yes: 1.2. Документы о качестве арматурных каркасов предоставлены. (п.6.33 ГОСТ 10922-2012) (ВЧУ) - 2019-08-22</t>
  </si>
  <si>
    <t>Yes: 1.3. Аттестация у исполнителей и руководителя сварочных работ подтверждена. (пп.3.23. 10.1.1. 10.1.3  СП 70.13330.2012) (ВЧУ) - 2019-08-22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</si>
  <si>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- 2019-08-22</t>
  </si>
  <si>
    <t>N/A: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- 2019-08-22</t>
  </si>
  <si>
    <t>Yes: 2.1. Необходимые по проекту каркасы оборудованы инклинометрическими датчиками (арматурные каркасы с индексом "И") (ВЧУ) - 2019-08-22</t>
  </si>
  <si>
    <t>Yes: 2.2. Закладные детали установлены в проектное положение. выверены. исполнительная схема составлена (ВЧУ) - 2019-08-22</t>
  </si>
  <si>
    <t>N/A: 2.3. Закладные детали крепятся к продольной арматуре каркаса двойной вязальной проволокой 0.8-1мм/ к фиксатору защитного слоя сваркой (ВЧУ) - 2019-08-22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</si>
  <si>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- 2019-08-22</t>
  </si>
  <si>
    <t>Yes: 3.2. Оформлен акт освидетельствования скрытых работ на армирование. акт на монтаж ограничителей. (п.3.5 СП 70.13330.2012) (ВЧУ) - 2019-08-22</t>
  </si>
  <si>
    <t>Yes: Нормативная документация: ГОСТ 10922-2012; СП 70.13330.2012 Несущие и ограждающие конструкции (ВЧУ) - 2019-08-22</t>
  </si>
  <si>
    <t>Владимир Чугунов: Заголовок изменен на Арматурный Каркас Зах.29</t>
  </si>
  <si>
    <t>Траншея Зах.18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</si>
  <si>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- 2019-08-24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</si>
  <si>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- 2019-08-24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</si>
  <si>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- 2019-08-24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</si>
  <si>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- 2019-08-24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</si>
  <si>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- 2019-08-24</t>
  </si>
  <si>
    <t>Yes: 2.1. Произведена запись в общий журнал работ (п.15.5.5 СП 70.13330) (ВЧУ) - 2019-08-24</t>
  </si>
  <si>
    <t>Yes: Нормативная документация: СП 45.13330.2012 Земляные сооружения, основания и фундаменты (ВЧУ) - 2019-08-24</t>
  </si>
  <si>
    <t>Владимир Чугунов: Заголовок изменен на Траншея Зах.18</t>
  </si>
  <si>
    <t>Владимир Чугунов: Дата начала изменена на авг. 24, 2019</t>
  </si>
  <si>
    <t>Арматурный Каркас БО  24. 5, 6 Входной Контроль Бетона</t>
  </si>
  <si>
    <t>Yes: 1.1 Вертикальный и горизонтальный шаг арматуры соответствует проекту. Отклонение между рядами арматуры не более 10 мм (ВЧУ) - 2019-08-23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</si>
  <si>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- 2019-08-23</t>
  </si>
  <si>
    <t>Yes: 1.3 Отклонение толщины защитного слоя бетона от проектной не более 15 мм и не менее 5 мм при толщине бетона более 300 мм (ВЧУ) - 2019-08-23</t>
  </si>
  <si>
    <t>Yes: 1.4 Сварные соединения соответствуют проекту и требованиям ГОСТ 14098—2014 (ВЧУ) - 2019-08-23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</si>
  <si>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- 2019-08-23</t>
  </si>
  <si>
    <t>Yes: 2.1 Наличие записи в общем журнале работ (ВЧУ) - 2019-08-23</t>
  </si>
  <si>
    <t>Yes: 3.1 Разрешается проведение последующих работ по устройству опалубки  или бетонированию конструкции (ВЧУ) - 2019-08-23</t>
  </si>
  <si>
    <t>Yes: 2,1. Материал соответствует требованиям проекта (ВЧУ) - 2019-08-23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</si>
  <si>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- 2019-08-23</t>
  </si>
  <si>
    <t>No: 2,3. Предоставлен протокол испытания лаборатории, который подтверждает соответствие нормативам и сопроводительным документам (ВЧУ) - 2019-08-23</t>
  </si>
  <si>
    <t>Yes: 2,4. Условия хранения материала соблюдаются (ВЧУ) - 2019-08-23</t>
  </si>
  <si>
    <t>Yes: 2,5. Наличие записи в "Журнале входного учета и контроля качества получаемых деталей, материалов, конструкций и оборудования" (ВЧУ) - 2019-08-23</t>
  </si>
  <si>
    <t>Yes: 3,1. Допускается к производству работ (ВЧУ) - 2019-08-23</t>
  </si>
  <si>
    <t>Владимир Чугунов: Заголовок изменен на Арматурный Каркас 24. 5, 6</t>
  </si>
  <si>
    <t>Владимир Чугунов: Заголовок изменен на Арматурный Каркас БО  24. 5, 6</t>
  </si>
  <si>
    <t>Владимир Чугунов: Дата начала изменена на авг. 23, 2019</t>
  </si>
  <si>
    <t>Владимир Чугунов: Заголовок изменен на Арматурный Каркас БО  24. 5, 6 Входной Контроль Бетона</t>
  </si>
  <si>
    <t>Траншея СВГ 21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</si>
  <si>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- 2019-09-01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</si>
  <si>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- 2019-09-01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</si>
  <si>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- 2019-09-01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</si>
  <si>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- 2019-09-01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</si>
  <si>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- 2019-09-01</t>
  </si>
  <si>
    <t>Yes: 2.1. Произведена запись в общий журнал работ (п.15.5.5 СП 70.13330) (ВЧУ) - 2019-09-01</t>
  </si>
  <si>
    <t>Yes: Нормативная документация: СП 45.13330.2012 Земляные сооружения, основания и фундаменты (ВЧУ) - 2019-09-01</t>
  </si>
  <si>
    <t>Владимир Чугунов: Заголовок изменен на Траншея СВГ 21</t>
  </si>
  <si>
    <t>Владимир Чугунов: Дата начала изменена на сент. 1, 2019</t>
  </si>
  <si>
    <t>Траншея Зах.14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</si>
  <si>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- 2019-09-20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</si>
  <si>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- 2019-09-20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</si>
  <si>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- 2019-09-20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</si>
  <si>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- 2019-09-20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</si>
  <si>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- 2019-09-20</t>
  </si>
  <si>
    <t>Yes: 2.1. Произведена запись в общий журнал работ (п.15.5.5 СП 70.13330) (ВЧУ) - 2019-09-20</t>
  </si>
  <si>
    <t>Yes: Нормативная документация: СП 45.13330.2012 Земляные сооружения, основания и фундаменты (ВЧУ) - 2019-09-20</t>
  </si>
  <si>
    <t>Владимир Чугунов: Заголовок изменен на Траншея Зах.14</t>
  </si>
  <si>
    <t>Траншея Зах.41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</si>
  <si>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- 2019-08-07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</si>
  <si>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- 2019-08-07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</si>
  <si>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- 2019-08-07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</si>
  <si>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- 2019-08-07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</si>
  <si>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- 2019-08-07</t>
  </si>
  <si>
    <t>Yes: 2.1. Произведена запись в общий журнал работ (п.15.5.5 СП 70.13330) (ВЧУ) - 2019-08-07</t>
  </si>
  <si>
    <t>Yes: Нормативная документация: СП 45.13330.2012 Земляные сооружения, основания и фундаменты (ВЧУ) - 2019-08-07</t>
  </si>
  <si>
    <t>Владимир Чугунов: Заголовок изменен на Траншея Зах.41</t>
  </si>
  <si>
    <t>Владимир Чугунов: Дата начала изменена на авг. 7, 2019</t>
  </si>
  <si>
    <t>Армирование СВГ Зах.13</t>
  </si>
  <si>
    <t>Yes: 1.1. Армокаркасы. используемые при армировании. соответствуют РД и прошли входной контроль (ВЧУ) - 2019-09-21</t>
  </si>
  <si>
    <t>Yes: 1.2. Документы о качестве арматурных каркасов предоставлены. (п.6.33 ГОСТ 10922-2012) (ВЧУ) - 2019-09-21</t>
  </si>
  <si>
    <t>Yes: 1.3. Аттестация у исполнителей и руководителя сварочных работ подтверждена. (пп.3.23. 10.1.1. 10.1.3  СП 70.13330.2012) (ВЧУ) - 2019-09-21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</si>
  <si>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- 2019-09-21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</si>
  <si>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- 2019-09-21</t>
  </si>
  <si>
    <t>Yes: 2.1. Необходимые по проекту каркасы оборудованы инклинометрическими датчиками (арматурные каркасы с индексом "И") (ВЧУ) - 2019-09-21</t>
  </si>
  <si>
    <t>Yes: 2.2. Закладные детали установлены в проектное положение. выверены. исполнительная схема составлена (ВЧУ) - 2019-09-21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</si>
  <si>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- 2019-09-21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</si>
  <si>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- 2019-09-21</t>
  </si>
  <si>
    <t>Yes: 3.2. Оформлен акт освидетельствования скрытых работ на армирование. акт на монтаж ограничителей. (п.3.5 СП 70.13330.2012) (ВЧУ) - 2019-09-21</t>
  </si>
  <si>
    <t>Yes: Нормативная документация: ГОСТ 10922-2012; СП 70.13330.2012 Несущие и ограждающие конструкции (ВЧУ) - 2019-09-21</t>
  </si>
  <si>
    <t>Владимир Чугунов: Заголовок изменен на Армирование СВГ Зах.13</t>
  </si>
  <si>
    <t>Стыковка Арматурных Каркасов Зах.41</t>
  </si>
  <si>
    <t>Yes: 1.1. Армокаркасы. используемые при армировании. соответствуют РД и прошли входной контроль (ВЧУ) - 2019-08-08</t>
  </si>
  <si>
    <t>Yes: 1.2. Документы о качестве арматурных каркасов предоставлены. (п.6.33 ГОСТ 10922-2012) (ВЧУ) - 2019-08-08</t>
  </si>
  <si>
    <t>Yes: 1.3. Аттестация у исполнителей и руководителя сварочных работ подтверждена. (пп.3.23. 10.1.1. 10.1.3  СП 70.13330.2012) (ВЧУ) - 2019-08-08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</si>
  <si>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- 2019-08-08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</si>
  <si>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- 2019-08-08</t>
  </si>
  <si>
    <t>Yes: 2.1. Необходимые по проекту каркасы оборудованы инклинометрическими датчиками (арматурные каркасы с индексом "И") (ВЧУ) - 2019-08-08</t>
  </si>
  <si>
    <t>Yes: 2.2. Закладные детали установлены в проектное положение. выверены. исполнительная схема составлена (ВЧУ) - 2019-08-08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</si>
  <si>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- 2019-08-08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</si>
  <si>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- 2019-08-08</t>
  </si>
  <si>
    <t>Yes: 3.2. Оформлен акт освидетельствования скрытых работ на армирование. акт на монтаж ограничителей. (п.3.5 СП 70.13330.2012) (ВЧУ) - 2019-08-08</t>
  </si>
  <si>
    <t>Yes: Нормативная документация: ГОСТ 10922-2012; СП 70.13330.2012 Несущие и ограждающие конструкции (ВЧУ) - 2019-08-08</t>
  </si>
  <si>
    <t>Владимир Чугунов: Заголовок изменен на Стыковка Арматурных Каркасов Зах.41</t>
  </si>
  <si>
    <t>Арматурный Каркас Зах. 20</t>
  </si>
  <si>
    <t>Yes: 1.1. Армокаркасы. используемые при армировании. соответствуют РД и прошли входной контроль (ВЧУ) - 2019-08-27</t>
  </si>
  <si>
    <t>Yes: 1.2. Документы о качестве арматурных каркасов предоставлены. (п.6.33 ГОСТ 10922-2012) (ВЧУ) - 2019-08-27</t>
  </si>
  <si>
    <t>Yes: 1.3. Аттестация у исполнителей и руководителя сварочных работ подтверждена. (пп.3.23. 10.1.1. 10.1.3  СП 70.13330.2012) (ВЧУ) - 2019-08-27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</si>
  <si>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- 2019-08-27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</si>
  <si>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- 2019-08-27</t>
  </si>
  <si>
    <t>Yes: 2.1. Необходимые по проекту каркасы оборудованы инклинометрическими датчиками (арматурные каркасы с индексом "И") (ВЧУ) - 2019-08-27</t>
  </si>
  <si>
    <t>Yes: 2.2. Закладные детали установлены в проектное положение. выверены. исполнительная схема составлена (ВЧУ) - 2019-08-27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</si>
  <si>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- 2019-08-27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</si>
  <si>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- 2019-08-27</t>
  </si>
  <si>
    <t>Yes: 3.2. Оформлен акт освидетельствования скрытых работ на армирование. акт на монтаж ограничителей. (п.3.5 СП 70.13330.2012) (ВЧУ) - 2019-08-27</t>
  </si>
  <si>
    <t>Yes: Нормативная документация: ГОСТ 10922-2012; СП 70.13330.2012 Несущие и ограждающие конструкции (ВЧУ) - 2019-08-27</t>
  </si>
  <si>
    <t>Владимир Чугунов: Заголовок изменен на Арматурный Каркас Зах. 20</t>
  </si>
  <si>
    <t>Траншея Зах.13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</si>
  <si>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- 2019-09-21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</si>
  <si>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- 2019-09-21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</si>
  <si>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- 2019-09-21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</si>
  <si>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- 2019-09-21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</si>
  <si>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- 2019-09-21</t>
  </si>
  <si>
    <t>Yes: 2.1. Произведена запись в общий журнал работ (п.15.5.5 СП 70.13330) (ВЧУ) - 2019-09-21</t>
  </si>
  <si>
    <t>Yes: Нормативная документация: СП 45.13330.2012 Земляные сооружения, основания и фундаменты (ВЧУ) - 2019-09-21</t>
  </si>
  <si>
    <t>Владимир Чугунов: Заголовок изменен на Траншея Зах.13</t>
  </si>
  <si>
    <t>Арматурный Каркас СВГ Зах.12</t>
  </si>
  <si>
    <t>Yes: 1.1. Армокаркасы. используемые при армировании. соответствуют РД и прошли входной контроль (ВЧУ) - 2019-09-24</t>
  </si>
  <si>
    <t>Yes: 1.2. Документы о качестве арматурных каркасов предоставлены. (п.6.33 ГОСТ 10922-2012) (ВЧУ) - 2019-09-24</t>
  </si>
  <si>
    <t>Yes: 1.3. Аттестация у исполнителей и руководителя сварочных работ подтверждена. (пп.3.23. 10.1.1. 10.1.3  СП 70.13330.2012) (ВЧУ) - 2019-09-24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</si>
  <si>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- 2019-09-24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</si>
  <si>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- 2019-09-24</t>
  </si>
  <si>
    <t>Yes: 2.1. Необходимые по проекту каркасы оборудованы инклинометрическими датчиками (арматурные каркасы с индексом "И") (ВЧУ) - 2019-09-24</t>
  </si>
  <si>
    <t>Yes: 2.2. Закладные детали установлены в проектное положение. выверены. исполнительная схема составлена (ВЧУ) - 2019-09-24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</si>
  <si>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- 2019-09-24</t>
  </si>
  <si>
    <t>N/A: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- 2019-09-24</t>
  </si>
  <si>
    <t>N/A: 3.2. Оформлен акт освидетельствования скрытых работ на армирование. акт на монтаж ограничителей. (п.3.5 СП 70.13330.2012) (ВЧУ) - 2019-09-24</t>
  </si>
  <si>
    <t>Yes: Нормативная документация: ГОСТ 10922-2012; СП 70.13330.2012 Несущие и ограждающие конструкции (ВЧУ) - 2019-09-24</t>
  </si>
  <si>
    <t>Владимир Чугунов: Заголовок изменен на Арматурный Каркас СВГ Зах.12</t>
  </si>
  <si>
    <t>Арматурный Каркас СВГ Зах. 11</t>
  </si>
  <si>
    <t>Yes: 1.1. Армокаркасы. используемые при армировании. соответствуют РД и прошли входной контроль (ВЧУ) - 2019-09-25</t>
  </si>
  <si>
    <t>Yes: 1.2. Документы о качестве арматурных каркасов предоставлены. (п.6.33 ГОСТ 10922-2012) (ВЧУ) - 2019-09-25</t>
  </si>
  <si>
    <t>Yes: 1.3. Аттестация у исполнителей и руководителя сварочных работ подтверждена. (пп.3.23. 10.1.1. 10.1.3  СП 70.13330.2012) (ВЧУ) - 2019-09-25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</si>
  <si>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- 2019-09-25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</si>
  <si>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- 2019-09-25</t>
  </si>
  <si>
    <t>Yes: 2.1. Необходимые по проекту каркасы оборудованы инклинометрическими датчиками (арматурные каркасы с индексом "И") (ВЧУ) - 2019-09-25</t>
  </si>
  <si>
    <t>Yes: 2.2. Закладные детали установлены в проектное положение. выверены. исполнительная схема составлена (ВЧУ) - 2019-09-25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</si>
  <si>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- 2019-09-25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</si>
  <si>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- 2019-09-25</t>
  </si>
  <si>
    <t>Yes: 3.2. Оформлен акт освидетельствования скрытых работ на армирование. акт на монтаж ограничителей. (п.3.5 СП 70.13330.2012) (ВЧУ) - 2019-09-25</t>
  </si>
  <si>
    <t>Yes: Нормативная документация: ГОСТ 10922-2012; СП 70.13330.2012 Несущие и ограждающие конструкции (ВЧУ) - 2019-09-25</t>
  </si>
  <si>
    <t>Владимир Чугунов: Заголовок изменен на Арматурный Каркас СВГ Зах. 11</t>
  </si>
  <si>
    <t>Арматурный Каркас Зах.22</t>
  </si>
  <si>
    <t>Yes: 1.1. Армокаркасы. используемые при армировании. соответствуют РД и прошли входной контроль (ВЧУ) - 2019-09-02</t>
  </si>
  <si>
    <t>Yes: 1.2. Документы о качестве арматурных каркасов предоставлены. (п.6.33 ГОСТ 10922-2012) (ВЧУ) - 2019-09-02</t>
  </si>
  <si>
    <t>Yes: 1.3. Аттестация у исполнителей и руководителя сварочных работ подтверждена. (пп.3.23. 10.1.1. 10.1.3  СП 70.13330.2012) (ВЧУ) - 2019-09-02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</si>
  <si>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- 2019-09-02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</si>
  <si>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- 2019-09-02</t>
  </si>
  <si>
    <t>Yes: 2.1. Необходимые по проекту каркасы оборудованы инклинометрическими датчиками (арматурные каркасы с индексом "И") (ВЧУ) - 2019-09-02</t>
  </si>
  <si>
    <t>Yes: 2.2. Закладные детали установлены в проектное положение. выверены. исполнительная схема составлена (ВЧУ) - 2019-09-02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</si>
  <si>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- 2019-09-02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</si>
  <si>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- 2019-09-02</t>
  </si>
  <si>
    <t>Yes: 3.2. Оформлен акт освидетельствования скрытых работ на армирование. акт на монтаж ограничителей. (п.3.5 СП 70.13330.2012) (ВЧУ) - 2019-09-02</t>
  </si>
  <si>
    <t>Yes: Нормативная документация: ГОСТ 10922-2012; СП 70.13330.2012 Несущие и ограждающие конструкции (ВЧУ) - 2019-09-02</t>
  </si>
  <si>
    <t>Владимир Чугунов: Заголовок изменен на Арматурный Каркас Зах.22</t>
  </si>
  <si>
    <t>Арматурный Каркас СВГ Зах.5</t>
  </si>
  <si>
    <t>Yes: 1.1. Армокаркасы. используемые при армировании. соответствуют РД и прошли входной контроль (ВЧУ) - 2019-09-26</t>
  </si>
  <si>
    <t>Yes: 1.2. Документы о качестве арматурных каркасов предоставлены. (п.6.33 ГОСТ 10922-2012) (ВЧУ) - 2019-09-26</t>
  </si>
  <si>
    <t>Yes: 1.3. Аттестация у исполнителей и руководителя сварочных работ подтверждена. (пп.3.23. 10.1.1. 10.1.3  СП 70.13330.2012) (ВЧУ) - 2019-09-26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</si>
  <si>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- 2019-09-26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</si>
  <si>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- 2019-09-26</t>
  </si>
  <si>
    <t>Yes: 2.1. Необходимые по проекту каркасы оборудованы инклинометрическими датчиками (арматурные каркасы с индексом "И") (ВЧУ) - 2019-09-26</t>
  </si>
  <si>
    <t>Yes: 2.2. Закладные детали установлены в проектное положение. выверены. исполнительная схема составлена (ВЧУ) - 2019-09-26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</si>
  <si>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- 2019-09-26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</si>
  <si>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- 2019-09-26</t>
  </si>
  <si>
    <t>Yes: 3.2. Оформлен акт освидетельствования скрытых работ на армирование. акт на монтаж ограничителей. (п.3.5 СП 70.13330.2012) (ВЧУ) - 2019-09-26</t>
  </si>
  <si>
    <t>Yes: Нормативная документация: ГОСТ 10922-2012; СП 70.13330.2012 Несущие и ограждающие конструкции (ВЧУ) - 2019-09-26</t>
  </si>
  <si>
    <t>Владимир Чугунов: Заголовок изменен на Арматурный Каркас СВГ Зах.5</t>
  </si>
  <si>
    <t>Арматурный Каркас Зах.23</t>
  </si>
  <si>
    <t>Yes: 1.1 Вертикальный и горизонтальный шаг арматуры соответствует проекту. Отклонение между рядами арматуры не более 10 мм (ВЧУ) - 2019-09-04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</si>
  <si>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- 2019-09-04</t>
  </si>
  <si>
    <t>Yes: 1.3 Отклонение толщины защитного слоя бетона от проектной не более 15 мм и не менее 5 мм при толщине бетона более 300 мм (ВЧУ) - 2019-09-04</t>
  </si>
  <si>
    <t>Yes: 1.4 Сварные соединения соответствуют проекту и требованиям ГОСТ 14098—2014 (ВЧУ) - 2019-09-04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</si>
  <si>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- 2019-09-04</t>
  </si>
  <si>
    <t>Yes: 2.1 Наличие записи в общем журнале работ (ВЧУ) - 2019-09-04</t>
  </si>
  <si>
    <t>Yes: 3.1 Разрешается проведение последующих работ по устройству опалубки  или бетонированию конструкции (ВЧУ) - 2019-09-04</t>
  </si>
  <si>
    <t>Yes: 1.1. Армокаркасы. используемые при армировании. соответствуют РД и прошли входной контроль (ВЧУ) - 2019-09-04</t>
  </si>
  <si>
    <t>Yes: 1.2. Документы о качестве арматурных каркасов предоставлены. (п.6.33 ГОСТ 10922-2012) (ВЧУ) - 2019-09-04</t>
  </si>
  <si>
    <t>Yes: 1.3. Аттестация у исполнителей и руководителя сварочных работ подтверждена. (пп.3.23. 10.1.1. 10.1.3  СП 70.13330.2012) (ВЧУ) - 2019-09-04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</si>
  <si>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- 2019-09-04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</si>
  <si>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- 2019-09-04</t>
  </si>
  <si>
    <t>Yes: 2.1. Необходимые по проекту каркасы оборудованы инклинометрическими датчиками (арматурные каркасы с индексом "И") (ВЧУ) - 2019-09-04</t>
  </si>
  <si>
    <t>Yes: 2.2. Закладные детали установлены в проектное положение. выверены. исполнительная схема составлена (ВЧУ) - 2019-09-04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</si>
  <si>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- 2019-09-04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</si>
  <si>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- 2019-09-04</t>
  </si>
  <si>
    <t>Yes: 3.2. Оформлен акт освидетельствования скрытых работ на армирование. акт на монтаж ограничителей. (п.3.5 СП 70.13330.2012) (ВЧУ) - 2019-09-04</t>
  </si>
  <si>
    <t>Yes: Нормативная документация: ГОСТ 10922-2012; СП 70.13330.2012 Несущие и ограждающие конструкции (ВЧУ) - 2019-09-04</t>
  </si>
  <si>
    <t>Владимир Чугунов: Заголовок изменен на Арматурный Каркас Зах.33</t>
  </si>
  <si>
    <t>Владимир Чугунов: Заголовок изменен на Арматурный Каркас Зах.23</t>
  </si>
  <si>
    <t>Арматурный Каркас СВГ Зах.6</t>
  </si>
  <si>
    <t>Yes: 1.1. Армокаркасы. используемые при армировании. соответствуют РД и прошли входной контроль (ВЧУ) - 2019-09-27</t>
  </si>
  <si>
    <t>Yes: 1.2. Документы о качестве арматурных каркасов предоставлены. (п.6.33 ГОСТ 10922-2012) (ВЧУ) - 2019-09-27</t>
  </si>
  <si>
    <t>Yes: 1.3. Аттестация у исполнителей и руководителя сварочных работ подтверждена. (пп.3.23. 10.1.1. 10.1.3  СП 70.13330.2012) (ВЧУ) - 2019-09-27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</si>
  <si>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- 2019-09-27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</si>
  <si>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- 2019-09-27</t>
  </si>
  <si>
    <t>Yes: 2.1. Необходимые по проекту каркасы оборудованы инклинометрическими датчиками (арматурные каркасы с индексом "И") (ВЧУ) - 2019-09-27</t>
  </si>
  <si>
    <t>Yes: 2.2. Закладные детали установлены в проектное положение. выверены. исполнительная схема составлена (ВЧУ) - 2019-09-27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</si>
  <si>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- 2019-09-27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</si>
  <si>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- 2019-09-27</t>
  </si>
  <si>
    <t>Yes: 3.2. Оформлен акт освидетельствования скрытых работ на армирование. акт на монтаж ограничителей. (п.3.5 СП 70.13330.2012) (ВЧУ) - 2019-09-27</t>
  </si>
  <si>
    <t>Yes: Нормативная документация: ГОСТ 10922-2012; СП 70.13330.2012 Несущие и ограждающие конструкции (ВЧУ) - 2019-09-27</t>
  </si>
  <si>
    <t>Владимир Чугунов: Заголовок изменен на Арматурный Каркас СВГ Зах.6</t>
  </si>
  <si>
    <t>Траншея Зах.6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</si>
  <si>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- 2019-09-27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</si>
  <si>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- 2019-09-27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</si>
  <si>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- 2019-09-27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</si>
  <si>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- 2019-09-27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</si>
  <si>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- 2019-09-27</t>
  </si>
  <si>
    <t>Yes: 2.1. Произведена запись в общий журнал работ (п.15.5.5 СП 70.13330) (ВЧУ) - 2019-09-27</t>
  </si>
  <si>
    <t>Yes: Нормативная документация: СП 45.13330.2012 Земляные сооружения, основания и фундаменты (ВЧУ) - 2019-09-27</t>
  </si>
  <si>
    <t>Владимир Чугунов: Заголовок изменен на Траншея Зах.6</t>
  </si>
  <si>
    <t>Траншея Зах. 4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</si>
  <si>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- 2019-09-29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</si>
  <si>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- 2019-09-29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</si>
  <si>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- 2019-09-29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</si>
  <si>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- 2019-09-29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</si>
  <si>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- 2019-09-29</t>
  </si>
  <si>
    <t>Yes: 2.1. Произведена запись в общий журнал работ (п.15.5.5 СП 70.13330) (ВЧУ) - 2019-09-29</t>
  </si>
  <si>
    <t>Yes: Нормативная документация: СП 45.13330.2012 Земляные сооружения, основания и фундаменты (ВЧУ) - 2019-09-29</t>
  </si>
  <si>
    <t>Владимир Чугунов: Заголовок изменен на Траншея Зах. 4</t>
  </si>
  <si>
    <t>Арматурный Каркас Зах.4</t>
  </si>
  <si>
    <t>Yes: 1.1. Армокаркасы. используемые при армировании. соответствуют РД и прошли входной контроль (ВЧУ) - 2019-09-29</t>
  </si>
  <si>
    <t>Yes: 1.2. Документы о качестве арматурных каркасов предоставлены. (п.6.33 ГОСТ 10922-2012) (ВЧУ) - 2019-09-29</t>
  </si>
  <si>
    <t>Yes: 1.3. Аттестация у исполнителей и руководителя сварочных работ подтверждена. (пп.3.23. 10.1.1. 10.1.3  СП 70.13330.2012) (ВЧУ) - 2019-09-29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</si>
  <si>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- 2019-09-29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</si>
  <si>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- 2019-09-29</t>
  </si>
  <si>
    <t>Yes: 2.1. Необходимые по проекту каркасы оборудованы инклинометрическими датчиками (арматурные каркасы с индексом "И") (ВЧУ) - 2019-09-29</t>
  </si>
  <si>
    <t>Yes: 2.2. Закладные детали установлены в проектное положение. выверены. исполнительная схема составлена (ВЧУ) - 2019-09-29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</si>
  <si>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- 2019-09-29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</si>
  <si>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- 2019-09-29</t>
  </si>
  <si>
    <t>Yes: 3.2. Оформлен акт освидетельствования скрытых работ на армирование. акт на монтаж ограничителей. (п.3.5 СП 70.13330.2012) (ВЧУ) - 2019-09-29</t>
  </si>
  <si>
    <t>Yes: Нормативная документация: ГОСТ 10922-2012; СП 70.13330.2012 Несущие и ограждающие конструкции (ВЧУ) - 2019-09-29</t>
  </si>
  <si>
    <t>Владимир Чугунов: Заголовок изменен на Арматурный Каркас Зах.4</t>
  </si>
  <si>
    <t>Арматурный Каркас БО 12, 21</t>
  </si>
  <si>
    <t>Yes: 1.1 Вертикальный и горизонтальный шаг арматуры соответствует проекту. Отклонение между рядами арматуры не более 10 мм (ВЧУ) - 2019-09-06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</si>
  <si>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- 2019-09-06</t>
  </si>
  <si>
    <t>Yes: 1.3 Отклонение толщины защитного слоя бетона от проектной не более 15 мм и не менее 5 мм при толщине бетона более 300 мм (ВЧУ) - 2019-09-06</t>
  </si>
  <si>
    <t>Yes: 1.4 Сварные соединения соответствуют проекту и требованиям ГОСТ 14098—2014 (ВЧУ) - 2019-09-06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</si>
  <si>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- 2019-09-06</t>
  </si>
  <si>
    <t>Yes: 2.1 Наличие записи в общем журнале работ (ВЧУ) - 2019-09-06</t>
  </si>
  <si>
    <t>Yes: 3.1 Разрешается проведение последующих работ по устройству опалубки  или бетонированию конструкции (ВЧУ) - 2019-09-06</t>
  </si>
  <si>
    <t>Владимир Чугунов: Заголовок изменен на Арматурный Каркас БО 12, 21</t>
  </si>
  <si>
    <t>Владимир Чугунов: Дата начала изменена на сент. 6, 2019</t>
  </si>
  <si>
    <t>Арматурный Каркас Зах.24</t>
  </si>
  <si>
    <t>Yes: 1.1. Армокаркасы. используемые при армировании. соответствуют РД и прошли входной контроль (ВЧУ) - 2019-09-07</t>
  </si>
  <si>
    <t>Yes: 1.2. Документы о качестве арматурных каркасов предоставлены. (п.6.33 ГОСТ 10922-2012) (ВЧУ) - 2019-09-07</t>
  </si>
  <si>
    <t>Yes: 1.3. Аттестация у исполнителей и руководителя сварочных работ подтверждена. (пп.3.23. 10.1.1. 10.1.3  СП 70.13330.2012) (ВЧУ) - 2019-09-07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</si>
  <si>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- 2019-09-07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</si>
  <si>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- 2019-09-07</t>
  </si>
  <si>
    <t>Yes: 2.1. Необходимые по проекту каркасы оборудованы инклинометрическими датчиками (арматурные каркасы с индексом "И") (ВЧУ) - 2019-09-07</t>
  </si>
  <si>
    <t>Yes: 2.2. Закладные детали установлены в проектное положение. выверены. исполнительная схема составлена (ВЧУ) - 2019-09-07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</si>
  <si>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- 2019-09-07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</si>
  <si>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- 2019-09-07</t>
  </si>
  <si>
    <t>Yes: 3.2. Оформлен акт освидетельствования скрытых работ на армирование. акт на монтаж ограничителей. (п.3.5 СП 70.13330.2012) (ВЧУ) - 2019-09-07</t>
  </si>
  <si>
    <t>Yes: Нормативная документация: ГОСТ 10922-2012; СП 70.13330.2012 Несущие и ограждающие конструкции (ВЧУ) - 2019-09-07</t>
  </si>
  <si>
    <t>Владимир Чугунов: Заголовок изменен на Арматурный Каркас Зах.24</t>
  </si>
  <si>
    <t>Стыковка БО Зах.24</t>
  </si>
  <si>
    <t>Владимир Чугунов: Заголовок изменен на Стыковка БО Зах.24</t>
  </si>
  <si>
    <t>Усиление Тела Фундамента В/О 2-12/Л-У, 7-12/A-Г, 12-16/А</t>
  </si>
  <si>
    <t>Yes: 1. При производстве работ использовались материалы, прошедший входной контроль (ВЧУ) - 2019-09-07</t>
  </si>
  <si>
    <t>Yes: 2. Количество скважин и их фактическое положение соответствует проекту (ВЧУ) - 2019-09-07</t>
  </si>
  <si>
    <t>Yes: 3. Качество тампоновки скважины соответсвует проекту (ВЧУ) - 2019-09-07</t>
  </si>
  <si>
    <t>Yes: 4. Наличие полного комплекта исполнительной документации, включая акты освидетельствования скрытых работ (ВЧУ) - 2019-09-07</t>
  </si>
  <si>
    <t>Владимир Чугунов: Заголовок изменен на Усиление Тела Фундамента В/О 2-12/Л-У, 7-12/A-Г, 12-16/А</t>
  </si>
  <si>
    <t>Армирование Форшахты В/О 21-23/Г-д и 23/Е-И</t>
  </si>
  <si>
    <t>Yes: 1.1 Вертикальный и горизонтальный шаг арматуры соответствует проекту. Отклонение между рядами арматуры не более 10 мм (ВЧУ) - 2019-06-18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</si>
  <si>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- 2019-06-18</t>
  </si>
  <si>
    <t>Yes: 1.3 Отклонение толщины защитного слоя бетона от проектной не более 15 мм и не менее 5 мм при толщине бетона более 300 мм (ВЧУ) - 2019-06-18</t>
  </si>
  <si>
    <t>Yes: 1.4 Сварные соединения соответствуют проекту и требованиям ГОСТ 14098—2014 (ВЧУ) - 2019-06-18</t>
  </si>
  <si>
    <t>N/A: 1.5 Закладные элементы , в том числе приспособления для устройства гидроизоляции швов, установлены в соответствии с проектом и закреплены (ВЧУ) - 2019-06-18</t>
  </si>
  <si>
    <t>Yes: 2.1 Наличие записи в общем журнале работ (ВЧУ) - 2019-06-18</t>
  </si>
  <si>
    <t>Yes: 3.1 Разрешается проведение последующих работ по устройству опалубки  или бетонированию конструкции (ВЧУ) - 2019-06-18</t>
  </si>
  <si>
    <t>Владимир Чугунов: Заголовок изменен на Армирование Форшахты В/О 21-23/Г-д и 23/Е-И</t>
  </si>
  <si>
    <t>Траншея Зах.3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</si>
  <si>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- 2019-09-30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</si>
  <si>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- 2019-09-30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</si>
  <si>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- 2019-09-30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</si>
  <si>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- 2019-09-30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</si>
  <si>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- 2019-09-30</t>
  </si>
  <si>
    <t>Yes: 2.1. Произведена запись в общий журнал работ (п.15.5.5 СП 70.13330) (ВЧУ) - 2019-09-30</t>
  </si>
  <si>
    <t>Yes: Нормативная документация: СП 45.13330.2012 Земляные сооружения, основания и фундаменты (ВЧУ) - 2019-09-30</t>
  </si>
  <si>
    <t>Владимир Чугунов: Заголовок изменен на Траншея Зах.3</t>
  </si>
  <si>
    <t>Арматурный Каркас Зах.3</t>
  </si>
  <si>
    <t>Владимир Чугунов: Заголовок изменен на Арматурный Каркас Зах.3</t>
  </si>
  <si>
    <t>Арматурный Каркас СВГ Зах. 25</t>
  </si>
  <si>
    <t>Yes: 1.1. Армокаркасы. используемые при армировании. соответствуют РД и прошли входной контроль (ВЧУ) - 2019-09-09</t>
  </si>
  <si>
    <t>Yes: 1.2. Документы о качестве арматурных каркасов предоставлены. (п.6.33 ГОСТ 10922-2012) (ВЧУ) - 2019-09-09</t>
  </si>
  <si>
    <t>Yes: 1.3. Аттестация у исполнителей и руководителя сварочных работ подтверждена. (пп.3.23. 10.1.1. 10.1.3  СП 70.13330.2012) (ВЧУ) - 2019-09-09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</si>
  <si>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- 2019-09-09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</si>
  <si>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- 2019-09-09</t>
  </si>
  <si>
    <t>Yes: 2.1. Необходимые по проекту каркасы оборудованы инклинометрическими датчиками (арматурные каркасы с индексом "И") (ВЧУ) - 2019-09-09</t>
  </si>
  <si>
    <t>Yes: 2.2. Закладные детали установлены в проектное положение. выверены. исполнительная схема составлена (ВЧУ) - 2019-09-09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</si>
  <si>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- 2019-09-09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</si>
  <si>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- 2019-09-09</t>
  </si>
  <si>
    <t>Yes: 3.2. Оформлен акт освидетельствования скрытых работ на армирование. акт на монтаж ограничителей. (п.3.5 СП 70.13330.2012) (ВЧУ) - 2019-09-09</t>
  </si>
  <si>
    <t>Yes: Нормативная документация: ГОСТ 10922-2012; СП 70.13330.2012 Несущие и ограждающие конструкции (ВЧУ) - 2019-09-09</t>
  </si>
  <si>
    <t>Владимир Чугунов: Заголовок изменен на Арматурный Каркас СВГ Зах. 25</t>
  </si>
  <si>
    <t>БНС 620_14</t>
  </si>
  <si>
    <t>Yes: Диаметр ствола и уширения соответствует проектным требованиям (ВЧУ) - 2019-12-22</t>
  </si>
  <si>
    <t>Yes: Вертикальность ствола сваи соответствует нормативным требованиям (ВЧУ) - 2019-12-22</t>
  </si>
  <si>
    <t>Yes: Наличие воды в скважине (ВЧУ) - 2019-12-22</t>
  </si>
  <si>
    <t>Yes: Наличие вывалов грунта при бурении (ВЧУ) - 2019-12-22</t>
  </si>
  <si>
    <t>Yes: Бурение скважин с применением обсадных труб осуществляется без опережающего забоя (ВЧУ) - 2019-12-22</t>
  </si>
  <si>
    <t>Yes: При бурении в обводненных песках с прослойками плывуна, заполняющего полость обсадной трубы, обеспечивается подача в нее воды для поддержания расчетного уровня подземных вод избыточным напором не менее 4 м (ВЧУ) - 2019-12-22</t>
  </si>
  <si>
    <t>Yes: При бурении скважин под защитой глинистого раствора его уровень в процессе бурения выше подземных вод не менее чем на 0,5 м (ВЧУ) - 2019-12-22</t>
  </si>
  <si>
    <t>Yes: При бурении скважин под защитой бурового полимерного раствора его уровень в скважине в процессе бурения выше уровня подземных вод на величину, равную 10 % длины сваи, но не менее чем на 2 м (ВЧУ) - 2019-12-22</t>
  </si>
  <si>
    <t>Yes: Недопущение бурения в задел (ВЧУ) - 2019-12-22</t>
  </si>
  <si>
    <t>Yes: Бурение скважин рядом с ранее изготовленными сваями по прошествии не менее 48 часов после окончания бетонирования последних (сокращение указанного срока при использовании специальных бетонов с ускоренным временем твердения) (ВЧУ) - 2019-12-22</t>
  </si>
  <si>
    <t>Yes: После завершения проходки скважины произведена зачистка забоя от шлама механическим способом (ВЧУ) - 2019-12-22</t>
  </si>
  <si>
    <t>Yes: Разрешается приемка скважины (ВЧУ) - 2019-12-22</t>
  </si>
  <si>
    <t>Yes: Работы выполняются на основе утвержденного ППР (ВЧУ) - 2019-12-22</t>
  </si>
  <si>
    <t>Yes: Наличие записи в журнале производства работ (ВЧУ) - 2019-12-22</t>
  </si>
  <si>
    <t>Yes: Руководство по производству и приемке работ при устройстве оснований и фундаментов (НИИОСП им. Н.М. Герсиванова). (ВЧУ) - 2019-12-22</t>
  </si>
  <si>
    <t>Yes: СП45.13330.2012 Земляные сооружения, основания и фундаменты. (ВЧУ) - 2019-12-22</t>
  </si>
  <si>
    <t>Yes: СП50-102-2012 Проектирование и устройство свайных фундаментов (ВЧУ) - 2019-12-22</t>
  </si>
  <si>
    <t>Yes: Наличие в составе проекта производства работ (ППР) материалов, устанавливающих порядок сборки арматурного каркаса из отдельных секций, определяющих способы строповки, поднятия, перемещения и опускания арматурного каркаса в скважину, исключающие возможность появления остаточных деформаций каркаса или отдельных его стержней, а также нарушения устойчивости грунта боковой поверхности скважины (ВЧУ) - 2019-12-22</t>
  </si>
  <si>
    <t>Yes: Наличие соответствия фактической конструкции секций армокаркаса принятым в проекте, в том числе: (ВЧУ) - 2019-12-22</t>
  </si>
  <si>
    <t>Yes: Наличие маркировки (бирки) и сопроводительных документов, удостоверяющих качество отдельных секций (ВЧУ) - 2019-12-22</t>
  </si>
  <si>
    <t>Yes: Наличие соответствия наружного диаметра секций каркаса (в местах закрепления фиксаторов защитного слоя) диаметру обсадной трубы (ВЧУ) - 2019-12-22</t>
  </si>
  <si>
    <t>Yes: Наличие соответствия положения элементов секции арматурного каркаса буровой сваи, в том числе: (ВЧУ) - 2019-12-22</t>
  </si>
  <si>
    <t>Yes: Взаимное расположение продольных стержней по периметру секции с отклонением не более 1 см (ВЧУ) - 2019-12-22</t>
  </si>
  <si>
    <t>Yes: Отклонение длины стержней не более 5 см (ВЧУ) - 2019-12-22</t>
  </si>
  <si>
    <t>Yes: Отклонение шага стержней не более 2 см (ВЧУ) - 2019-12-22</t>
  </si>
  <si>
    <t>Yes: Отклонение расстояния между кольцами жесткости не более 10 см (ВЧУ) - 2019-12-22</t>
  </si>
  <si>
    <t>Yes: Отклонение расстояния между фиксаторами защитного слоя не более 10 см (ВЧУ) - 2019-12-22</t>
  </si>
  <si>
    <t>Yes: Отклонение высоты фиксаторов не более 1 см (ВЧУ) - 2019-12-22</t>
  </si>
  <si>
    <t>Yes: Отклонение диаметра каркаса в местах расположения колец жесткости не более 2 см (ВЧУ) - 2019-12-22</t>
  </si>
  <si>
    <t>Yes: Отсутствие деформаций, загрязнения, масел, ржавчины и т.д. (ВЧУ) - 2019-12-22</t>
  </si>
  <si>
    <t>Yes: СП 50-102-2003 Проектирование и устройство свайных фундаментов (ВЧУ) - 2019-12-22</t>
  </si>
  <si>
    <t>Стыковка БО Зах.54</t>
  </si>
  <si>
    <t>Владимир Чугунов: Заголовок изменен на Стыковка БО Зах.54</t>
  </si>
  <si>
    <t>Владимир Чугунов: Дата начала изменена на окт. 2, 2019</t>
  </si>
  <si>
    <t>Траншея СВГ Зах. 54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</si>
  <si>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- 2019-10-02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</si>
  <si>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- 2019-10-02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</si>
  <si>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- 2019-10-02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</si>
  <si>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- 2019-10-02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</si>
  <si>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- 2019-10-02</t>
  </si>
  <si>
    <t>Yes: 2.1. Произведена запись в общий журнал работ (п.15.5.5 СП 70.13330) (ВЧУ) - 2019-10-02</t>
  </si>
  <si>
    <t>Yes: Нормативная документация: СП 45.13330.2012 Земляные сооружения, основания и фундаменты (ВЧУ) - 2019-10-02</t>
  </si>
  <si>
    <t>Владимир Чугунов: Заголовок изменен на Траншея СВГ Зах. 54</t>
  </si>
  <si>
    <t>Арматурный Каркас СВГ Зах.54</t>
  </si>
  <si>
    <t>Yes: 1.1. Армокаркасы. используемые при армировании. соответствуют РД и прошли входной контроль (ВЧУ) - 2019-10-03</t>
  </si>
  <si>
    <t>Yes: 1.2. Документы о качестве арматурных каркасов предоставлены. (п.6.33 ГОСТ 10922-2012) (ВЧУ) - 2019-10-03</t>
  </si>
  <si>
    <t>Yes: 1.3. Аттестация у исполнителей и руководителя сварочных работ подтверждена. (пп.3.23. 10.1.1. 10.1.3  СП 70.13330.2012) (ВЧУ) - 2019-10-03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</si>
  <si>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- 2019-10-03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</si>
  <si>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- 2019-10-03</t>
  </si>
  <si>
    <t>Yes: 2.1. Необходимые по проекту каркасы оборудованы инклинометрическими датчиками (арматурные каркасы с индексом "И") (ВЧУ) - 2019-10-03</t>
  </si>
  <si>
    <t>Yes: 2.2. Закладные детали установлены в проектное положение. выверены. исполнительная схема составлена (ВЧУ) - 2019-10-03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</si>
  <si>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- 2019-10-03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</si>
  <si>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- 2019-10-03</t>
  </si>
  <si>
    <t>Yes: 3.2. Оформлен акт освидетельствования скрытых работ на армирование. акт на монтаж ограничителей. (п.3.5 СП 70.13330.2012) (ВЧУ) - 2019-10-03</t>
  </si>
  <si>
    <t>Yes: Нормативная документация: ГОСТ 10922-2012; СП 70.13330.2012 Несущие и ограждающие конструкции (ВЧУ) - 2019-10-03</t>
  </si>
  <si>
    <t>Владимир Чугунов: Заголовок изменен на Арматурный Каркас СВГ Зах.54</t>
  </si>
  <si>
    <t>Арматурный Каркас Зах.55</t>
  </si>
  <si>
    <t>Yes: 1.1. Армокаркасы. используемые при армировании. соответствуют РД и прошли входной контроль (ВЧУ) - 2019-10-04</t>
  </si>
  <si>
    <t>Yes: 1.2. Документы о качестве арматурных каркасов предоставлены. (п.6.33 ГОСТ 10922-2012) (ВЧУ) - 2019-10-04</t>
  </si>
  <si>
    <t>Yes: 1.3. Аттестация у исполнителей и руководителя сварочных работ подтверждена. (пп.3.23. 10.1.1. 10.1.3  СП 70.13330.2012) (ВЧУ) - 2019-10-04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</si>
  <si>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- 2019-10-04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</si>
  <si>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- 2019-10-04</t>
  </si>
  <si>
    <t>Yes: 2.1. Необходимые по проекту каркасы оборудованы инклинометрическими датчиками (арматурные каркасы с индексом "И") (ВЧУ) - 2019-10-04</t>
  </si>
  <si>
    <t>Yes: 2.2. Закладные детали установлены в проектное положение. выверены. исполнительная схема составлена (ВЧУ) - 2019-10-04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</si>
  <si>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- 2019-10-04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</si>
  <si>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- 2019-10-04</t>
  </si>
  <si>
    <t>Yes: 3.2. Оформлен акт освидетельствования скрытых работ на армирование. акт на монтаж ограничителей. (п.3.5 СП 70.13330.2012) (ВЧУ) - 2019-10-04</t>
  </si>
  <si>
    <t>Yes: Нормативная документация: ГОСТ 10922-2012; СП 70.13330.2012 Несущие и ограждающие конструкции (ВЧУ) - 2019-10-04</t>
  </si>
  <si>
    <t>Владимир Чугунов: Заголовок изменен на Арматурный Каркас Зах.55</t>
  </si>
  <si>
    <t>БНС 620_27</t>
  </si>
  <si>
    <t>в2.5_изготовление_буронабивных_свай__i_этап_бурение_скважины</t>
  </si>
  <si>
    <t>п2.6_изготовление_буронабивных_свай__ii_этап_установка_арматурного_каркаса</t>
  </si>
  <si>
    <t>Yes: Местоположение свай закреплено на месте металлическими штырями, забитыми на глубину 0,2 - 0,3 м (ВЧУ) - 2019-12-23</t>
  </si>
  <si>
    <t>Yes: Все предшествующие работы по устройству свайных фундаментов выполнены, в том числе: (ВЧУ) - 2019-12-23</t>
  </si>
  <si>
    <t>Yes: Произведена планировка площадки срезкой или подсыпкой (ВЧУ) - 2019-12-23</t>
  </si>
  <si>
    <t>Yes: Подготовлен котлован и осуществлена его сдача-приемка (ВЧУ) - 2019-12-23</t>
  </si>
  <si>
    <t>Yes: Наличие и состав проекта производства работ (ППР) на устройство свайных фундаментов, а также его согласование с проектной организацией, разработавшей проект свайных фундаментов. Наличие всех машин и механизмов, установленных в ППР для устройства буронабивных свай (ВЧУ) - 2019-12-23</t>
  </si>
  <si>
    <t>Yes: Наличие правильности установки бурового агрегата над скважиной (ВЧУ) - 2019-12-23</t>
  </si>
  <si>
    <t>Yes: Наличие герметичности стыков инвентарных обсадных труб, расположенных ниже уровня подземных вод (в случае закрепления стенок скважины извлекаемыми инвентарными обсадными трубами)  (ВЧУ) - 2019-12-23</t>
  </si>
  <si>
    <t>Yes: Разрешается бурение скважины (ВЧУ) - 2019-12-23</t>
  </si>
  <si>
    <t>Yes: СП 50-102-2003 Проектирование и устройство свайных фундаментов (ВЧУ) - 2019-12-23</t>
  </si>
  <si>
    <t>Yes: Фактическое положение (в плане и по высоте) арматурного каркаса в скважине соответствует нормативным требованиям (ВЧУ) - 2019-12-23</t>
  </si>
  <si>
    <t>Yes: Номер арматурного каркаса, установленного в скважину, зафиксирован в журнале производства работ (ВЧУ) - 2019-12-23</t>
  </si>
  <si>
    <t>Yes: Наличие актов освидетельствования скрытых работ (ВЧУ) - 2019-12-23</t>
  </si>
  <si>
    <t>Yes: Наличие записи в журнале производства работ (ВЧУ) - 2019-12-23</t>
  </si>
  <si>
    <t>Yes: Разрешается бетонирование (ВЧУ) - 2019-12-23</t>
  </si>
  <si>
    <t>Владимир Чугунов: Заголовок изменен на БНС 620_27</t>
  </si>
  <si>
    <t>Траншея Зах.47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</si>
  <si>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- 2019-10-26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</si>
  <si>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- 2019-10-26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</si>
  <si>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- 2019-10-26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</si>
  <si>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- 2019-10-26</t>
  </si>
  <si>
    <t>N/A: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- 2019-10-26</t>
  </si>
  <si>
    <t>Yes: 2.1. Произведена запись в общий журнал работ (п.15.5.5 СП 70.13330) (ВЧУ) - 2019-10-26</t>
  </si>
  <si>
    <t>Yes: Нормативная документация: СП 45.13330.2012 Земляные сооружения, основания и фундаменты (ВЧУ) - 2019-10-26</t>
  </si>
  <si>
    <t>Владимир Чугунов: Заголовок изменен на Траншея Зах.47</t>
  </si>
  <si>
    <t>Монтаж Боковых граничителей Зах.47</t>
  </si>
  <si>
    <t>Владимир Чугунов: Заголовок изменен на Монтаж Боковых граничителей Зах.47</t>
  </si>
  <si>
    <t>БНС 620_40</t>
  </si>
  <si>
    <t>Yes: Осуществлена проверка размеров скважины и уширения буронабивных свай. Фактические отклонения размеров скважины не превышают предельно допустимых, в том числе: (ВЧУ) - 2019-12-23</t>
  </si>
  <si>
    <t>Yes: Отклонение отметок устья, забоя и уширений не более 10 см (ВЧУ) - 2019-12-23</t>
  </si>
  <si>
    <t>Yes: Отклонение диаметра скважины не более 5 см (ВЧУ) - 2019-12-23</t>
  </si>
  <si>
    <t>Yes: Отклонение диаметра уширения не более 10 см (ВЧУ) - 2019-12-23</t>
  </si>
  <si>
    <t>Yes: Отклонение вертикальности оси скважины не более 1% (ВЧУ) - 2019-12-23</t>
  </si>
  <si>
    <t>Yes: Отклонение скважин поперек ряда не более 10 см (ВЧУ) - 2019-12-23</t>
  </si>
  <si>
    <t>Yes: Отклонение скважин вдоль ряда при кустовом расположении свай не более 15 см (ВЧУ) - 2019-12-23</t>
  </si>
  <si>
    <t>Yes: Наличие документов, удостоверяющих проведение комплекса работ по зачистке и уплотнению грунтов в забое (характеристики грунта забоя и степень его уплотнения соответствуют проектным требованиям) (ВЧУ) - 2019-12-23</t>
  </si>
  <si>
    <t>Yes: Наличие акта приемки котлована до начала работ со схемой геодезической разбивки и закрепления осей фундаментов (ВЧУ) - 2019-12-23</t>
  </si>
  <si>
    <t>Yes: Наличие акта освидетельствования скрытых работ (ВЧУ) - 2019-12-23</t>
  </si>
  <si>
    <t>Yes: Разрешается армирование (ВЧУ) - 2019-12-23</t>
  </si>
  <si>
    <t>Yes: СП 45.13330.2012 «Земляные сооружения, основания и фундаменты». (ВЧУ) - 2019-12-23</t>
  </si>
  <si>
    <t>Владимир Чугунов: Заголовок изменен на БНС 620_</t>
  </si>
  <si>
    <t>Владимир Чугунов: Заголовок изменен на БНС 620_40</t>
  </si>
  <si>
    <t>Арматурный Каркас СВГ Зах.47</t>
  </si>
  <si>
    <t>Yes: 1.1. Армокаркасы. используемые при армировании. соответствуют РД и прошли входной контроль (ВЧУ) - 2019-10-26</t>
  </si>
  <si>
    <t>Yes: 1.2. Документы о качестве арматурных каркасов предоставлены. (п.6.33 ГОСТ 10922-2012) (ВЧУ) - 2019-10-26</t>
  </si>
  <si>
    <t>Yes: 1.3. Аттестация у исполнителей и руководителя сварочных работ подтверждена. (пп.3.23. 10.1.1. 10.1.3  СП 70.13330.2012) (ВЧУ) - 2019-10-26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</si>
  <si>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- 2019-10-26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</si>
  <si>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- 2019-10-26</t>
  </si>
  <si>
    <t>Yes: 2.1. Необходимые по проекту каркасы оборудованы инклинометрическими датчиками (арматурные каркасы с индексом "И") (ВЧУ) - 2019-10-26</t>
  </si>
  <si>
    <t>Yes: 2.2. Закладные детали установлены в проектное положение. выверены. исполнительная схема составлена (ВЧУ) - 2019-10-26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</si>
  <si>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- 2019-10-26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</si>
  <si>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- 2019-10-26</t>
  </si>
  <si>
    <t>Yes: 3.2. Оформлен акт освидетельствования скрытых работ на армирование. акт на монтаж ограничителей. (п.3.5 СП 70.13330.2012) (ВЧУ) - 2019-10-26</t>
  </si>
  <si>
    <t>Yes: Нормативная документация: ГОСТ 10922-2012; СП 70.13330.2012 Несущие и ограждающие конструкции (ВЧУ) - 2019-10-26</t>
  </si>
  <si>
    <t>Владимир Чугунов: Заголовок изменен на Арматурный Каркас СВГ Зах.47</t>
  </si>
  <si>
    <t>Траншея СВГ Зах.53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</si>
  <si>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- 2019-10-29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</si>
  <si>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- 2019-10-29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</si>
  <si>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- 2019-10-29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</si>
  <si>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- 2019-10-29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</si>
  <si>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- 2019-10-29</t>
  </si>
  <si>
    <t>Yes: 2.1. Произведена запись в общий журнал работ (п.15.5.5 СП 70.13330) (ВЧУ) - 2019-10-29</t>
  </si>
  <si>
    <t>Yes: Нормативная документация: СП 45.13330.2012 Земляные сооружения, основания и фундаменты (ВЧУ) - 2019-10-29</t>
  </si>
  <si>
    <t>Владимир Чугунов: Заголовок изменен на Траншея СВГ Зах.53</t>
  </si>
  <si>
    <t>БНС 620_ 12</t>
  </si>
  <si>
    <t>Yes: 2,1. Материал соответствует требованиям проекта (ВЧУ) - 2019-12-24</t>
  </si>
  <si>
    <t>No: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- 2019-12-24</t>
  </si>
  <si>
    <t>N/A: 2,3. Предоставлен протокол испытания лаборатории, который подтверждает соответствие нормативам и сопроводительным документам (ВЧУ) - 2019-12-24</t>
  </si>
  <si>
    <t>Yes: 2,4. Условия хранения материала соблюдаются (ВЧУ) - 2019-12-24</t>
  </si>
  <si>
    <t>Yes: 2,5. Наличие записи в "Журнале входного учета и контроля качества получаемых деталей, материалов, конструкций и оборудования" (ВЧУ) - 2019-12-24</t>
  </si>
  <si>
    <t>Yes: 3,1. Допускается к производству работ (ВЧУ) - 2019-12-24</t>
  </si>
  <si>
    <t>Yes: Наличие в составе проекта производства работ (ППР) материалов, устанавливающих порядок сборки арматурного каркаса из отдельных секций, определяющих способы строповки, поднятия, перемещения и опускания арматурного каркаса в скважину, исключающие возможность появления остаточных деформаций каркаса или отдельных его стержней, а также нарушения устойчивости грунта боковой поверхности скважины (ВЧУ) - 2019-12-24</t>
  </si>
  <si>
    <t>Yes: Наличие соответствия фактической конструкции секций армокаркаса принятым в проекте, в том числе: (ВЧУ) - 2019-12-24</t>
  </si>
  <si>
    <t>Yes: Наличие маркировки (бирки) и сопроводительных документов, удостоверяющих качество отдельных секций (ВЧУ) - 2019-12-24</t>
  </si>
  <si>
    <t>Yes: Наличие соответствия наружного диаметра секций каркаса (в местах закрепления фиксаторов защитного слоя) диаметру обсадной трубы (ВЧУ) - 2019-12-24</t>
  </si>
  <si>
    <t>Yes: Наличие соответствия положения элементов секции арматурного каркаса буровой сваи, в том числе: (ВЧУ) - 2019-12-24</t>
  </si>
  <si>
    <t>Yes: Взаимное расположение продольных стержней по периметру секции с отклонением не более 1 см (ВЧУ) - 2019-12-24</t>
  </si>
  <si>
    <t>Yes: Отклонение длины стержней не более 5 см (ВЧУ) - 2019-12-24</t>
  </si>
  <si>
    <t>Yes: Отклонение шага стержней не более 2 см (ВЧУ) - 2019-12-24</t>
  </si>
  <si>
    <t>Yes: Отклонение расстояния между кольцами жесткости не более 10 см (ВЧУ) - 2019-12-24</t>
  </si>
  <si>
    <t>Yes: Отклонение расстояния между фиксаторами защитного слоя не более 10 см (ВЧУ) - 2019-12-24</t>
  </si>
  <si>
    <t>Yes: Отклонение высоты фиксаторов не более 1 см (ВЧУ) - 2019-12-24</t>
  </si>
  <si>
    <t>Yes: Отклонение диаметра каркаса в местах расположения колец жесткости не более 2 см (ВЧУ) - 2019-12-24</t>
  </si>
  <si>
    <t>Yes: Отсутствие деформаций, загрязнения, масел, ржавчины и т.д. (ВЧУ) - 2019-12-24</t>
  </si>
  <si>
    <t>Yes: СП 50-102-2003 Проектирование и устройство свайных фундаментов (ВЧУ) - 2019-12-24</t>
  </si>
  <si>
    <t>Владимир Чугунов: Заголовок изменен на БНС 620_ 12</t>
  </si>
  <si>
    <t>Бетонирование СВГ Зах.53</t>
  </si>
  <si>
    <t>Yes: 1.1. Бетонирование производится бетоном, соответствующим проектным требованиям, прошедшим входной контроль (ВЧУ) - 2019-10-29</t>
  </si>
  <si>
    <t>Yes: 1.2. Бетонирование захватки произведено непрерывно с двум бетонных труб в соответствии с технологичекими требованиями (ВЧУ) - 2019-10-29</t>
  </si>
  <si>
    <t>Yes: 1.3. Укладка бетона в выработку произведена не позже 8ч после окончания разработки грунта и не позже 4ч после опускания в выработку арматурного каркаса.  (ВЧУ) - 2019-10-29</t>
  </si>
  <si>
    <t>Yes: 1.4. Демонтаж межсекционных ограничителей из захваток выполнен через 5-6 ч после окончания бетонирования (ВЧУ) - 2019-10-29</t>
  </si>
  <si>
    <t>Yes: 1.5. Бетонирование выполнено до момента поднятия уровня чистой смеси до проектной отметки. (ВЧУ) - 2019-10-29</t>
  </si>
  <si>
    <t>Yes: 1.6. Контрольные образцы бетонной смеси изготовлены в количестве не менее 6 шт. на партию бетона (ВЧУ) - 2019-10-29</t>
  </si>
  <si>
    <t>Yes: 2.1. Произведены записи в общем журнале работ (Раздел 3, раздел 6) по бетонированию, указаны результаты операционного контроля. (ВЧУ) - 2019-10-29</t>
  </si>
  <si>
    <t>Yes: 2.2. Оформлен акт освидетельствования скрытых работ на бетонирование захватки СВГ. (ВЧУ) - 2019-10-29</t>
  </si>
  <si>
    <t>Владимир Чугунов: Заголовок изменен на Бетонирование СВГ Зах.53</t>
  </si>
  <si>
    <t>Владимир Чугунов: Дата начала изменена на окт. 21, 2019</t>
  </si>
  <si>
    <t>Стыковка Боковых Ограничителей СВГ Зах.52</t>
  </si>
  <si>
    <t>Владимир Чугунов: Заголовок изменен на Стыковка Боковых Ограничителей СВГ Зах.52</t>
  </si>
  <si>
    <t>Владимир Чугунов: Дата начала изменена на окт. 30, 2019</t>
  </si>
  <si>
    <t>Арматурный Каркас СВГ Зах.52</t>
  </si>
  <si>
    <t>Yes: 1.1. Армокаркасы. используемые при армировании. соответствуют РД и прошли входной контроль (ВЧУ) - 2019-10-30</t>
  </si>
  <si>
    <t>Yes: 1.2. Документы о качестве арматурных каркасов предоставлены. (п.6.33 ГОСТ 10922-2012) (ВЧУ) - 2019-10-30</t>
  </si>
  <si>
    <t>Yes: 1.3. Аттестация у исполнителей и руководителя сварочных работ подтверждена. (пп.3.23. 10.1.1. 10.1.3  СП 70.13330.2012) (ВЧУ) - 2019-10-30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</si>
  <si>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- 2019-10-30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</si>
  <si>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- 2019-10-30</t>
  </si>
  <si>
    <t>Yes: 2.1. Необходимые по проекту каркасы оборудованы инклинометрическими датчиками (арматурные каркасы с индексом "И") (ВЧУ) - 2019-10-30</t>
  </si>
  <si>
    <t>Yes: 2.2. Закладные детали установлены в проектное положение. выверены. исполнительная схема составлена (ВЧУ) - 2019-10-30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</si>
  <si>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- 2019-10-30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</si>
  <si>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- 2019-10-30</t>
  </si>
  <si>
    <t>Yes: 3.2. Оформлен акт освидетельствования скрытых работ на армирование. акт на монтаж ограничителей. (п.3.5 СП 70.13330.2012) (ВЧУ) - 2019-10-30</t>
  </si>
  <si>
    <t>Yes: Нормативная документация: ГОСТ 10922-2012; СП 70.13330.2012 Несущие и ограждающие конструкции (ВЧУ) - 2019-10-30</t>
  </si>
  <si>
    <t>Владимир Чугунов: Заголовок изменен на Арматурный Каркас СВГ Зах.52</t>
  </si>
  <si>
    <t>Стыковка Боковых Ограничителей СВГ Зах.51</t>
  </si>
  <si>
    <t>Владимир Чугунов: Заголовок изменен на Стыковка Боковых Ограничителей СВГ Зах.51</t>
  </si>
  <si>
    <t>Арматурный Каркас СВГ Зах.51</t>
  </si>
  <si>
    <t>Yes: 1.1. Армокаркасы. используемые при армировании. соответствуют РД и прошли входной контроль (ВЧУ) - 2019-10-31</t>
  </si>
  <si>
    <t>Yes: 1.2. Документы о качестве арматурных каркасов предоставлены. (п.6.33 ГОСТ 10922-2012) (ВЧУ) - 2019-10-31</t>
  </si>
  <si>
    <t>Yes: 1.3. Аттестация у исполнителей и руководителя сварочных работ подтверждена. (пп.3.23. 10.1.1. 10.1.3  СП 70.13330.2012) (ВЧУ) - 2019-10-31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</si>
  <si>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- 2019-10-31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</si>
  <si>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- 2019-10-31</t>
  </si>
  <si>
    <t>Yes: 2.1. Необходимые по проекту каркасы оборудованы инклинометрическими датчиками (арматурные каркасы с индексом "И") (ВЧУ) - 2019-10-31</t>
  </si>
  <si>
    <t>Yes: 2.2. Закладные детали установлены в проектное положение. выверены. исполнительная схема составлена (ВЧУ) - 2019-10-31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</si>
  <si>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- 2019-10-31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</si>
  <si>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- 2019-10-31</t>
  </si>
  <si>
    <t>Yes: 3.2. Оформлен акт освидетельствования скрытых работ на армирование. акт на монтаж ограничителей. (п.3.5 СП 70.13330.2012) (ВЧУ) - 2019-10-31</t>
  </si>
  <si>
    <t>Yes: Нормативная документация: ГОСТ 10922-2012; СП 70.13330.2012 Несущие и ограждающие конструкции (ВЧУ) - 2019-10-31</t>
  </si>
  <si>
    <t>Владимир Чугунов: Заголовок изменен на Арматурный Каркас СВГ Зах.51</t>
  </si>
  <si>
    <t>Траншея СВГ Зах.50</t>
  </si>
  <si>
    <t>Yes: 1.1. Наличие РД и ППР. допущенных в производство работ. Работы ведутся в соответствии с ППР и Технологической картой. (п.15.5.5 СП 50-102-2003) (ВЧУ) - 2019-11-01</t>
  </si>
  <si>
    <t>Yes: 1.2. При производстве работ веделся регулярный отбор проб глинистого раствора с заполнением журнала. Приготовленный глинистый раствор удовлетворяет требованиям. (п.14.1.9. Таблица 14.2 СП 45.13330.2012) (ВЧУ) - 2019-11-01</t>
  </si>
  <si>
    <t>Yes: 1.3. При разработке грунта глинистый раствор в выработке поддерживается на уровне не ниже 50 см от верха форшахты. (п. 14.1.19  СП 45.13330.2012) (ВЧУ) - 2019-11-01</t>
  </si>
  <si>
    <t>Yes: 1.4. Фактические геометрические параметры траншеи проверены через каждые 10 метров по длине и соответствуют проектным требованиям. Отклонения в пределах нормативных допусков (ВЧУ) - 2019-11-01</t>
  </si>
  <si>
    <t>Yes: 1.5. Врезка межсекционных ограничителей произведена в сооветствии нормативными требованиями (п. 14.3.6 СП 45.13330.2012). Верх ограничителя надежно закреплен (ВЧУ) - 2019-11-01</t>
  </si>
  <si>
    <t>Yes: 2.1. Произведена запись в общий журнал работ (п.15.5.5 СП 70.13330) (ВЧУ) - 2019-11-01</t>
  </si>
  <si>
    <t>Yes: Нормативная документация: СП 45.13330.2012 Земляные сооружения, основания и фундаменты (ВЧУ) - 2019-11-01</t>
  </si>
  <si>
    <t>Владимир Чугунов: Заголовок изменен на Траншея СВГ Зах.50</t>
  </si>
  <si>
    <t>Владимир Чугунов: Дата начала изменена на нояб. 1, 2019</t>
  </si>
  <si>
    <t>Стыковка БО СВГ Зах.50</t>
  </si>
  <si>
    <t>Владимир Чугунов: Заголовок изменен на Стыковка БО СВГ Зах.50</t>
  </si>
  <si>
    <t>Арматурный Каркас СВГ Зах.50</t>
  </si>
  <si>
    <t>Yes: 1.1. Армокаркасы. используемые при армировании. соответствуют РД и прошли входной контроль (ВЧУ) - 2019-11-01</t>
  </si>
  <si>
    <t>Yes: 1.2. Документы о качестве арматурных каркасов предоставлены. (п.6.33 ГОСТ 10922-2012) (ВЧУ) - 2019-11-01</t>
  </si>
  <si>
    <t>Yes: 1.3. Аттестация у исполнителей и руководителя сварочных работ подтверждена. (пп.3.23. 10.1.1. 10.1.3  СП 70.13330.2012) (ВЧУ) - 2019-11-01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</si>
  <si>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- 2019-11-01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</si>
  <si>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- 2019-11-01</t>
  </si>
  <si>
    <t>Yes: 2.1. Необходимые по проекту каркасы оборудованы инклинометрическими датчиками (арматурные каркасы с индексом "И") (ВЧУ) - 2019-11-01</t>
  </si>
  <si>
    <t>Yes: 2.2. Закладные детали установлены в проектное положение. выверены. исполнительная схема составлена (ВЧУ) - 2019-11-01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</si>
  <si>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- 2019-11-01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</si>
  <si>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- 2019-11-01</t>
  </si>
  <si>
    <t>Yes: 3.2. Оформлен акт освидетельствования скрытых работ на армирование. акт на монтаж ограничителей. (п.3.5 СП 70.13330.2012) (ВЧУ) - 2019-11-01</t>
  </si>
  <si>
    <t>Yes: Нормативная документация: ГОСТ 10922-2012; СП 70.13330.2012 Несущие и ограждающие конструкции (ВЧУ) - 2019-11-01</t>
  </si>
  <si>
    <t>Владимир Чугунов: Заголовок изменен на Арматурный Каркас СВГ Зах.50</t>
  </si>
  <si>
    <t>Арматурный Каркас СВГ Зах.49</t>
  </si>
  <si>
    <t>Yes: 1.1. Армокаркасы. используемые при армировании. соответствуют РД и прошли входной контроль (ВЧУ) - 2019-11-02</t>
  </si>
  <si>
    <t>Yes: 1.2. Документы о качестве арматурных каркасов предоставлены. (п.6.33 ГОСТ 10922-2012) (ВЧУ) - 2019-11-02</t>
  </si>
  <si>
    <t>Yes: 1.3. Аттестация у исполнителей и руководителя сварочных работ подтверждена. (пп.3.23. 10.1.1. 10.1.3  СП 70.13330.2012) (ВЧУ) - 2019-11-02</t>
  </si>
  <si>
    <t>Yes: 1.4. Каркас удовлетворяет требованиям проекта и норм. отсутствуют загрязнения. недопустимая ржавчина. Отклонение от проектного положения по глубине не более +/-50мм. (ВЧУ) - 2019-11-02</t>
  </si>
  <si>
    <t>Yes: 1.5. Составлен акт/протокол визуального осмотра и измерений каркаса (партии) и его сварных соединений. составленный аккредитованной испытательной лабораторией. (п.5.16.22 СП 70.13330; пп. 6.14. 6.16. 6.24 ГОСТ 10922-2012) (ВЧУ) - 2019-11-02</t>
  </si>
  <si>
    <t>Yes: 2.1. Необходимые по проекту каркасы оборудованы инклинометрическими датчиками (арматурные каркасы с индексом "И") (ВЧУ) - 2019-11-02</t>
  </si>
  <si>
    <t>Yes: 2.2. Закладные детали установлены в проектное положение. выверены. исполнительная схема составлена (ВЧУ) - 2019-11-02</t>
  </si>
  <si>
    <t>Yes: 2.3. Закладные детали крепятся к продольной арматуре каркаса двойной вязальной проволокой 0.8-1мм/ к фиксатору защитного слоя сваркой (ВЧУ) - 2019-11-02</t>
  </si>
  <si>
    <t>Yes: 3.1. Произведена запись в журнал входного контроля материалов и конструкций. в т.ч. указаны сопроводительные документы и паспорта качества на арматурный каркас. (п.5.16.8 СП 70.13330.2012; п.6.1 ГОСТ 10922-2012) (ВЧУ) - 2019-11-02</t>
  </si>
  <si>
    <t>Yes: 3.2. Оформлен акт освидетельствования скрытых работ на армирование. акт на монтаж ограничителей. (п.3.5 СП 70.13330.2012) (ВЧУ) - 2019-11-02</t>
  </si>
  <si>
    <t>Yes: Нормативная документация: ГОСТ 10922-2012; СП 70.13330.2012 Несущие и ограждающие конструкции (ВЧУ) - 2019-11-02</t>
  </si>
  <si>
    <t>Владимир Чугунов: Заголовок изменен на Арматурный Каркас СВГ Зах.49</t>
  </si>
  <si>
    <t>Арматурный Каркас БО 1.2</t>
  </si>
  <si>
    <t>Yes: 1.1 Вертикальный и горизонтальный шаг арматуры соответствует проекту. Отклонение между рядами арматуры не более 10 мм (ВЧУ) - 2019-12-11</t>
  </si>
  <si>
    <t>Yes: 1.2 Длина арматурных элементов соответствуют проекту. Длины нахлестов/анкеровки арматуры составляют не менее 5% длины арматуры (ГОСТ 10922-2012) (ВЧУ) - 2019-12-11</t>
  </si>
  <si>
    <t>Yes: 1.3 Отклонение толщины защитного слоя бетона от проектной не более 15 мм и не менее 5 мм при толщине бетона более 300 мм (ВЧУ) - 2019-12-11</t>
  </si>
  <si>
    <t>Yes: 1.4 Сварные соединения соответствуют проекту и требованиям ГОСТ 14098—2014 (ВЧУ) - 2019-12-11</t>
  </si>
  <si>
    <t>Yes: 1.5 Закладные элементы , в том числе приспособления для устройства гидроизоляции швов, установлены в соответствии с проектом и закреплены (ВЧУ) - 2019-12-11</t>
  </si>
  <si>
    <t>Yes: 2.1 Наличие записи в общем журнале работ (ВЧУ) - 2019-12-11</t>
  </si>
  <si>
    <t>Yes: 3.1 Разрешается проведение последующих работ по устройству опалубки  или бетонированию конструкции (ВЧУ) - 2019-12-11</t>
  </si>
  <si>
    <t>Владимир Чугунов: Заголовок изменен на Арматурный Каркас БО 1</t>
  </si>
  <si>
    <t>Владимир Чугунов: Заголовок изменен на Арматурный Каркас БО 1.2</t>
  </si>
  <si>
    <t>Бетонирование СВГ Зах.62</t>
  </si>
  <si>
    <t>Yes: 2,1. Материал соответствует требованиям проекта (ВЧУ) - 2019-11-18</t>
  </si>
  <si>
    <t>Yes: 2,2. Предоставлены сопроводительные документы, в которых указаны: номер партии, объемы, реквизиты поставщика/изготовителя, качественные характеристики поставляемого материала (ВЧУ) - 2019-11-18</t>
  </si>
  <si>
    <t>Yes: 2,3. Предоставлен протокол испытания лаборатории, который подтверждает соответствие нормативам и сопроводительным документам (ВЧУ) - 2019-11-18</t>
  </si>
  <si>
    <t>Yes: 2,4. Условия хранения материала соблюдаются (ВЧУ) - 2019-11-18</t>
  </si>
  <si>
    <t>Yes: 2,5. Наличие записи в "Журнале входного учета и контроля качества получаемых деталей, материалов, конструкций и оборудования" (ВЧУ) - 2019-11-18</t>
  </si>
  <si>
    <t>Yes: 3,1. Допускается к производству работ (ВЧУ) - 2019-11-18</t>
  </si>
  <si>
    <t>Владимир Чугунов: Заголовок изменен на Бетонирование СВГ Зах.62</t>
  </si>
  <si>
    <t>Владимир Чугунов: Дата начала изменена на нояб. 18, 2019</t>
  </si>
  <si>
    <t>Код</t>
  </si>
  <si>
    <t>Email</t>
  </si>
  <si>
    <t>Ответственный</t>
  </si>
  <si>
    <t>КРИТИЧЕСКОЕ</t>
  </si>
  <si>
    <t>Отв1</t>
  </si>
  <si>
    <t>Значительное</t>
  </si>
  <si>
    <t>Отв7</t>
  </si>
  <si>
    <t>Малозначительное</t>
  </si>
  <si>
    <t>Отв13</t>
  </si>
  <si>
    <t>Отв19</t>
  </si>
  <si>
    <t>Отв25</t>
  </si>
  <si>
    <t>Отв31</t>
  </si>
  <si>
    <t>Отв37</t>
  </si>
  <si>
    <t>Отв43</t>
  </si>
  <si>
    <t>Отв49</t>
  </si>
  <si>
    <t>Отв55</t>
  </si>
  <si>
    <t>Приоритет_</t>
  </si>
  <si>
    <t>Статус</t>
  </si>
  <si>
    <t>Ответственный_</t>
  </si>
  <si>
    <t>Общий итог</t>
  </si>
  <si>
    <t>Проверено</t>
  </si>
  <si>
    <t>Завершено</t>
  </si>
  <si>
    <t>Количество по полю Заголовок</t>
  </si>
  <si>
    <t>Годы</t>
  </si>
  <si>
    <t>2019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</si>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</sst>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3">
    <dxf>
      <font>
        <b val="0"/>
        <i val="0"/>
        <color rgb="FF9C6500"/>
      </font>
      <fill>
        <patternFill>
          <fgColor indexed="64"/>
          <bgColor rgb="FFFFEB9C"/>
        </patternFill>
      </fill>
    </dxf>
    <dxf>
      <font>
        <b val="0"/>
        <i val="0"/>
        <color rgb="FF006100"/>
      </font>
      <fill>
        <patternFill>
          <fgColor indexed="64"/>
          <bgColor rgb="FFC6EFCE"/>
        </patternFill>
      </fill>
    </dxf>
    <dxf>
      <font>
        <b val="0"/>
        <i val="0"/>
        <color rgb="FF006100"/>
      </font>
      <fill>
        <patternFill>
          <fgColor indexed="64"/>
          <bgColor rgb="FFC6EFCE"/>
        </patternFill>
      </fill>
    </dxf>
    <dxf>
      <font>
        <b/>
        <i val="0"/>
        <color rgb="FF9C0006"/>
      </font>
      <fill>
        <patternFill>
          <fgColor indexed="64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кимов Дмитрий Александрович" refreshedDate="43871.723715972221" createdVersion="6" refreshedVersion="6" minRefreshableVersion="3" recordCount="750">
  <cacheSource type="worksheet">
    <worksheetSource name="source"/>
  </cacheSource>
  <cacheFields count="24">
    <cacheField name="ID" numFmtId="0">
      <sharedItems containsSemiMixedTypes="0" containsString="0" containsNumber="1" containsInteger="1" minValue="1" maxValue="839"/>
    </cacheField>
    <cacheField name="Заголовок" numFmtId="0">
      <sharedItems/>
    </cacheField>
    <cacheField name="Приоритет" numFmtId="0">
      <sharedItems containsSemiMixedTypes="0" containsString="0" containsNumber="1" containsInteger="1" minValue="1" maxValue="3"/>
    </cacheField>
    <cacheField name="Приоритет_" numFmtId="0">
      <sharedItems/>
    </cacheField>
    <cacheField name="Статус" numFmtId="0">
      <sharedItems count="5">
        <s v="Проверено"/>
        <s v="Значительное"/>
        <s v="КРИТИЧЕСКОЕ"/>
        <s v="Малозначительное"/>
        <s v="Завершено"/>
      </sharedItems>
    </cacheField>
    <cacheField name="Категория" numFmtId="0">
      <sharedItems count="5">
        <s v="Входной контроль"/>
        <s v="Замечание стройконтроля"/>
        <s v="Нарушение ОТ и ТБ"/>
        <s v="Операционный контроль"/>
        <s v="Приемочный контроль"/>
      </sharedItems>
    </cacheField>
    <cacheField name="Отвественный" numFmtId="0">
      <sharedItems/>
    </cacheField>
    <cacheField name="Ответственный_" numFmtId="0">
      <sharedItems count="10">
        <s v="Отв1"/>
        <s v="Отв7"/>
        <s v="Отв13"/>
        <s v="Отв19"/>
        <s v="Отв25"/>
        <s v="Отв31"/>
        <s v="Отв37"/>
        <s v="Отв43"/>
        <s v="Отв49"/>
        <s v="Отв55"/>
      </sharedItems>
    </cacheField>
    <cacheField name="Дата начала" numFmtId="0">
      <sharedItems containsNonDate="0" containsDate="1" containsString="0" containsBlank="1" minDate="2019-03-20T00:00:00" maxDate="2019-12-25T00:00:00"/>
    </cacheField>
    <cacheField name="Дата завершения" numFmtId="0">
      <sharedItems containsNonDate="0" containsDate="1" containsString="0" containsBlank="1" minDate="2019-03-20T00:00:00" maxDate="2020-04-01T00:00:00"/>
    </cacheField>
    <cacheField name="План" numFmtId="0">
      <sharedItems containsBlank="1"/>
    </cacheField>
    <cacheField name="Поз. X (%)" numFmtId="0">
      <sharedItems containsString="0" containsBlank="1" containsNumber="1" minValue="0" maxValue="82.14"/>
    </cacheField>
    <cacheField name="Поз. Y (%)" numFmtId="0">
      <sharedItems containsString="0" containsBlank="1" containsNumber="1" minValue="0" maxValue="81.010000000000005"/>
    </cacheField>
    <cacheField name="Местоположение" numFmtId="0">
      <sharedItems containsBlank="1"/>
    </cacheField>
    <cacheField name="Рабочая сила" numFmtId="0">
      <sharedItems containsString="0" containsBlank="1" containsNumber="1" containsInteger="1" minValue="0" maxValue="0"/>
    </cacheField>
    <cacheField name="Стоимость" numFmtId="0">
      <sharedItems containsString="0" containsBlank="1" containsNumber="1" containsInteger="1" minValue="0" maxValue="0"/>
    </cacheField>
    <cacheField name="Плановая папка" numFmtId="0">
      <sharedItems containsBlank="1"/>
    </cacheField>
    <cacheField name="Ссылка на план" numFmtId="0">
      <sharedItems containsBlank="1"/>
    </cacheField>
    <cacheField name="Созданный" numFmtId="22">
      <sharedItems containsSemiMixedTypes="0" containsNonDate="0" containsDate="1" containsString="0" minDate="2019-03-20T15:15:41" maxDate="2019-12-25T16:46:47" count="750">
        <d v="2019-07-11T13:47:47"/>
        <d v="2019-07-09T16:28:09"/>
        <d v="2019-06-24T09:41:09"/>
        <d v="2019-11-20T09:13:53"/>
        <d v="2019-11-21T14:36:43"/>
        <d v="2019-05-03T10:54:56"/>
        <d v="2019-04-05T09:20:25"/>
        <d v="2019-04-09T09:56:53"/>
        <d v="2019-04-09T10:57:35"/>
        <d v="2019-04-12T16:19:21"/>
        <d v="2019-05-17T16:13:42"/>
        <d v="2019-04-17T14:21:28"/>
        <d v="2019-04-18T12:20:49"/>
        <d v="2019-04-19T15:22:36"/>
        <d v="2019-04-19T15:20:05"/>
        <d v="2019-04-24T16:42:56"/>
        <d v="2019-04-24T16:41:12"/>
        <d v="2019-06-17T16:53:01"/>
        <d v="2019-06-05T15:27:31"/>
        <d v="2019-07-19T08:37:41"/>
        <d v="2019-09-15T23:26:04"/>
        <d v="2019-07-20T16:01:29"/>
        <d v="2019-09-26T13:15:19"/>
        <d v="2019-12-20T17:26:21"/>
        <d v="2019-12-21T16:43:40"/>
        <d v="2019-09-28T21:58:09"/>
        <d v="2019-11-28T19:20:11"/>
        <d v="2019-12-06T17:36:10"/>
        <d v="2019-11-19T13:07:35"/>
        <d v="2019-12-25T13:09:20"/>
        <d v="2019-07-09T12:24:51"/>
        <d v="2019-07-09T16:23:09"/>
        <d v="2019-07-09T17:45:09"/>
        <d v="2019-12-17T12:10:19"/>
        <d v="2019-12-17T15:44:57"/>
        <d v="2019-03-27T12:04:04"/>
        <d v="2019-07-10T19:38:26"/>
        <d v="2019-05-08T11:57:07"/>
        <d v="2019-07-11T13:35:15"/>
        <d v="2019-06-14T16:26:44"/>
        <d v="2019-11-21T08:06:19"/>
        <d v="2019-07-12T17:17:28"/>
        <d v="2019-07-12T15:25:58"/>
        <d v="2019-07-11T13:37:57"/>
        <d v="2019-09-12T20:56:22"/>
        <d v="2019-06-18T16:13:35"/>
        <d v="2019-09-13T16:28:10"/>
        <d v="2019-05-29T12:10:38"/>
        <d v="2019-07-17T11:07:16"/>
        <d v="2019-06-25T13:16:00"/>
        <d v="2019-08-14T18:38:03"/>
        <d v="2019-06-28T14:19:07"/>
        <d v="2019-07-19T15:23:43"/>
        <d v="2019-08-16T16:30:22"/>
        <d v="2019-07-02T14:46:59"/>
        <d v="2019-07-02T17:12:02"/>
        <d v="2019-07-22T13:09:19"/>
        <d v="2019-07-23T17:34:43"/>
        <d v="2019-07-05T16:13:00"/>
        <d v="2019-07-05T16:18:03"/>
        <d v="2019-09-16T18:19:59"/>
        <d v="2019-08-18T14:57:21"/>
        <d v="2019-07-24T14:04:15"/>
        <d v="2019-08-19T16:23:18"/>
        <d v="2019-07-26T17:06:28"/>
        <d v="2019-09-17T20:35:36"/>
        <d v="2019-08-20T15:20:04"/>
        <d v="2019-07-30T17:01:10"/>
        <d v="2019-07-30T17:01:16"/>
        <d v="2019-08-21T22:12:49"/>
        <d v="2019-09-18T16:44:31"/>
        <d v="2019-08-22T14:02:41"/>
        <d v="2019-08-01T20:10:53"/>
        <d v="2019-09-18T22:30:53"/>
        <d v="2019-08-02T16:42:32"/>
        <d v="2019-08-26T17:50:00"/>
        <d v="2019-08-04T19:01:56"/>
        <d v="2019-08-06T15:35:20"/>
        <d v="2019-08-08T15:19:27"/>
        <d v="2019-09-21T20:23:24"/>
        <d v="2019-08-29T16:06:10"/>
        <d v="2019-09-21T11:53:13"/>
        <d v="2019-09-23T19:58:59"/>
        <d v="2019-08-30T20:37:14"/>
        <d v="2019-12-20T21:45:08"/>
        <d v="2019-09-24T20:27:15"/>
        <d v="2019-09-26T13:13:03"/>
        <d v="2019-09-02T13:55:11"/>
        <d v="2019-09-25T20:30:25"/>
        <d v="2019-09-03T22:17:49"/>
        <d v="2019-09-26T22:30:28"/>
        <d v="2019-09-04T13:01:04"/>
        <d v="2019-09-29T20:30:22"/>
        <d v="2019-09-07T17:54:31"/>
        <d v="2019-09-30T17:21:18"/>
        <d v="2019-09-09T13:32:04"/>
        <d v="2019-12-22T16:01:29"/>
        <d v="2019-10-01T14:37:33"/>
        <d v="2019-09-10T15:07:48"/>
        <d v="2019-10-03T10:50:41"/>
        <d v="2019-10-04T16:06:27"/>
        <d v="2019-10-04T15:56:25"/>
        <d v="2019-12-23T09:22:26"/>
        <d v="2019-11-29T10:30:13"/>
        <d v="2019-12-23T18:01:11"/>
        <d v="2019-10-26T22:31:44"/>
        <d v="2019-10-29T14:49:12"/>
        <d v="2019-10-31T07:53:40"/>
        <d v="2019-10-31T20:55:57"/>
        <d v="2019-11-02T21:09:26"/>
        <d v="2019-12-11T16:46:59"/>
        <d v="2019-12-13T14:52:40"/>
        <d v="2019-12-14T14:32:17"/>
        <d v="2019-12-16T11:22:27"/>
        <d v="2019-06-10T14:18:17"/>
        <d v="2019-12-21T17:20:55"/>
        <d v="2019-10-04T12:23:55"/>
        <d v="2019-12-23T11:04:29"/>
        <d v="2019-12-24T11:57:16"/>
        <d v="2019-12-24T12:05:53"/>
        <d v="2019-11-17T14:47:24"/>
        <d v="2019-08-13T13:58:05"/>
        <d v="2019-12-23T10:38:08"/>
        <d v="2019-07-25T10:48:50"/>
        <d v="2019-03-27T16:41:37"/>
        <d v="2019-04-02T14:37:09"/>
        <d v="2019-04-08T17:30:58"/>
        <d v="2019-04-09T10:00:16"/>
        <d v="2019-04-01T10:29:28"/>
        <d v="2019-07-12T14:07:52"/>
        <d v="2019-05-17T15:40:24"/>
        <d v="2019-05-17T16:02:47"/>
        <d v="2019-03-20T16:25:20"/>
        <d v="2019-05-21T17:08:55"/>
        <d v="2019-06-18T11:10:57"/>
        <d v="2019-04-09T11:02:40"/>
        <d v="2019-07-16T09:57:18"/>
        <d v="2019-04-30T15:59:11"/>
        <d v="2019-05-24T15:37:17"/>
        <d v="2019-06-11T16:12:35"/>
        <d v="2019-06-10T15:02:27"/>
        <d v="2019-06-24T09:57:53"/>
        <d v="2019-07-17T14:46:30"/>
        <d v="2019-06-04T09:17:41"/>
        <d v="2019-04-30T14:24:49"/>
        <d v="2019-08-15T14:03:39"/>
        <d v="2019-07-09T11:04:12"/>
        <d v="2019-07-09T14:00:10"/>
        <d v="2019-07-03T10:34:43"/>
        <d v="2019-07-04T14:17:54"/>
        <d v="2019-07-01T16:14:36"/>
        <d v="2019-07-06T15:09:34"/>
        <d v="2019-07-08T16:27:13"/>
        <d v="2019-08-19T16:08:01"/>
        <d v="2019-07-26T14:25:19"/>
        <d v="2019-07-26T14:31:38"/>
        <d v="2019-08-21T09:40:15"/>
        <d v="2019-08-04T13:00:28"/>
        <d v="2019-07-06T14:59:46"/>
        <d v="2019-09-24T11:15:21"/>
        <d v="2019-09-09T17:53:17"/>
        <d v="2019-10-03T13:40:20"/>
        <d v="2019-12-03T14:22:53"/>
        <d v="2019-11-02T16:38:39"/>
        <d v="2019-11-11T15:32:49"/>
        <d v="2019-11-21T08:53:00"/>
        <d v="2019-12-16T16:12:48"/>
        <d v="2019-11-21T16:09:09"/>
        <d v="2019-11-22T11:00:28"/>
        <d v="2019-11-26T12:46:50"/>
        <d v="2019-10-24T11:13:25"/>
        <d v="2019-11-28T11:08:04"/>
        <d v="2019-11-29T14:39:36"/>
        <d v="2019-10-09T15:33:35"/>
        <d v="2019-10-29T08:30:44"/>
        <d v="2019-10-31T10:28:22"/>
        <d v="2019-12-04T14:04:50"/>
        <d v="2019-12-05T14:26:50"/>
        <d v="2019-11-13T14:10:38"/>
        <d v="2019-11-14T15:31:09"/>
        <d v="2019-11-22T15:38:27"/>
        <d v="2019-12-09T10:49:53"/>
        <d v="2019-10-29T14:38:01"/>
        <d v="2019-09-11T11:16:58"/>
        <d v="2019-10-17T16:15:09"/>
        <d v="2019-11-29T09:19:38"/>
        <d v="2019-10-31T16:24:28"/>
        <d v="2019-12-03T12:00:01"/>
        <d v="2019-12-04T11:06:17"/>
        <d v="2019-10-23T12:36:46"/>
        <d v="2019-12-03T14:12:28"/>
        <d v="2019-12-10T09:07:17"/>
        <d v="2019-10-15T18:01:10"/>
        <d v="2019-10-15T17:56:43"/>
        <d v="2019-11-22T17:22:38"/>
        <d v="2019-10-22T12:10:20"/>
        <d v="2019-10-15T17:48:57"/>
        <d v="2019-12-23T17:02:49"/>
        <d v="2019-12-23T17:05:35"/>
        <d v="2019-12-10T13:14:57"/>
        <d v="2019-09-11T15:17:39"/>
        <d v="2019-04-02T15:12:59"/>
        <d v="2019-05-15T10:45:06"/>
        <d v="2019-05-15T11:33:12"/>
        <d v="2019-05-15T11:14:19"/>
        <d v="2019-05-21T16:27:28"/>
        <d v="2019-07-11T17:03:58"/>
        <d v="2019-07-01T16:20:28"/>
        <d v="2019-07-01T16:34:48"/>
        <d v="2019-07-12T13:44:07"/>
        <d v="2019-06-18T13:40:08"/>
        <d v="2019-05-15T11:39:45"/>
        <d v="2019-06-18T14:38:41"/>
        <d v="2019-06-18T15:10:18"/>
        <d v="2019-06-18T15:02:47"/>
        <d v="2019-05-23T12:56:00"/>
        <d v="2019-05-17T10:46:48"/>
        <d v="2019-06-13T10:46:37"/>
        <d v="2019-06-10T16:45:31"/>
        <d v="2019-05-24T16:01:06"/>
        <d v="2019-05-24T15:48:16"/>
        <d v="2019-06-10T16:48:50"/>
        <d v="2019-09-11T14:09:17"/>
        <d v="2019-06-20T12:03:47"/>
        <d v="2019-06-24T13:25:11"/>
        <d v="2019-06-24T13:39:46"/>
        <d v="2019-06-24T14:04:59"/>
        <d v="2019-06-24T14:07:54"/>
        <d v="2019-06-04T15:34:26"/>
        <d v="2019-06-04T17:42:23"/>
        <d v="2019-06-25T09:41:09"/>
        <d v="2019-10-15T17:21:45"/>
        <d v="2019-10-15T17:24:33"/>
        <d v="2019-07-01T16:03:15"/>
        <d v="2019-07-01T16:36:34"/>
        <d v="2019-07-22T17:01:37"/>
        <d v="2019-07-22T17:13:26"/>
        <d v="2019-07-22T17:08:07"/>
        <d v="2019-07-31T13:52:50"/>
        <d v="2019-11-25T11:20:33"/>
        <d v="2019-09-23T17:18:42"/>
        <d v="2019-09-23T17:05:10"/>
        <d v="2019-09-23T17:11:20"/>
        <d v="2019-09-23T17:22:22"/>
        <d v="2019-09-05T18:04:20"/>
        <d v="2019-09-05T18:14:26"/>
        <d v="2019-09-23T17:27:20"/>
        <d v="2019-09-06T14:29:29"/>
        <d v="2019-09-10T11:49:27"/>
        <d v="2019-10-10T11:04:55"/>
        <d v="2019-11-08T14:34:40"/>
        <d v="2019-12-20T16:56:40"/>
        <d v="2019-12-23T10:13:55"/>
        <d v="2019-12-20T17:00:53"/>
        <d v="2019-12-10T14:19:16"/>
        <d v="2019-10-14T11:19:48"/>
        <d v="2019-10-14T11:28:59"/>
        <d v="2019-08-13T15:54:51"/>
        <d v="2019-11-22T16:53:53"/>
        <d v="2019-09-11T15:33:09"/>
        <d v="2019-07-31T16:44:54"/>
        <d v="2019-08-06T09:08:36"/>
        <d v="2019-08-27T11:16:14"/>
        <d v="2019-08-29T17:44:30"/>
        <d v="2019-08-29T17:51:00"/>
        <d v="2019-09-23T17:31:07"/>
        <d v="2019-09-02T16:17:34"/>
        <d v="2019-09-02T16:25:10"/>
        <d v="2019-09-02T16:21:54"/>
        <d v="2019-09-02T16:28:01"/>
        <d v="2019-11-22T17:07:40"/>
        <d v="2019-09-05T17:59:18"/>
        <d v="2019-10-10T11:15:21"/>
        <d v="2019-11-08T13:29:19"/>
        <d v="2019-12-25T16:46:47"/>
        <d v="2019-07-11T17:28:26"/>
        <d v="2019-07-12T13:46:59"/>
        <d v="2019-07-15T16:24:54"/>
        <d v="2019-08-13T16:44:44"/>
        <d v="2019-06-27T10:40:04"/>
        <d v="2019-07-11T17:32:35"/>
        <d v="2019-07-22T17:23:33"/>
        <d v="2019-06-24T13:36:07"/>
        <d v="2019-07-30T17:29:01"/>
        <d v="2019-10-22T12:27:30"/>
        <d v="2019-10-21T15:27:33"/>
        <d v="2019-10-21T15:22:15"/>
        <d v="2019-11-22T17:26:57"/>
        <d v="2019-11-22T17:34:08"/>
        <d v="2019-10-22T11:43:40"/>
        <d v="2019-10-22T12:21:23"/>
        <d v="2019-10-22T12:13:02"/>
        <d v="2019-07-11T17:09:32"/>
        <d v="2019-07-10T09:41:39"/>
        <d v="2019-09-11T15:23:04"/>
        <d v="2019-08-13T15:31:23"/>
        <d v="2019-06-18T11:22:39"/>
        <d v="2019-06-24T13:44:03"/>
        <d v="2019-10-15T17:37:07"/>
        <d v="2019-10-15T17:27:22"/>
        <d v="2019-07-10T09:11:45"/>
        <d v="2019-07-22T17:32:07"/>
        <d v="2019-10-16T09:28:45"/>
        <d v="2019-11-22T17:12:38"/>
        <d v="2019-09-11T15:28:59"/>
        <d v="2019-08-13T15:15:11"/>
        <d v="2019-07-31T16:59:27"/>
        <d v="2019-07-31T16:54:47"/>
        <d v="2019-10-17T16:27:26"/>
        <d v="2019-07-31T16:44:05"/>
        <d v="2019-08-27T11:10:46"/>
        <d v="2019-08-27T11:29:36"/>
        <d v="2019-08-29T17:36:53"/>
        <d v="2019-09-23T16:15:55"/>
        <d v="2019-09-23T16:47:26"/>
        <d v="2019-09-23T16:53:41"/>
        <d v="2019-09-23T16:59:55"/>
        <d v="2019-09-02T16:41:13"/>
        <d v="2019-09-02T16:36:48"/>
        <d v="2019-10-22T12:16:12"/>
        <d v="2019-09-06T14:21:20"/>
        <d v="2019-09-05T17:51:26"/>
        <d v="2019-09-05T18:19:30"/>
        <d v="2019-10-22T15:37:32"/>
        <d v="2019-09-06T14:25:33"/>
        <d v="2019-10-10T11:08:52"/>
        <d v="2019-12-02T11:35:56"/>
        <d v="2019-10-14T11:41:07"/>
        <d v="2019-11-08T14:29:25"/>
        <d v="2019-11-08T13:47:58"/>
        <d v="2019-12-10T13:22:08"/>
        <d v="2019-07-30T17:34:03"/>
        <d v="2019-07-11T17:12:26"/>
        <d v="2019-07-11T09:21:39"/>
        <d v="2019-07-01T16:13:49"/>
        <d v="2019-07-01T16:16:25"/>
        <d v="2019-07-30T17:23:27"/>
        <d v="2019-11-29T12:04:27"/>
        <d v="2019-07-16T09:50:42"/>
        <d v="2019-12-16T16:06:53"/>
        <d v="2019-07-09T17:05:30"/>
        <d v="2019-05-04T13:23:09"/>
        <d v="2019-05-04T13:26:30"/>
        <d v="2019-10-12T22:15:53"/>
        <d v="2019-10-12T22:37:42"/>
        <d v="2019-10-12T22:45:17"/>
        <d v="2019-12-12T18:38:32"/>
        <d v="2019-12-17T14:22:53"/>
        <d v="2019-03-27T16:28:22"/>
        <d v="2019-07-05T14:51:42"/>
        <d v="2019-06-12T09:59:38"/>
        <d v="2019-03-29T10:09:56"/>
        <d v="2019-04-04T17:08:44"/>
        <d v="2019-04-08T14:17:09"/>
        <d v="2019-05-14T17:20:47"/>
        <d v="2019-05-15T16:51:51"/>
        <d v="2019-04-11T14:49:23"/>
        <d v="2019-04-13T09:43:55"/>
        <d v="2019-11-21T15:05:05"/>
        <d v="2019-11-21T15:12:32"/>
        <d v="2019-05-17T16:06:22"/>
        <d v="2019-05-17T15:49:29"/>
        <d v="2019-11-21T14:57:47"/>
        <d v="2019-04-16T10:33:46"/>
        <d v="2019-11-21T15:16:52"/>
        <d v="2019-03-20T15:15:41"/>
        <d v="2019-06-11T16:20:01"/>
        <d v="2019-06-17T15:13:55"/>
        <d v="2019-07-14T14:45:46"/>
        <d v="2019-04-18T15:44:15"/>
        <d v="2019-07-26T13:22:56"/>
        <d v="2019-07-14T14:45:58"/>
        <d v="2019-07-15T11:10:05"/>
        <d v="2019-05-21T16:02:33"/>
        <d v="2019-05-21T17:26:34"/>
        <d v="2019-04-24T16:35:40"/>
        <d v="2019-06-18T11:17:34"/>
        <d v="2019-04-27T10:23:18"/>
        <d v="2019-05-25T20:13:08"/>
        <d v="2019-04-30T14:30:25"/>
        <d v="2019-04-30T14:35:48"/>
        <d v="2019-05-25T21:52:40"/>
        <d v="2019-06-21T09:02:05"/>
        <d v="2019-07-16T22:43:39"/>
        <d v="2019-12-18T17:57:19"/>
        <d v="2019-06-04T17:04:33"/>
        <d v="2019-07-18T16:16:34"/>
        <d v="2019-07-19T16:22:10"/>
        <d v="2019-06-07T12:38:11"/>
        <d v="2019-07-19T16:25:12"/>
        <d v="2019-09-15T23:20:12"/>
        <d v="2019-10-15T23:43:50"/>
        <d v="2019-10-15T23:54:24"/>
        <d v="2019-10-15T23:56:43"/>
        <d v="2019-10-15T23:49:48"/>
        <d v="2019-09-15T23:32:02"/>
        <d v="2019-09-15T23:35:56"/>
        <d v="2019-09-15T23:34:34"/>
        <d v="2019-08-17T16:26:38"/>
        <d v="2019-08-17T16:28:44"/>
        <d v="2019-07-03T10:26:47"/>
        <d v="2019-07-22T14:58:07"/>
        <d v="2019-07-05T14:49:57"/>
        <d v="2019-08-17T16:37:32"/>
        <d v="2019-07-06T14:55:14"/>
        <d v="2019-07-06T15:11:47"/>
        <d v="2019-07-06T15:02:32"/>
        <d v="2019-11-22T20:02:21"/>
        <d v="2019-05-03T10:57:59"/>
        <d v="2019-07-24T14:49:01"/>
        <d v="2019-07-25T09:27:42"/>
        <d v="2019-07-08T15:39:15"/>
        <d v="2019-07-08T15:43:11"/>
        <d v="2019-07-25T10:50:39"/>
        <d v="2019-07-25T13:43:33"/>
        <d v="2019-07-26T13:22:54"/>
        <d v="2019-11-22T19:58:39"/>
        <d v="2019-10-16T23:30:36"/>
        <d v="2019-10-16T23:29:39"/>
        <d v="2019-09-17T14:15:35"/>
        <d v="2019-08-20T15:21:56"/>
        <d v="2019-09-17T14:14:15"/>
        <d v="2019-09-17T14:17:14"/>
        <d v="2019-09-17T14:21:11"/>
        <d v="2019-09-17T15:23:53"/>
        <d v="2019-07-29T22:54:23"/>
        <d v="2019-07-30T15:15:24"/>
        <d v="2019-07-30T15:26:55"/>
        <d v="2019-08-31T17:59:17"/>
        <d v="2019-08-01T16:08:35"/>
        <d v="2019-08-22T21:07:07"/>
        <d v="2019-08-25T15:49:29"/>
        <d v="2019-08-25T15:44:55"/>
        <d v="2019-08-25T15:47:47"/>
        <d v="2019-09-19T18:27:55"/>
        <d v="2019-11-24T13:03:45"/>
        <d v="2019-08-27T09:32:22"/>
        <d v="2019-08-27T11:51:25"/>
        <d v="2019-08-27T15:35:36"/>
        <d v="2019-12-20T17:21:48"/>
        <d v="2019-08-28T18:37:57"/>
        <d v="2019-09-21T23:22:34"/>
        <d v="2019-09-21T23:21:15"/>
        <d v="2019-09-21T23:16:33"/>
        <d v="2019-09-21T23:12:13"/>
        <d v="2019-09-21T23:08:59"/>
        <d v="2019-12-20T17:17:40"/>
        <d v="2019-09-23T09:32:30"/>
        <d v="2019-08-31T18:06:59"/>
        <d v="2019-08-31T18:15:35"/>
        <d v="2019-08-31T18:11:56"/>
        <d v="2019-08-31T18:03:41"/>
        <d v="2019-08-31T18:09:11"/>
        <d v="2019-12-21T12:40:41"/>
        <d v="2019-12-21T11:06:27"/>
        <d v="2019-09-03T17:18:48"/>
        <d v="2019-12-21T18:56:39"/>
        <d v="2019-12-21T16:56:07"/>
        <d v="2019-12-21T15:07:22"/>
        <d v="2019-12-21T16:56:18"/>
        <d v="2019-09-27T18:27:16"/>
        <d v="2019-09-06T16:45:14"/>
        <d v="2019-09-28T21:54:49"/>
        <d v="2019-09-06T16:42:40"/>
        <d v="2019-09-06T16:48:26"/>
        <d v="2019-09-08T15:29:45"/>
        <d v="2019-10-11T13:06:40"/>
        <d v="2019-09-09T17:48:46"/>
        <d v="2019-11-27T23:26:24"/>
        <d v="2019-11-27T23:28:32"/>
        <d v="2019-10-03T13:34:46"/>
        <d v="2019-10-03T15:25:29"/>
        <d v="2019-12-23T17:35:37"/>
        <d v="2019-12-23T17:38:13"/>
        <d v="2019-12-23T17:26:59"/>
        <d v="2019-11-29T12:01:28"/>
        <d v="2019-12-23T17:31:31"/>
        <d v="2019-11-29T11:59:35"/>
        <d v="2019-10-07T18:26:43"/>
        <d v="2019-10-28T07:33:18"/>
        <d v="2019-12-24T17:39:36"/>
        <d v="2019-12-24T17:36:45"/>
        <d v="2019-12-24T17:38:22"/>
        <d v="2019-12-01T22:43:16"/>
        <d v="2019-10-11T13:12:59"/>
        <d v="2019-12-02T20:26:17"/>
        <d v="2019-12-02T20:29:03"/>
        <d v="2019-12-02T20:24:20"/>
        <d v="2019-12-04T17:34:58"/>
        <d v="2019-12-06T17:34:12"/>
        <d v="2019-12-05T19:33:56"/>
        <d v="2019-12-05T19:36:19"/>
        <d v="2019-12-07T16:16:35"/>
        <d v="2019-11-07T15:59:52"/>
        <d v="2019-12-10T16:54:40"/>
        <d v="2019-12-10T17:01:48"/>
        <d v="2019-12-12T18:34:47"/>
        <d v="2019-12-12T18:37:11"/>
        <d v="2019-11-11T18:51:37"/>
        <d v="2019-12-13T21:49:48"/>
        <d v="2019-12-16T17:07:39"/>
        <d v="2019-12-16T17:12:35"/>
        <d v="2019-11-19T13:18:41"/>
        <d v="2019-07-09T10:26:00"/>
        <d v="2019-03-25T16:07:03"/>
        <d v="2019-06-11T16:26:12"/>
        <d v="2019-07-10T13:58:42"/>
        <d v="2019-07-10T14:14:08"/>
        <d v="2019-07-10T18:28:11"/>
        <d v="2019-04-01T11:23:45"/>
        <d v="2019-05-10T09:24:14"/>
        <d v="2019-05-10T09:45:05"/>
        <d v="2019-05-11T11:09:23"/>
        <d v="2019-04-05T11:08:18"/>
        <d v="2019-05-13T16:04:33"/>
        <d v="2019-04-08T14:20:47"/>
        <d v="2019-06-15T10:48:33"/>
        <d v="2019-04-09T10:55:23"/>
        <d v="2019-04-12T15:26:40"/>
        <d v="2019-04-16T11:05:53"/>
        <d v="2019-05-18T11:08:33"/>
        <d v="2019-05-18T11:04:00"/>
        <d v="2019-04-20T10:20:44"/>
        <d v="2019-04-25T10:15:56"/>
        <d v="2019-04-25T10:20:17"/>
        <d v="2019-04-25T10:11:57"/>
        <d v="2019-07-13T15:53:37"/>
        <d v="2019-07-16T10:33:46"/>
        <d v="2019-04-29T15:38:58"/>
        <d v="2019-05-24T17:01:52"/>
        <d v="2019-07-26T17:01:14"/>
        <d v="2019-09-13T15:04:16"/>
        <d v="2019-04-01T10:11:25"/>
        <d v="2019-05-29T12:13:10"/>
        <d v="2019-07-17T18:14:53"/>
        <d v="2019-07-17T11:08:45"/>
        <d v="2019-06-01T10:23:54"/>
        <d v="2019-06-01T10:26:39"/>
        <d v="2019-07-17T18:16:31"/>
        <d v="2019-06-25T13:10:56"/>
        <d v="2019-06-28T10:52:17"/>
        <d v="2019-06-28T13:52:04"/>
        <d v="2019-06-29T10:51:51"/>
        <d v="2019-06-29T11:11:43"/>
        <d v="2019-07-19T14:46:15"/>
        <d v="2019-08-16T15:49:50"/>
        <d v="2019-07-02T15:56:17"/>
        <d v="2019-07-22T09:25:20"/>
        <d v="2019-07-22T09:27:44"/>
        <d v="2019-07-23T15:39:51"/>
        <d v="2019-07-05T16:14:47"/>
        <d v="2019-09-16T18:05:26"/>
        <d v="2019-07-24T13:59:15"/>
        <d v="2019-09-17T16:15:31"/>
        <d v="2019-08-21T15:38:39"/>
        <d v="2019-09-18T14:39:41"/>
        <d v="2019-09-18T14:25:26"/>
        <d v="2019-07-30T17:01:07"/>
        <d v="2019-07-30T17:01:13"/>
        <d v="2019-08-01T10:48:31"/>
        <d v="2019-08-02T15:28:48"/>
        <d v="2019-08-04T15:40:20"/>
        <d v="2019-09-20T15:09:14"/>
        <d v="2019-08-26T15:23:58"/>
        <d v="2019-08-06T15:32:35"/>
        <d v="2019-09-21T13:27:23"/>
        <d v="2019-12-20T21:45:00"/>
        <d v="2019-12-20T21:45:52"/>
        <d v="2019-08-30T15:18:17"/>
        <d v="2019-09-23T14:56:08"/>
        <d v="2019-09-25T16:54:34"/>
        <d v="2019-09-03T14:30:05"/>
        <d v="2019-09-26T18:42:31"/>
        <d v="2019-09-27T15:40:15"/>
        <d v="2019-09-05T10:39:12"/>
        <d v="2019-12-22T09:55:38"/>
        <d v="2019-09-30T17:18:19"/>
        <d v="2019-09-09T09:32:39"/>
        <d v="2019-09-10T14:59:51"/>
        <d v="2019-12-22T14:35:31"/>
        <d v="2019-10-04T15:53:07"/>
        <d v="2019-11-29T10:32:56"/>
        <d v="2019-12-23T17:39:10"/>
        <d v="2019-12-24T14:38:52"/>
        <d v="2019-10-29T14:46:06"/>
        <d v="2019-12-06T21:51:21"/>
        <d v="2019-12-13T14:18:02"/>
        <d v="2019-12-13T14:56:18"/>
        <d v="2019-12-14T14:27:27"/>
        <d v="2019-10-12T22:34:55"/>
        <d v="2019-03-25T16:23:50"/>
        <d v="2019-10-12T22:13:19"/>
        <d v="2019-10-12T22:18:06"/>
        <d v="2019-10-12T22:40:29"/>
        <d v="2019-10-12T22:43:41"/>
        <d v="2019-06-11T16:12:31"/>
        <d v="2019-11-21T10:29:42"/>
        <d v="2019-11-21T10:33:07"/>
        <d v="2019-06-17T15:09:29"/>
        <d v="2019-07-15T11:03:35"/>
        <d v="2019-04-26T17:20:34"/>
        <d v="2019-10-15T00:03:37"/>
        <d v="2019-08-13T13:53:32"/>
        <d v="2019-05-28T16:53:54"/>
        <d v="2019-05-28T17:02:04"/>
        <d v="2019-09-13T16:47:21"/>
        <d v="2019-09-13T16:47:20"/>
        <d v="2019-06-22T10:52:21"/>
        <d v="2019-06-04T10:13:51"/>
        <d v="2019-06-25T16:38:45"/>
        <d v="2019-07-18T16:04:10"/>
        <d v="2019-07-18T16:07:00"/>
        <d v="2019-07-18T16:01:33"/>
        <d v="2019-06-07T12:29:52"/>
        <d v="2019-10-15T23:41:57"/>
        <d v="2019-10-15T23:45:26"/>
        <d v="2019-10-15T23:55:33"/>
        <d v="2019-10-15T23:51:53"/>
        <d v="2019-10-15T23:53:26"/>
        <d v="2019-07-01T11:27:46"/>
        <d v="2019-07-20T15:56:22"/>
        <d v="2019-07-20T15:53:02"/>
        <d v="2019-10-15T23:47:45"/>
        <d v="2019-08-17T16:35:08"/>
        <d v="2019-07-28T22:03:43"/>
        <d v="2019-07-28T22:05:34"/>
        <d v="2019-07-25T10:35:10"/>
        <d v="2019-10-16T23:28:19"/>
        <d v="2019-10-16T23:26:08"/>
        <d v="2019-07-29T22:51:26"/>
        <d v="2019-07-30T15:12:42"/>
        <d v="2019-07-30T15:29:22"/>
        <d v="2019-07-30T15:17:40"/>
        <d v="2019-10-17T15:37:16"/>
        <d v="2019-08-01T16:10:35"/>
        <d v="2019-09-19T18:24:53"/>
        <d v="2019-08-08T18:19:41"/>
        <d v="2019-09-24T09:07:48"/>
        <d v="2019-09-26T13:15:17"/>
        <d v="2019-12-21T11:02:14"/>
        <d v="2019-09-03T17:21:17"/>
        <d v="2019-10-06T23:09:30"/>
        <d v="2019-10-06T23:11:17"/>
        <d v="2019-10-08T07:54:58"/>
        <d v="2019-09-28T21:53:08"/>
        <d v="2019-09-28T21:56:01"/>
        <d v="2019-09-28T21:59:52"/>
        <d v="2019-09-06T16:50:28"/>
        <d v="2019-09-06T17:18:42"/>
        <d v="2019-10-09T22:34:24"/>
        <d v="2019-10-06T23:06:08"/>
        <d v="2019-10-28T07:30:39"/>
        <d v="2019-10-27T16:55:59"/>
        <d v="2019-10-08T07:50:35"/>
        <d v="2019-10-08T07:53:00"/>
        <d v="2019-10-08T22:56:18"/>
        <d v="2019-10-08T22:47:49"/>
        <d v="2019-10-08T22:50:41"/>
        <d v="2019-10-08T22:59:09"/>
        <d v="2019-10-09T22:36:20"/>
        <d v="2019-10-11T13:09:19"/>
        <d v="2019-10-11T13:11:45"/>
        <d v="2019-10-31T15:50:39"/>
        <d v="2019-11-17T17:07:25"/>
        <d v="2019-12-17T15:42:30"/>
        <d v="2019-09-11T16:49:10"/>
        <d v="2019-03-29T10:16:37"/>
        <d v="2019-06-13T11:35:57"/>
        <d v="2019-09-12T09:53:48"/>
        <d v="2019-06-15T10:45:23"/>
        <d v="2019-07-12T15:23:29"/>
        <d v="2019-07-12T12:28:45"/>
        <d v="2019-09-12T11:26:22"/>
        <d v="2019-07-13T11:03:09"/>
        <d v="2019-07-15T09:18:54"/>
        <d v="2019-04-20T09:44:45"/>
        <d v="2019-08-13T16:44:47"/>
        <d v="2019-04-29T15:27:53"/>
        <d v="2019-04-29T15:33:22"/>
        <d v="2019-04-29T15:36:20"/>
        <d v="2019-08-14T13:58:21"/>
        <d v="2019-08-14T18:39:27"/>
        <d v="2019-06-28T10:08:24"/>
        <d v="2019-06-28T10:05:07"/>
        <d v="2019-06-29T10:51:49"/>
        <d v="2019-09-16T11:13:08"/>
        <d v="2019-07-22T09:23:04"/>
        <d v="2019-08-18T10:29:02"/>
        <d v="2019-08-18T10:33:14"/>
        <d v="2019-08-18T21:25:58"/>
        <d v="2019-08-19T16:17:55"/>
        <d v="2019-08-19T18:02:18"/>
        <d v="2019-09-17T12:37:53"/>
        <d v="2019-09-17T18:02:49"/>
        <d v="2019-08-20T11:53:46"/>
        <d v="2019-09-18T14:28:26"/>
        <d v="2019-07-30T15:24:55"/>
        <d v="2019-07-30T17:01:04"/>
        <d v="2019-09-18T16:41:55"/>
        <d v="2019-08-22T13:58:28"/>
        <d v="2019-08-22T13:59:51"/>
        <d v="2019-08-24T18:36:59"/>
        <d v="2019-08-23T15:26:30"/>
        <d v="2019-09-01T13:50:26"/>
        <d v="2019-09-20T11:20:06"/>
        <d v="2019-08-07T15:37:17"/>
        <d v="2019-09-21T16:27:23"/>
        <d v="2019-08-08T13:05:39"/>
        <d v="2019-08-27T10:22:46"/>
        <d v="2019-09-21T11:53:55"/>
        <d v="2019-09-24T09:50:45"/>
        <d v="2019-09-25T16:51:48"/>
        <d v="2019-09-02T10:33:01"/>
        <d v="2019-09-26T18:37:55"/>
        <d v="2019-09-04T10:13:55"/>
        <d v="2019-09-27T15:41:38"/>
        <d v="2019-09-27T11:43:48"/>
        <d v="2019-09-29T15:31:18"/>
        <d v="2019-09-29T15:33:45"/>
        <d v="2019-09-06T14:56:21"/>
        <d v="2019-09-07T11:12:38"/>
        <d v="2019-09-07T10:59:39"/>
        <d v="2019-09-07T11:01:40"/>
        <d v="2019-06-18T16:24:00"/>
        <d v="2019-09-30T16:24:11"/>
        <d v="2019-09-30T18:44:44"/>
        <d v="2019-09-09T11:00:01"/>
        <d v="2019-12-22T14:16:52"/>
        <d v="2019-10-02T17:00:25"/>
        <d v="2019-10-02T14:03:53"/>
        <d v="2019-10-03T10:48:46"/>
        <d v="2019-10-04T16:03:41"/>
        <d v="2019-12-23T09:17:16"/>
        <d v="2019-10-26T12:30:01"/>
        <d v="2019-10-26T17:14:00"/>
        <d v="2019-12-23T16:20:47"/>
        <d v="2019-10-26T18:10:23"/>
        <d v="2019-10-29T12:26:24"/>
        <d v="2019-12-25T13:09:23"/>
        <d v="2019-10-29T22:06:45"/>
        <d v="2019-10-30T17:12:56"/>
        <d v="2019-10-30T20:35:12"/>
        <d v="2019-10-31T15:50:35"/>
        <d v="2019-10-31T17:33:08"/>
        <d v="2019-11-01T15:13:10"/>
        <d v="2019-11-01T15:17:45"/>
        <d v="2019-11-01T17:24:49"/>
        <d v="2019-11-02T21:07:23"/>
        <d v="2019-12-11T16:43:45"/>
        <d v="2019-11-18T11:57:08"/>
      </sharedItems>
      <fieldGroup par="23" base="18">
        <rangePr groupBy="months" startDate="2019-03-20T15:15:41" endDate="2019-12-25T16:46:47"/>
        <groupItems count="14">
          <s v="&lt;20.03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5.12.2019"/>
        </groupItems>
      </fieldGroup>
    </cacheField>
    <cacheField name="Завершенные" numFmtId="0">
      <sharedItems containsNonDate="0" containsDate="1" containsString="0" containsBlank="1" minDate="2019-03-20T16:27:53" maxDate="2019-12-24T15:54:07"/>
    </cacheField>
    <cacheField name="Проверенные" numFmtId="0">
      <sharedItems containsNonDate="0" containsDate="1" containsString="0" containsBlank="1" minDate="2019-03-21T17:13:27" maxDate="2019-12-24T15:55:20"/>
    </cacheField>
    <cacheField name="Удалено" numFmtId="0">
      <sharedItems containsNonDate="0" containsString="0" containsBlank="1"/>
    </cacheField>
    <cacheField name="Последнее обновление" numFmtId="22">
      <sharedItems containsSemiMixedTypes="0" containsNonDate="0" containsDate="1" containsString="0" minDate="2019-03-22T14:44:12" maxDate="2019-12-25T16:47:31"/>
    </cacheField>
    <cacheField name="Годы" numFmtId="0" databaseField="0">
      <fieldGroup base="18">
        <rangePr groupBy="years" startDate="2019-03-20T15:15:41" endDate="2019-12-25T16:46:47"/>
        <groupItems count="3">
          <s v="&lt;20.03.2019"/>
          <s v="2019"/>
          <s v="&gt;25.12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">
  <r>
    <n v="235"/>
    <s v="Нарушение СП 70.13330.2012 - арматурные стержни каркаса имеют следы окисления (ржавчина)"/>
    <n v="2"/>
    <s v="Значительное"/>
    <x v="0"/>
    <x v="0"/>
    <s v="msumatokhin@geoizol.ru"/>
    <x v="0"/>
    <m/>
    <m/>
    <m/>
    <m/>
    <m/>
    <m/>
    <m/>
    <m/>
    <m/>
    <m/>
    <x v="0"/>
    <d v="2019-07-12T15:41:32"/>
    <d v="2019-07-12T16:25:21"/>
    <m/>
    <d v="2019-07-12T16:25:23"/>
  </r>
  <r>
    <n v="221"/>
    <s v="Входной Контроль Бетонной смеси Для Б О 38,39"/>
    <n v="1"/>
    <s v="КРИТИЧЕСКОЕ"/>
    <x v="0"/>
    <x v="0"/>
    <s v="msumatokhin@geoizol.ru"/>
    <x v="0"/>
    <d v="2019-07-09T00:00:00"/>
    <d v="2019-07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"/>
    <d v="2019-07-12T15:58:20"/>
    <d v="2019-07-12T17:20:02"/>
    <m/>
    <d v="2019-07-12T17:20:03"/>
  </r>
  <r>
    <n v="157"/>
    <s v="Входной Контроль Бетоной Смеси Для Ограничителей Стены В Грунте"/>
    <n v="1"/>
    <s v="КРИТИЧЕСКОЕ"/>
    <x v="0"/>
    <x v="0"/>
    <s v="msumatokhin@geoizol.ru"/>
    <x v="0"/>
    <d v="2019-06-24T00:00:00"/>
    <d v="2019-06-24T00:00:00"/>
    <s v="Форшахта"/>
    <n v="0"/>
    <n v="0"/>
    <s v="СВГ_Устройство форшахты"/>
    <m/>
    <m/>
    <s v="_Планы ПД"/>
    <s v="Ссылка на план"/>
    <x v="2"/>
    <d v="2019-06-24T15:23:53"/>
    <d v="2019-06-24T16:44:04"/>
    <m/>
    <d v="2019-06-24T16:44:04"/>
  </r>
  <r>
    <n v="695"/>
    <s v="Входной контроль кладочного известкового раствора &quot;Петромикс ММ-02&quot;"/>
    <n v="2"/>
    <s v="Значительное"/>
    <x v="0"/>
    <x v="0"/>
    <s v="oluferov@spgr.ru"/>
    <x v="1"/>
    <d v="2019-10-25T00:00:00"/>
    <d v="2019-10-25T00:00:00"/>
    <m/>
    <m/>
    <m/>
    <m/>
    <m/>
    <m/>
    <m/>
    <m/>
    <x v="3"/>
    <d v="2019-11-20T09:15:08"/>
    <d v="2019-11-20T09:15:08"/>
    <m/>
    <d v="2019-11-20T09:49:58"/>
  </r>
  <r>
    <n v="704"/>
    <s v="ТМГ. Входной контроль. Кирпич"/>
    <n v="2"/>
    <s v="Значительное"/>
    <x v="0"/>
    <x v="0"/>
    <s v="oluferov@spgr.ru"/>
    <x v="1"/>
    <d v="2019-10-30T00:00:00"/>
    <d v="2019-10-30T00:00:00"/>
    <m/>
    <m/>
    <m/>
    <m/>
    <m/>
    <m/>
    <m/>
    <m/>
    <x v="4"/>
    <d v="2019-11-21T14:37:36"/>
    <d v="2019-11-21T14:37:36"/>
    <m/>
    <d v="2019-11-21T14:40:25"/>
  </r>
  <r>
    <n v="62"/>
    <s v="Входной Контроль Портландцемента М400"/>
    <n v="2"/>
    <s v="Значительное"/>
    <x v="0"/>
    <x v="0"/>
    <s v="denisov@spgr.ru"/>
    <x v="2"/>
    <d v="2019-05-02T00:00:00"/>
    <d v="2019-05-03T00:00:00"/>
    <s v="00_-1 этаж"/>
    <n v="0"/>
    <n v="0"/>
    <s v="УФ_Усиление тела фундамента цементацией"/>
    <m/>
    <m/>
    <s v="_Планы ПД"/>
    <s v="Ссылка на план"/>
    <x v="5"/>
    <d v="2019-05-03T10:55:00"/>
    <d v="2019-05-03T10:55:00"/>
    <m/>
    <d v="2019-05-03T10:55:39"/>
  </r>
  <r>
    <n v="23"/>
    <s v="Входной Контроль Портландцемента М400 Для Усиления Фундамнтов"/>
    <n v="2"/>
    <s v="Значительное"/>
    <x v="0"/>
    <x v="0"/>
    <s v="denisov@spgr.ru"/>
    <x v="2"/>
    <d v="2019-04-03T00:00:00"/>
    <d v="2019-04-03T00:00:00"/>
    <s v="00_-1 этаж"/>
    <n v="0"/>
    <n v="0"/>
    <s v="УФ_Усиление тела фундамента цементацией"/>
    <m/>
    <m/>
    <s v="_Планы ПД"/>
    <s v="Ссылка на план"/>
    <x v="6"/>
    <d v="2019-04-05T09:20:27"/>
    <d v="2019-04-05T09:20:27"/>
    <m/>
    <d v="2019-04-05T09:21:27"/>
  </r>
  <r>
    <n v="28"/>
    <s v="Входной Контроль Портланд Цемента Для Усиления Фундаментов Цементацией"/>
    <n v="1"/>
    <s v="КРИТИЧЕСКОЕ"/>
    <x v="0"/>
    <x v="0"/>
    <s v="denisov@spgr.ru"/>
    <x v="2"/>
    <d v="2019-04-09T00:00:00"/>
    <d v="2019-04-09T00:00:00"/>
    <s v="00_-1 этаж"/>
    <n v="0"/>
    <n v="0"/>
    <s v="УФ_Усиление тела фундамента цементацией"/>
    <m/>
    <m/>
    <s v="_Планы ПД"/>
    <s v="Ссылка на план"/>
    <x v="7"/>
    <d v="2019-04-09T09:57:34"/>
    <d v="2019-04-09T09:57:34"/>
    <m/>
    <d v="2019-04-09T09:57:52"/>
  </r>
  <r>
    <n v="31"/>
    <s v="Входной Контроль Бетона Для Ж/Б Плиты Подвала В/О 1-2/Г-Д"/>
    <n v="2"/>
    <s v="Значительное"/>
    <x v="0"/>
    <x v="0"/>
    <s v="denisov@spgr.ru"/>
    <x v="2"/>
    <d v="2019-04-09T00:00:00"/>
    <d v="2019-04-09T00:00:00"/>
    <s v="00_-1 этаж"/>
    <n v="0"/>
    <n v="0"/>
    <s v="УФ_ЖБ плита и приливы"/>
    <m/>
    <m/>
    <s v="_Планы ПД"/>
    <s v="Ссылка на план"/>
    <x v="8"/>
    <d v="2019-04-09T10:57:41"/>
    <d v="2019-04-09T10:57:41"/>
    <m/>
    <d v="2019-04-09T11:02:25"/>
  </r>
  <r>
    <n v="35"/>
    <s v="Входной Контроль Портландцемента Для Усиления Фундаментов"/>
    <n v="2"/>
    <s v="Значительное"/>
    <x v="0"/>
    <x v="0"/>
    <s v="denisov@spgr.ru"/>
    <x v="2"/>
    <d v="2019-04-12T00:00:00"/>
    <d v="2019-04-12T00:00:00"/>
    <s v="00_-1 этаж"/>
    <n v="0"/>
    <n v="0"/>
    <s v="УФ_Усиление тела фундамента цементацией"/>
    <m/>
    <m/>
    <s v="_Планы ПД"/>
    <s v="Ссылка на план"/>
    <x v="9"/>
    <d v="2019-04-12T16:19:24"/>
    <d v="2019-04-12T16:19:24"/>
    <m/>
    <d v="2019-04-12T16:20:04"/>
  </r>
  <r>
    <n v="89"/>
    <s v="Входной Контроль Цемента Для Усиления Фундаментов И Грунтов"/>
    <n v="2"/>
    <s v="Значительное"/>
    <x v="0"/>
    <x v="0"/>
    <s v="denisov@spgr.ru"/>
    <x v="2"/>
    <d v="2019-05-16T00:00:00"/>
    <d v="2019-05-17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10"/>
    <d v="2019-05-17T16:13:57"/>
    <d v="2019-05-17T16:13:57"/>
    <m/>
    <d v="2019-05-17T16:14:13"/>
  </r>
  <r>
    <n v="39"/>
    <s v="Входной Контроль Системы Geoizol Mp"/>
    <n v="2"/>
    <s v="Значительное"/>
    <x v="0"/>
    <x v="0"/>
    <s v="denisov@spgr.ru"/>
    <x v="2"/>
    <d v="2019-04-17T00:00:00"/>
    <d v="2019-04-17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11"/>
    <d v="2019-04-17T14:26:45"/>
    <d v="2019-04-17T14:26:45"/>
    <m/>
    <d v="2019-04-17T14:26:45"/>
  </r>
  <r>
    <n v="40"/>
    <s v="Входной Контроль Цемента Для Усиления Фундаментов"/>
    <n v="2"/>
    <s v="Значительное"/>
    <x v="0"/>
    <x v="0"/>
    <s v="denisov@spgr.ru"/>
    <x v="2"/>
    <d v="2019-04-18T00:00:00"/>
    <d v="2019-04-18T00:00:00"/>
    <s v="00_-1 этаж"/>
    <n v="0"/>
    <n v="0"/>
    <s v="УФ_Усиление тела фундамента цементацией"/>
    <m/>
    <m/>
    <s v="_Планы ПД"/>
    <s v="Ссылка на план"/>
    <x v="12"/>
    <d v="2019-04-18T12:20:53"/>
    <d v="2019-04-18T12:20:53"/>
    <m/>
    <d v="2019-04-18T12:21:26"/>
  </r>
  <r>
    <n v="43"/>
    <s v="Входной Контроль Системы Geoizol Mp"/>
    <n v="2"/>
    <s v="Значительное"/>
    <x v="0"/>
    <x v="0"/>
    <s v="denisov@spgr.ru"/>
    <x v="2"/>
    <d v="2019-04-19T00:00:00"/>
    <d v="2019-04-19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13"/>
    <d v="2019-04-19T15:22:37"/>
    <d v="2019-04-19T15:22:37"/>
    <m/>
    <d v="2019-04-19T15:23:46"/>
  </r>
  <r>
    <n v="42"/>
    <s v="Входной Контроль Цемента Для Усиления Фундаментов"/>
    <n v="2"/>
    <s v="Значительное"/>
    <x v="0"/>
    <x v="0"/>
    <s v="denisov@spgr.ru"/>
    <x v="2"/>
    <d v="2019-04-19T00:00:00"/>
    <d v="2019-04-19T00:00:00"/>
    <s v="00_-1 этаж"/>
    <n v="0"/>
    <n v="0"/>
    <s v="УФ_Усиление тела фундамента цементацией"/>
    <m/>
    <m/>
    <s v="_Планы ПД"/>
    <s v="Ссылка на план"/>
    <x v="14"/>
    <d v="2019-04-19T15:20:07"/>
    <d v="2019-04-19T15:20:07"/>
    <m/>
    <d v="2019-04-19T15:21:00"/>
  </r>
  <r>
    <n v="48"/>
    <s v="Входной Контроль Системы Geizol Mp"/>
    <n v="2"/>
    <s v="Значительное"/>
    <x v="0"/>
    <x v="0"/>
    <s v="denisov@spgr.ru"/>
    <x v="2"/>
    <m/>
    <m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15"/>
    <d v="2019-04-24T16:42:31"/>
    <d v="2019-04-24T16:42:31"/>
    <m/>
    <d v="2019-04-24T16:45:58"/>
  </r>
  <r>
    <n v="47"/>
    <s v="Входной Контроль Портландцемента Для Усиления Фундаментов"/>
    <n v="2"/>
    <s v="Значительное"/>
    <x v="0"/>
    <x v="0"/>
    <s v="denisov@spgr.ru"/>
    <x v="2"/>
    <m/>
    <m/>
    <s v="00_-1 этаж"/>
    <n v="0"/>
    <n v="0"/>
    <s v="УФ_Усиление тела фундамента цементацией"/>
    <m/>
    <m/>
    <s v="_Планы ПД"/>
    <s v="Ссылка на план"/>
    <x v="16"/>
    <d v="2019-04-24T16:40:58"/>
    <d v="2019-04-24T16:40:58"/>
    <m/>
    <d v="2019-04-24T16:42:55"/>
  </r>
  <r>
    <n v="142"/>
    <s v="Входной Контроль Портландцемента М-400"/>
    <n v="2"/>
    <s v="Значительное"/>
    <x v="0"/>
    <x v="0"/>
    <s v="denisov@spgr.ru"/>
    <x v="2"/>
    <d v="2019-06-17T00:00:00"/>
    <d v="2019-06-17T00:00:00"/>
    <s v="00_-1 этаж"/>
    <n v="0"/>
    <n v="0"/>
    <m/>
    <m/>
    <m/>
    <s v="_Планы ПД"/>
    <s v="Ссылка на план"/>
    <x v="17"/>
    <d v="2019-06-17T16:53:04"/>
    <d v="2019-06-17T16:53:04"/>
    <m/>
    <d v="2019-06-18T17:35:40"/>
  </r>
  <r>
    <n v="121"/>
    <s v="Входной Контроль Цемента Для Усиления Фундаментов И Грунтов"/>
    <n v="2"/>
    <s v="Значительное"/>
    <x v="0"/>
    <x v="0"/>
    <s v="denisov@spgr.ru"/>
    <x v="2"/>
    <d v="2019-06-05T00:00:00"/>
    <d v="2019-06-05T00:00:00"/>
    <s v="01_1-ый этаж"/>
    <n v="0"/>
    <n v="0"/>
    <m/>
    <m/>
    <m/>
    <s v="_Планы ПД"/>
    <s v="Ссылка на план"/>
    <x v="18"/>
    <d v="2019-06-05T15:27:34"/>
    <d v="2019-06-05T15:27:34"/>
    <m/>
    <d v="2019-06-05T15:27:51"/>
  </r>
  <r>
    <n v="273"/>
    <s v="Операционный Контроль Бетонирования СВГ №34"/>
    <n v="2"/>
    <s v="Значительное"/>
    <x v="0"/>
    <x v="0"/>
    <s v="denisov@spgr.ru"/>
    <x v="2"/>
    <d v="2019-07-18T00:00:00"/>
    <d v="2019-07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9"/>
    <d v="2019-07-19T08:37:45"/>
    <d v="2019-07-19T08:37:45"/>
    <m/>
    <d v="2019-07-19T08:40:27"/>
  </r>
  <r>
    <n v="476"/>
    <s v="Входной Контроль Бентонтонита"/>
    <n v="2"/>
    <s v="Значительное"/>
    <x v="0"/>
    <x v="0"/>
    <s v="denisov@spgr.ru"/>
    <x v="2"/>
    <d v="2019-09-14T00:00:00"/>
    <d v="2019-09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20"/>
    <d v="2019-09-15T23:26:07"/>
    <d v="2019-09-15T23:26:07"/>
    <m/>
    <d v="2019-09-15T23:26:42"/>
  </r>
  <r>
    <n v="280"/>
    <s v="Входной Контроль Бетона Для Свг Зах. 35"/>
    <n v="2"/>
    <s v="Значительное"/>
    <x v="0"/>
    <x v="0"/>
    <s v="denisov@spgr.ru"/>
    <x v="2"/>
    <d v="2019-07-20T00:00:00"/>
    <d v="2019-07-20T00:00:00"/>
    <s v="Ограждающая конструкция стена в грунте"/>
    <n v="0"/>
    <n v="0"/>
    <s v="СВГ_Устройство форшахты"/>
    <m/>
    <m/>
    <s v="Контроль монтажных работ"/>
    <s v="Ссылка на план"/>
    <x v="21"/>
    <d v="2019-07-20T16:02:15"/>
    <d v="2019-07-20T16:02:15"/>
    <m/>
    <d v="2019-07-20T16:02:16"/>
  </r>
  <r>
    <n v="538"/>
    <s v="Входной Контроль Портландцемент М400 Д20"/>
    <n v="2"/>
    <s v="Значительное"/>
    <x v="0"/>
    <x v="0"/>
    <s v="denisov@spgr.ru"/>
    <x v="2"/>
    <d v="2019-09-26T00:00:00"/>
    <d v="2019-09-26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22"/>
    <d v="2019-09-26T13:15:21"/>
    <d v="2019-09-26T13:15:21"/>
    <m/>
    <d v="2019-09-26T13:16:32"/>
  </r>
  <r>
    <n v="795"/>
    <s v="Портландцемент М440 д20"/>
    <n v="2"/>
    <s v="Значительное"/>
    <x v="0"/>
    <x v="0"/>
    <s v="denisov@spgr.ru"/>
    <x v="2"/>
    <d v="2019-12-20T00:00:00"/>
    <d v="2019-12-20T00:00:00"/>
    <s v="1 двор Jet Groting"/>
    <n v="0"/>
    <n v="0"/>
    <s v="Jet1Двор_устройство Jet Grouting"/>
    <n v="0"/>
    <m/>
    <s v="Контроль монтажных работ"/>
    <s v="Ссылка на план"/>
    <x v="23"/>
    <d v="2019-12-20T17:26:25"/>
    <d v="2019-12-20T17:26:25"/>
    <m/>
    <d v="2019-12-21T16:40:59"/>
  </r>
  <r>
    <n v="803"/>
    <s v="Входной Контроль Армокаркасов Для Свай Кп-1, Кп-2"/>
    <n v="2"/>
    <s v="Значительное"/>
    <x v="0"/>
    <x v="0"/>
    <s v="denisov@spgr.ru"/>
    <x v="2"/>
    <d v="2019-12-21T00:00:00"/>
    <d v="2019-12-21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24"/>
    <d v="2019-12-21T16:43:42"/>
    <d v="2019-12-21T16:43:42"/>
    <m/>
    <d v="2019-12-21T16:45:31"/>
  </r>
  <r>
    <n v="551"/>
    <s v="Бетонирование БО"/>
    <n v="2"/>
    <s v="Значительное"/>
    <x v="0"/>
    <x v="0"/>
    <s v="denisov@spgr.ru"/>
    <x v="2"/>
    <d v="2019-09-28T00:00:00"/>
    <d v="2019-09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25"/>
    <d v="2019-09-28T21:58:12"/>
    <d v="2019-09-28T21:58:12"/>
    <m/>
    <d v="2019-09-28T21:59:03"/>
  </r>
  <r>
    <n v="729"/>
    <s v="Портландцемент 400 Д 20"/>
    <n v="2"/>
    <s v="Значительное"/>
    <x v="0"/>
    <x v="0"/>
    <s v="denisov@spgr.ru"/>
    <x v="2"/>
    <d v="2019-11-28T00:00:00"/>
    <d v="2019-11-28T00:00:00"/>
    <s v="1 двор Jet Groting"/>
    <n v="0"/>
    <n v="0"/>
    <s v="Jet1Двор_устройство Jet Grouting"/>
    <m/>
    <m/>
    <s v="Контроль монтажных работ"/>
    <s v="Ссылка на план"/>
    <x v="26"/>
    <d v="2019-11-28T19:20:12"/>
    <d v="2019-11-28T19:20:12"/>
    <m/>
    <d v="2019-11-28T19:21:14"/>
  </r>
  <r>
    <n v="757"/>
    <s v="Портландцемент 400 Д 20"/>
    <n v="2"/>
    <s v="Значительное"/>
    <x v="0"/>
    <x v="0"/>
    <s v="denisov@spgr.ru"/>
    <x v="2"/>
    <d v="2019-12-06T00:00:00"/>
    <d v="2019-12-06T00:00:00"/>
    <s v="УФ усиление фундаментов цементацией-2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27"/>
    <d v="2019-12-06T17:36:12"/>
    <d v="2019-12-06T17:36:12"/>
    <m/>
    <d v="2019-12-06T17:36:34"/>
  </r>
  <r>
    <n v="693"/>
    <s v="Портландцемент М400д20"/>
    <n v="2"/>
    <s v="Значительное"/>
    <x v="0"/>
    <x v="0"/>
    <s v="denisov@spgr.ru"/>
    <x v="2"/>
    <d v="2019-11-16T00:00:00"/>
    <d v="2019-11-16T00:00:00"/>
    <s v="1 двор Jet Groting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28"/>
    <d v="2019-11-19T13:07:38"/>
    <d v="2019-11-19T13:07:38"/>
    <m/>
    <d v="2019-11-28T19:19:06"/>
  </r>
  <r>
    <n v="837"/>
    <s v="СВГ_ Бетон БО"/>
    <n v="2"/>
    <s v="Значительное"/>
    <x v="1"/>
    <x v="0"/>
    <s v="chugunov@spgr.ru"/>
    <x v="3"/>
    <d v="2019-12-24T00:00:00"/>
    <d v="2019-12-24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29"/>
    <m/>
    <m/>
    <m/>
    <d v="2019-12-25T13:09:22"/>
  </r>
  <r>
    <n v="217"/>
    <s v="Бентонитовый Раствор Для СВГ В/О 22-23/Д-И"/>
    <n v="2"/>
    <s v="Значительное"/>
    <x v="0"/>
    <x v="0"/>
    <s v="chugunov@spgr.ru"/>
    <x v="3"/>
    <d v="2019-07-09T00:00:00"/>
    <d v="2019-07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0"/>
    <d v="2019-07-09T12:28:29"/>
    <d v="2019-07-09T12:28:36"/>
    <m/>
    <d v="2019-07-09T12:28:37"/>
  </r>
  <r>
    <n v="219"/>
    <s v="Арматурный Каркас И Опалубка БО 38 ,39"/>
    <n v="2"/>
    <s v="Значительное"/>
    <x v="0"/>
    <x v="0"/>
    <s v="chugunov@spgr.ru"/>
    <x v="3"/>
    <d v="2019-07-09T00:00:00"/>
    <d v="2019-07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1"/>
    <d v="2019-07-09T16:24:25"/>
    <d v="2019-07-09T16:27:20"/>
    <m/>
    <d v="2019-07-09T16:27:21"/>
  </r>
  <r>
    <n v="223"/>
    <s v="Арматурный Каркас Стена В Грунте Зах 45"/>
    <n v="2"/>
    <s v="Значительное"/>
    <x v="0"/>
    <x v="0"/>
    <s v="chugunov@spgr.ru"/>
    <x v="3"/>
    <d v="2019-07-09T00:00:00"/>
    <d v="2019-07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2"/>
    <d v="2019-07-09T17:45:46"/>
    <d v="2019-07-09T17:47:42"/>
    <m/>
    <d v="2019-07-09T17:50:19"/>
  </r>
  <r>
    <n v="784"/>
    <s v="СВГ_Глинопорошок Бентонитовый"/>
    <n v="2"/>
    <s v="Значительное"/>
    <x v="0"/>
    <x v="0"/>
    <s v="chugunov@spgr.ru"/>
    <x v="3"/>
    <d v="2019-12-17T00:00:00"/>
    <d v="2019-12-17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33"/>
    <d v="2019-12-17T12:11:28"/>
    <d v="2019-12-17T12:12:32"/>
    <m/>
    <d v="2019-12-17T12:12:33"/>
  </r>
  <r>
    <n v="789"/>
    <s v="СВГ_Бетон БО"/>
    <n v="2"/>
    <s v="Значительное"/>
    <x v="0"/>
    <x v="0"/>
    <s v="chugunov@spgr.ru"/>
    <x v="3"/>
    <d v="2019-12-17T00:00:00"/>
    <d v="2019-12-17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34"/>
    <d v="2019-12-17T15:45:46"/>
    <d v="2019-12-17T15:47:12"/>
    <m/>
    <d v="2019-12-17T15:47:13"/>
  </r>
  <r>
    <n v="10"/>
    <s v="Входной контроль материалов для выноса теплосети из под пятна застройки (Трубы в ППУ)"/>
    <n v="2"/>
    <s v="Значительное"/>
    <x v="0"/>
    <x v="0"/>
    <s v="chugunov@spgr.ru"/>
    <x v="3"/>
    <d v="2019-03-27T00:00:00"/>
    <d v="2019-03-27T00:00:00"/>
    <s v="ГП_Генплан_сети"/>
    <n v="0"/>
    <n v="0"/>
    <s v="Вынос ТС"/>
    <m/>
    <m/>
    <s v="_Планы ПД"/>
    <s v="Ссылка на план"/>
    <x v="35"/>
    <d v="2019-03-27T12:04:24"/>
    <d v="2019-03-27T12:04:24"/>
    <m/>
    <d v="2019-03-27T12:07:03"/>
  </r>
  <r>
    <n v="230"/>
    <s v="Бетон СВГ Зах.45"/>
    <n v="2"/>
    <s v="Значительное"/>
    <x v="0"/>
    <x v="0"/>
    <s v="chugunov@spgr.ru"/>
    <x v="3"/>
    <d v="2019-07-10T00:00:00"/>
    <d v="2019-07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6"/>
    <d v="2019-07-10T19:39:00"/>
    <d v="2019-07-10T19:39:39"/>
    <m/>
    <d v="2019-07-10T19:39:40"/>
  </r>
  <r>
    <n v="68"/>
    <s v="Усиление Тела Фундамента Цементацией"/>
    <n v="2"/>
    <s v="Значительное"/>
    <x v="0"/>
    <x v="0"/>
    <s v="chugunov@spgr.ru"/>
    <x v="3"/>
    <d v="2019-05-08T00:00:00"/>
    <d v="2019-05-08T00:00:00"/>
    <s v="00_-1 этаж"/>
    <n v="0"/>
    <n v="0"/>
    <s v="УФ_Усиление тела фундамента цементацией"/>
    <m/>
    <m/>
    <s v="_Планы ПД"/>
    <s v="Ссылка на план"/>
    <x v="37"/>
    <d v="2019-05-08T11:56:37"/>
    <d v="2019-05-08T11:56:37"/>
    <m/>
    <d v="2019-05-08T11:58:45"/>
  </r>
  <r>
    <n v="233"/>
    <s v="Бетон Для БО Зах.38, 39"/>
    <n v="2"/>
    <s v="Значительное"/>
    <x v="0"/>
    <x v="0"/>
    <s v="chugunov@spgr.ru"/>
    <x v="3"/>
    <d v="2019-07-11T00:00:00"/>
    <d v="2019-07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8"/>
    <d v="2019-07-11T13:37:33"/>
    <d v="2019-07-11T13:37:33"/>
    <m/>
    <d v="2019-07-11T13:37:43"/>
  </r>
  <r>
    <n v="136"/>
    <s v="Устройство Форшахты Армирование"/>
    <n v="2"/>
    <s v="Значительное"/>
    <x v="0"/>
    <x v="0"/>
    <s v="chugunov@spgr.ru"/>
    <x v="3"/>
    <d v="2019-06-14T00:00:00"/>
    <d v="2019-06-14T00:00:00"/>
    <s v="ВФ_Двор 1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39"/>
    <d v="2019-06-14T16:27:02"/>
    <d v="2019-06-14T16:30:32"/>
    <m/>
    <d v="2019-06-14T16:30:32"/>
  </r>
  <r>
    <n v="699"/>
    <s v="Бетон СВГ Зах.10"/>
    <n v="2"/>
    <s v="Значительное"/>
    <x v="0"/>
    <x v="0"/>
    <s v="chugunov@spgr.ru"/>
    <x v="3"/>
    <d v="2019-11-21T00:00:00"/>
    <d v="2019-11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0"/>
    <d v="2019-11-21T08:06:21"/>
    <d v="2019-11-21T08:08:14"/>
    <m/>
    <d v="2019-11-21T08:08:14"/>
  </r>
  <r>
    <n v="250"/>
    <s v="Бетон Зах.46"/>
    <n v="2"/>
    <s v="Значительное"/>
    <x v="0"/>
    <x v="0"/>
    <s v="chugunov@spgr.ru"/>
    <x v="3"/>
    <d v="2019-07-12T00:00:00"/>
    <d v="2019-07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1"/>
    <d v="2019-07-12T17:18:03"/>
    <d v="2019-07-12T17:19:14"/>
    <m/>
    <d v="2019-07-12T17:19:15"/>
  </r>
  <r>
    <n v="248"/>
    <s v="Бетон Форшахта В/0 22-23/К-Н"/>
    <n v="2"/>
    <s v="Значительное"/>
    <x v="0"/>
    <x v="0"/>
    <s v="chugunov@spgr.ru"/>
    <x v="3"/>
    <d v="2019-07-12T00:00:00"/>
    <d v="2019-07-12T00:00:00"/>
    <s v="Форшахта"/>
    <n v="0"/>
    <n v="0"/>
    <s v="СВГ_Устройство форшахты"/>
    <m/>
    <m/>
    <s v="_Планы ПД"/>
    <s v="Ссылка на план"/>
    <x v="42"/>
    <d v="2019-07-12T15:28:07"/>
    <d v="2019-07-12T15:28:07"/>
    <m/>
    <d v="2019-07-12T15:28:07"/>
  </r>
  <r>
    <n v="234"/>
    <s v="Арматурный Каркас Для Зах.46"/>
    <n v="3"/>
    <s v="Малозначительное"/>
    <x v="0"/>
    <x v="0"/>
    <s v="chugunov@spgr.ru"/>
    <x v="3"/>
    <d v="2019-07-11T00:00:00"/>
    <d v="2019-07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"/>
    <d v="2019-07-12T17:19:49"/>
    <d v="2019-07-12T17:19:49"/>
    <m/>
    <d v="2019-07-12T17:19:50"/>
  </r>
  <r>
    <n v="470"/>
    <s v="Бетон СВГ Зах.26"/>
    <n v="2"/>
    <s v="Значительное"/>
    <x v="0"/>
    <x v="0"/>
    <s v="chugunov@spgr.ru"/>
    <x v="3"/>
    <d v="2019-09-12T00:00:00"/>
    <d v="2019-09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"/>
    <d v="2019-09-12T20:56:25"/>
    <d v="2019-09-12T20:57:35"/>
    <m/>
    <d v="2019-09-12T20:57:36"/>
  </r>
  <r>
    <n v="151"/>
    <s v="Входной Контроль Бетонной Смеси Для Устройства Форшахты В/О 21-23/Д и 23/Е-И"/>
    <n v="2"/>
    <s v="Значительное"/>
    <x v="0"/>
    <x v="0"/>
    <s v="chugunov@spgr.ru"/>
    <x v="3"/>
    <d v="2019-06-18T00:00:00"/>
    <d v="2019-06-18T00:00:00"/>
    <s v="Форшахта"/>
    <n v="0"/>
    <n v="0"/>
    <s v="СВГ_Устройство форшахты"/>
    <m/>
    <m/>
    <s v="_Планы ПД"/>
    <s v="Ссылка на план"/>
    <x v="45"/>
    <d v="2019-06-18T16:17:18"/>
    <d v="2019-06-18T16:22:54"/>
    <m/>
    <d v="2019-06-18T16:22:59"/>
  </r>
  <r>
    <n v="472"/>
    <s v="Бетон БО 18"/>
    <n v="2"/>
    <s v="Значительное"/>
    <x v="0"/>
    <x v="0"/>
    <s v="chugunov@spgr.ru"/>
    <x v="3"/>
    <d v="2019-09-13T00:00:00"/>
    <d v="2019-09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6"/>
    <d v="2019-09-13T16:28:25"/>
    <d v="2019-09-13T16:30:20"/>
    <m/>
    <d v="2019-09-13T16:30:21"/>
  </r>
  <r>
    <n v="109"/>
    <s v="Входной Контроль Гидроизоляционный Смеси"/>
    <n v="2"/>
    <s v="Значительное"/>
    <x v="0"/>
    <x v="0"/>
    <s v="chugunov@spgr.ru"/>
    <x v="3"/>
    <d v="2019-05-29T00:00:00"/>
    <d v="2019-05-29T00:00:00"/>
    <s v="01_1-ый этаж"/>
    <n v="0"/>
    <n v="0"/>
    <s v="УФ_Гидроизоляция ЖБ плиты и приливов"/>
    <m/>
    <m/>
    <s v="_Планы ПД"/>
    <s v="Ссылка на план"/>
    <x v="47"/>
    <d v="2019-05-29T12:11:10"/>
    <d v="2019-05-29T12:11:42"/>
    <m/>
    <d v="2019-05-29T12:11:42"/>
  </r>
  <r>
    <n v="264"/>
    <s v="Бетон для БО  36, 37"/>
    <n v="2"/>
    <s v="Значительное"/>
    <x v="0"/>
    <x v="0"/>
    <s v="chugunov@spgr.ru"/>
    <x v="3"/>
    <d v="2019-07-17T00:00:00"/>
    <d v="2019-07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8"/>
    <d v="2019-07-17T09:17:34"/>
    <d v="2019-07-17T09:22:28"/>
    <m/>
    <d v="2019-07-17T11:08:48"/>
  </r>
  <r>
    <n v="171"/>
    <s v="Входной Контроль Бетонной Смеси Для Бетонных Ограничителей СВГ"/>
    <n v="2"/>
    <s v="Значительное"/>
    <x v="0"/>
    <x v="0"/>
    <s v="chugunov@spgr.ru"/>
    <x v="3"/>
    <d v="2019-06-25T00:00:00"/>
    <d v="2019-06-25T00:00:00"/>
    <s v="Форшахта"/>
    <n v="0"/>
    <n v="0"/>
    <s v="СВГ_Устройство форшахты"/>
    <m/>
    <m/>
    <s v="_Планы ПД"/>
    <s v="Ссылка на план"/>
    <x v="49"/>
    <d v="2019-06-25T13:26:11"/>
    <d v="2019-06-25T13:26:17"/>
    <m/>
    <d v="2019-06-25T13:26:18"/>
  </r>
  <r>
    <n v="361"/>
    <s v="Бетон. Зах.39"/>
    <n v="2"/>
    <s v="Значительное"/>
    <x v="0"/>
    <x v="0"/>
    <s v="chugunov@spgr.ru"/>
    <x v="3"/>
    <d v="2019-08-14T00:00:00"/>
    <d v="2019-08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0"/>
    <d v="2019-08-14T18:38:06"/>
    <d v="2019-08-14T18:39:11"/>
    <m/>
    <d v="2019-08-14T18:39:14"/>
  </r>
  <r>
    <n v="180"/>
    <s v="Входной Контроль Бетон БО"/>
    <n v="2"/>
    <s v="Значительное"/>
    <x v="0"/>
    <x v="0"/>
    <s v="chugunov@spgr.ru"/>
    <x v="3"/>
    <d v="2019-06-28T00:00:00"/>
    <d v="2019-06-28T00:00:00"/>
    <s v="Ограждающая конструкция стена в грунте"/>
    <n v="0"/>
    <n v="0"/>
    <s v="СВГ_Устройство форшахты"/>
    <m/>
    <m/>
    <s v="Контроль монтажных работ"/>
    <s v="Ссылка на план"/>
    <x v="51"/>
    <d v="2019-06-28T14:19:09"/>
    <d v="2019-06-28T17:42:24"/>
    <m/>
    <d v="2019-07-03T10:58:25"/>
  </r>
  <r>
    <n v="275"/>
    <s v="Бетон Для БО 34,35"/>
    <n v="2"/>
    <s v="Значительное"/>
    <x v="0"/>
    <x v="0"/>
    <s v="chugunov@spgr.ru"/>
    <x v="3"/>
    <d v="2019-07-19T00:00:00"/>
    <d v="2019-07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2"/>
    <d v="2019-07-19T15:23:59"/>
    <d v="2019-07-19T15:25:25"/>
    <m/>
    <d v="2019-07-19T15:25:26"/>
  </r>
  <r>
    <n v="365"/>
    <s v="Бетон БО 28, 1"/>
    <n v="2"/>
    <s v="Значительное"/>
    <x v="0"/>
    <x v="0"/>
    <s v="chugunov@spgr.ru"/>
    <x v="3"/>
    <d v="2019-08-16T00:00:00"/>
    <d v="2019-08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3"/>
    <d v="2019-08-16T16:30:24"/>
    <d v="2019-08-16T16:32:32"/>
    <m/>
    <d v="2019-08-16T16:32:33"/>
  </r>
  <r>
    <n v="193"/>
    <s v="Входной Контроль Арматуры Для Каркасов БО"/>
    <n v="2"/>
    <s v="Значительное"/>
    <x v="0"/>
    <x v="0"/>
    <s v="chugunov@spgr.ru"/>
    <x v="3"/>
    <d v="2019-07-02T00:00:00"/>
    <d v="2019-07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4"/>
    <d v="2019-07-02T14:47:03"/>
    <d v="2019-07-02T14:49:39"/>
    <m/>
    <d v="2019-07-03T10:58:38"/>
  </r>
  <r>
    <n v="195"/>
    <s v="Входной Контроль Бетонной Смеси Для БО 42, 43"/>
    <n v="2"/>
    <s v="Значительное"/>
    <x v="0"/>
    <x v="0"/>
    <s v="chugunov@spgr.ru"/>
    <x v="3"/>
    <d v="2019-07-02T00:00:00"/>
    <d v="2019-07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"/>
    <d v="2019-07-02T17:12:13"/>
    <d v="2019-07-02T17:18:41"/>
    <m/>
    <d v="2019-07-03T10:59:11"/>
  </r>
  <r>
    <n v="284"/>
    <s v="Бетон СВГ Зах.36"/>
    <n v="2"/>
    <s v="Значительное"/>
    <x v="0"/>
    <x v="0"/>
    <s v="chugunov@spgr.ru"/>
    <x v="3"/>
    <d v="2019-07-22T00:00:00"/>
    <d v="2019-07-2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"/>
    <d v="2019-07-22T13:07:10"/>
    <d v="2019-07-22T13:08:34"/>
    <m/>
    <d v="2019-07-22T13:10:45"/>
  </r>
  <r>
    <n v="292"/>
    <s v="Бетон Для Бетонных Ограничителей 32, 33"/>
    <n v="2"/>
    <s v="Значительное"/>
    <x v="0"/>
    <x v="0"/>
    <s v="chugunov@spgr.ru"/>
    <x v="3"/>
    <d v="2019-07-23T00:00:00"/>
    <d v="2019-07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"/>
    <d v="2019-07-23T17:34:47"/>
    <d v="2019-07-23T17:40:25"/>
    <m/>
    <d v="2019-07-23T17:40:26"/>
  </r>
  <r>
    <n v="202"/>
    <s v="Арматурные Каркасы БО Стена В Грунте"/>
    <n v="2"/>
    <s v="Значительное"/>
    <x v="0"/>
    <x v="0"/>
    <s v="chugunov@spgr.ru"/>
    <x v="3"/>
    <d v="2019-07-05T00:00:00"/>
    <d v="2019-07-0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8"/>
    <d v="2019-07-05T16:13:53"/>
    <d v="2019-07-05T16:14:33"/>
    <m/>
    <d v="2019-07-05T16:14:34"/>
  </r>
  <r>
    <n v="204"/>
    <s v="Бетон Для БО Стена В Грунте Отс 41, 42"/>
    <n v="2"/>
    <s v="Значительное"/>
    <x v="0"/>
    <x v="0"/>
    <s v="chugunov@spgr.ru"/>
    <x v="3"/>
    <d v="2019-07-05T00:00:00"/>
    <d v="2019-07-0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"/>
    <d v="2019-07-05T16:18:04"/>
    <d v="2019-07-05T16:34:12"/>
    <m/>
    <d v="2019-07-05T16:34:17"/>
  </r>
  <r>
    <n v="482"/>
    <s v="Бетон БО13, 16"/>
    <n v="2"/>
    <s v="Значительное"/>
    <x v="0"/>
    <x v="0"/>
    <s v="chugunov@spgr.ru"/>
    <x v="3"/>
    <d v="2019-09-16T00:00:00"/>
    <d v="2019-09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0"/>
    <d v="2019-09-16T18:19:32"/>
    <d v="2019-09-17T20:35:50"/>
    <m/>
    <d v="2019-09-17T20:35:51"/>
  </r>
  <r>
    <n v="372"/>
    <s v="Бетон Зах.31"/>
    <n v="2"/>
    <s v="Значительное"/>
    <x v="0"/>
    <x v="0"/>
    <s v="chugunov@spgr.ru"/>
    <x v="3"/>
    <d v="2019-08-18T00:00:00"/>
    <d v="2019-08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"/>
    <d v="2019-08-18T15:03:55"/>
    <d v="2019-08-18T15:05:36"/>
    <m/>
    <d v="2019-08-18T15:05:36"/>
  </r>
  <r>
    <n v="294"/>
    <s v="Бетон Для СВГ Зах.37"/>
    <n v="2"/>
    <s v="Значительное"/>
    <x v="0"/>
    <x v="0"/>
    <s v="chugunov@spgr.ru"/>
    <x v="3"/>
    <d v="2019-07-24T00:00:00"/>
    <d v="2019-07-2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2"/>
    <d v="2019-07-24T14:04:34"/>
    <d v="2019-07-24T14:05:46"/>
    <m/>
    <d v="2019-07-24T14:05:47"/>
  </r>
  <r>
    <n v="376"/>
    <s v="Бетон БО 2"/>
    <n v="2"/>
    <s v="Значительное"/>
    <x v="0"/>
    <x v="0"/>
    <s v="chugunov@spgr.ru"/>
    <x v="3"/>
    <d v="2019-08-19T00:00:00"/>
    <d v="2019-08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3"/>
    <d v="2019-08-19T16:23:22"/>
    <d v="2019-08-19T16:25:01"/>
    <m/>
    <d v="2019-08-19T16:25:02"/>
  </r>
  <r>
    <n v="307"/>
    <s v="Бетон Для Боковых Ограничителей 30, 31"/>
    <n v="2"/>
    <s v="Значительное"/>
    <x v="0"/>
    <x v="0"/>
    <s v="chugunov@spgr.ru"/>
    <x v="3"/>
    <d v="2019-07-26T00:00:00"/>
    <d v="2019-07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"/>
    <d v="2019-07-26T17:06:32"/>
    <d v="2019-07-26T17:07:16"/>
    <m/>
    <d v="2019-07-26T17:07:17"/>
  </r>
  <r>
    <n v="491"/>
    <s v="Бетон Зах. 17"/>
    <n v="2"/>
    <s v="Значительное"/>
    <x v="0"/>
    <x v="0"/>
    <s v="chugunov@spgr.ru"/>
    <x v="3"/>
    <d v="2019-09-17T00:00:00"/>
    <d v="2019-09-17T00:00:00"/>
    <s v="УФ усиление фундаментов цементацией-1"/>
    <n v="0"/>
    <n v="0"/>
    <s v="СВГ1Д_Устройство СВГ 1-ый двор"/>
    <m/>
    <m/>
    <s v="Контроль монтажных работ"/>
    <s v="Ссылка на план"/>
    <x v="65"/>
    <d v="2019-09-17T20:36:22"/>
    <d v="2019-09-17T20:38:58"/>
    <m/>
    <d v="2019-09-17T20:38:59"/>
  </r>
  <r>
    <n v="379"/>
    <s v="Бетон Зах.30"/>
    <n v="2"/>
    <s v="Значительное"/>
    <x v="0"/>
    <x v="0"/>
    <s v="chugunov@spgr.ru"/>
    <x v="3"/>
    <d v="2019-08-20T00:00:00"/>
    <d v="2019-08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"/>
    <d v="2019-08-20T15:20:08"/>
    <d v="2019-08-20T15:21:23"/>
    <m/>
    <d v="2019-08-20T15:21:24"/>
  </r>
  <r>
    <n v="321"/>
    <s v="Бетон Зах.37"/>
    <n v="2"/>
    <s v="Значительное"/>
    <x v="0"/>
    <x v="0"/>
    <s v="chugunov@spgr.ru"/>
    <x v="3"/>
    <d v="2019-07-29T00:00:00"/>
    <d v="2019-07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7"/>
    <d v="2019-07-29T18:36:40"/>
    <d v="2019-07-29T18:37:23"/>
    <m/>
    <d v="2019-07-30T17:01:12"/>
  </r>
  <r>
    <n v="323"/>
    <s v="Бетон Для БО 38, 39"/>
    <n v="2"/>
    <s v="Значительное"/>
    <x v="0"/>
    <x v="0"/>
    <s v="chugunov@spgr.ru"/>
    <x v="3"/>
    <d v="2019-07-30T00:00:00"/>
    <d v="2019-07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"/>
    <d v="2019-07-30T17:02:10"/>
    <d v="2019-07-30T17:04:17"/>
    <m/>
    <d v="2019-07-30T17:04:18"/>
  </r>
  <r>
    <n v="383"/>
    <s v="Бетон БО 3, 4"/>
    <n v="2"/>
    <s v="Значительное"/>
    <x v="0"/>
    <x v="0"/>
    <s v="chugunov@spgr.ru"/>
    <x v="3"/>
    <d v="2019-08-21T00:00:00"/>
    <d v="2019-08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"/>
    <d v="2019-08-21T22:13:21"/>
    <d v="2019-08-21T22:14:11"/>
    <m/>
    <d v="2019-08-21T22:14:11"/>
  </r>
  <r>
    <n v="497"/>
    <s v="Бетон БО 14, 15"/>
    <n v="2"/>
    <s v="Значительное"/>
    <x v="0"/>
    <x v="0"/>
    <s v="chugunov@spgr.ru"/>
    <x v="3"/>
    <d v="2019-09-18T00:00:00"/>
    <d v="2019-09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"/>
    <d v="2019-09-18T16:44:48"/>
    <d v="2019-09-18T16:45:43"/>
    <m/>
    <d v="2019-09-18T16:45:44"/>
  </r>
  <r>
    <n v="386"/>
    <s v="Бетон Зах.29"/>
    <n v="2"/>
    <s v="Значительное"/>
    <x v="0"/>
    <x v="0"/>
    <s v="chugunov@spgr.ru"/>
    <x v="3"/>
    <d v="2019-08-22T00:00:00"/>
    <d v="2019-08-2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"/>
    <d v="2019-08-22T14:02:44"/>
    <d v="2019-08-22T14:06:32"/>
    <m/>
    <d v="2019-08-22T14:06:32"/>
  </r>
  <r>
    <n v="335"/>
    <s v="Бетон Зах.43"/>
    <n v="2"/>
    <s v="Значительное"/>
    <x v="0"/>
    <x v="0"/>
    <s v="chugunov@spgr.ru"/>
    <x v="3"/>
    <d v="2019-08-01T00:00:00"/>
    <d v="2019-08-0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"/>
    <d v="2019-08-01T20:12:45"/>
    <d v="2019-08-01T20:13:29"/>
    <m/>
    <d v="2019-08-01T20:13:30"/>
  </r>
  <r>
    <n v="498"/>
    <s v="Бетон СВГ Зах.16"/>
    <n v="2"/>
    <s v="Значительное"/>
    <x v="0"/>
    <x v="0"/>
    <s v="chugunov@spgr.ru"/>
    <x v="3"/>
    <d v="2019-09-18T00:00:00"/>
    <d v="2019-09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"/>
    <d v="2019-09-18T22:30:56"/>
    <d v="2019-09-18T22:32:13"/>
    <m/>
    <d v="2019-09-18T22:32:15"/>
  </r>
  <r>
    <n v="338"/>
    <s v="Бетон БО 26, 27"/>
    <n v="2"/>
    <s v="Значительное"/>
    <x v="0"/>
    <x v="0"/>
    <s v="chugunov@spgr.ru"/>
    <x v="3"/>
    <d v="2019-08-02T00:00:00"/>
    <d v="2019-08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"/>
    <d v="2019-08-02T16:43:19"/>
    <d v="2019-08-02T16:43:52"/>
    <m/>
    <d v="2019-08-02T16:43:52"/>
  </r>
  <r>
    <n v="394"/>
    <s v="Бетон БО 7"/>
    <n v="2"/>
    <s v="Значительное"/>
    <x v="0"/>
    <x v="0"/>
    <s v="chugunov@spgr.ru"/>
    <x v="3"/>
    <d v="2019-08-26T00:00:00"/>
    <d v="2019-08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5"/>
    <d v="2019-08-26T17:50:07"/>
    <d v="2019-08-26T17:51:05"/>
    <m/>
    <d v="2019-08-26T17:51:06"/>
  </r>
  <r>
    <n v="341"/>
    <s v="Бетон Зах.43"/>
    <n v="2"/>
    <s v="Значительное"/>
    <x v="0"/>
    <x v="0"/>
    <s v="chugunov@spgr.ru"/>
    <x v="3"/>
    <d v="2019-08-04T00:00:00"/>
    <d v="2019-08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6"/>
    <d v="2019-08-04T19:02:28"/>
    <d v="2019-08-04T19:03:45"/>
    <m/>
    <d v="2019-08-04T19:03:46"/>
  </r>
  <r>
    <n v="346"/>
    <s v="Бетон Зах.42"/>
    <n v="2"/>
    <s v="Значительное"/>
    <x v="0"/>
    <x v="0"/>
    <s v="chugunov@spgr.ru"/>
    <x v="3"/>
    <d v="2019-08-06T00:00:00"/>
    <d v="2019-08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7"/>
    <d v="2019-08-06T15:34:21"/>
    <d v="2019-08-06T15:35:14"/>
    <m/>
    <d v="2019-08-06T15:35:22"/>
  </r>
  <r>
    <n v="349"/>
    <s v="Бетон. Зах.41"/>
    <n v="2"/>
    <s v="Значительное"/>
    <x v="0"/>
    <x v="0"/>
    <s v="chugunov@spgr.ru"/>
    <x v="3"/>
    <d v="2019-08-08T00:00:00"/>
    <d v="2019-08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8"/>
    <d v="2019-08-08T15:19:58"/>
    <d v="2019-08-08T15:21:18"/>
    <m/>
    <d v="2019-08-08T15:21:21"/>
  </r>
  <r>
    <n v="508"/>
    <s v="Бетон СВГ Зах.13"/>
    <n v="2"/>
    <s v="Значительное"/>
    <x v="0"/>
    <x v="0"/>
    <s v="chugunov@spgr.ru"/>
    <x v="3"/>
    <d v="2019-09-21T00:00:00"/>
    <d v="2019-09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9"/>
    <d v="2019-09-21T20:24:00"/>
    <d v="2019-09-21T20:24:38"/>
    <m/>
    <d v="2019-09-21T20:24:39"/>
  </r>
  <r>
    <n v="403"/>
    <s v="Бетон СВГ Зах.20"/>
    <n v="2"/>
    <s v="Значительное"/>
    <x v="0"/>
    <x v="0"/>
    <s v="chugunov@spgr.ru"/>
    <x v="3"/>
    <d v="2019-08-29T00:00:00"/>
    <d v="2019-08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0"/>
    <d v="2019-08-29T16:06:12"/>
    <d v="2019-08-29T16:07:32"/>
    <m/>
    <d v="2019-08-29T16:07:33"/>
  </r>
  <r>
    <n v="504"/>
    <s v="Бетон БО 16. 17"/>
    <n v="2"/>
    <s v="Значительное"/>
    <x v="0"/>
    <x v="0"/>
    <s v="chugunov@spgr.ru"/>
    <x v="3"/>
    <d v="2019-09-20T00:00:00"/>
    <d v="2019-09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1"/>
    <d v="2019-09-20T16:23:05"/>
    <d v="2019-09-20T16:23:14"/>
    <m/>
    <d v="2019-09-21T11:53:20"/>
  </r>
  <r>
    <n v="527"/>
    <s v="Бетон БО 11, 12"/>
    <n v="2"/>
    <s v="Значительное"/>
    <x v="0"/>
    <x v="0"/>
    <s v="chugunov@spgr.ru"/>
    <x v="3"/>
    <d v="2019-09-23T00:00:00"/>
    <d v="2019-09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2"/>
    <d v="2019-09-23T19:59:29"/>
    <d v="2019-09-23T20:00:17"/>
    <m/>
    <d v="2019-09-23T20:00:18"/>
  </r>
  <r>
    <n v="408"/>
    <s v="Бетон БО 8, 23"/>
    <n v="2"/>
    <s v="Значительное"/>
    <x v="0"/>
    <x v="0"/>
    <s v="chugunov@spgr.ru"/>
    <x v="3"/>
    <d v="2019-08-30T00:00:00"/>
    <d v="2019-08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3"/>
    <d v="2019-08-30T20:37:15"/>
    <d v="2019-08-30T20:38:16"/>
    <m/>
    <d v="2019-08-30T20:38:17"/>
  </r>
  <r>
    <n v="797"/>
    <s v="СВГ_Бетон БО"/>
    <n v="2"/>
    <s v="Значительное"/>
    <x v="0"/>
    <x v="0"/>
    <s v="chugunov@spgr.ru"/>
    <x v="3"/>
    <d v="2019-12-20T00:00:00"/>
    <d v="2019-12-20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84"/>
    <d v="2019-12-20T15:36:19"/>
    <d v="2019-12-20T15:37:09"/>
    <m/>
    <d v="2019-12-20T21:45:47"/>
  </r>
  <r>
    <n v="532"/>
    <s v="Бетон СВГ Зах.12"/>
    <n v="2"/>
    <s v="Значительное"/>
    <x v="0"/>
    <x v="0"/>
    <s v="chugunov@spgr.ru"/>
    <x v="3"/>
    <d v="2019-09-24T00:00:00"/>
    <d v="2019-09-24T00:00:00"/>
    <s v="Ограждающая конструкция стена в грунте"/>
    <n v="13.71"/>
    <n v="27.38"/>
    <s v="СВГ1Д_Устройство СВГ 1-ый двор"/>
    <m/>
    <m/>
    <s v="Контроль монтажных работ"/>
    <s v="Ссылка на план"/>
    <x v="85"/>
    <d v="2019-09-24T20:27:19"/>
    <d v="2019-09-24T20:30:03"/>
    <m/>
    <d v="2019-09-24T20:30:03"/>
  </r>
  <r>
    <n v="536"/>
    <s v="Бетон БО 19, 20"/>
    <n v="2"/>
    <s v="Значительное"/>
    <x v="0"/>
    <x v="0"/>
    <s v="chugunov@spgr.ru"/>
    <x v="3"/>
    <d v="2019-09-26T00:00:00"/>
    <d v="2019-09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6"/>
    <d v="2019-09-26T13:13:01"/>
    <d v="2019-09-26T13:17:17"/>
    <m/>
    <d v="2019-09-26T13:17:17"/>
  </r>
  <r>
    <n v="417"/>
    <s v="Бетон Зах.22"/>
    <n v="2"/>
    <s v="Значительное"/>
    <x v="0"/>
    <x v="0"/>
    <s v="chugunov@spgr.ru"/>
    <x v="3"/>
    <d v="2019-09-02T00:00:00"/>
    <d v="2019-09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7"/>
    <d v="2019-09-02T13:55:14"/>
    <d v="2019-09-02T13:56:47"/>
    <m/>
    <d v="2019-09-02T13:56:48"/>
  </r>
  <r>
    <n v="535"/>
    <s v="Бетон СВГ Зах.11"/>
    <n v="2"/>
    <s v="Значительное"/>
    <x v="0"/>
    <x v="0"/>
    <s v="chugunov@spgr.ru"/>
    <x v="3"/>
    <d v="2019-09-25T00:00:00"/>
    <d v="2019-09-2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8"/>
    <d v="2019-09-25T20:30:48"/>
    <d v="2019-09-25T20:31:27"/>
    <m/>
    <d v="2019-09-25T20:31:29"/>
  </r>
  <r>
    <n v="427"/>
    <s v="Бетон БО 10, 11, 22"/>
    <n v="2"/>
    <s v="Значительное"/>
    <x v="0"/>
    <x v="0"/>
    <s v="chugunov@spgr.ru"/>
    <x v="3"/>
    <d v="2019-09-03T00:00:00"/>
    <d v="2019-09-0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89"/>
    <d v="2019-09-03T22:18:21"/>
    <d v="2019-09-03T22:19:10"/>
    <m/>
    <d v="2019-09-03T22:19:13"/>
  </r>
  <r>
    <n v="542"/>
    <s v="Бетон СВГ Зах.5"/>
    <n v="2"/>
    <s v="Значительное"/>
    <x v="0"/>
    <x v="0"/>
    <s v="chugunov@spgr.ru"/>
    <x v="3"/>
    <d v="2019-09-26T00:00:00"/>
    <d v="2019-09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0"/>
    <d v="2019-09-26T22:30:32"/>
    <d v="2019-09-26T22:33:55"/>
    <m/>
    <d v="2019-09-26T22:33:55"/>
  </r>
  <r>
    <n v="429"/>
    <s v="Бетон Зах.23"/>
    <n v="2"/>
    <s v="Значительное"/>
    <x v="0"/>
    <x v="0"/>
    <s v="chugunov@spgr.ru"/>
    <x v="3"/>
    <d v="2019-09-04T00:00:00"/>
    <d v="2019-09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1"/>
    <d v="2019-09-04T13:01:06"/>
    <d v="2019-09-04T13:02:36"/>
    <m/>
    <d v="2019-09-04T13:02:40"/>
  </r>
  <r>
    <n v="555"/>
    <s v="Бетон СВГ Зах.4"/>
    <n v="2"/>
    <s v="Значительное"/>
    <x v="0"/>
    <x v="0"/>
    <s v="chugunov@spgr.ru"/>
    <x v="3"/>
    <d v="2019-09-29T00:00:00"/>
    <d v="2019-09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2"/>
    <d v="2019-09-29T20:30:24"/>
    <d v="2019-09-29T20:31:48"/>
    <m/>
    <d v="2019-09-29T20:31:49"/>
  </r>
  <r>
    <n v="448"/>
    <s v="Бетон СВГ Зах.24"/>
    <n v="2"/>
    <s v="Значительное"/>
    <x v="0"/>
    <x v="0"/>
    <s v="chugunov@spgr.ru"/>
    <x v="3"/>
    <d v="2019-09-07T00:00:00"/>
    <d v="2019-09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3"/>
    <d v="2019-09-07T17:54:34"/>
    <d v="2019-09-07T18:38:10"/>
    <m/>
    <d v="2019-09-07T18:38:11"/>
  </r>
  <r>
    <n v="558"/>
    <s v="Бетон БО 23, 24"/>
    <n v="2"/>
    <s v="Значительное"/>
    <x v="0"/>
    <x v="0"/>
    <s v="chugunov@spgr.ru"/>
    <x v="3"/>
    <d v="2019-09-30T00:00:00"/>
    <d v="2019-09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4"/>
    <d v="2019-09-30T17:21:44"/>
    <d v="2019-09-30T17:23:33"/>
    <m/>
    <d v="2019-09-30T17:23:34"/>
  </r>
  <r>
    <n v="452"/>
    <s v="Бетон Зах.25"/>
    <n v="2"/>
    <s v="Значительное"/>
    <x v="0"/>
    <x v="0"/>
    <s v="chugunov@spgr.ru"/>
    <x v="3"/>
    <d v="2019-09-09T00:00:00"/>
    <d v="2019-09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5"/>
    <d v="2019-09-09T13:32:06"/>
    <d v="2019-09-09T13:33:38"/>
    <m/>
    <d v="2019-09-09T13:33:39"/>
  </r>
  <r>
    <n v="811"/>
    <s v="Бетон БНС 620_14"/>
    <n v="2"/>
    <s v="Значительное"/>
    <x v="0"/>
    <x v="0"/>
    <s v="chugunov@spgr.ru"/>
    <x v="3"/>
    <d v="2019-12-22T00:00:00"/>
    <d v="2019-12-22T00:00:00"/>
    <s v="Схема БН свай для предпроектного испытания"/>
    <n v="0"/>
    <n v="0"/>
    <s v="БНС1_Устройство Буронабивных Свай В 1 Дворе"/>
    <m/>
    <m/>
    <m/>
    <s v="Ссылка на план"/>
    <x v="96"/>
    <d v="2019-12-22T16:02:36"/>
    <d v="2019-12-22T16:03:13"/>
    <m/>
    <d v="2019-12-22T16:03:14"/>
  </r>
  <r>
    <n v="560"/>
    <s v="Бетон СВГ Зах.3"/>
    <n v="2"/>
    <s v="Значительное"/>
    <x v="0"/>
    <x v="0"/>
    <s v="chugunov@spgr.ru"/>
    <x v="3"/>
    <d v="2019-09-30T00:00:00"/>
    <d v="2019-09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7"/>
    <d v="2019-10-01T08:52:24"/>
    <d v="2019-10-01T08:53:38"/>
    <m/>
    <d v="2019-10-01T14:37:34"/>
  </r>
  <r>
    <n v="457"/>
    <s v="Бетон БО 19, 20"/>
    <n v="2"/>
    <s v="Значительное"/>
    <x v="0"/>
    <x v="0"/>
    <s v="chugunov@spgr.ru"/>
    <x v="3"/>
    <d v="2019-09-10T00:00:00"/>
    <d v="2019-09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8"/>
    <d v="2019-09-10T15:07:49"/>
    <d v="2019-09-10T15:09:45"/>
    <m/>
    <d v="2019-09-10T15:09:46"/>
  </r>
  <r>
    <n v="564"/>
    <s v="Бетон СВГ Зах.54"/>
    <n v="2"/>
    <s v="Значительное"/>
    <x v="0"/>
    <x v="0"/>
    <s v="chugunov@spgr.ru"/>
    <x v="3"/>
    <d v="2019-10-03T00:00:00"/>
    <d v="2019-10-0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99"/>
    <d v="2019-10-03T10:50:43"/>
    <d v="2019-10-03T10:51:53"/>
    <m/>
    <d v="2019-10-03T10:51:54"/>
  </r>
  <r>
    <n v="573"/>
    <s v="Бетон СВГ Зах.55"/>
    <n v="2"/>
    <s v="Значительное"/>
    <x v="0"/>
    <x v="0"/>
    <s v="chugunov@spgr.ru"/>
    <x v="3"/>
    <d v="2019-10-04T00:00:00"/>
    <d v="2019-10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0"/>
    <d v="2019-10-04T16:06:29"/>
    <d v="2019-10-04T16:10:11"/>
    <m/>
    <d v="2019-10-04T16:10:12"/>
  </r>
  <r>
    <n v="571"/>
    <s v="Бетон БО 25, 26"/>
    <n v="2"/>
    <s v="Значительное"/>
    <x v="0"/>
    <x v="0"/>
    <s v="chugunov@spgr.ru"/>
    <x v="3"/>
    <d v="2019-10-04T00:00:00"/>
    <d v="2019-10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1"/>
    <d v="2019-10-04T15:56:28"/>
    <d v="2019-10-04T15:59:14"/>
    <m/>
    <d v="2019-10-04T15:59:15"/>
  </r>
  <r>
    <n v="813"/>
    <s v="Бетон БНС 620_27"/>
    <n v="2"/>
    <s v="Значительное"/>
    <x v="0"/>
    <x v="0"/>
    <s v="chugunov@spgr.ru"/>
    <x v="3"/>
    <d v="2019-12-23T00:00:00"/>
    <d v="2019-12-23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102"/>
    <d v="2019-12-23T09:24:19"/>
    <d v="2019-12-23T09:24:50"/>
    <m/>
    <d v="2019-12-23T09:24:50"/>
  </r>
  <r>
    <n v="731"/>
    <s v="Противокапилярная Защита"/>
    <n v="2"/>
    <s v="Значительное"/>
    <x v="0"/>
    <x v="0"/>
    <s v="chugunov@spgr.ru"/>
    <x v="3"/>
    <d v="2019-11-29T00:00:00"/>
    <d v="2019-11-29T00:00:00"/>
    <s v="00_-1 этаж"/>
    <n v="0"/>
    <n v="0"/>
    <s v="УФ_Противокапилярная гидроизоляция 1-3й этап"/>
    <m/>
    <m/>
    <s v="_Планы ПД"/>
    <s v="Ссылка на план"/>
    <x v="103"/>
    <d v="2019-11-29T10:30:28"/>
    <d v="2019-11-29T10:32:43"/>
    <m/>
    <d v="2019-11-29T10:32:44"/>
  </r>
  <r>
    <n v="830"/>
    <s v="Бетон БНС 620_40"/>
    <n v="2"/>
    <s v="Значительное"/>
    <x v="0"/>
    <x v="0"/>
    <s v="chugunov@spgr.ru"/>
    <x v="3"/>
    <d v="2019-12-23T00:00:00"/>
    <d v="2019-12-23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104"/>
    <d v="2019-12-23T18:01:50"/>
    <d v="2019-12-23T18:02:29"/>
    <m/>
    <d v="2019-12-23T18:02:30"/>
  </r>
  <r>
    <n v="651"/>
    <s v="Бетон СВГ Зах.47"/>
    <n v="2"/>
    <s v="Значительное"/>
    <x v="0"/>
    <x v="0"/>
    <s v="chugunov@spgr.ru"/>
    <x v="3"/>
    <d v="2019-10-26T00:00:00"/>
    <d v="2019-10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5"/>
    <d v="2019-10-26T22:32:44"/>
    <d v="2019-10-26T22:33:45"/>
    <m/>
    <d v="2019-10-26T22:33:48"/>
  </r>
  <r>
    <n v="659"/>
    <s v="САГ Глинопорошок Бентонитовый"/>
    <n v="2"/>
    <s v="Значительное"/>
    <x v="0"/>
    <x v="0"/>
    <s v="chugunov@spgr.ru"/>
    <x v="3"/>
    <d v="2019-10-29T00:00:00"/>
    <d v="2019-10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6"/>
    <d v="2019-10-29T14:50:18"/>
    <d v="2019-10-29T14:50:40"/>
    <m/>
    <d v="2019-10-29T14:50:41"/>
  </r>
  <r>
    <n v="664"/>
    <s v="Бетон СВГ Зах.52"/>
    <n v="2"/>
    <s v="Значительное"/>
    <x v="0"/>
    <x v="0"/>
    <s v="chugunov@spgr.ru"/>
    <x v="3"/>
    <d v="2019-10-31T00:00:00"/>
    <d v="2019-10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7"/>
    <d v="2019-10-31T07:53:57"/>
    <d v="2019-10-31T07:54:40"/>
    <m/>
    <d v="2019-10-31T07:54:40"/>
  </r>
  <r>
    <n v="670"/>
    <s v="Бетон СВГ Зах.51"/>
    <n v="2"/>
    <s v="Значительное"/>
    <x v="0"/>
    <x v="0"/>
    <s v="chugunov@spgr.ru"/>
    <x v="3"/>
    <d v="2019-10-31T00:00:00"/>
    <d v="2019-10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8"/>
    <d v="2019-10-31T20:55:59"/>
    <d v="2019-11-02T21:09:20"/>
    <m/>
    <d v="2019-11-02T21:09:21"/>
  </r>
  <r>
    <n v="676"/>
    <s v="Бетон СВГ Зах.49"/>
    <n v="2"/>
    <s v="Значительное"/>
    <x v="0"/>
    <x v="0"/>
    <s v="chugunov@spgr.ru"/>
    <x v="3"/>
    <d v="2019-11-02T00:00:00"/>
    <d v="2019-11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09"/>
    <d v="2019-11-02T21:09:27"/>
    <d v="2019-11-02T21:10:54"/>
    <m/>
    <d v="2019-11-02T21:10:56"/>
  </r>
  <r>
    <n v="768"/>
    <s v="Бетон БО 1.2"/>
    <n v="2"/>
    <s v="Значительное"/>
    <x v="0"/>
    <x v="0"/>
    <s v="chugunov@spgr.ru"/>
    <x v="3"/>
    <d v="2019-12-11T00:00:00"/>
    <d v="2019-12-11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110"/>
    <d v="2019-12-11T16:47:00"/>
    <d v="2019-12-11T16:51:19"/>
    <m/>
    <d v="2019-12-11T16:55:30"/>
  </r>
  <r>
    <n v="774"/>
    <s v="Гидрофобизация Цокольного Камня В/О 22-26/А"/>
    <n v="2"/>
    <s v="Значительное"/>
    <x v="0"/>
    <x v="0"/>
    <s v="chugunov@spgr.ru"/>
    <x v="3"/>
    <d v="2019-12-13T00:00:00"/>
    <d v="2019-12-13T00:00:00"/>
    <s v="НФ_Марсово поле"/>
    <n v="0"/>
    <n v="0"/>
    <s v="МП, Фасад"/>
    <m/>
    <m/>
    <s v="_Планы ПД"/>
    <s v="Ссылка на план"/>
    <x v="111"/>
    <d v="2019-12-13T14:52:42"/>
    <d v="2019-12-13T14:56:01"/>
    <m/>
    <d v="2019-12-13T14:56:02"/>
  </r>
  <r>
    <n v="778"/>
    <s v="СВГ_Бетон БО"/>
    <n v="2"/>
    <s v="Значительное"/>
    <x v="0"/>
    <x v="0"/>
    <s v="chugunov@spgr.ru"/>
    <x v="3"/>
    <d v="2019-12-14T00:00:00"/>
    <d v="2019-12-14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112"/>
    <d v="2019-12-14T14:32:18"/>
    <d v="2019-12-14T14:34:33"/>
    <m/>
    <d v="2019-12-14T14:34:34"/>
  </r>
  <r>
    <n v="779"/>
    <s v="СпецСтрой Нарушение технологии монтажа Окон Согласно ППР"/>
    <n v="2"/>
    <s v="Значительное"/>
    <x v="0"/>
    <x v="1"/>
    <s v="3318261@mail.ru"/>
    <x v="4"/>
    <d v="2019-12-16T00:00:00"/>
    <d v="2019-12-18T00:00:00"/>
    <s v="НФ_Марсово поле"/>
    <n v="0"/>
    <n v="0"/>
    <s v="Фасад Марсово Поле В/О 1-4/А"/>
    <m/>
    <m/>
    <s v="_Планы ПД"/>
    <s v="Ссылка на план"/>
    <x v="113"/>
    <d v="2019-12-18T13:30:09"/>
    <d v="2019-12-23T16:44:53"/>
    <m/>
    <d v="2019-12-23T16:44:54"/>
  </r>
  <r>
    <n v="124"/>
    <s v="Демонтаж Штукатурного Слоя В Арке На Миллионной Улице"/>
    <n v="1"/>
    <s v="КРИТИЧЕСКОЕ"/>
    <x v="2"/>
    <x v="1"/>
    <s v="msumatokhin@geoizol.ru"/>
    <x v="0"/>
    <d v="2019-06-10T00:00:00"/>
    <d v="2019-06-10T00:00:00"/>
    <s v="НФ_Милионная"/>
    <n v="0"/>
    <n v="0"/>
    <m/>
    <m/>
    <m/>
    <s v="_Планы ПД"/>
    <s v="Ссылка на план"/>
    <x v="114"/>
    <m/>
    <m/>
    <m/>
    <d v="2019-07-06T15:18:53"/>
  </r>
  <r>
    <n v="806"/>
    <s v="Работы по устройству буронабивных свай ведутся без согласованной рабочей документации выданной в производство работ"/>
    <n v="1"/>
    <s v="КРИТИЧЕСКОЕ"/>
    <x v="2"/>
    <x v="1"/>
    <s v="msumatokhin@geoizol.ru"/>
    <x v="0"/>
    <d v="2019-12-21T00:00:00"/>
    <d v="2019-12-23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115"/>
    <m/>
    <m/>
    <m/>
    <d v="2019-12-21T17:22:36"/>
  </r>
  <r>
    <n v="569"/>
    <s v="Требуется Проектное Решение По Дальнейшим Действиям При Выполнение Работ По Компенсирующим Мероприятиям На Контакте Фундамент Грунт В/О 19/2И"/>
    <n v="1"/>
    <s v="КРИТИЧЕСКОЕ"/>
    <x v="2"/>
    <x v="1"/>
    <s v="msumatokhin@geoizol.ru"/>
    <x v="0"/>
    <d v="2019-10-04T00:00:00"/>
    <d v="2019-10-07T00:00:00"/>
    <s v="УФ усиление фундаментов цементацией-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116"/>
    <m/>
    <m/>
    <m/>
    <d v="2019-10-04T12:46:03"/>
  </r>
  <r>
    <n v="816"/>
    <s v="ГЕО_БНС 620_27"/>
    <n v="1"/>
    <s v="КРИТИЧЕСКОЕ"/>
    <x v="2"/>
    <x v="1"/>
    <s v="msumatokhin@geoizol.ru"/>
    <x v="0"/>
    <d v="2019-12-23T00:00:00"/>
    <d v="2019-12-25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117"/>
    <m/>
    <m/>
    <m/>
    <d v="2019-12-23T17:44:47"/>
  </r>
  <r>
    <n v="831"/>
    <s v="В процессе производства работ по мониторингу осадок здания, были зафиксированы осадки превышающие допустимые. Согласно ГОСТ Р 56198-2014 &quot;Мониторинг технического состояния объектов культурного наследия. Недвижимые памятники. Общие требования&quot; была создана"/>
    <n v="1"/>
    <s v="КРИТИЧЕСКОЕ"/>
    <x v="2"/>
    <x v="1"/>
    <s v="msumatokhin@geoizol.ru"/>
    <x v="0"/>
    <d v="2019-12-24T00:00:00"/>
    <d v="2020-01-09T00:00:00"/>
    <s v="1 двор Jet Groting"/>
    <n v="0"/>
    <n v="0"/>
    <s v="Jet1Двор_устройство Jet Grouting"/>
    <m/>
    <m/>
    <s v="Контроль монтажных работ"/>
    <s v="Ссылка на план"/>
    <x v="118"/>
    <m/>
    <m/>
    <m/>
    <d v="2019-12-24T12:05:46"/>
  </r>
  <r>
    <n v="832"/>
    <s v="В процессе производства работ по мониторингу осадок здания, были зафиксированы осадки превышающие допустимые. Согласно ГОСТ Р 56198-2014 &quot;Мониторинг технического состояния объектов культурного наследия. Недвижимые памятники. Общие требования&quot; была создана"/>
    <n v="1"/>
    <s v="КРИТИЧЕСКОЕ"/>
    <x v="2"/>
    <x v="1"/>
    <s v="msumatokhin@geoizol.ru"/>
    <x v="0"/>
    <d v="2019-12-24T00:00:00"/>
    <d v="2020-01-09T00:00:00"/>
    <s v="03.2019-Р-КЖ0-2[04] 7"/>
    <n v="0"/>
    <n v="0"/>
    <s v="БНС1_Устройство Буронабивных Свай В 1 Дворе"/>
    <n v="0"/>
    <m/>
    <s v="Устроство буронабивных свай 1 двор"/>
    <s v="Ссылка на план"/>
    <x v="119"/>
    <m/>
    <m/>
    <m/>
    <d v="2019-12-24T12:10:24"/>
  </r>
  <r>
    <n v="689"/>
    <s v="Демонтаж Арки на выезде со второго двора по Аптекарскому переулку"/>
    <n v="1"/>
    <s v="КРИТИЧЕСКОЕ"/>
    <x v="2"/>
    <x v="1"/>
    <s v="msumatokhin@geoizol.ru"/>
    <x v="0"/>
    <d v="2019-11-17T00:00:00"/>
    <d v="2019-11-20T00:00:00"/>
    <s v="ВФ_Двор 2"/>
    <n v="0"/>
    <n v="0"/>
    <m/>
    <m/>
    <m/>
    <s v="_Планы ПД"/>
    <s v="Ссылка на план"/>
    <x v="120"/>
    <m/>
    <m/>
    <m/>
    <d v="2019-11-18T15:11:18"/>
  </r>
  <r>
    <n v="352"/>
    <s v="Разрушение кирпичной кладки после шурфа фундамента 8/1-12/1/У"/>
    <n v="2"/>
    <s v="Значительное"/>
    <x v="1"/>
    <x v="1"/>
    <s v="msumatokhin@geoizol.ru"/>
    <x v="0"/>
    <d v="2019-08-13T00:00:00"/>
    <d v="2019-08-19T00:00:00"/>
    <s v="УФ усиление фундаментов цементацией-2"/>
    <n v="0"/>
    <n v="0"/>
    <m/>
    <m/>
    <m/>
    <s v="Контроль монтажных работ"/>
    <s v="Ссылка на план"/>
    <x v="121"/>
    <m/>
    <m/>
    <m/>
    <d v="2019-08-13T14:02:50"/>
  </r>
  <r>
    <n v="815"/>
    <s v="ГЕО_Грязь на Строительной Площадке"/>
    <n v="3"/>
    <s v="Малозначительное"/>
    <x v="3"/>
    <x v="1"/>
    <s v="msumatokhin@geoizol.ru"/>
    <x v="0"/>
    <d v="2019-12-23T00:00:00"/>
    <d v="2019-12-23T00:00:00"/>
    <s v="НФ_Милионная"/>
    <n v="0"/>
    <n v="0"/>
    <s v="Бытовой Городок"/>
    <m/>
    <m/>
    <s v="_Планы ПД"/>
    <s v="Ссылка на план"/>
    <x v="122"/>
    <m/>
    <m/>
    <m/>
    <d v="2019-12-25T16:06:10"/>
  </r>
  <r>
    <n v="298"/>
    <s v="Выполнить зачеканку скважин после усиления фундаментов, а также произвести вывоз кернов и наплывов бетона образовавшихся в результате работ."/>
    <n v="3"/>
    <s v="Малозначительное"/>
    <x v="4"/>
    <x v="1"/>
    <s v="msumatokhin@geoizol.ru"/>
    <x v="0"/>
    <d v="2019-07-25T00:00:00"/>
    <d v="2019-07-29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123"/>
    <d v="2019-12-10T11:53:43"/>
    <m/>
    <m/>
    <d v="2019-12-10T11:53:44"/>
  </r>
  <r>
    <n v="12"/>
    <s v="Согласовать с авторским надзором устройство рабочих швов по стенам лотка в/о 1-2/И/1-У"/>
    <n v="3"/>
    <s v="Малозначительное"/>
    <x v="0"/>
    <x v="1"/>
    <s v="msumatokhin@geoizol.ru"/>
    <x v="0"/>
    <d v="2019-03-27T00:00:00"/>
    <d v="2019-04-03T00:00:00"/>
    <s v="00_-1 этаж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124"/>
    <d v="2019-04-02T13:42:10"/>
    <d v="2019-04-02T13:42:10"/>
    <m/>
    <d v="2019-04-02T13:42:10"/>
  </r>
  <r>
    <n v="19"/>
    <s v="Усиление проёма не соответствует РД"/>
    <n v="3"/>
    <s v="Малозначительное"/>
    <x v="0"/>
    <x v="1"/>
    <s v="msumatokhin@geoizol.ru"/>
    <x v="0"/>
    <d v="2019-04-02T00:00:00"/>
    <d v="2019-04-05T00:00:00"/>
    <s v="00_-1 этаж"/>
    <n v="0"/>
    <n v="0"/>
    <s v="Уф_Усиление Проёма"/>
    <m/>
    <m/>
    <s v="_Планы ПД"/>
    <s v="Ссылка на план"/>
    <x v="125"/>
    <d v="2019-04-09T15:09:33"/>
    <d v="2019-04-09T15:09:33"/>
    <m/>
    <d v="2019-04-09T15:09:27"/>
  </r>
  <r>
    <n v="27"/>
    <s v="Заменить повреждённый шланг у Водомерного Узла и хомуты на стыках. Устранить протечки воды."/>
    <n v="3"/>
    <s v="Малозначительное"/>
    <x v="0"/>
    <x v="1"/>
    <s v="msumatokhin@geoizol.ru"/>
    <x v="0"/>
    <d v="2019-04-08T00:00:00"/>
    <d v="2019-04-09T00:00:00"/>
    <s v="00_-1 этаж"/>
    <n v="0"/>
    <n v="0"/>
    <s v="УФ_Усиление тела фундамента цементацией"/>
    <m/>
    <m/>
    <s v="_Планы ПД"/>
    <s v="Ссылка на план"/>
    <x v="126"/>
    <d v="2019-04-09T17:55:06"/>
    <d v="2019-04-09T17:55:06"/>
    <m/>
    <d v="2019-04-09T17:55:06"/>
  </r>
  <r>
    <n v="29"/>
    <s v="Данный портландцемент не соответствует проекту, использование запрещено до согласования с авторским надзором"/>
    <n v="1"/>
    <s v="КРИТИЧЕСКОЕ"/>
    <x v="0"/>
    <x v="1"/>
    <s v="msumatokhin@geoizol.ru"/>
    <x v="0"/>
    <d v="2019-04-09T00:00:00"/>
    <d v="2019-04-09T00:00:00"/>
    <s v="00_-1 этаж"/>
    <n v="0"/>
    <n v="0"/>
    <s v="УФ_Усиление тела фундамента цементацией"/>
    <m/>
    <m/>
    <s v="_Планы ПД"/>
    <s v="Ссылка на план"/>
    <x v="127"/>
    <d v="2019-04-09T15:02:31"/>
    <d v="2019-04-09T15:02:31"/>
    <m/>
    <d v="2019-04-09T15:02:30"/>
  </r>
  <r>
    <n v="17"/>
    <s v="Согласование изменений с АН При Армировании Приливов В/О 1-2/А-Д"/>
    <n v="3"/>
    <s v="Малозначительное"/>
    <x v="0"/>
    <x v="1"/>
    <s v="msumatokhin@geoizol.ru"/>
    <x v="0"/>
    <d v="2019-04-01T00:00:00"/>
    <d v="2019-04-05T00:00:00"/>
    <s v="00_-1 этаж"/>
    <n v="0"/>
    <n v="0"/>
    <s v="УФ_ЖБ плита и приливы"/>
    <m/>
    <m/>
    <s v="_Планы ПД"/>
    <s v="Ссылка на план"/>
    <x v="128"/>
    <d v="2019-04-09T12:24:59"/>
    <d v="2019-04-09T12:24:59"/>
    <m/>
    <d v="2019-04-09T12:25:00"/>
  </r>
  <r>
    <n v="245"/>
    <s v="Нарушение Технологии Бурение Скважин И Закачка Раствора При Цементации Фундамента Ведётся Одновременно С Двух Сторон Стен В/О Т/1-У/22/2-24"/>
    <n v="1"/>
    <s v="КРИТИЧЕСКОЕ"/>
    <x v="0"/>
    <x v="1"/>
    <s v="msumatokhin@geoizol.ru"/>
    <x v="0"/>
    <d v="2019-07-12T00:00:00"/>
    <d v="2019-07-16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129"/>
    <d v="2019-08-09T11:04:50"/>
    <d v="2019-08-12T13:44:10"/>
    <m/>
    <d v="2019-08-12T13:44:11"/>
  </r>
  <r>
    <n v="84"/>
    <s v="Усиление Фундаментов Цементацией"/>
    <n v="1"/>
    <s v="КРИТИЧЕСКОЕ"/>
    <x v="0"/>
    <x v="1"/>
    <s v="msumatokhin@geoizol.ru"/>
    <x v="0"/>
    <d v="2019-05-17T00:00:00"/>
    <d v="2019-05-20T00:00:00"/>
    <s v="УФ усиление фундаментов цементацией-1"/>
    <n v="31.96"/>
    <n v="36.25"/>
    <s v="УФ_Усиление тела фундамента цементацией"/>
    <m/>
    <m/>
    <s v="Контроль монтажных работ"/>
    <s v="Ссылка на план"/>
    <x v="130"/>
    <d v="2019-06-06T10:03:16"/>
    <d v="2019-06-06T10:03:16"/>
    <m/>
    <d v="2019-06-06T10:03:14"/>
  </r>
  <r>
    <n v="87"/>
    <s v="Работы по усилению грунтов в/о Л-П/24-27 ведутся по несогласованному проекту."/>
    <n v="1"/>
    <s v="КРИТИЧЕСКОЕ"/>
    <x v="0"/>
    <x v="1"/>
    <s v="msumatokhin@geoizol.ru"/>
    <x v="0"/>
    <d v="2019-05-17T00:00:00"/>
    <d v="2019-05-20T00:00:00"/>
    <s v="01_1-ый этаж"/>
    <n v="69.680000000000007"/>
    <n v="34.700000000000003"/>
    <s v="УФ_ Закрепление грунтов основания под подошвой фундаментов"/>
    <m/>
    <m/>
    <s v="_Планы ПД"/>
    <s v="Ссылка на план"/>
    <x v="131"/>
    <d v="2019-06-06T10:02:50"/>
    <d v="2019-06-06T10:02:50"/>
    <m/>
    <d v="2019-06-06T10:02:48"/>
  </r>
  <r>
    <n v="7"/>
    <s v="Согласовать с авторским надзором устройство рабочих швов по ж/б плите подвала в/о 1-2/А-Г"/>
    <n v="3"/>
    <s v="Малозначительное"/>
    <x v="0"/>
    <x v="1"/>
    <s v="msumatokhin@geoizol.ru"/>
    <x v="0"/>
    <d v="2019-03-20T00:00:00"/>
    <d v="2019-03-27T00:00:00"/>
    <s v="00_-1 этаж"/>
    <n v="4.2699999999999996"/>
    <n v="76.25"/>
    <s v="УФ_ЖБ плита и приливы"/>
    <m/>
    <m/>
    <s v="_Планы ПД"/>
    <s v="Ссылка на план"/>
    <x v="132"/>
    <d v="2019-04-02T13:41:24"/>
    <d v="2019-04-02T13:41:24"/>
    <m/>
    <d v="2019-04-02T13:41:24"/>
  </r>
  <r>
    <n v="96"/>
    <s v="Нарушение Технологии Производства Работ По Усилению Грунтов В/О 20/А-Б"/>
    <n v="1"/>
    <s v="КРИТИЧЕСКОЕ"/>
    <x v="0"/>
    <x v="1"/>
    <s v="msumatokhin@geoizol.ru"/>
    <x v="0"/>
    <d v="2019-05-21T00:00:00"/>
    <d v="2019-05-27T00:00:00"/>
    <s v="УФ усиление фундаментов цементацией-1"/>
    <n v="47.5"/>
    <n v="73.42"/>
    <s v="УФ_ Закрепление грунтов основания под подошвой фундаментов"/>
    <m/>
    <m/>
    <s v="Контроль монтажных работ"/>
    <s v="Ссылка на план"/>
    <x v="133"/>
    <d v="2019-06-10T14:53:18"/>
    <d v="2019-06-10T14:53:18"/>
    <m/>
    <d v="2019-06-10T14:53:19"/>
  </r>
  <r>
    <n v="143"/>
    <s v="Нарушение Последовательности Работ В/О 18/К-И"/>
    <n v="1"/>
    <s v="КРИТИЧЕСКОЕ"/>
    <x v="0"/>
    <x v="1"/>
    <s v="msumatokhin@geoizol.ru"/>
    <x v="0"/>
    <d v="2019-06-18T00:00:00"/>
    <d v="2019-06-24T00:00:00"/>
    <s v="03_2019_Р_УФ-3 усиление грунтов основания изм.1.1"/>
    <n v="19.54"/>
    <n v="81.010000000000005"/>
    <s v="УФ_ Закрепление грунтов основания под подошвой фундаментов"/>
    <m/>
    <m/>
    <s v="Контроль монтажных работ"/>
    <s v="Ссылка на план"/>
    <x v="134"/>
    <d v="2019-08-21T12:43:06"/>
    <d v="2019-08-21T12:44:23"/>
    <m/>
    <d v="2019-08-21T12:44:24"/>
  </r>
  <r>
    <n v="32"/>
    <s v="Установка гильз для прохода ТС"/>
    <n v="3"/>
    <s v="Малозначительное"/>
    <x v="0"/>
    <x v="1"/>
    <s v="msumatokhin@geoizol.ru"/>
    <x v="0"/>
    <d v="2019-04-09T00:00:00"/>
    <d v="2019-04-11T00:00:00"/>
    <s v="00_-1 этаж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135"/>
    <d v="2019-04-26T17:32:32"/>
    <d v="2019-04-26T17:32:32"/>
    <m/>
    <d v="2019-04-26T17:32:32"/>
  </r>
  <r>
    <n v="261"/>
    <s v="Нарушение СП 70.13330.2012 в части отсутствия фиксации элементов арматурного каркаса для зах.33 выполнить фиксацию согласно РД"/>
    <n v="2"/>
    <s v="Значительное"/>
    <x v="0"/>
    <x v="1"/>
    <s v="msumatokhin@geoizol.ru"/>
    <x v="0"/>
    <d v="2019-07-16T00:00:00"/>
    <d v="2019-07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36"/>
    <d v="2019-07-16T11:51:37"/>
    <d v="2019-07-22T14:05:21"/>
    <m/>
    <d v="2019-07-22T14:07:33"/>
  </r>
  <r>
    <n v="61"/>
    <s v="Устройство скважин для усиления фундаментов выполнено по несогласованному проекту в/о Г/19-22"/>
    <n v="2"/>
    <s v="Значительное"/>
    <x v="0"/>
    <x v="1"/>
    <s v="msumatokhin@geoizol.ru"/>
    <x v="0"/>
    <d v="2019-04-30T00:00:00"/>
    <d v="2019-05-08T00:00:00"/>
    <s v="00_-1 этаж"/>
    <n v="0"/>
    <n v="0"/>
    <s v="УФ_Усиление тела фундамента цементацией"/>
    <m/>
    <m/>
    <s v="_Планы ПД"/>
    <s v="Ссылка на план"/>
    <x v="137"/>
    <d v="2019-06-06T10:03:03"/>
    <d v="2019-06-06T10:03:03"/>
    <m/>
    <d v="2019-06-06T10:03:01"/>
  </r>
  <r>
    <n v="101"/>
    <s v="Демонтажные Работы В Дворе 1"/>
    <n v="1"/>
    <s v="КРИТИЧЕСКОЕ"/>
    <x v="0"/>
    <x v="1"/>
    <s v="msumatokhin@geoizol.ru"/>
    <x v="0"/>
    <d v="2019-05-24T00:00:00"/>
    <d v="2019-05-24T00:00:00"/>
    <s v="01_1-ый этаж"/>
    <n v="0"/>
    <n v="0"/>
    <s v="Демонтажные Работы Двор 1"/>
    <m/>
    <m/>
    <s v="_Планы ПД"/>
    <s v="Ссылка на план"/>
    <x v="138"/>
    <d v="2019-06-07T10:22:21"/>
    <d v="2019-06-07T10:22:21"/>
    <m/>
    <d v="2019-06-07T10:22:21"/>
  </r>
  <r>
    <n v="130"/>
    <s v="Нарушение ПОС"/>
    <n v="3"/>
    <s v="Малозначительное"/>
    <x v="0"/>
    <x v="1"/>
    <s v="msumatokhin@geoizol.ru"/>
    <x v="0"/>
    <d v="2019-06-11T00:00:00"/>
    <d v="2019-06-11T00:00:00"/>
    <s v="ГП_Генплан_сети"/>
    <n v="0"/>
    <n v="0"/>
    <s v="Бытовой Городок"/>
    <m/>
    <m/>
    <s v="_Планы ПД"/>
    <s v="Ссылка на план"/>
    <x v="139"/>
    <d v="2019-06-19T09:39:05"/>
    <d v="2019-06-19T11:52:18"/>
    <m/>
    <d v="2019-06-19T11:52:19"/>
  </r>
  <r>
    <n v="126"/>
    <s v="Неверно Выполнено Бурение Шпуров В/О 17/Е-Ж"/>
    <n v="3"/>
    <s v="Малозначительное"/>
    <x v="0"/>
    <x v="1"/>
    <s v="msumatokhin@geoizol.ru"/>
    <x v="0"/>
    <d v="2019-06-10T00:00:00"/>
    <d v="2019-06-17T00:00:00"/>
    <s v="УФ усиление фундаментов цементацией-1"/>
    <n v="26.25"/>
    <n v="51.3"/>
    <s v="УФ_Усиление тела фундамента цементацией"/>
    <m/>
    <m/>
    <s v="Контроль монтажных работ"/>
    <s v="Ссылка на план"/>
    <x v="140"/>
    <d v="2019-07-02T14:59:35"/>
    <d v="2019-07-02T15:07:56"/>
    <m/>
    <d v="2019-07-02T15:07:58"/>
  </r>
  <r>
    <n v="158"/>
    <s v="Усиление Тела Фундаментов Цементацией"/>
    <n v="2"/>
    <s v="Значительное"/>
    <x v="0"/>
    <x v="1"/>
    <s v="msumatokhin@geoizol.ru"/>
    <x v="0"/>
    <d v="2019-06-24T00:00:00"/>
    <d v="2019-06-24T00:00:00"/>
    <s v="НФ_Милионная"/>
    <n v="0"/>
    <n v="0"/>
    <s v="УФ_Усиление тела фундамента цементацией"/>
    <m/>
    <m/>
    <s v="_Планы ПД"/>
    <s v="Ссылка на план"/>
    <x v="141"/>
    <d v="2019-07-02T15:34:47"/>
    <d v="2019-07-02T15:41:17"/>
    <m/>
    <d v="2019-07-02T15:41:18"/>
  </r>
  <r>
    <n v="266"/>
    <s v="Нарушение Целостности Покрытия Портика В/О 22-23/А-Б"/>
    <n v="1"/>
    <s v="КРИТИЧЕСКОЕ"/>
    <x v="0"/>
    <x v="1"/>
    <s v="msumatokhin@geoizol.ru"/>
    <x v="0"/>
    <d v="2019-07-17T00:00:00"/>
    <d v="2019-07-17T00:00:00"/>
    <s v="НФ_Марсово поле"/>
    <n v="0"/>
    <n v="0"/>
    <s v="УФ_ Закрепление грунтов основания под подошвой фундаментов"/>
    <m/>
    <m/>
    <s v="_Планы ПД"/>
    <s v="Ссылка на план"/>
    <x v="142"/>
    <d v="2019-09-26T17:14:30"/>
    <d v="2019-09-26T17:14:30"/>
    <m/>
    <d v="2019-09-26T17:14:30"/>
  </r>
  <r>
    <n v="114"/>
    <s v="Нарушение ПОС. Отсутствует Мойка Колес"/>
    <n v="2"/>
    <s v="Значительное"/>
    <x v="0"/>
    <x v="1"/>
    <s v="msumatokhin@geoizol.ru"/>
    <x v="0"/>
    <d v="2019-06-04T00:00:00"/>
    <d v="2019-06-04T00:00:00"/>
    <s v="ГП_Генплан_сети"/>
    <n v="0"/>
    <n v="0"/>
    <s v="Бытовой Городок"/>
    <m/>
    <m/>
    <s v="_Планы ПД"/>
    <s v="Ссылка на план"/>
    <x v="143"/>
    <d v="2019-06-07T10:21:58"/>
    <d v="2019-06-07T10:21:58"/>
    <m/>
    <d v="2019-06-07T10:21:59"/>
  </r>
  <r>
    <n v="58"/>
    <s v="Нарушение Технологии Устройства Усиления Грунта Под Фундаментом В/О Б/21-22"/>
    <n v="3"/>
    <s v="Малозначительное"/>
    <x v="0"/>
    <x v="1"/>
    <s v="msumatokhin@geoizol.ru"/>
    <x v="0"/>
    <d v="2019-04-30T00:00:00"/>
    <d v="2019-05-08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144"/>
    <d v="2019-06-05T18:28:40"/>
    <d v="2019-06-05T18:28:40"/>
    <m/>
    <d v="2019-06-05T18:28:38"/>
  </r>
  <r>
    <n v="363"/>
    <s v="Нарушение Требований По Сохранности Исторической Части Фасадов -Арка Вход 2й Двор"/>
    <n v="2"/>
    <s v="Значительное"/>
    <x v="0"/>
    <x v="1"/>
    <s v="msumatokhin@geoizol.ru"/>
    <x v="0"/>
    <d v="2019-08-15T00:00:00"/>
    <d v="2019-08-15T00:00:00"/>
    <s v="ВФ_Двор 2"/>
    <n v="0"/>
    <n v="0"/>
    <s v="УФ_Усиление тела фундамента цементацией"/>
    <m/>
    <m/>
    <s v="_Планы ПД"/>
    <s v="Ссылка на план"/>
    <x v="145"/>
    <d v="2019-08-26T09:45:49"/>
    <d v="2019-08-27T16:04:15"/>
    <m/>
    <d v="2019-08-27T16:04:15"/>
  </r>
  <r>
    <n v="216"/>
    <s v="Производство Работ По Усилению Фундаментов И Грунтов Без Временного Интервала В/О 18-21/А"/>
    <n v="1"/>
    <s v="КРИТИЧЕСКОЕ"/>
    <x v="0"/>
    <x v="1"/>
    <s v="msumatokhin@geoizol.ru"/>
    <x v="0"/>
    <d v="2019-07-09T00:00:00"/>
    <d v="2019-07-12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146"/>
    <d v="2019-08-08T10:17:50"/>
    <d v="2019-08-08T14:07:06"/>
    <m/>
    <d v="2019-08-08T14:07:06"/>
  </r>
  <r>
    <n v="218"/>
    <s v="Начало Работ По Устройству Стены В Грунте Не Закончив Предшествующие Работы"/>
    <n v="1"/>
    <s v="КРИТИЧЕСКОЕ"/>
    <x v="0"/>
    <x v="1"/>
    <s v="msumatokhin@geoizol.ru"/>
    <x v="0"/>
    <d v="2019-07-09T00:00:00"/>
    <d v="2019-07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47"/>
    <d v="2019-07-19T15:59:43"/>
    <d v="2019-07-24T17:12:13"/>
    <m/>
    <d v="2019-07-24T17:12:02"/>
  </r>
  <r>
    <n v="197"/>
    <s v="Демонтаж Прижимной Стены В/О 18/К-И"/>
    <n v="2"/>
    <s v="Значительное"/>
    <x v="0"/>
    <x v="1"/>
    <s v="msumatokhin@geoizol.ru"/>
    <x v="0"/>
    <d v="2019-07-03T00:00:00"/>
    <d v="2019-07-10T00:00:00"/>
    <s v="00_-1 этаж"/>
    <n v="0"/>
    <n v="0"/>
    <s v="УФ_Усиление тела фундамента цементацией"/>
    <m/>
    <m/>
    <s v="_Планы ПД"/>
    <s v="Ссылка на план"/>
    <x v="148"/>
    <d v="2019-07-12T14:53:17"/>
    <d v="2019-07-12T15:31:11"/>
    <m/>
    <d v="2019-07-12T15:30:37"/>
  </r>
  <r>
    <n v="198"/>
    <s v="Нарушение Технологии Производства Работ"/>
    <n v="1"/>
    <s v="КРИТИЧЕСКОЕ"/>
    <x v="0"/>
    <x v="1"/>
    <s v="msumatokhin@geoizol.ru"/>
    <x v="0"/>
    <d v="2019-07-04T00:00:00"/>
    <d v="2019-07-05T00:00:00"/>
    <s v="00_-1 этаж"/>
    <n v="0"/>
    <n v="0"/>
    <s v="УФ_Усиление тела фундамента цементацией"/>
    <m/>
    <m/>
    <s v="_Планы ПД"/>
    <s v="Ссылка на план"/>
    <x v="149"/>
    <d v="2019-07-19T15:44:38"/>
    <d v="2019-07-24T17:05:51"/>
    <m/>
    <d v="2019-07-24T17:05:40"/>
  </r>
  <r>
    <n v="187"/>
    <s v="Нарушение ПОС"/>
    <n v="2"/>
    <s v="Значительное"/>
    <x v="0"/>
    <x v="1"/>
    <s v="msumatokhin@geoizol.ru"/>
    <x v="0"/>
    <d v="2019-07-01T00:00:00"/>
    <d v="2019-07-03T00:00:00"/>
    <s v="Форшахта"/>
    <n v="0"/>
    <n v="0"/>
    <s v="СВГ1Д_Устройство СВГ 1-ый двор"/>
    <m/>
    <m/>
    <s v="_Планы ПД"/>
    <s v="Ссылка на план"/>
    <x v="150"/>
    <d v="2019-07-16T14:55:27"/>
    <d v="2019-07-24T16:20:39"/>
    <m/>
    <d v="2019-07-24T16:20:41"/>
  </r>
  <r>
    <n v="210"/>
    <s v="В/О 20/1-21/1/Т/1 Выполнено усиление грунтов без усиления фундаментов"/>
    <n v="2"/>
    <s v="Значительное"/>
    <x v="0"/>
    <x v="1"/>
    <s v="msumatokhin@geoizol.ru"/>
    <x v="0"/>
    <d v="2019-07-06T00:00:00"/>
    <d v="2019-07-09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151"/>
    <d v="2019-07-19T15:56:15"/>
    <d v="2019-07-24T17:09:14"/>
    <m/>
    <d v="2019-07-24T17:09:03"/>
  </r>
  <r>
    <n v="214"/>
    <s v="Нарушение Технологии Производства Работ В/О Р-М/23"/>
    <n v="1"/>
    <s v="КРИТИЧЕСКОЕ"/>
    <x v="0"/>
    <x v="1"/>
    <s v="msumatokhin@geoizol.ru"/>
    <x v="0"/>
    <d v="2019-07-08T00:00:00"/>
    <d v="2019-07-14T00:00:00"/>
    <s v="УФ усиление фундаментов цементацией-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152"/>
    <d v="2019-08-09T11:03:46"/>
    <d v="2019-08-12T13:43:54"/>
    <m/>
    <d v="2019-08-12T13:43:55"/>
  </r>
  <r>
    <n v="374"/>
    <s v="Нарушение СП 70.13330.2012 Арматурный Каркас Ж/Б Каркас боковой Ограничитель2"/>
    <n v="2"/>
    <s v="Значительное"/>
    <x v="0"/>
    <x v="1"/>
    <s v="msumatokhin@geoizol.ru"/>
    <x v="0"/>
    <d v="2019-08-19T00:00:00"/>
    <d v="2019-08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53"/>
    <d v="2019-08-19T16:24:17"/>
    <d v="2019-08-19T17:43:06"/>
    <m/>
    <d v="2019-08-19T17:43:08"/>
  </r>
  <r>
    <n v="304"/>
    <s v="Загрязнение Цокольного Камня В/О 18-25/А"/>
    <n v="3"/>
    <s v="Малозначительное"/>
    <x v="0"/>
    <x v="1"/>
    <s v="msumatokhin@geoizol.ru"/>
    <x v="0"/>
    <d v="2019-07-26T00:00:00"/>
    <d v="2019-07-29T00:00:00"/>
    <s v="НФ_Марсово поле"/>
    <n v="0"/>
    <n v="0"/>
    <s v="УФ_ Закрепление грунтов основания под подошвой фундаментов"/>
    <m/>
    <m/>
    <s v="_Планы ПД"/>
    <s v="Ссылка на план"/>
    <x v="154"/>
    <d v="2019-08-15T13:11:34"/>
    <d v="2019-08-15T13:12:10"/>
    <m/>
    <d v="2019-08-15T13:12:11"/>
  </r>
  <r>
    <n v="305"/>
    <s v="Не Предъявлены Скрытые Работы При Устройстве Гидроизоляции Проходов Гиль В/О У/1 По Аптекарскому Пер."/>
    <n v="2"/>
    <s v="Значительное"/>
    <x v="0"/>
    <x v="1"/>
    <s v="msumatokhin@geoizol.ru"/>
    <x v="0"/>
    <d v="2019-07-26T00:00:00"/>
    <d v="2019-07-29T00:00:00"/>
    <s v="НФ_Аптекарский"/>
    <n v="0"/>
    <n v="0"/>
    <s v="УФ_Противокапилярная гидроизоляция 1-3й этап"/>
    <m/>
    <m/>
    <s v="_Планы ПД"/>
    <s v="Ссылка на план"/>
    <x v="155"/>
    <d v="2019-08-12T09:54:40"/>
    <d v="2019-08-12T13:44:29"/>
    <m/>
    <d v="2019-08-12T13:44:30"/>
  </r>
  <r>
    <n v="381"/>
    <s v="Нарушение СП 70.13330.2012 - Армирование И Опалубка Ж/Б Канала ТС"/>
    <n v="3"/>
    <s v="Малозначительное"/>
    <x v="0"/>
    <x v="1"/>
    <s v="msumatokhin@geoizol.ru"/>
    <x v="0"/>
    <d v="2019-08-21T00:00:00"/>
    <d v="2019-08-21T00:00:00"/>
    <s v="00_-1 этаж"/>
    <n v="0"/>
    <n v="0"/>
    <s v="Вынос ТС"/>
    <m/>
    <m/>
    <s v="_Планы ПД"/>
    <s v="Ссылка на план"/>
    <x v="156"/>
    <d v="2019-08-22T08:51:34"/>
    <d v="2019-08-23T11:36:34"/>
    <m/>
    <d v="2019-08-23T11:36:35"/>
  </r>
  <r>
    <n v="339"/>
    <s v="Отказ При Погружении Бокового Ограничителя Зах.43"/>
    <n v="1"/>
    <s v="КРИТИЧЕСКОЕ"/>
    <x v="0"/>
    <x v="1"/>
    <s v="msumatokhin@geoizol.ru"/>
    <x v="0"/>
    <d v="2019-08-04T00:00:00"/>
    <d v="2019-08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57"/>
    <d v="2019-08-12T09:53:44"/>
    <d v="2019-08-12T15:19:05"/>
    <m/>
    <d v="2019-08-12T15:19:06"/>
  </r>
  <r>
    <n v="208"/>
    <s v="Производство Работ По Усилению Фундаментов После Работ По Укреплению Грунтов Менее Чем Через 7 Суток В/О А/18-22"/>
    <n v="1"/>
    <s v="КРИТИЧЕСКОЕ"/>
    <x v="0"/>
    <x v="1"/>
    <s v="msumatokhin@geoizol.ru"/>
    <x v="0"/>
    <d v="2019-07-06T00:00:00"/>
    <d v="2019-07-09T00:00:00"/>
    <s v="УФ усиление фундаментов цементацией-1"/>
    <n v="54.4"/>
    <n v="76.319999999999993"/>
    <s v="УФ_Усиление тела фундамента цементацией"/>
    <m/>
    <m/>
    <s v="Контроль монтажных работ"/>
    <s v="Ссылка на план"/>
    <x v="158"/>
    <d v="2019-08-08T10:16:39"/>
    <d v="2019-08-08T14:06:52"/>
    <m/>
    <d v="2019-08-08T14:06:53"/>
  </r>
  <r>
    <n v="530"/>
    <s v="Нарушение Проектного Решения Арматурного Каркаса СВГ Зах. 12"/>
    <n v="1"/>
    <s v="КРИТИЧЕСКОЕ"/>
    <x v="0"/>
    <x v="1"/>
    <s v="msumatokhin@geoizol.ru"/>
    <x v="0"/>
    <d v="2019-09-24T00:00:00"/>
    <d v="2019-09-2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59"/>
    <d v="2019-09-24T14:55:00"/>
    <d v="2019-09-24T14:55:00"/>
    <m/>
    <d v="2019-09-24T14:55:01"/>
  </r>
  <r>
    <n v="454"/>
    <s v="Скважины в/о 4/1/К/1-И/1, 4/1-8/1/И/1 Отсутствуют В Проекте"/>
    <n v="2"/>
    <s v="Значительное"/>
    <x v="0"/>
    <x v="1"/>
    <s v="msumatokhin@geoizol.ru"/>
    <x v="0"/>
    <d v="2019-09-09T00:00:00"/>
    <d v="2019-09-09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160"/>
    <d v="2019-09-13T09:53:42"/>
    <d v="2019-09-17T10:26:44"/>
    <m/>
    <d v="2019-09-17T10:26:45"/>
  </r>
  <r>
    <n v="566"/>
    <s v="Используемый материал не соответствует проекту при первичном инъецировании расширяющимся раствором."/>
    <n v="1"/>
    <s v="КРИТИЧЕСКОЕ"/>
    <x v="0"/>
    <x v="1"/>
    <s v="msumatokhin@geoizol.ru"/>
    <x v="0"/>
    <d v="2019-10-03T00:00:00"/>
    <d v="2019-10-04T00:00:00"/>
    <s v="УФ усиление фундаментов цементацией-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161"/>
    <d v="2019-10-04T08:55:52"/>
    <d v="2019-10-04T09:02:27"/>
    <m/>
    <d v="2019-10-04T09:02:28"/>
  </r>
  <r>
    <n v="747"/>
    <s v="Нарушение ТВР при производстве Отделочных Работ (Внутнение Штукатурные Работы) В/О 4-8/А-Г"/>
    <n v="1"/>
    <s v="КРИТИЧЕСКОЕ"/>
    <x v="0"/>
    <x v="1"/>
    <s v="msumatokhin@geoizol.ru"/>
    <x v="0"/>
    <d v="2019-12-03T00:00:00"/>
    <d v="2019-12-03T00:00:00"/>
    <s v="00_-1 этаж"/>
    <n v="0"/>
    <n v="0"/>
    <s v="УФ_Противокапилярная гидроизоляция 1-3й этап"/>
    <m/>
    <m/>
    <s v="_Планы ПД"/>
    <s v="Ссылка на план"/>
    <x v="162"/>
    <d v="2019-12-09T09:44:39"/>
    <d v="2019-12-09T09:44:39"/>
    <m/>
    <d v="2019-12-20T13:58:21"/>
  </r>
  <r>
    <n v="674"/>
    <s v="ООО &quot;Геоизол&quot; Несоответствие Глубины Траншеи СВГ Зах.49"/>
    <n v="1"/>
    <s v="КРИТИЧЕСКОЕ"/>
    <x v="0"/>
    <x v="1"/>
    <s v="msumatokhin@geoizol.ru"/>
    <x v="0"/>
    <d v="2019-11-02T00:00:00"/>
    <d v="2019-11-0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163"/>
    <d v="2019-11-18T15:08:44"/>
    <d v="2019-11-18T15:08:46"/>
    <m/>
    <d v="2019-11-18T15:08:46"/>
  </r>
  <r>
    <n v="684"/>
    <s v="При Производстве Работ По Устройству Буронабивных Свай Для Предпроектного Испытания Не Установлена Металлическая Труба Для Формирования Оголовка Сваи"/>
    <n v="2"/>
    <s v="Значительное"/>
    <x v="0"/>
    <x v="1"/>
    <s v="msumatokhin@geoizol.ru"/>
    <x v="0"/>
    <d v="2019-11-09T00:00:00"/>
    <d v="2019-11-13T00:00:00"/>
    <s v="Схема БН свай для предпроектного испытания"/>
    <n v="0"/>
    <n v="0"/>
    <m/>
    <m/>
    <m/>
    <m/>
    <s v="Ссылка на план"/>
    <x v="164"/>
    <d v="2019-11-29T09:31:05"/>
    <d v="2019-11-29T14:33:57"/>
    <m/>
    <d v="2019-11-29T14:33:59"/>
  </r>
  <r>
    <n v="700"/>
    <s v="ТМГ. Нарушение технологии работ по вычинке."/>
    <n v="1"/>
    <s v="КРИТИЧЕСКОЕ"/>
    <x v="2"/>
    <x v="1"/>
    <s v="tmg-sergey@mail.ru"/>
    <x v="5"/>
    <d v="2019-11-21T00:00:00"/>
    <d v="2019-12-06T00:00:00"/>
    <m/>
    <m/>
    <m/>
    <m/>
    <m/>
    <m/>
    <m/>
    <m/>
    <x v="165"/>
    <m/>
    <m/>
    <m/>
    <d v="2019-11-21T09:39:12"/>
  </r>
  <r>
    <n v="781"/>
    <s v="ТМГ_ Фасадные Работы_ Нарушение Температурного Режима В/ О 1-4/А"/>
    <n v="2"/>
    <s v="Значительное"/>
    <x v="0"/>
    <x v="1"/>
    <s v="tmg-sergey@mail.ru"/>
    <x v="5"/>
    <d v="2019-12-16T00:00:00"/>
    <d v="2019-12-17T00:00:00"/>
    <s v="НФ_Марсово поле"/>
    <n v="0"/>
    <n v="0"/>
    <s v="Фасад Марсово Поле В/О 1-4/А"/>
    <m/>
    <m/>
    <s v="_Планы ПД"/>
    <s v="Ссылка на план"/>
    <x v="166"/>
    <d v="2019-12-17T12:07:19"/>
    <d v="2019-12-17T12:07:19"/>
    <m/>
    <d v="2019-12-17T12:07:23"/>
  </r>
  <r>
    <n v="711"/>
    <s v="ТМГ. Основание под штукатурку. МП"/>
    <n v="1"/>
    <s v="КРИТИЧЕСКОЕ"/>
    <x v="0"/>
    <x v="1"/>
    <s v="tmg-sergey@mail.ru"/>
    <x v="5"/>
    <d v="2019-11-21T00:00:00"/>
    <d v="2019-11-25T00:00:00"/>
    <m/>
    <m/>
    <m/>
    <m/>
    <m/>
    <m/>
    <m/>
    <m/>
    <x v="167"/>
    <d v="2019-12-18T14:40:12"/>
    <d v="2019-12-18T16:26:11"/>
    <m/>
    <d v="2019-12-18T16:26:13"/>
  </r>
  <r>
    <n v="712"/>
    <s v="ТМГ. Несоответствие проекта и фактического выполнения. Цоколь."/>
    <n v="1"/>
    <s v="КРИТИЧЕСКОЕ"/>
    <x v="0"/>
    <x v="1"/>
    <s v="tmg-sergey@mail.ru"/>
    <x v="5"/>
    <d v="2019-11-22T00:00:00"/>
    <d v="2019-11-29T00:00:00"/>
    <m/>
    <m/>
    <m/>
    <s v="МП, Фасад"/>
    <m/>
    <m/>
    <m/>
    <m/>
    <x v="168"/>
    <d v="2019-12-18T09:54:21"/>
    <d v="2019-12-18T12:07:51"/>
    <m/>
    <d v="2019-12-18T12:07:52"/>
  </r>
  <r>
    <n v="725"/>
    <s v="ТМГ. Кладка цокольного камня (известняк) нарушения."/>
    <n v="1"/>
    <s v="КРИТИЧЕСКОЕ"/>
    <x v="0"/>
    <x v="1"/>
    <s v="tmg-sergey@mail.ru"/>
    <x v="5"/>
    <d v="2019-11-26T00:00:00"/>
    <d v="2019-12-02T00:00:00"/>
    <m/>
    <m/>
    <m/>
    <m/>
    <m/>
    <m/>
    <m/>
    <m/>
    <x v="169"/>
    <d v="2019-12-24T15:25:26"/>
    <d v="2019-12-24T15:25:26"/>
    <m/>
    <d v="2019-12-24T15:25:28"/>
  </r>
  <r>
    <n v="647"/>
    <s v="ООО &quot;ТМГ ГРУП&quot;, нарушение технологии работ по вычинке. МП"/>
    <n v="1"/>
    <s v="КРИТИЧЕСКОЕ"/>
    <x v="0"/>
    <x v="1"/>
    <s v="tmg-sergey@mail.ru"/>
    <x v="5"/>
    <d v="2019-10-24T00:00:00"/>
    <d v="2019-10-31T00:00:00"/>
    <m/>
    <m/>
    <m/>
    <s v="МП, Фасад"/>
    <m/>
    <m/>
    <m/>
    <m/>
    <x v="170"/>
    <d v="2019-11-14T16:44:05"/>
    <d v="2019-11-15T09:20:33"/>
    <m/>
    <d v="2019-11-15T09:20:34"/>
  </r>
  <r>
    <n v="728"/>
    <s v="ТМГ. Несоответствие проекта по цоколю."/>
    <n v="1"/>
    <s v="КРИТИЧЕСКОЕ"/>
    <x v="0"/>
    <x v="1"/>
    <s v="tmg-sergey@mail.ru"/>
    <x v="5"/>
    <d v="2019-11-28T00:00:00"/>
    <d v="2019-12-20T00:00:00"/>
    <m/>
    <m/>
    <m/>
    <m/>
    <m/>
    <m/>
    <m/>
    <m/>
    <x v="171"/>
    <d v="2019-12-18T11:36:36"/>
    <d v="2019-12-18T12:14:55"/>
    <m/>
    <d v="2019-12-18T12:14:57"/>
  </r>
  <r>
    <n v="737"/>
    <s v="ТМГ. Штукатурка фасадов."/>
    <n v="1"/>
    <s v="КРИТИЧЕСКОЕ"/>
    <x v="0"/>
    <x v="1"/>
    <s v="tmg-sergey@mail.ru"/>
    <x v="5"/>
    <d v="2019-11-29T00:00:00"/>
    <d v="2019-12-06T00:00:00"/>
    <m/>
    <m/>
    <m/>
    <m/>
    <m/>
    <m/>
    <m/>
    <m/>
    <x v="172"/>
    <d v="2019-12-18T09:54:29"/>
    <d v="2019-12-18T12:07:16"/>
    <m/>
    <d v="2019-12-18T12:07:17"/>
  </r>
  <r>
    <n v="586"/>
    <s v="Работы по демонтажу фасадной штукатурки ведутся без согласованной рабочей документации"/>
    <n v="1"/>
    <s v="КРИТИЧЕСКОЕ"/>
    <x v="0"/>
    <x v="1"/>
    <s v="tmg-sergey@mail.ru"/>
    <x v="5"/>
    <d v="2019-10-09T00:00:00"/>
    <d v="2019-10-14T00:00:00"/>
    <s v="НФ_Марсово поле"/>
    <n v="0"/>
    <n v="0"/>
    <m/>
    <m/>
    <m/>
    <s v="_Планы ПД"/>
    <s v="Ссылка на план"/>
    <x v="173"/>
    <d v="2019-10-31T10:21:59"/>
    <d v="2019-11-06T14:39:40"/>
    <m/>
    <d v="2019-11-06T14:39:40"/>
  </r>
  <r>
    <n v="655"/>
    <s v="ТМГ ГРУП. Нарушения по вычинке кирпичной кладки."/>
    <n v="1"/>
    <s v="КРИТИЧЕСКОЕ"/>
    <x v="0"/>
    <x v="1"/>
    <s v="tmg-sergey@mail.ru"/>
    <x v="5"/>
    <d v="2019-10-29T00:00:00"/>
    <d v="2019-11-04T00:00:00"/>
    <m/>
    <m/>
    <m/>
    <m/>
    <m/>
    <m/>
    <m/>
    <m/>
    <x v="174"/>
    <d v="2019-11-14T16:44:19"/>
    <d v="2019-11-15T09:25:07"/>
    <m/>
    <d v="2019-11-15T09:25:07"/>
  </r>
  <r>
    <n v="665"/>
    <s v="ТМГ. Несоответствие работ по фасадам стадии П."/>
    <n v="1"/>
    <s v="КРИТИЧЕСКОЕ"/>
    <x v="0"/>
    <x v="1"/>
    <s v="tmg-sergey@mail.ru"/>
    <x v="5"/>
    <d v="2019-10-31T00:00:00"/>
    <d v="2019-11-07T00:00:00"/>
    <m/>
    <m/>
    <m/>
    <s v="МП, Фасад"/>
    <m/>
    <m/>
    <m/>
    <m/>
    <x v="175"/>
    <d v="2019-12-17T17:39:57"/>
    <d v="2019-12-17T17:39:57"/>
    <m/>
    <d v="2019-12-17T17:39:59"/>
  </r>
  <r>
    <n v="749"/>
    <s v="ТМГ. Нарушение технологии отделки фасадов. МП."/>
    <n v="1"/>
    <s v="КРИТИЧЕСКОЕ"/>
    <x v="0"/>
    <x v="1"/>
    <s v="tmg-sergey@mail.ru"/>
    <x v="5"/>
    <d v="2019-12-04T00:00:00"/>
    <d v="2020-03-31T00:00:00"/>
    <m/>
    <m/>
    <m/>
    <m/>
    <m/>
    <m/>
    <m/>
    <m/>
    <x v="176"/>
    <d v="2019-12-10T09:30:11"/>
    <d v="2019-12-10T09:30:11"/>
    <m/>
    <d v="2019-12-10T09:30:12"/>
  </r>
  <r>
    <n v="752"/>
    <s v="ТМГ. Нарушения по вычинке."/>
    <n v="1"/>
    <s v="КРИТИЧЕСКОЕ"/>
    <x v="0"/>
    <x v="1"/>
    <s v="tmg-sergey@mail.ru"/>
    <x v="5"/>
    <d v="2019-12-05T00:00:00"/>
    <d v="2019-12-11T00:00:00"/>
    <m/>
    <m/>
    <m/>
    <m/>
    <m/>
    <m/>
    <m/>
    <m/>
    <x v="177"/>
    <d v="2019-12-18T14:47:35"/>
    <d v="2019-12-18T16:27:23"/>
    <m/>
    <d v="2019-12-18T16:27:25"/>
  </r>
  <r>
    <n v="687"/>
    <s v="ТМГ. Нарушение технологии. Вычинка"/>
    <n v="1"/>
    <s v="КРИТИЧЕСКОЕ"/>
    <x v="0"/>
    <x v="1"/>
    <s v="tmg-sergey@mail.ru"/>
    <x v="5"/>
    <d v="2019-11-13T00:00:00"/>
    <d v="2019-11-25T00:00:00"/>
    <m/>
    <m/>
    <m/>
    <s v="МП, Фасад"/>
    <m/>
    <m/>
    <m/>
    <m/>
    <x v="178"/>
    <d v="2019-12-18T09:57:44"/>
    <d v="2019-12-18T12:05:12"/>
    <m/>
    <d v="2019-12-18T12:05:13"/>
  </r>
  <r>
    <n v="688"/>
    <s v="ТМГ. Вычинка, нарушение технологии."/>
    <n v="1"/>
    <s v="КРИТИЧЕСКОЕ"/>
    <x v="0"/>
    <x v="1"/>
    <s v="tmg-sergey@mail.ru"/>
    <x v="5"/>
    <d v="2019-11-14T00:00:00"/>
    <d v="2019-11-21T00:00:00"/>
    <m/>
    <m/>
    <m/>
    <s v="МП, Фасад"/>
    <m/>
    <m/>
    <m/>
    <m/>
    <x v="179"/>
    <d v="2019-12-18T16:00:00"/>
    <d v="2019-12-18T16:27:56"/>
    <m/>
    <d v="2019-12-18T16:27:57"/>
  </r>
  <r>
    <n v="713"/>
    <s v="Входной контроль песка строительного природного"/>
    <n v="2"/>
    <s v="Значительное"/>
    <x v="0"/>
    <x v="1"/>
    <s v="oluferov@spgr.ru"/>
    <x v="1"/>
    <d v="2019-11-01T00:00:00"/>
    <d v="2019-11-01T00:00:00"/>
    <m/>
    <m/>
    <m/>
    <m/>
    <m/>
    <m/>
    <m/>
    <m/>
    <x v="180"/>
    <d v="2019-11-22T16:31:48"/>
    <d v="2019-11-22T16:31:48"/>
    <m/>
    <d v="2019-11-22T16:38:56"/>
  </r>
  <r>
    <n v="760"/>
    <s v="УСП. Нарушение Технологии демонтажных Работ Штукатурного Слоя В/О 16/1-18/1/Л/1-Т/1"/>
    <n v="1"/>
    <s v="КРИТИЧЕСКОЕ"/>
    <x v="0"/>
    <x v="1"/>
    <s v="alexeynikiforov@mail.ru"/>
    <x v="6"/>
    <d v="2019-12-09T00:00:00"/>
    <d v="2019-12-10T00:00:00"/>
    <s v="01_1-ый этаж"/>
    <n v="0"/>
    <n v="0"/>
    <s v="Демонтажные Работы Двор 1"/>
    <m/>
    <m/>
    <s v="_Планы ПД"/>
    <s v="Ссылка на план"/>
    <x v="181"/>
    <d v="2019-12-24T12:08:48"/>
    <d v="2019-12-24T12:08:48"/>
    <m/>
    <d v="2019-12-24T12:08:48"/>
  </r>
  <r>
    <n v="657"/>
    <s v="ООО &quot;Свод&quot;, лепной декор, нарушение технологии"/>
    <n v="1"/>
    <s v="КРИТИЧЕСКОЕ"/>
    <x v="0"/>
    <x v="1"/>
    <s v="svod.pto@gmail.com"/>
    <x v="7"/>
    <d v="2019-10-29T00:00:00"/>
    <d v="2019-11-05T00:00:00"/>
    <m/>
    <m/>
    <m/>
    <m/>
    <m/>
    <m/>
    <m/>
    <m/>
    <x v="182"/>
    <d v="2019-12-18T16:32:44"/>
    <d v="2019-12-18T16:33:17"/>
    <m/>
    <d v="2019-12-18T16:33:19"/>
  </r>
  <r>
    <n v="459"/>
    <s v="Нарушение Технологии По Демонтажу Штукатурного Слоя Фасада В/ О"/>
    <n v="1"/>
    <s v="КРИТИЧЕСКОЕ"/>
    <x v="0"/>
    <x v="1"/>
    <s v="svod.pto@gmail.com"/>
    <x v="7"/>
    <d v="2019-09-11T00:00:00"/>
    <d v="2019-09-14T00:00:00"/>
    <s v="ВФ_Двор 3"/>
    <n v="0"/>
    <n v="0"/>
    <s v="Демонтажные Работы 3 Двор"/>
    <m/>
    <m/>
    <s v="_Планы ПД"/>
    <s v="Ссылка на план"/>
    <x v="183"/>
    <d v="2019-10-01T14:39:12"/>
    <d v="2019-10-01T14:39:12"/>
    <m/>
    <d v="2019-10-01T14:39:13"/>
  </r>
  <r>
    <n v="633"/>
    <s v="ООО &quot;Свод&quot;. Нарушение работ по вычинке."/>
    <n v="1"/>
    <s v="КРИТИЧЕСКОЕ"/>
    <x v="0"/>
    <x v="1"/>
    <s v="svod.pto@gmail.com"/>
    <x v="7"/>
    <d v="2019-10-17T00:00:00"/>
    <d v="2019-10-21T00:00:00"/>
    <m/>
    <m/>
    <m/>
    <s v="2-ой двор, фасады"/>
    <m/>
    <m/>
    <m/>
    <m/>
    <x v="184"/>
    <d v="2019-12-04T13:06:11"/>
    <d v="2019-12-04T13:06:11"/>
    <m/>
    <d v="2019-12-04T13:06:11"/>
  </r>
  <r>
    <n v="730"/>
    <s v="СВОД. Нарушения по реставрации цокольного камня."/>
    <n v="1"/>
    <s v="КРИТИЧЕСКОЕ"/>
    <x v="0"/>
    <x v="1"/>
    <s v="svod.pto@gmail.com"/>
    <x v="7"/>
    <d v="2019-11-28T00:00:00"/>
    <d v="2019-12-20T00:00:00"/>
    <m/>
    <m/>
    <m/>
    <m/>
    <m/>
    <m/>
    <m/>
    <m/>
    <x v="185"/>
    <d v="2019-12-18T16:33:38"/>
    <d v="2019-12-18T16:36:00"/>
    <m/>
    <d v="2019-12-18T16:36:01"/>
  </r>
  <r>
    <n v="668"/>
    <s v="Свод. Несоответствие фасадных работ проекту стадии П."/>
    <n v="1"/>
    <s v="КРИТИЧЕСКОЕ"/>
    <x v="0"/>
    <x v="1"/>
    <s v="svod.pto@gmail.com"/>
    <x v="7"/>
    <d v="2019-10-31T00:00:00"/>
    <d v="2019-11-07T00:00:00"/>
    <m/>
    <m/>
    <m/>
    <s v="2-ой, 3-ий дворы"/>
    <m/>
    <m/>
    <m/>
    <m/>
    <x v="186"/>
    <d v="2019-12-18T16:33:28"/>
    <d v="2019-12-18T16:34:49"/>
    <m/>
    <d v="2019-12-18T16:34:51"/>
  </r>
  <r>
    <n v="745"/>
    <s v="СВОД. Несоответствие проектов."/>
    <n v="1"/>
    <s v="КРИТИЧЕСКОЕ"/>
    <x v="0"/>
    <x v="1"/>
    <s v="svod.pto@gmail.com"/>
    <x v="7"/>
    <d v="2019-12-03T00:00:00"/>
    <d v="2019-12-20T00:00:00"/>
    <m/>
    <m/>
    <m/>
    <m/>
    <m/>
    <m/>
    <m/>
    <m/>
    <x v="187"/>
    <d v="2019-12-18T16:33:43"/>
    <d v="2019-12-18T16:37:07"/>
    <m/>
    <d v="2019-12-18T16:37:09"/>
  </r>
  <r>
    <n v="748"/>
    <s v="Свод. Нарушения по лесам. Аптекарский."/>
    <n v="1"/>
    <s v="КРИТИЧЕСКОЕ"/>
    <x v="0"/>
    <x v="1"/>
    <s v="svod.pto@gmail.com"/>
    <x v="7"/>
    <d v="2019-12-03T00:00:00"/>
    <d v="2019-12-11T00:00:00"/>
    <m/>
    <m/>
    <m/>
    <m/>
    <m/>
    <m/>
    <m/>
    <m/>
    <x v="188"/>
    <d v="2019-12-18T16:33:34"/>
    <d v="2019-12-18T16:34:20"/>
    <m/>
    <d v="2019-12-18T16:34:22"/>
  </r>
  <r>
    <n v="646"/>
    <s v="ООО &quot;СпецСтрой&quot; Нарушение правил ОТ при организации строительных работ"/>
    <n v="1"/>
    <s v="КРИТИЧЕСКОЕ"/>
    <x v="2"/>
    <x v="2"/>
    <s v="3318261@mail.ru"/>
    <x v="4"/>
    <d v="2019-10-23T00:00:00"/>
    <d v="2019-10-23T00:00:00"/>
    <m/>
    <m/>
    <m/>
    <m/>
    <m/>
    <m/>
    <m/>
    <m/>
    <x v="189"/>
    <m/>
    <m/>
    <m/>
    <d v="2019-12-09T15:13:43"/>
  </r>
  <r>
    <n v="746"/>
    <s v="ООО &quot;СПЕЦ СТРОЙ&quot; Нарушение требований правил по ОТ при организации работ на высоте."/>
    <n v="1"/>
    <s v="КРИТИЧЕСКОЕ"/>
    <x v="2"/>
    <x v="2"/>
    <s v="3318261@mail.ru"/>
    <x v="4"/>
    <d v="2019-12-03T00:00:00"/>
    <d v="2019-12-03T00:00:00"/>
    <m/>
    <m/>
    <m/>
    <m/>
    <m/>
    <m/>
    <m/>
    <m/>
    <x v="190"/>
    <m/>
    <m/>
    <m/>
    <d v="2019-12-09T09:27:07"/>
  </r>
  <r>
    <n v="761"/>
    <s v="ООО &quot;СпецСтрой&quot; Нарушение правил организации работ на высоте."/>
    <n v="1"/>
    <s v="КРИТИЧЕСКОЕ"/>
    <x v="2"/>
    <x v="2"/>
    <s v="3318261@mail.ru"/>
    <x v="4"/>
    <d v="2019-12-10T00:00:00"/>
    <d v="2019-12-16T00:00:00"/>
    <m/>
    <m/>
    <m/>
    <m/>
    <m/>
    <m/>
    <m/>
    <m/>
    <x v="191"/>
    <m/>
    <m/>
    <m/>
    <d v="2019-12-10T13:17:20"/>
  </r>
  <r>
    <n v="616"/>
    <s v="ООО &quot;СПЕЦ СТРОЙ&quot; Нарушение требований  пожарной безопасности."/>
    <n v="1"/>
    <s v="КРИТИЧЕСКОЕ"/>
    <x v="0"/>
    <x v="2"/>
    <s v="3318261@mail.ru"/>
    <x v="4"/>
    <d v="2019-12-05T00:00:00"/>
    <d v="2019-12-05T00:00:00"/>
    <m/>
    <m/>
    <m/>
    <m/>
    <m/>
    <m/>
    <m/>
    <m/>
    <x v="192"/>
    <d v="2019-12-10T15:12:21"/>
    <d v="2019-12-17T17:02:04"/>
    <m/>
    <d v="2019-12-17T17:02:04"/>
  </r>
  <r>
    <n v="615"/>
    <s v="ООО &quot;СПЕЦ СТРОЙ&quot; Нарушение требований безопасности при организации работ на высоте."/>
    <n v="1"/>
    <s v="КРИТИЧЕСКОЕ"/>
    <x v="0"/>
    <x v="2"/>
    <s v="3318261@mail.ru"/>
    <x v="4"/>
    <d v="2019-12-03T00:00:00"/>
    <d v="2019-12-06T00:00:00"/>
    <m/>
    <m/>
    <m/>
    <m/>
    <m/>
    <n v="0"/>
    <m/>
    <m/>
    <x v="193"/>
    <d v="2019-12-06T15:44:25"/>
    <d v="2019-12-09T09:41:48"/>
    <m/>
    <d v="2019-12-09T09:41:48"/>
  </r>
  <r>
    <n v="717"/>
    <s v="ООО &quot;СпецСтрой&quot; Нарушение требований безопасности по окончании работ."/>
    <n v="1"/>
    <s v="КРИТИЧЕСКОЕ"/>
    <x v="0"/>
    <x v="2"/>
    <s v="3318261@mail.ru"/>
    <x v="4"/>
    <d v="2019-11-22T00:00:00"/>
    <d v="2019-11-25T00:00:00"/>
    <m/>
    <m/>
    <m/>
    <m/>
    <m/>
    <m/>
    <m/>
    <m/>
    <x v="194"/>
    <d v="2019-12-06T15:44:25"/>
    <d v="2019-12-17T17:02:13"/>
    <m/>
    <d v="2019-12-17T17:02:13"/>
  </r>
  <r>
    <n v="638"/>
    <s v="ООО &quot;СпецСтрой&quot; Нарушение требований ОТ по завершении работ."/>
    <n v="1"/>
    <s v="КРИТИЧЕСКОЕ"/>
    <x v="0"/>
    <x v="2"/>
    <s v="3318261@mail.ru"/>
    <x v="4"/>
    <d v="2019-10-22T00:00:00"/>
    <d v="2019-10-22T00:00:00"/>
    <m/>
    <m/>
    <m/>
    <m/>
    <m/>
    <m/>
    <m/>
    <m/>
    <x v="195"/>
    <d v="2019-10-31T10:02:54"/>
    <d v="2019-10-31T10:02:54"/>
    <m/>
    <d v="2019-10-31T10:02:54"/>
  </r>
  <r>
    <n v="613"/>
    <s v="ООО &quot;СПЕЦ СТРОЙ&quot; Нарушение требований правил по ОТ при организации работ на высоте."/>
    <n v="1"/>
    <s v="КРИТИЧЕСКОЕ"/>
    <x v="0"/>
    <x v="2"/>
    <s v="3318261@mail.ru"/>
    <x v="4"/>
    <d v="2019-10-15T00:00:00"/>
    <d v="2019-10-17T00:00:00"/>
    <m/>
    <m/>
    <m/>
    <m/>
    <m/>
    <n v="0"/>
    <m/>
    <m/>
    <x v="196"/>
    <d v="2019-12-06T15:44:25"/>
    <d v="2019-12-09T09:41:27"/>
    <m/>
    <d v="2019-12-09T09:41:27"/>
  </r>
  <r>
    <n v="818"/>
    <s v="ООО &quot;Геоизол&quot; Нарушение требований пожарной безопасности."/>
    <n v="1"/>
    <s v="КРИТИЧЕСКОЕ"/>
    <x v="2"/>
    <x v="2"/>
    <s v="msumatokhin@geoizol.ru"/>
    <x v="0"/>
    <d v="2019-12-23T00:00:00"/>
    <d v="2019-12-24T00:00:00"/>
    <m/>
    <m/>
    <m/>
    <m/>
    <m/>
    <m/>
    <m/>
    <m/>
    <x v="197"/>
    <m/>
    <m/>
    <m/>
    <d v="2019-12-23T17:03:48"/>
  </r>
  <r>
    <n v="819"/>
    <s v="ООО &quot;Геоизол&quot; Нарушение правил организации работ повышенной опасности."/>
    <n v="1"/>
    <s v="КРИТИЧЕСКОЕ"/>
    <x v="2"/>
    <x v="2"/>
    <s v="msumatokhin@geoizol.ru"/>
    <x v="0"/>
    <m/>
    <m/>
    <m/>
    <m/>
    <m/>
    <m/>
    <m/>
    <m/>
    <m/>
    <m/>
    <x v="198"/>
    <m/>
    <m/>
    <m/>
    <d v="2019-12-23T17:09:26"/>
  </r>
  <r>
    <n v="762"/>
    <s v="ООО &quot;Геоизол&quot; Нарушение правил складирования материалов."/>
    <n v="1"/>
    <s v="КРИТИЧЕСКОЕ"/>
    <x v="2"/>
    <x v="2"/>
    <s v="msumatokhin@geoizol.ru"/>
    <x v="0"/>
    <m/>
    <m/>
    <m/>
    <m/>
    <m/>
    <m/>
    <m/>
    <m/>
    <m/>
    <m/>
    <x v="199"/>
    <m/>
    <m/>
    <m/>
    <d v="2019-12-10T13:17:37"/>
  </r>
  <r>
    <n v="463"/>
    <s v="ООО &quot;Геоизол&quot; Нарушение правил ОТ пр организации работ"/>
    <n v="2"/>
    <s v="Значительное"/>
    <x v="0"/>
    <x v="2"/>
    <s v="msumatokhin@geoizol.ru"/>
    <x v="0"/>
    <d v="2019-09-11T00:00:00"/>
    <d v="2019-09-12T00:00:00"/>
    <m/>
    <m/>
    <m/>
    <m/>
    <m/>
    <m/>
    <m/>
    <m/>
    <x v="200"/>
    <d v="2019-09-17T17:11:21"/>
    <d v="2019-09-17T17:11:21"/>
    <m/>
    <d v="2019-09-17T17:11:21"/>
  </r>
  <r>
    <n v="21"/>
    <s v="Нарушение Правил Эксплуатации Грузоподъёмных Механизмов"/>
    <n v="2"/>
    <s v="Значительное"/>
    <x v="0"/>
    <x v="2"/>
    <s v="msumatokhin@geoizol.ru"/>
    <x v="0"/>
    <d v="2019-04-02T00:00:00"/>
    <d v="2019-04-03T00:00:00"/>
    <s v="ГП_Генплан_сети"/>
    <n v="0"/>
    <n v="0"/>
    <s v="Бытовой Городок"/>
    <m/>
    <m/>
    <s v="_Планы ПД"/>
    <s v="Ссылка на план"/>
    <x v="201"/>
    <d v="2019-04-26T12:15:16"/>
    <d v="2019-04-26T12:15:16"/>
    <m/>
    <d v="2019-04-26T17:32:24"/>
  </r>
  <r>
    <n v="76"/>
    <s v="Предписание"/>
    <n v="3"/>
    <s v="Малозначительное"/>
    <x v="0"/>
    <x v="2"/>
    <s v="msumatokhin@geoizol.ru"/>
    <x v="0"/>
    <d v="2019-05-15T00:00:00"/>
    <d v="2019-05-17T00:00:00"/>
    <m/>
    <m/>
    <m/>
    <m/>
    <m/>
    <m/>
    <m/>
    <m/>
    <x v="202"/>
    <d v="2019-06-04T15:32:01"/>
    <d v="2019-06-04T15:32:01"/>
    <m/>
    <d v="2019-06-04T15:32:28"/>
  </r>
  <r>
    <n v="78"/>
    <s v="Предписание"/>
    <n v="3"/>
    <s v="Малозначительное"/>
    <x v="0"/>
    <x v="2"/>
    <s v="msumatokhin@geoizol.ru"/>
    <x v="0"/>
    <d v="2019-05-15T00:00:00"/>
    <d v="2019-05-31T00:00:00"/>
    <m/>
    <m/>
    <m/>
    <m/>
    <m/>
    <m/>
    <m/>
    <m/>
    <x v="203"/>
    <d v="2019-06-04T15:32:15"/>
    <d v="2019-06-04T15:32:15"/>
    <m/>
    <d v="2019-06-04T15:32:41"/>
  </r>
  <r>
    <n v="77"/>
    <s v="Предписание"/>
    <n v="1"/>
    <s v="КРИТИЧЕСКОЕ"/>
    <x v="0"/>
    <x v="2"/>
    <s v="msumatokhin@geoizol.ru"/>
    <x v="0"/>
    <m/>
    <m/>
    <m/>
    <m/>
    <m/>
    <m/>
    <n v="0"/>
    <m/>
    <m/>
    <m/>
    <x v="204"/>
    <d v="2019-05-23T12:49:37"/>
    <d v="2019-05-24T11:47:34"/>
    <m/>
    <d v="2019-05-24T11:47:40"/>
  </r>
  <r>
    <n v="95"/>
    <s v="Нарушение правил работы на высоте"/>
    <n v="2"/>
    <s v="Значительное"/>
    <x v="0"/>
    <x v="2"/>
    <s v="msumatokhin@geoizol.ru"/>
    <x v="0"/>
    <m/>
    <m/>
    <m/>
    <m/>
    <m/>
    <m/>
    <m/>
    <m/>
    <m/>
    <m/>
    <x v="205"/>
    <d v="2019-05-23T12:50:17"/>
    <d v="2019-05-24T11:48:41"/>
    <m/>
    <d v="2019-05-24T11:48:47"/>
  </r>
  <r>
    <n v="236"/>
    <s v="ООО &quot;ГЕОИЗОЛ&quot; Нарушение правил ОТ при работе на высоте."/>
    <n v="1"/>
    <s v="КРИТИЧЕСКОЕ"/>
    <x v="0"/>
    <x v="2"/>
    <s v="msumatokhin@geoizol.ru"/>
    <x v="0"/>
    <d v="2019-07-11T00:00:00"/>
    <d v="2019-07-12T00:00:00"/>
    <m/>
    <m/>
    <m/>
    <m/>
    <m/>
    <m/>
    <m/>
    <m/>
    <x v="206"/>
    <d v="2019-07-15T16:26:15"/>
    <d v="2019-07-15T17:03:41"/>
    <m/>
    <d v="2019-07-15T17:03:41"/>
  </r>
  <r>
    <n v="190"/>
    <s v="ООО &quot;ГЕОИЗОЛ&quot; Нарушение правил ППБ 01-03"/>
    <n v="3"/>
    <s v="Малозначительное"/>
    <x v="0"/>
    <x v="2"/>
    <s v="msumatokhin@geoizol.ru"/>
    <x v="0"/>
    <d v="2019-07-01T00:00:00"/>
    <d v="2019-07-02T00:00:00"/>
    <m/>
    <m/>
    <m/>
    <m/>
    <m/>
    <m/>
    <m/>
    <m/>
    <x v="207"/>
    <d v="2019-07-04T11:17:28"/>
    <d v="2019-07-04T11:17:28"/>
    <m/>
    <d v="2019-07-04T11:17:31"/>
  </r>
  <r>
    <n v="191"/>
    <s v="ООО &quot;ГЕОИЗОЛ&quot; Нарушение правил ППБ 01-03"/>
    <n v="2"/>
    <s v="Значительное"/>
    <x v="0"/>
    <x v="2"/>
    <s v="msumatokhin@geoizol.ru"/>
    <x v="0"/>
    <d v="2019-07-01T00:00:00"/>
    <d v="2019-07-08T00:00:00"/>
    <m/>
    <m/>
    <m/>
    <m/>
    <m/>
    <m/>
    <m/>
    <m/>
    <x v="208"/>
    <d v="2019-07-12T13:44:03"/>
    <d v="2019-07-12T13:44:03"/>
    <m/>
    <d v="2019-07-12T13:44:04"/>
  </r>
  <r>
    <n v="243"/>
    <s v="ООО &quot;ГЕОИЗОЛ&quot; Нарушение правил по ОТ в строительстве. ТК РФ."/>
    <n v="2"/>
    <s v="Значительное"/>
    <x v="0"/>
    <x v="2"/>
    <s v="msumatokhin@geoizol.ru"/>
    <x v="0"/>
    <m/>
    <m/>
    <m/>
    <m/>
    <m/>
    <m/>
    <m/>
    <m/>
    <m/>
    <m/>
    <x v="209"/>
    <d v="2019-07-15T16:19:43"/>
    <d v="2019-07-15T16:28:35"/>
    <m/>
    <d v="2019-07-15T16:28:36"/>
  </r>
  <r>
    <n v="146"/>
    <s v="Нарушение противопожарного режима"/>
    <n v="3"/>
    <s v="Малозначительное"/>
    <x v="0"/>
    <x v="2"/>
    <s v="msumatokhin@geoizol.ru"/>
    <x v="0"/>
    <m/>
    <m/>
    <m/>
    <m/>
    <m/>
    <m/>
    <m/>
    <m/>
    <m/>
    <m/>
    <x v="210"/>
    <d v="2019-06-21T14:51:43"/>
    <d v="2019-06-21T15:03:17"/>
    <m/>
    <d v="2019-06-21T15:04:15"/>
  </r>
  <r>
    <n v="79"/>
    <s v="Предписание"/>
    <n v="3"/>
    <s v="Малозначительное"/>
    <x v="0"/>
    <x v="2"/>
    <s v="msumatokhin@geoizol.ru"/>
    <x v="0"/>
    <m/>
    <m/>
    <m/>
    <m/>
    <m/>
    <m/>
    <m/>
    <m/>
    <m/>
    <m/>
    <x v="211"/>
    <d v="2019-05-23T12:51:46"/>
    <d v="2019-05-24T11:48:19"/>
    <m/>
    <d v="2019-05-24T11:48:25"/>
  </r>
  <r>
    <n v="148"/>
    <s v="Баллоны убраны."/>
    <n v="1"/>
    <s v="КРИТИЧЕСКОЕ"/>
    <x v="0"/>
    <x v="2"/>
    <s v="msumatokhin@geoizol.ru"/>
    <x v="0"/>
    <m/>
    <m/>
    <m/>
    <m/>
    <m/>
    <m/>
    <m/>
    <m/>
    <m/>
    <m/>
    <x v="212"/>
    <d v="2019-06-19T10:00:56"/>
    <d v="2019-06-19T10:10:20"/>
    <m/>
    <d v="2019-06-19T10:11:14"/>
  </r>
  <r>
    <n v="150"/>
    <s v="нарушения правил обращения с ЛВЖ"/>
    <n v="2"/>
    <s v="Значительное"/>
    <x v="0"/>
    <x v="2"/>
    <s v="msumatokhin@geoizol.ru"/>
    <x v="0"/>
    <d v="2019-06-24T00:00:00"/>
    <d v="2019-06-25T00:00:00"/>
    <m/>
    <m/>
    <m/>
    <m/>
    <m/>
    <m/>
    <m/>
    <m/>
    <x v="213"/>
    <d v="2019-06-26T14:54:56"/>
    <d v="2019-06-26T17:34:50"/>
    <m/>
    <d v="2019-06-26T17:35:58"/>
  </r>
  <r>
    <n v="149"/>
    <s v="Мусор в местах производства работ"/>
    <n v="2"/>
    <s v="Значительное"/>
    <x v="0"/>
    <x v="2"/>
    <s v="msumatokhin@geoizol.ru"/>
    <x v="0"/>
    <m/>
    <m/>
    <m/>
    <m/>
    <m/>
    <m/>
    <m/>
    <m/>
    <m/>
    <m/>
    <x v="214"/>
    <d v="2019-06-20T15:27:55"/>
    <d v="2019-06-21T11:48:29"/>
    <m/>
    <d v="2019-06-21T11:49:27"/>
  </r>
  <r>
    <n v="100"/>
    <s v="Нарушение правил по ОТ при работе на высоте ПОТ РМ-012-2000"/>
    <n v="1"/>
    <s v="КРИТИЧЕСКОЕ"/>
    <x v="0"/>
    <x v="2"/>
    <s v="msumatokhin@geoizol.ru"/>
    <x v="0"/>
    <d v="2019-05-23T00:00:00"/>
    <d v="2019-05-27T00:00:00"/>
    <m/>
    <m/>
    <m/>
    <m/>
    <m/>
    <m/>
    <m/>
    <m/>
    <x v="215"/>
    <d v="2019-05-24T11:49:43"/>
    <d v="2019-05-24T11:49:43"/>
    <m/>
    <d v="2019-05-24T11:49:49"/>
  </r>
  <r>
    <n v="81"/>
    <s v="Предписание. Нарушение правил производства работ кранами"/>
    <n v="1"/>
    <s v="КРИТИЧЕСКОЕ"/>
    <x v="0"/>
    <x v="2"/>
    <s v="msumatokhin@geoizol.ru"/>
    <x v="0"/>
    <m/>
    <m/>
    <m/>
    <m/>
    <m/>
    <m/>
    <m/>
    <m/>
    <m/>
    <m/>
    <x v="216"/>
    <d v="2019-05-23T12:50:30"/>
    <d v="2019-05-24T11:48:29"/>
    <m/>
    <d v="2019-05-24T11:48:35"/>
  </r>
  <r>
    <n v="134"/>
    <s v="Нарушение правил организации работ вблизи перепадов по высоте."/>
    <n v="1"/>
    <s v="КРИТИЧЕСКОЕ"/>
    <x v="0"/>
    <x v="2"/>
    <s v="msumatokhin@geoizol.ru"/>
    <x v="0"/>
    <m/>
    <m/>
    <m/>
    <m/>
    <m/>
    <m/>
    <m/>
    <m/>
    <m/>
    <m/>
    <x v="217"/>
    <d v="2019-06-18T17:35:20"/>
    <d v="2019-06-18T17:52:55"/>
    <m/>
    <d v="2019-06-18T17:53:47"/>
  </r>
  <r>
    <n v="127"/>
    <s v="Требования  безопасности при производстве работ  (должностная инструкция)"/>
    <n v="2"/>
    <s v="Значительное"/>
    <x v="0"/>
    <x v="2"/>
    <s v="msumatokhin@geoizol.ru"/>
    <x v="0"/>
    <d v="2019-06-10T00:00:00"/>
    <d v="2019-06-10T00:00:00"/>
    <m/>
    <m/>
    <m/>
    <m/>
    <m/>
    <m/>
    <m/>
    <m/>
    <x v="218"/>
    <d v="2019-06-18T17:53:19"/>
    <d v="2019-06-18T17:53:19"/>
    <m/>
    <d v="2019-06-18T17:54:11"/>
  </r>
  <r>
    <n v="103"/>
    <s v="Нарушение при эксплуатации РВД"/>
    <n v="1"/>
    <s v="КРИТИЧЕСКОЕ"/>
    <x v="0"/>
    <x v="2"/>
    <s v="msumatokhin@geoizol.ru"/>
    <x v="0"/>
    <d v="2019-06-04T00:00:00"/>
    <d v="2019-06-10T00:00:00"/>
    <m/>
    <m/>
    <m/>
    <m/>
    <m/>
    <m/>
    <m/>
    <m/>
    <x v="219"/>
    <d v="2019-06-19T14:30:42"/>
    <d v="2019-06-19T14:30:42"/>
    <m/>
    <d v="2019-06-19T14:31:36"/>
  </r>
  <r>
    <n v="102"/>
    <s v="Нарушение правил ОТ при работах повышенной опасности"/>
    <n v="1"/>
    <s v="КРИТИЧЕСКОЕ"/>
    <x v="0"/>
    <x v="2"/>
    <s v="msumatokhin@geoizol.ru"/>
    <x v="0"/>
    <m/>
    <m/>
    <m/>
    <m/>
    <m/>
    <m/>
    <m/>
    <m/>
    <m/>
    <m/>
    <x v="220"/>
    <d v="2019-06-04T15:32:25"/>
    <d v="2019-06-04T15:32:25"/>
    <m/>
    <d v="2019-06-04T15:32:52"/>
  </r>
  <r>
    <n v="128"/>
    <s v="Организация мест производства работ"/>
    <n v="2"/>
    <s v="Значительное"/>
    <x v="0"/>
    <x v="2"/>
    <s v="msumatokhin@geoizol.ru"/>
    <x v="0"/>
    <d v="2019-06-10T00:00:00"/>
    <d v="2019-06-21T00:00:00"/>
    <m/>
    <m/>
    <m/>
    <m/>
    <m/>
    <m/>
    <m/>
    <m/>
    <x v="221"/>
    <d v="2019-06-20T15:21:13"/>
    <d v="2019-06-21T11:48:22"/>
    <m/>
    <d v="2019-06-21T11:49:19"/>
  </r>
  <r>
    <n v="461"/>
    <s v="ООО &quot;Геоизол&quot; Нарушение требований ТК РФ ст.217"/>
    <n v="2"/>
    <s v="Значительное"/>
    <x v="0"/>
    <x v="2"/>
    <s v="msumatokhin@geoizol.ru"/>
    <x v="0"/>
    <d v="2019-09-11T00:00:00"/>
    <d v="2019-09-16T00:00:00"/>
    <m/>
    <m/>
    <m/>
    <m/>
    <m/>
    <m/>
    <m/>
    <m/>
    <x v="222"/>
    <d v="2019-09-13T13:51:25"/>
    <d v="2019-09-17T14:36:17"/>
    <m/>
    <d v="2019-09-17T14:36:18"/>
  </r>
  <r>
    <n v="154"/>
    <s v="Рабочие не обеспечены спецодеждой"/>
    <n v="1"/>
    <s v="КРИТИЧЕСКОЕ"/>
    <x v="0"/>
    <x v="2"/>
    <s v="msumatokhin@geoizol.ru"/>
    <x v="0"/>
    <m/>
    <m/>
    <m/>
    <m/>
    <m/>
    <m/>
    <m/>
    <m/>
    <m/>
    <m/>
    <x v="223"/>
    <d v="2019-06-24T13:05:29"/>
    <d v="2019-06-24T13:05:29"/>
    <m/>
    <d v="2019-06-24T13:06:32"/>
  </r>
  <r>
    <n v="159"/>
    <s v="ООО &quot;Геоизол&quot; Нарушение требований к хранению баллонов СУГ ППБ 01-03 Приказ Ростехнадзора №116 от 25.03.14"/>
    <n v="1"/>
    <s v="КРИТИЧЕСКОЕ"/>
    <x v="0"/>
    <x v="2"/>
    <s v="msumatokhin@geoizol.ru"/>
    <x v="0"/>
    <d v="2019-06-24T00:00:00"/>
    <d v="2019-06-28T00:00:00"/>
    <m/>
    <m/>
    <m/>
    <m/>
    <m/>
    <m/>
    <m/>
    <m/>
    <x v="224"/>
    <d v="2019-06-26T17:32:56"/>
    <d v="2019-06-26T17:32:56"/>
    <m/>
    <d v="2019-06-26T17:34:04"/>
  </r>
  <r>
    <n v="162"/>
    <s v="ООО &quot;Геоизол&quot; Нарушение СНиП 12-03-2001  Безопасность труда в строительстве. Приказ №155 Привила ОТ при  работе на Высоте."/>
    <n v="1"/>
    <s v="КРИТИЧЕСКОЕ"/>
    <x v="0"/>
    <x v="2"/>
    <s v="msumatokhin@geoizol.ru"/>
    <x v="0"/>
    <m/>
    <m/>
    <m/>
    <m/>
    <m/>
    <m/>
    <m/>
    <m/>
    <m/>
    <m/>
    <x v="225"/>
    <d v="2019-07-08T16:54:46"/>
    <d v="2019-07-08T17:05:55"/>
    <m/>
    <d v="2019-07-08T17:05:55"/>
  </r>
  <r>
    <n v="164"/>
    <s v="ООО &quot;ГЕОИЗОЛ&quot; Нарушение правил ППБ 01-03"/>
    <n v="2"/>
    <s v="Значительное"/>
    <x v="0"/>
    <x v="2"/>
    <s v="msumatokhin@geoizol.ru"/>
    <x v="0"/>
    <d v="2019-06-24T00:00:00"/>
    <d v="2019-07-12T00:00:00"/>
    <m/>
    <m/>
    <m/>
    <m/>
    <m/>
    <m/>
    <m/>
    <m/>
    <x v="226"/>
    <d v="2019-07-15T16:53:25"/>
    <d v="2019-07-15T17:03:50"/>
    <m/>
    <d v="2019-07-15T17:03:50"/>
  </r>
  <r>
    <n v="165"/>
    <s v="ООО &quot;Геоизол&quot; Нарушение правил СанПиН 2.2.3.1384-03"/>
    <n v="2"/>
    <s v="Значительное"/>
    <x v="0"/>
    <x v="2"/>
    <s v="msumatokhin@geoizol.ru"/>
    <x v="0"/>
    <m/>
    <m/>
    <m/>
    <m/>
    <m/>
    <m/>
    <m/>
    <m/>
    <m/>
    <m/>
    <x v="227"/>
    <d v="2019-06-26T17:33:56"/>
    <d v="2019-06-26T17:33:56"/>
    <m/>
    <d v="2019-06-26T17:35:03"/>
  </r>
  <r>
    <n v="116"/>
    <s v="Нарушение требований Постановления правительства РФ  &quot;О противопожарном режиме &quot;."/>
    <n v="1"/>
    <s v="КРИТИЧЕСКОЕ"/>
    <x v="0"/>
    <x v="2"/>
    <s v="msumatokhin@geoizol.ru"/>
    <x v="0"/>
    <d v="2019-06-04T00:00:00"/>
    <d v="2019-06-10T00:00:00"/>
    <m/>
    <m/>
    <m/>
    <m/>
    <m/>
    <m/>
    <m/>
    <m/>
    <x v="228"/>
    <d v="2019-06-10T12:20:30"/>
    <d v="2019-06-10T12:20:30"/>
    <m/>
    <d v="2019-06-10T12:21:07"/>
  </r>
  <r>
    <n v="118"/>
    <s v="Нарушение правил хранения материалов."/>
    <n v="1"/>
    <s v="КРИТИЧЕСКОЕ"/>
    <x v="0"/>
    <x v="2"/>
    <s v="msumatokhin@geoizol.ru"/>
    <x v="0"/>
    <d v="2019-06-04T00:00:00"/>
    <d v="2019-06-06T00:00:00"/>
    <m/>
    <m/>
    <m/>
    <m/>
    <m/>
    <m/>
    <m/>
    <m/>
    <x v="229"/>
    <d v="2019-06-10T12:18:30"/>
    <d v="2019-06-10T12:18:30"/>
    <m/>
    <d v="2019-06-10T12:19:07"/>
  </r>
  <r>
    <n v="167"/>
    <s v="ООО &quot;Геоизол&quot; Деревянная лестница ППБ-01-03"/>
    <n v="2"/>
    <s v="Значительное"/>
    <x v="0"/>
    <x v="2"/>
    <s v="msumatokhin@geoizol.ru"/>
    <x v="0"/>
    <d v="2019-06-25T00:00:00"/>
    <d v="2019-07-02T00:00:00"/>
    <m/>
    <m/>
    <m/>
    <m/>
    <m/>
    <m/>
    <m/>
    <m/>
    <x v="230"/>
    <d v="2019-07-02T15:41:59"/>
    <d v="2019-07-03T11:42:13"/>
    <m/>
    <d v="2019-07-03T11:42:14"/>
  </r>
  <r>
    <n v="608"/>
    <s v="ООО &quot;Геоизол&quot; Нарушение требований безопасности при организации работ"/>
    <n v="1"/>
    <s v="КРИТИЧЕСКОЕ"/>
    <x v="0"/>
    <x v="2"/>
    <s v="msumatokhin@geoizol.ru"/>
    <x v="0"/>
    <m/>
    <m/>
    <m/>
    <m/>
    <m/>
    <m/>
    <m/>
    <m/>
    <m/>
    <m/>
    <x v="231"/>
    <d v="2019-10-16T12:13:23"/>
    <d v="2019-10-17T15:12:32"/>
    <m/>
    <d v="2019-10-17T15:12:32"/>
  </r>
  <r>
    <n v="609"/>
    <s v="ООО &quot;Геоизол&quot; Нарушение требований ПТЭЭП"/>
    <n v="1"/>
    <s v="КРИТИЧЕСКОЕ"/>
    <x v="0"/>
    <x v="2"/>
    <s v="msumatokhin@geoizol.ru"/>
    <x v="0"/>
    <m/>
    <m/>
    <m/>
    <m/>
    <m/>
    <m/>
    <m/>
    <m/>
    <m/>
    <m/>
    <x v="232"/>
    <d v="2019-10-17T16:35:47"/>
    <d v="2019-10-17T16:51:15"/>
    <m/>
    <d v="2019-10-17T16:51:16"/>
  </r>
  <r>
    <n v="185"/>
    <s v="Нарушение ПТЭЭП"/>
    <n v="1"/>
    <s v="КРИТИЧЕСКОЕ"/>
    <x v="0"/>
    <x v="2"/>
    <s v="msumatokhin@geoizol.ru"/>
    <x v="0"/>
    <d v="2019-07-01T00:00:00"/>
    <d v="2019-07-01T00:00:00"/>
    <m/>
    <m/>
    <m/>
    <m/>
    <m/>
    <m/>
    <m/>
    <m/>
    <x v="233"/>
    <d v="2019-07-03T11:36:19"/>
    <d v="2019-07-03T11:51:58"/>
    <m/>
    <d v="2019-07-03T11:51:59"/>
  </r>
  <r>
    <n v="192"/>
    <s v="ООО &quot;ГЕОИЗОЛ&quot; Нарушение ППБ 01-03"/>
    <n v="2"/>
    <s v="Значительное"/>
    <x v="0"/>
    <x v="2"/>
    <s v="msumatokhin@geoizol.ru"/>
    <x v="0"/>
    <d v="2019-07-01T00:00:00"/>
    <d v="2019-07-02T00:00:00"/>
    <m/>
    <m/>
    <m/>
    <m/>
    <m/>
    <m/>
    <m/>
    <m/>
    <x v="234"/>
    <d v="2019-07-02T15:49:12"/>
    <d v="2019-07-03T11:51:50"/>
    <m/>
    <d v="2019-07-03T11:51:51"/>
  </r>
  <r>
    <n v="286"/>
    <s v="ООО &quot;ГЕОИЗОЛ&quot; Нарушение правил СанПиН 2.2.3.1384-03 &quot;Гигиенические требования к организации строительного производства и строительных работ&quot;"/>
    <n v="1"/>
    <s v="КРИТИЧЕСКОЕ"/>
    <x v="0"/>
    <x v="2"/>
    <s v="msumatokhin@geoizol.ru"/>
    <x v="0"/>
    <d v="2019-07-22T00:00:00"/>
    <d v="2019-07-22T00:00:00"/>
    <m/>
    <m/>
    <m/>
    <m/>
    <m/>
    <m/>
    <m/>
    <m/>
    <x v="235"/>
    <d v="2019-07-24T13:54:01"/>
    <d v="2019-07-24T14:42:09"/>
    <m/>
    <d v="2019-07-24T14:42:09"/>
  </r>
  <r>
    <n v="288"/>
    <s v="ООО &quot;ГЕОИЗОЛ&quot; Нарушение &quot;Правил охраны труда при работе на высоте&quot;"/>
    <n v="1"/>
    <s v="КРИТИЧЕСКОЕ"/>
    <x v="0"/>
    <x v="2"/>
    <s v="msumatokhin@geoizol.ru"/>
    <x v="0"/>
    <d v="2019-07-22T00:00:00"/>
    <d v="2019-07-22T00:00:00"/>
    <m/>
    <m/>
    <m/>
    <m/>
    <m/>
    <m/>
    <m/>
    <m/>
    <x v="236"/>
    <d v="2019-07-25T14:40:41"/>
    <d v="2019-07-29T17:36:02"/>
    <m/>
    <d v="2019-07-29T17:36:02"/>
  </r>
  <r>
    <n v="287"/>
    <s v="ООО &quot;ГЕОИЗОЛ&quot; Нарушение правил обращения с сосудами находящимися под давлением (пропановые и кислородные) Приказ Ростехнадзора №116 от 25.03.2014"/>
    <n v="1"/>
    <s v="КРИТИЧЕСКОЕ"/>
    <x v="0"/>
    <x v="2"/>
    <s v="msumatokhin@geoizol.ru"/>
    <x v="0"/>
    <d v="2019-07-22T00:00:00"/>
    <d v="2019-07-22T00:00:00"/>
    <m/>
    <m/>
    <m/>
    <m/>
    <m/>
    <m/>
    <m/>
    <m/>
    <x v="237"/>
    <d v="2019-07-25T13:02:48"/>
    <d v="2019-07-29T17:35:56"/>
    <m/>
    <d v="2019-07-29T17:35:56"/>
  </r>
  <r>
    <n v="327"/>
    <s v="ООО &quot;Геоизол&quot; Нарушение правил ОТ в строительстве."/>
    <n v="1"/>
    <s v="КРИТИЧЕСКОЕ"/>
    <x v="0"/>
    <x v="2"/>
    <s v="msumatokhin@geoizol.ru"/>
    <x v="0"/>
    <d v="2019-07-31T00:00:00"/>
    <d v="2019-08-07T00:00:00"/>
    <m/>
    <m/>
    <m/>
    <m/>
    <m/>
    <m/>
    <m/>
    <m/>
    <x v="238"/>
    <d v="2019-07-31T14:23:00"/>
    <d v="2019-07-31T15:32:26"/>
    <m/>
    <d v="2019-07-31T15:32:29"/>
  </r>
  <r>
    <n v="724"/>
    <s v="ООО &quot;Геоизол&quot; Нарушение правил допуска рабочего персонала на объект строительства. Подвал в осях 4-10 А-Б."/>
    <n v="1"/>
    <s v="КРИТИЧЕСКОЕ"/>
    <x v="0"/>
    <x v="2"/>
    <s v="msumatokhin@geoizol.ru"/>
    <x v="0"/>
    <d v="2019-11-25T00:00:00"/>
    <d v="2019-12-02T00:00:00"/>
    <m/>
    <m/>
    <m/>
    <m/>
    <m/>
    <m/>
    <m/>
    <m/>
    <x v="239"/>
    <d v="2019-12-05T14:08:27"/>
    <d v="2019-12-05T14:08:27"/>
    <m/>
    <d v="2019-12-05T14:08:27"/>
  </r>
  <r>
    <n v="522"/>
    <s v="ООО &quot;Геоизол&quot; Нарушение требований безопасности при хранении и транспортировки баллонов."/>
    <n v="1"/>
    <s v="КРИТИЧЕСКОЕ"/>
    <x v="0"/>
    <x v="2"/>
    <s v="msumatokhin@geoizol.ru"/>
    <x v="0"/>
    <d v="2019-09-23T00:00:00"/>
    <d v="2019-09-23T00:00:00"/>
    <m/>
    <m/>
    <m/>
    <m/>
    <m/>
    <m/>
    <m/>
    <m/>
    <x v="240"/>
    <d v="2019-09-24T14:34:36"/>
    <d v="2019-09-24T14:34:36"/>
    <m/>
    <d v="2019-09-24T14:34:36"/>
  </r>
  <r>
    <n v="520"/>
    <s v="ООО &quot;Геоизол&quot; Нарушение правил ГИГИЕНИЧЕСКИЕ ТРЕБОВАНИЯ К ОРГАНИЗАЦИИ_x000a_СТРОИТЕЛЬНОГО ПРОИЗВОДСТВА _x000a_И СТРОИТЕЛЬНЫХ РАБОТ_x000a__x000a_САНИТАРНО-ЭПИДЕМИОЛОГИЧЕСКИЕ ПРАВИЛА _x000a_И НОРМАТИВЫ _x000a_СП 2.2.3.1384-03"/>
    <n v="1"/>
    <s v="КРИТИЧЕСКОЕ"/>
    <x v="0"/>
    <x v="2"/>
    <s v="msumatokhin@geoizol.ru"/>
    <x v="0"/>
    <d v="2019-09-23T00:00:00"/>
    <d v="2019-09-27T00:00:00"/>
    <m/>
    <m/>
    <m/>
    <m/>
    <m/>
    <m/>
    <m/>
    <m/>
    <x v="241"/>
    <d v="2019-09-26T11:33:35"/>
    <d v="2019-10-15T17:48:01"/>
    <m/>
    <d v="2019-10-15T17:48:02"/>
  </r>
  <r>
    <n v="521"/>
    <s v="ООО &quot;Геоизол&quot; Нарушение правил _x000a_ПОСТАНОВЛЕНИЕ ПРАВИТЕЛЬСТВА РОССИЙСКОЙ ФЕДЕРАЦИИ_x000a_от 25 апреля 2012 года N 390_x000a_О противопожарном режиме"/>
    <n v="1"/>
    <s v="КРИТИЧЕСКОЕ"/>
    <x v="0"/>
    <x v="2"/>
    <s v="msumatokhin@geoizol.ru"/>
    <x v="0"/>
    <d v="2019-09-23T00:00:00"/>
    <d v="2019-09-25T00:00:00"/>
    <m/>
    <m/>
    <m/>
    <m/>
    <m/>
    <m/>
    <m/>
    <m/>
    <x v="242"/>
    <d v="2019-09-26T11:32:51"/>
    <d v="2019-10-15T17:47:49"/>
    <m/>
    <d v="2019-10-15T17:47:49"/>
  </r>
  <r>
    <n v="523"/>
    <s v="ООО &quot;Геоизол&quot; Нарушение по ОТ при организации работ на высоте."/>
    <n v="1"/>
    <s v="КРИТИЧЕСКОЕ"/>
    <x v="0"/>
    <x v="2"/>
    <s v="msumatokhin@geoizol.ru"/>
    <x v="0"/>
    <m/>
    <m/>
    <m/>
    <m/>
    <m/>
    <m/>
    <m/>
    <m/>
    <m/>
    <m/>
    <x v="243"/>
    <d v="2019-10-04T10:11:21"/>
    <d v="2019-10-04T10:11:21"/>
    <m/>
    <d v="2019-10-04T10:11:25"/>
  </r>
  <r>
    <n v="433"/>
    <s v="ООО &quot;Геоизол&quot; Нарушение правил организации хранение пропановых и кислородных баллонов."/>
    <n v="1"/>
    <s v="КРИТИЧЕСКОЕ"/>
    <x v="0"/>
    <x v="2"/>
    <s v="msumatokhin@geoizol.ru"/>
    <x v="0"/>
    <d v="2019-09-05T00:00:00"/>
    <d v="2019-09-06T00:00:00"/>
    <m/>
    <m/>
    <m/>
    <m/>
    <m/>
    <m/>
    <m/>
    <m/>
    <x v="244"/>
    <d v="2019-09-13T09:19:05"/>
    <d v="2019-09-13T09:46:36"/>
    <m/>
    <d v="2019-09-13T09:46:38"/>
  </r>
  <r>
    <n v="434"/>
    <s v="ООО &quot;Геоизол&quot; Нарушение правил ОТ при работе с инструментом  и нарушение инструкции по ОТ для рабочего персонала."/>
    <n v="1"/>
    <s v="КРИТИЧЕСКОЕ"/>
    <x v="0"/>
    <x v="2"/>
    <s v="msumatokhin@geoizol.ru"/>
    <x v="0"/>
    <d v="2019-09-05T00:00:00"/>
    <d v="2019-09-05T00:00:00"/>
    <m/>
    <m/>
    <m/>
    <m/>
    <m/>
    <m/>
    <m/>
    <m/>
    <x v="245"/>
    <d v="2019-09-06T13:00:31"/>
    <d v="2019-09-06T13:53:50"/>
    <m/>
    <d v="2019-09-06T13:53:50"/>
  </r>
  <r>
    <n v="524"/>
    <s v="ООО &quot;Геоизол&quot; Нарушение требований по ОТ по окончании работ."/>
    <n v="1"/>
    <s v="КРИТИЧЕСКОЕ"/>
    <x v="0"/>
    <x v="2"/>
    <s v="msumatokhin@geoizol.ru"/>
    <x v="0"/>
    <d v="2019-09-23T00:00:00"/>
    <d v="2019-10-16T00:00:00"/>
    <m/>
    <m/>
    <m/>
    <m/>
    <m/>
    <m/>
    <m/>
    <m/>
    <x v="246"/>
    <d v="2019-10-22T15:48:06"/>
    <d v="2019-10-22T15:48:08"/>
    <m/>
    <d v="2019-10-22T15:48:08"/>
  </r>
  <r>
    <n v="438"/>
    <s v="ООО &quot;Геоизол&quot; Нарушение требований СанПиН &quot;Гигиенические требования к организации строительного производства и строительных работ&quot;"/>
    <n v="1"/>
    <s v="КРИТИЧЕСКОЕ"/>
    <x v="0"/>
    <x v="2"/>
    <s v="msumatokhin@geoizol.ru"/>
    <x v="0"/>
    <d v="2019-09-06T00:00:00"/>
    <d v="2019-09-06T00:00:00"/>
    <m/>
    <m/>
    <m/>
    <m/>
    <m/>
    <m/>
    <m/>
    <m/>
    <x v="247"/>
    <d v="2019-09-09T11:34:48"/>
    <d v="2019-09-09T17:07:11"/>
    <m/>
    <d v="2019-09-09T17:07:12"/>
  </r>
  <r>
    <n v="455"/>
    <s v="ООО &quot;Геоизол&quot; Нарушение требований безопасности при организации производства работ в условиях с ограниченной видимостью."/>
    <n v="3"/>
    <s v="Малозначительное"/>
    <x v="0"/>
    <x v="2"/>
    <s v="msumatokhin@geoizol.ru"/>
    <x v="0"/>
    <d v="2019-09-10T00:00:00"/>
    <d v="2019-09-27T00:00:00"/>
    <m/>
    <m/>
    <m/>
    <m/>
    <m/>
    <m/>
    <m/>
    <m/>
    <x v="248"/>
    <d v="2019-09-23T17:26:34"/>
    <d v="2019-09-23T17:26:34"/>
    <m/>
    <d v="2019-09-23T17:26:34"/>
  </r>
  <r>
    <n v="589"/>
    <s v="ООО &quot;Геоизол&quot; Предоставление на проверку документации"/>
    <n v="2"/>
    <s v="Значительное"/>
    <x v="0"/>
    <x v="2"/>
    <s v="msumatokhin@geoizol.ru"/>
    <x v="0"/>
    <d v="2019-10-10T00:00:00"/>
    <d v="2019-10-11T00:00:00"/>
    <m/>
    <m/>
    <m/>
    <m/>
    <m/>
    <m/>
    <m/>
    <m/>
    <x v="249"/>
    <d v="2019-10-10T14:40:07"/>
    <d v="2019-10-15T17:46:49"/>
    <m/>
    <d v="2019-10-15T17:46:49"/>
  </r>
  <r>
    <n v="682"/>
    <s v="ООО &quot;Геоизол&quot; Нарушение требований пожарной безопасности."/>
    <n v="1"/>
    <s v="КРИТИЧЕСКОЕ"/>
    <x v="0"/>
    <x v="2"/>
    <s v="msumatokhin@geoizol.ru"/>
    <x v="0"/>
    <d v="2019-12-03T00:00:00"/>
    <d v="2019-12-04T00:00:00"/>
    <m/>
    <m/>
    <m/>
    <m/>
    <m/>
    <m/>
    <m/>
    <m/>
    <x v="250"/>
    <d v="2019-12-09T09:20:36"/>
    <d v="2019-12-09T09:42:13"/>
    <m/>
    <d v="2019-12-09T09:42:13"/>
  </r>
  <r>
    <n v="791"/>
    <s v="ООО &quot;ТМГ-Груп&quot; Нарушение правил организации работ."/>
    <n v="1"/>
    <s v="КРИТИЧЕСКОЕ"/>
    <x v="2"/>
    <x v="2"/>
    <s v="tmg-sergey@mail.ru"/>
    <x v="5"/>
    <d v="2019-12-20T00:00:00"/>
    <d v="2019-12-23T00:00:00"/>
    <m/>
    <m/>
    <m/>
    <m/>
    <m/>
    <m/>
    <m/>
    <m/>
    <x v="251"/>
    <m/>
    <m/>
    <m/>
    <d v="2019-12-23T17:12:06"/>
  </r>
  <r>
    <n v="814"/>
    <s v="ООО &quot;ТМГ-Груп&quot; Нарушение требований правил установки лесов."/>
    <n v="1"/>
    <s v="КРИТИЧЕСКОЕ"/>
    <x v="2"/>
    <x v="2"/>
    <s v="tmg-sergey@mail.ru"/>
    <x v="5"/>
    <d v="2019-12-23T00:00:00"/>
    <d v="2020-01-15T00:00:00"/>
    <m/>
    <m/>
    <m/>
    <m/>
    <m/>
    <m/>
    <m/>
    <m/>
    <x v="252"/>
    <m/>
    <m/>
    <m/>
    <d v="2019-12-23T17:14:32"/>
  </r>
  <r>
    <n v="792"/>
    <s v="ООО &quot;ТМГ-Груп&quot; Нарушение правил организации работ вблизи открытых перепадов по высоте."/>
    <n v="2"/>
    <s v="Значительное"/>
    <x v="1"/>
    <x v="2"/>
    <s v="tmg-sergey@mail.ru"/>
    <x v="5"/>
    <d v="2019-12-20T00:00:00"/>
    <d v="2019-12-24T00:00:00"/>
    <m/>
    <m/>
    <m/>
    <m/>
    <m/>
    <m/>
    <m/>
    <m/>
    <x v="253"/>
    <m/>
    <m/>
    <m/>
    <d v="2019-12-23T17:03:51"/>
  </r>
  <r>
    <n v="764"/>
    <s v="ООО &quot;ТМГ-Груп&quot; Нарушение требований пожарной безопасности."/>
    <n v="3"/>
    <s v="Малозначительное"/>
    <x v="3"/>
    <x v="2"/>
    <s v="tmg-sergey@mail.ru"/>
    <x v="5"/>
    <m/>
    <m/>
    <m/>
    <m/>
    <m/>
    <m/>
    <m/>
    <m/>
    <m/>
    <m/>
    <x v="254"/>
    <m/>
    <m/>
    <m/>
    <d v="2019-12-17T11:09:36"/>
  </r>
  <r>
    <n v="604"/>
    <s v="ООО &quot;ТМГ-Груп&quot; Нарушение требований ПТЭЭП"/>
    <n v="1"/>
    <s v="КРИТИЧЕСКОЕ"/>
    <x v="0"/>
    <x v="2"/>
    <s v="tmg-sergey@mail.ru"/>
    <x v="5"/>
    <d v="2019-10-14T00:00:00"/>
    <d v="2019-10-18T00:00:00"/>
    <m/>
    <m/>
    <m/>
    <m/>
    <m/>
    <m/>
    <m/>
    <m/>
    <x v="255"/>
    <d v="2019-10-22T09:53:34"/>
    <d v="2019-10-31T15:11:29"/>
    <m/>
    <d v="2019-10-31T15:11:29"/>
  </r>
  <r>
    <n v="605"/>
    <s v="ООО &quot;ТМГ-Груп&quot; Нарушение требований к организации строительного производства."/>
    <n v="1"/>
    <s v="КРИТИЧЕСКОЕ"/>
    <x v="0"/>
    <x v="2"/>
    <s v="tmg-sergey@mail.ru"/>
    <x v="5"/>
    <d v="2019-10-14T00:00:00"/>
    <d v="2019-10-18T00:00:00"/>
    <m/>
    <m/>
    <m/>
    <m/>
    <m/>
    <m/>
    <m/>
    <m/>
    <x v="256"/>
    <d v="2019-10-22T09:52:55"/>
    <d v="2019-10-31T15:11:34"/>
    <m/>
    <d v="2019-10-31T15:11:34"/>
  </r>
  <r>
    <n v="355"/>
    <s v="ООО &quot;ТМГ-Груп&quot; Нарушение требований ПТЭЭП"/>
    <n v="1"/>
    <s v="КРИТИЧЕСКОЕ"/>
    <x v="0"/>
    <x v="2"/>
    <s v="tmg-sergey@mail.ru"/>
    <x v="5"/>
    <d v="2019-08-13T00:00:00"/>
    <d v="2019-08-13T00:00:00"/>
    <m/>
    <m/>
    <m/>
    <m/>
    <m/>
    <m/>
    <m/>
    <m/>
    <x v="257"/>
    <d v="2019-08-14T14:33:09"/>
    <d v="2019-08-16T09:37:01"/>
    <m/>
    <d v="2019-08-16T09:37:04"/>
  </r>
  <r>
    <n v="714"/>
    <s v="ООО &quot;ТМГ-Груп&quot; Нарушение ПТЭЭП"/>
    <n v="3"/>
    <s v="Малозначительное"/>
    <x v="0"/>
    <x v="2"/>
    <s v="tmg-sergey@mail.ru"/>
    <x v="5"/>
    <d v="2019-11-22T00:00:00"/>
    <d v="2019-11-25T00:00:00"/>
    <m/>
    <m/>
    <m/>
    <m/>
    <m/>
    <m/>
    <m/>
    <m/>
    <x v="258"/>
    <d v="2019-11-26T13:52:47"/>
    <d v="2019-12-02T14:13:52"/>
    <m/>
    <d v="2019-12-02T14:13:52"/>
  </r>
  <r>
    <n v="466"/>
    <s v="ООО &quot;ТМГ-Груп&quot; Нарушение правил ведения документации по ОТ."/>
    <n v="2"/>
    <s v="Значительное"/>
    <x v="0"/>
    <x v="2"/>
    <s v="tmg-sergey@mail.ru"/>
    <x v="5"/>
    <m/>
    <m/>
    <m/>
    <m/>
    <m/>
    <m/>
    <m/>
    <m/>
    <m/>
    <m/>
    <x v="259"/>
    <d v="2019-09-13T09:59:53"/>
    <d v="2019-09-16T10:42:20"/>
    <m/>
    <d v="2019-09-16T10:42:25"/>
  </r>
  <r>
    <n v="329"/>
    <s v="ООО &quot;ТМГ-Груп&quot;  Нарушение правил ОТ при работе на высоте."/>
    <n v="1"/>
    <s v="КРИТИЧЕСКОЕ"/>
    <x v="0"/>
    <x v="2"/>
    <s v="tmg-sergey@mail.ru"/>
    <x v="5"/>
    <d v="2019-07-31T00:00:00"/>
    <d v="2019-07-31T00:00:00"/>
    <m/>
    <m/>
    <m/>
    <m/>
    <m/>
    <m/>
    <m/>
    <m/>
    <x v="260"/>
    <d v="2019-08-02T10:32:31"/>
    <d v="2019-08-02T13:58:04"/>
    <m/>
    <d v="2019-08-02T13:58:04"/>
  </r>
  <r>
    <n v="344"/>
    <s v="ООО &quot;ТМГ-Груп&quot; Нарушение правил ОТ при работе на высоте."/>
    <n v="1"/>
    <s v="КРИТИЧЕСКОЕ"/>
    <x v="0"/>
    <x v="2"/>
    <s v="tmg-sergey@mail.ru"/>
    <x v="5"/>
    <d v="2019-08-06T00:00:00"/>
    <d v="2019-08-06T00:00:00"/>
    <m/>
    <m/>
    <m/>
    <m/>
    <m/>
    <m/>
    <m/>
    <m/>
    <x v="261"/>
    <d v="2019-08-07T16:45:16"/>
    <d v="2019-08-08T12:09:46"/>
    <m/>
    <d v="2019-08-08T12:09:47"/>
  </r>
  <r>
    <n v="398"/>
    <s v="ООО &quot;ТМГ-Груп&quot; Нарушение требований ПТЭЭП"/>
    <n v="1"/>
    <s v="КРИТИЧЕСКОЕ"/>
    <x v="0"/>
    <x v="2"/>
    <s v="tmg-sergey@mail.ru"/>
    <x v="5"/>
    <d v="2019-08-26T00:00:00"/>
    <d v="2019-08-30T00:00:00"/>
    <m/>
    <m/>
    <m/>
    <m/>
    <m/>
    <m/>
    <m/>
    <m/>
    <x v="262"/>
    <d v="2019-08-28T13:27:06"/>
    <d v="2019-08-29T17:30:40"/>
    <m/>
    <d v="2019-08-29T17:30:40"/>
  </r>
  <r>
    <n v="405"/>
    <s v="ООО &quot;ТМГ-Груп&quot; Нарушение правил охраны труда в строительстве."/>
    <n v="1"/>
    <s v="КРИТИЧЕСКОЕ"/>
    <x v="0"/>
    <x v="2"/>
    <s v="tmg-sergey@mail.ru"/>
    <x v="5"/>
    <d v="2019-08-29T00:00:00"/>
    <d v="2019-08-29T00:00:00"/>
    <m/>
    <m/>
    <m/>
    <m/>
    <m/>
    <m/>
    <m/>
    <m/>
    <x v="263"/>
    <d v="2019-08-30T09:30:40"/>
    <d v="2019-08-30T15:12:13"/>
    <m/>
    <d v="2019-08-30T15:12:14"/>
  </r>
  <r>
    <n v="406"/>
    <s v="ООО &quot;ТМГ-Груп&quot; Нарушение требований ППР монтажу лесов."/>
    <n v="2"/>
    <s v="Значительное"/>
    <x v="0"/>
    <x v="2"/>
    <s v="tmg-sergey@mail.ru"/>
    <x v="5"/>
    <m/>
    <m/>
    <m/>
    <m/>
    <m/>
    <m/>
    <m/>
    <m/>
    <m/>
    <m/>
    <x v="264"/>
    <d v="2019-08-30T09:30:57"/>
    <d v="2019-08-30T15:12:30"/>
    <m/>
    <d v="2019-08-30T15:12:31"/>
  </r>
  <r>
    <n v="525"/>
    <s v="ООО &quot;ТМГ-Груп&quot; Нарушение правил эксплуатации лесов и подмостей."/>
    <n v="2"/>
    <s v="Значительное"/>
    <x v="0"/>
    <x v="2"/>
    <s v="tmg-sergey@mail.ru"/>
    <x v="5"/>
    <d v="2019-09-23T00:00:00"/>
    <d v="2019-09-27T00:00:00"/>
    <m/>
    <m/>
    <m/>
    <m/>
    <m/>
    <m/>
    <m/>
    <m/>
    <x v="265"/>
    <d v="2019-09-24T12:14:23"/>
    <d v="2019-09-24T14:37:42"/>
    <m/>
    <d v="2019-09-24T14:37:42"/>
  </r>
  <r>
    <n v="418"/>
    <s v="ООО &quot;ТМГ-Груп&quot; Нарушение ПТЭЭП и Инструкции по ОТ для монтажника."/>
    <n v="2"/>
    <s v="Значительное"/>
    <x v="0"/>
    <x v="2"/>
    <s v="tmg-sergey@mail.ru"/>
    <x v="5"/>
    <d v="2019-09-02T00:00:00"/>
    <d v="2019-09-02T00:00:00"/>
    <m/>
    <m/>
    <m/>
    <m/>
    <m/>
    <m/>
    <m/>
    <m/>
    <x v="266"/>
    <d v="2019-09-04T15:21:43"/>
    <d v="2019-09-05T12:37:08"/>
    <m/>
    <d v="2019-09-05T12:37:09"/>
  </r>
  <r>
    <n v="420"/>
    <s v="ООО &quot;ТМГ-Груп&quot; Нарушение ПТЭЭП"/>
    <n v="1"/>
    <s v="КРИТИЧЕСКОЕ"/>
    <x v="0"/>
    <x v="2"/>
    <s v="tmg-sergey@mail.ru"/>
    <x v="5"/>
    <d v="2019-09-02T00:00:00"/>
    <d v="2019-09-02T00:00:00"/>
    <m/>
    <m/>
    <m/>
    <m/>
    <m/>
    <m/>
    <m/>
    <m/>
    <x v="267"/>
    <d v="2019-09-04T15:23:41"/>
    <d v="2019-09-06T09:24:21"/>
    <m/>
    <d v="2019-09-06T09:24:21"/>
  </r>
  <r>
    <n v="419"/>
    <s v="ООО &quot;ТМГ-Груп&quot; Нарушение правил хранения ЛВЖ и Инструкции по ОТ по профессии."/>
    <n v="1"/>
    <s v="КРИТИЧЕСКОЕ"/>
    <x v="0"/>
    <x v="2"/>
    <s v="tmg-sergey@mail.ru"/>
    <x v="5"/>
    <d v="2019-09-02T00:00:00"/>
    <d v="2019-09-02T00:00:00"/>
    <m/>
    <m/>
    <m/>
    <m/>
    <m/>
    <m/>
    <m/>
    <m/>
    <x v="268"/>
    <d v="2019-09-04T15:23:22"/>
    <d v="2019-09-05T12:37:18"/>
    <m/>
    <d v="2019-09-05T12:37:18"/>
  </r>
  <r>
    <n v="421"/>
    <s v="ООО &quot;ТМГ-Груп&quot; Нарушение ПТЭЭП и Инструкции по ОТ по профессии."/>
    <n v="1"/>
    <s v="КРИТИЧЕСКОЕ"/>
    <x v="0"/>
    <x v="2"/>
    <s v="tmg-sergey@mail.ru"/>
    <x v="5"/>
    <m/>
    <m/>
    <m/>
    <m/>
    <m/>
    <m/>
    <m/>
    <m/>
    <m/>
    <m/>
    <x v="269"/>
    <d v="2019-09-04T15:24:04"/>
    <d v="2019-09-06T09:24:44"/>
    <m/>
    <d v="2019-09-06T09:24:44"/>
  </r>
  <r>
    <n v="715"/>
    <s v="ООО &quot;ТМГ-Груп&quot; Нарушение требований ОТ при организации работ на высоте."/>
    <n v="1"/>
    <s v="КРИТИЧЕСКОЕ"/>
    <x v="0"/>
    <x v="2"/>
    <s v="tmg-sergey@mail.ru"/>
    <x v="5"/>
    <d v="2019-11-22T00:00:00"/>
    <d v="2019-11-27T00:00:00"/>
    <m/>
    <m/>
    <m/>
    <m/>
    <m/>
    <m/>
    <m/>
    <m/>
    <x v="270"/>
    <d v="2019-11-26T13:50:28"/>
    <d v="2019-12-02T14:14:09"/>
    <m/>
    <d v="2019-12-02T14:14:09"/>
  </r>
  <r>
    <n v="432"/>
    <s v="ООО &quot;ТМГ-Груп&quot; Нарушение правил по охране труда при работе на высоте&quot;"/>
    <n v="1"/>
    <s v="КРИТИЧЕСКОЕ"/>
    <x v="0"/>
    <x v="2"/>
    <s v="tmg-sergey@mail.ru"/>
    <x v="5"/>
    <d v="2019-09-05T00:00:00"/>
    <d v="2019-09-09T00:00:00"/>
    <m/>
    <m/>
    <m/>
    <m/>
    <m/>
    <m/>
    <m/>
    <m/>
    <x v="271"/>
    <d v="2019-09-11T15:54:14"/>
    <d v="2019-09-13T09:46:17"/>
    <m/>
    <d v="2019-09-13T09:46:20"/>
  </r>
  <r>
    <n v="591"/>
    <s v="ООО &quot;ТМГ-Груп&quot; Предоставление документации на проверку"/>
    <n v="2"/>
    <s v="Значительное"/>
    <x v="0"/>
    <x v="2"/>
    <s v="tmg-sergey@mail.ru"/>
    <x v="5"/>
    <d v="2019-10-10T00:00:00"/>
    <d v="2019-10-11T00:00:00"/>
    <m/>
    <m/>
    <m/>
    <m/>
    <m/>
    <m/>
    <m/>
    <m/>
    <x v="272"/>
    <d v="2019-10-17T17:38:36"/>
    <d v="2019-10-17T17:44:07"/>
    <m/>
    <d v="2019-10-17T17:44:07"/>
  </r>
  <r>
    <n v="679"/>
    <s v="ООО &quot;ТМГ-груп&quot; Нарушение требований правил безопасности при работе с электроинструментов."/>
    <n v="1"/>
    <s v="КРИТИЧЕСКОЕ"/>
    <x v="0"/>
    <x v="2"/>
    <s v="tmg-sergey@mail.ru"/>
    <x v="5"/>
    <m/>
    <m/>
    <m/>
    <m/>
    <m/>
    <m/>
    <m/>
    <m/>
    <m/>
    <m/>
    <x v="273"/>
    <d v="2019-11-13T09:52:41"/>
    <d v="2019-11-15T15:41:04"/>
    <m/>
    <d v="2019-11-15T15:41:04"/>
  </r>
  <r>
    <n v="839"/>
    <s v="ООО &quot;УСП Монолит&quot; Нарушение требований ОТ при организации работ на высоте."/>
    <n v="2"/>
    <s v="Значительное"/>
    <x v="1"/>
    <x v="2"/>
    <s v="aleksandrov@spgr.ru"/>
    <x v="8"/>
    <m/>
    <m/>
    <m/>
    <m/>
    <m/>
    <m/>
    <m/>
    <m/>
    <m/>
    <m/>
    <x v="274"/>
    <m/>
    <m/>
    <m/>
    <d v="2019-12-25T16:47:31"/>
  </r>
  <r>
    <n v="239"/>
    <s v="ООО &quot;Корпорация-В&quot; Нарушение ПОС (правила размещения строительных вагончиков)"/>
    <n v="2"/>
    <s v="Значительное"/>
    <x v="0"/>
    <x v="2"/>
    <s v="aleksandrov@spgr.ru"/>
    <x v="8"/>
    <m/>
    <m/>
    <m/>
    <m/>
    <m/>
    <m/>
    <m/>
    <m/>
    <m/>
    <m/>
    <x v="275"/>
    <d v="2019-07-23T15:08:02"/>
    <d v="2019-07-23T17:57:20"/>
    <m/>
    <d v="2019-07-23T17:57:20"/>
  </r>
  <r>
    <n v="244"/>
    <s v="ООО &quot;ТМГ-Груп&quot; Нарушение правил ПОТ РМ-012 2000"/>
    <n v="1"/>
    <s v="КРИТИЧЕСКОЕ"/>
    <x v="0"/>
    <x v="2"/>
    <s v="aleksandrov@spgr.ru"/>
    <x v="8"/>
    <m/>
    <m/>
    <m/>
    <m/>
    <m/>
    <m/>
    <m/>
    <m/>
    <m/>
    <m/>
    <x v="276"/>
    <d v="2019-07-22T16:12:37"/>
    <d v="2019-07-22T16:12:37"/>
    <m/>
    <d v="2019-07-22T16:12:37"/>
  </r>
  <r>
    <n v="259"/>
    <s v="ООО &quot;Корпорация-В&quot; Нарушение требований &quot;Правил противопожарного режима в РФ&quot;."/>
    <n v="1"/>
    <s v="КРИТИЧЕСКОЕ"/>
    <x v="0"/>
    <x v="2"/>
    <s v="aleksandrov@spgr.ru"/>
    <x v="8"/>
    <m/>
    <m/>
    <m/>
    <m/>
    <m/>
    <m/>
    <m/>
    <m/>
    <m/>
    <m/>
    <x v="277"/>
    <d v="2019-07-22T16:12:56"/>
    <d v="2019-07-22T16:12:56"/>
    <m/>
    <d v="2019-07-22T16:12:56"/>
  </r>
  <r>
    <n v="356"/>
    <s v="ООО &quot;МРЭО&quot;"/>
    <n v="1"/>
    <s v="КРИТИЧЕСКОЕ"/>
    <x v="0"/>
    <x v="2"/>
    <s v="aleksandrov@spgr.ru"/>
    <x v="8"/>
    <d v="2019-08-13T00:00:00"/>
    <d v="2019-08-16T00:00:00"/>
    <m/>
    <m/>
    <m/>
    <m/>
    <m/>
    <m/>
    <m/>
    <m/>
    <x v="278"/>
    <d v="2019-08-19T09:13:20"/>
    <d v="2019-08-19T09:13:20"/>
    <m/>
    <d v="2019-08-19T09:13:21"/>
  </r>
  <r>
    <n v="175"/>
    <s v="Корпорация-В Нарушение противопожарного режима ППБ-01-03"/>
    <n v="2"/>
    <s v="Значительное"/>
    <x v="0"/>
    <x v="2"/>
    <s v="aleksandrov@spgr.ru"/>
    <x v="8"/>
    <d v="2019-06-27T00:00:00"/>
    <d v="2019-07-05T00:00:00"/>
    <m/>
    <m/>
    <m/>
    <m/>
    <m/>
    <m/>
    <m/>
    <m/>
    <x v="279"/>
    <d v="2019-07-22T16:11:59"/>
    <d v="2019-07-22T16:11:59"/>
    <m/>
    <d v="2019-07-22T16:12:00"/>
  </r>
  <r>
    <n v="240"/>
    <s v="ООО &quot;Корпорация-В&quot; Нарушение правил противопожарной безопасности."/>
    <n v="1"/>
    <s v="КРИТИЧЕСКОЕ"/>
    <x v="0"/>
    <x v="2"/>
    <s v="aleksandrov@spgr.ru"/>
    <x v="8"/>
    <m/>
    <m/>
    <m/>
    <m/>
    <m/>
    <m/>
    <m/>
    <m/>
    <m/>
    <m/>
    <x v="280"/>
    <d v="2019-07-22T16:14:02"/>
    <d v="2019-07-22T16:14:02"/>
    <m/>
    <d v="2019-07-22T16:14:02"/>
  </r>
  <r>
    <n v="289"/>
    <s v="ООО &quot;СВОД&quot; Нарушение &quot;Правил по ОТ при работе на высоте&quot;"/>
    <n v="1"/>
    <s v="КРИТИЧЕСКОЕ"/>
    <x v="0"/>
    <x v="2"/>
    <s v="aleksandrov@spgr.ru"/>
    <x v="8"/>
    <d v="2019-07-22T00:00:00"/>
    <d v="2019-07-22T00:00:00"/>
    <m/>
    <m/>
    <m/>
    <m/>
    <m/>
    <m/>
    <m/>
    <m/>
    <x v="281"/>
    <d v="2019-09-03T11:56:02"/>
    <d v="2019-07-24T14:42:18"/>
    <m/>
    <d v="2019-09-03T11:55:06"/>
  </r>
  <r>
    <n v="160"/>
    <s v="ООО ИТР  Нарушение СНиП 12-03-2001  Безопасность труда в строительстве. Приказ №155 Привила ОТ при  работе на Высоте."/>
    <n v="2"/>
    <s v="Значительное"/>
    <x v="0"/>
    <x v="2"/>
    <s v="aleksandrov@spgr.ru"/>
    <x v="8"/>
    <d v="2019-06-24T00:00:00"/>
    <d v="2019-07-18T00:00:00"/>
    <m/>
    <m/>
    <m/>
    <m/>
    <m/>
    <m/>
    <m/>
    <m/>
    <x v="282"/>
    <d v="2019-06-25T14:12:16"/>
    <d v="2019-06-25T14:12:16"/>
    <m/>
    <d v="2019-07-24T16:16:10"/>
  </r>
  <r>
    <n v="325"/>
    <s v="ООО &quot;ТМГ-Груп&quot; Нарушение правил ПТЭЭП."/>
    <n v="1"/>
    <s v="КРИТИЧЕСКОЕ"/>
    <x v="0"/>
    <x v="2"/>
    <s v="aleksandrov@spgr.ru"/>
    <x v="8"/>
    <d v="2019-07-29T00:00:00"/>
    <d v="2019-07-31T00:00:00"/>
    <m/>
    <m/>
    <m/>
    <m/>
    <m/>
    <m/>
    <m/>
    <m/>
    <x v="283"/>
    <d v="2019-08-12T09:02:18"/>
    <d v="2019-08-12T09:02:18"/>
    <m/>
    <d v="2019-08-12T09:02:23"/>
  </r>
  <r>
    <n v="642"/>
    <s v="ООО &quot;СВОД&quot; Нарушение правил организации работ вблизи перепадов по высоте, не имеющих предохранительных ограждений."/>
    <n v="1"/>
    <s v="КРИТИЧЕСКОЕ"/>
    <x v="0"/>
    <x v="2"/>
    <s v="aleksandrov@spgr.ru"/>
    <x v="8"/>
    <m/>
    <m/>
    <m/>
    <m/>
    <m/>
    <m/>
    <m/>
    <m/>
    <m/>
    <m/>
    <x v="284"/>
    <d v="2019-11-19T09:29:03"/>
    <d v="2019-11-19T09:29:03"/>
    <m/>
    <d v="2019-11-19T09:29:03"/>
  </r>
  <r>
    <n v="636"/>
    <s v="ООО &quot;УСП МОНОЛИТ&quot; Нарушение правил по ОТ при работе на высоте."/>
    <n v="1"/>
    <s v="КРИТИЧЕСКОЕ"/>
    <x v="0"/>
    <x v="2"/>
    <s v="alexeynikiforov@mail.ru"/>
    <x v="6"/>
    <m/>
    <m/>
    <m/>
    <m/>
    <m/>
    <m/>
    <m/>
    <m/>
    <m/>
    <m/>
    <x v="285"/>
    <d v="2019-10-23T13:54:16"/>
    <d v="2019-10-23T15:31:56"/>
    <m/>
    <d v="2019-10-23T15:31:56"/>
  </r>
  <r>
    <n v="635"/>
    <s v="ООО &quot;УСП МОНОЛИТ&quot; Нарушение правил ПТЭЭП"/>
    <n v="1"/>
    <s v="КРИТИЧЕСКОЕ"/>
    <x v="0"/>
    <x v="2"/>
    <s v="alexeynikiforov@mail.ru"/>
    <x v="6"/>
    <d v="2019-10-21T00:00:00"/>
    <d v="2019-10-21T00:00:00"/>
    <m/>
    <m/>
    <m/>
    <m/>
    <m/>
    <n v="0"/>
    <m/>
    <m/>
    <x v="286"/>
    <d v="2019-10-23T13:16:50"/>
    <d v="2019-10-23T15:32:48"/>
    <m/>
    <d v="2019-10-23T15:32:49"/>
  </r>
  <r>
    <n v="718"/>
    <s v="ООО ПО &quot;УСП-монолит&quot; Нарушение требований ОТ при организации строительных работ на высоте."/>
    <n v="1"/>
    <s v="КРИТИЧЕСКОЕ"/>
    <x v="0"/>
    <x v="2"/>
    <s v="alexeynikiforov@mail.ru"/>
    <x v="6"/>
    <m/>
    <m/>
    <m/>
    <m/>
    <m/>
    <m/>
    <m/>
    <m/>
    <m/>
    <m/>
    <x v="287"/>
    <d v="2019-11-26T10:42:44"/>
    <d v="2019-12-02T14:14:31"/>
    <m/>
    <d v="2019-12-02T14:14:31"/>
  </r>
  <r>
    <n v="719"/>
    <s v="ООО ПО &quot;УСП-монолит&quot; Нарушение требований пожарной безопасности."/>
    <n v="1"/>
    <s v="КРИТИЧЕСКОЕ"/>
    <x v="0"/>
    <x v="2"/>
    <s v="alexeynikiforov@mail.ru"/>
    <x v="6"/>
    <m/>
    <m/>
    <m/>
    <m/>
    <m/>
    <m/>
    <m/>
    <m/>
    <m/>
    <m/>
    <x v="288"/>
    <d v="2019-11-26T10:42:55"/>
    <d v="2019-12-02T14:15:09"/>
    <m/>
    <d v="2019-12-02T14:15:09"/>
  </r>
  <r>
    <n v="637"/>
    <s v="ООО &quot;ПС &quot;УПС монолит&quot; Нарушение правил ОТ при работе на высоте."/>
    <n v="1"/>
    <s v="КРИТИЧЕСКОЕ"/>
    <x v="0"/>
    <x v="2"/>
    <s v="alexeynikiforov@mail.ru"/>
    <x v="6"/>
    <m/>
    <m/>
    <s v="01_1-ый этаж"/>
    <n v="0"/>
    <n v="0"/>
    <m/>
    <m/>
    <m/>
    <s v="_Планы ПД"/>
    <s v="Ссылка на план"/>
    <x v="289"/>
    <d v="2019-10-23T13:55:09"/>
    <d v="2019-10-23T15:32:15"/>
    <m/>
    <d v="2019-11-01T14:05:22"/>
  </r>
  <r>
    <n v="641"/>
    <s v="ООО &quot;ПС &quot;УСП-монолит&quot; Нарушение ТК РФ, Правил по ОТ в строительства, инструкций по ОТ для рабочих профессий."/>
    <n v="1"/>
    <s v="КРИТИЧЕСКОЕ"/>
    <x v="0"/>
    <x v="2"/>
    <s v="alexeynikiforov@mail.ru"/>
    <x v="6"/>
    <m/>
    <m/>
    <m/>
    <m/>
    <m/>
    <m/>
    <m/>
    <m/>
    <m/>
    <m/>
    <x v="290"/>
    <d v="2019-10-23T14:54:58"/>
    <d v="2019-10-23T15:32:27"/>
    <m/>
    <d v="2019-10-23T15:32:28"/>
  </r>
  <r>
    <n v="639"/>
    <s v="ООО &quot;ПС &quot;УСП-монолит&quot; Нарушение ПТЭЭП."/>
    <n v="1"/>
    <s v="КРИТИЧЕСКОЕ"/>
    <x v="0"/>
    <x v="2"/>
    <s v="alexeynikiforov@mail.ru"/>
    <x v="6"/>
    <m/>
    <m/>
    <m/>
    <m/>
    <m/>
    <m/>
    <m/>
    <m/>
    <m/>
    <m/>
    <x v="291"/>
    <d v="2019-10-23T15:33:16"/>
    <d v="2019-10-23T15:33:16"/>
    <m/>
    <d v="2019-10-23T15:33:17"/>
  </r>
  <r>
    <n v="237"/>
    <s v="ООО &quot;СВОД&quot; Нарушение ТК РФ и Правил ОТ в строительстве."/>
    <n v="2"/>
    <s v="Значительное"/>
    <x v="0"/>
    <x v="2"/>
    <s v="svod.pto@gmail.com"/>
    <x v="7"/>
    <d v="2019-07-11T00:00:00"/>
    <d v="2019-07-12T00:00:00"/>
    <m/>
    <m/>
    <m/>
    <m/>
    <m/>
    <m/>
    <m/>
    <m/>
    <x v="292"/>
    <d v="2019-09-03T11:56:02"/>
    <d v="2019-07-15T14:34:25"/>
    <m/>
    <d v="2019-09-03T11:55:06"/>
  </r>
  <r>
    <n v="225"/>
    <s v="ООО &quot;СВОД&quot; Нарушение требований ОТ в строительстве и ТК РФ."/>
    <n v="2"/>
    <s v="Значительное"/>
    <x v="0"/>
    <x v="2"/>
    <s v="svod.pto@gmail.com"/>
    <x v="7"/>
    <d v="2019-07-10T00:00:00"/>
    <d v="2019-07-12T00:00:00"/>
    <m/>
    <m/>
    <m/>
    <m/>
    <m/>
    <m/>
    <m/>
    <m/>
    <x v="293"/>
    <d v="2019-09-03T11:56:02"/>
    <d v="2019-07-15T14:33:59"/>
    <m/>
    <d v="2019-09-03T11:55:06"/>
  </r>
  <r>
    <n v="464"/>
    <s v="ООО &quot;СВОД&quot; Нарушение ППР при сборке лесов."/>
    <n v="1"/>
    <s v="КРИТИЧЕСКОЕ"/>
    <x v="0"/>
    <x v="2"/>
    <s v="svod.pto@gmail.com"/>
    <x v="7"/>
    <m/>
    <m/>
    <m/>
    <m/>
    <m/>
    <m/>
    <m/>
    <m/>
    <m/>
    <m/>
    <x v="294"/>
    <d v="2019-09-11T23:40:12"/>
    <d v="2019-09-13T09:47:28"/>
    <m/>
    <d v="2019-09-13T09:47:30"/>
  </r>
  <r>
    <n v="354"/>
    <s v="ООО &quot;СВОД&quot; Нарушение правил ОТ при производстве работ."/>
    <n v="1"/>
    <s v="КРИТИЧЕСКОЕ"/>
    <x v="0"/>
    <x v="2"/>
    <s v="svod.pto@gmail.com"/>
    <x v="7"/>
    <d v="2019-08-13T00:00:00"/>
    <d v="2019-08-13T00:00:00"/>
    <m/>
    <m/>
    <m/>
    <m/>
    <m/>
    <m/>
    <m/>
    <m/>
    <x v="295"/>
    <d v="2019-09-03T11:56:02"/>
    <d v="2019-08-19T09:13:13"/>
    <m/>
    <d v="2019-09-03T11:55:06"/>
  </r>
  <r>
    <n v="145"/>
    <s v="Леса"/>
    <n v="3"/>
    <s v="Малозначительное"/>
    <x v="0"/>
    <x v="2"/>
    <s v="svod.pto@gmail.com"/>
    <x v="7"/>
    <d v="2019-06-18T00:00:00"/>
    <d v="2019-07-01T00:00:00"/>
    <m/>
    <m/>
    <m/>
    <m/>
    <m/>
    <m/>
    <m/>
    <m/>
    <x v="296"/>
    <d v="2019-09-03T11:56:02"/>
    <d v="2019-06-26T17:34:40"/>
    <m/>
    <d v="2019-09-03T11:55:06"/>
  </r>
  <r>
    <n v="163"/>
    <s v="ООО &quot;СВОД&quot; Нарушение СНиП 12-03-2001  Безопасность труда в строительстве. Приказ №155 Привила ОТ при  работе на Высоте."/>
    <n v="3"/>
    <s v="Малозначительное"/>
    <x v="0"/>
    <x v="2"/>
    <s v="svod.pto@gmail.com"/>
    <x v="7"/>
    <d v="2019-06-24T00:00:00"/>
    <d v="2019-06-27T00:00:00"/>
    <m/>
    <m/>
    <m/>
    <m/>
    <m/>
    <m/>
    <m/>
    <m/>
    <x v="297"/>
    <d v="2019-09-03T11:56:02"/>
    <d v="2019-06-28T15:09:21"/>
    <m/>
    <d v="2019-09-03T11:55:06"/>
  </r>
  <r>
    <n v="611"/>
    <s v="ООО &quot;СВОД&quot; Нарушение правил по ОТ при работе на высоте."/>
    <n v="1"/>
    <s v="КРИТИЧЕСКОЕ"/>
    <x v="0"/>
    <x v="2"/>
    <s v="svod.pto@gmail.com"/>
    <x v="7"/>
    <m/>
    <m/>
    <m/>
    <m/>
    <m/>
    <m/>
    <m/>
    <m/>
    <m/>
    <m/>
    <x v="298"/>
    <d v="2019-10-18T13:36:58"/>
    <d v="2019-10-18T13:36:58"/>
    <m/>
    <d v="2019-10-18T13:36:58"/>
  </r>
  <r>
    <n v="610"/>
    <s v="ООО &quot;СВОД&quot; Нарушение требований пожарной безопасности"/>
    <n v="3"/>
    <s v="Малозначительное"/>
    <x v="0"/>
    <x v="2"/>
    <s v="svod.pto@gmail.com"/>
    <x v="7"/>
    <m/>
    <m/>
    <m/>
    <m/>
    <m/>
    <m/>
    <m/>
    <m/>
    <m/>
    <m/>
    <x v="299"/>
    <d v="2019-11-26T15:28:49"/>
    <d v="2019-12-02T14:13:38"/>
    <m/>
    <d v="2019-12-02T14:13:38"/>
  </r>
  <r>
    <n v="224"/>
    <s v="ООО &quot;СВОД&quot;  Нарушение правил ОТ при работе на  высоте."/>
    <n v="1"/>
    <s v="КРИТИЧЕСКОЕ"/>
    <x v="0"/>
    <x v="2"/>
    <s v="svod.pto@gmail.com"/>
    <x v="7"/>
    <m/>
    <m/>
    <m/>
    <m/>
    <m/>
    <m/>
    <m/>
    <m/>
    <m/>
    <m/>
    <x v="300"/>
    <d v="2019-07-22T16:11:46"/>
    <d v="2019-07-22T16:11:46"/>
    <m/>
    <d v="2019-07-22T16:11:46"/>
  </r>
  <r>
    <n v="290"/>
    <s v="ООО &quot;СВОД&quot; Нарушение утвержденного ППР на монтаж лесов."/>
    <n v="2"/>
    <s v="Значительное"/>
    <x v="0"/>
    <x v="2"/>
    <s v="svod.pto@gmail.com"/>
    <x v="7"/>
    <m/>
    <m/>
    <m/>
    <m/>
    <m/>
    <m/>
    <m/>
    <m/>
    <m/>
    <m/>
    <x v="301"/>
    <d v="2019-08-08T12:10:02"/>
    <d v="2019-08-08T12:10:02"/>
    <m/>
    <d v="2019-08-08T12:10:02"/>
  </r>
  <r>
    <n v="627"/>
    <s v="ООО &quot;СВОД&quot; Нарушение требований правил по ОТ при работе на высоте"/>
    <n v="1"/>
    <s v="КРИТИЧЕСКОЕ"/>
    <x v="0"/>
    <x v="2"/>
    <s v="svod.pto@gmail.com"/>
    <x v="7"/>
    <d v="2019-10-16T00:00:00"/>
    <d v="2019-10-16T00:00:00"/>
    <m/>
    <m/>
    <m/>
    <m/>
    <m/>
    <m/>
    <m/>
    <m/>
    <x v="302"/>
    <d v="2019-10-17T15:12:56"/>
    <d v="2019-10-17T15:12:56"/>
    <m/>
    <d v="2019-10-17T15:12:56"/>
  </r>
  <r>
    <n v="716"/>
    <s v="ООО &quot;СВОД&quot; Нарушение требований ОТ при складировании материалов."/>
    <n v="1"/>
    <s v="КРИТИЧЕСКОЕ"/>
    <x v="0"/>
    <x v="2"/>
    <s v="svod.pto@gmail.com"/>
    <x v="7"/>
    <d v="2019-11-22T00:00:00"/>
    <d v="2019-11-25T00:00:00"/>
    <m/>
    <m/>
    <m/>
    <m/>
    <m/>
    <m/>
    <m/>
    <m/>
    <x v="303"/>
    <d v="2019-12-09T09:26:46"/>
    <d v="2019-12-10T09:03:33"/>
    <m/>
    <d v="2019-12-10T09:03:33"/>
  </r>
  <r>
    <n v="465"/>
    <s v="ООО &quot;СВОД&quot; Нарушение требований ОТ при организации работ на высоте."/>
    <n v="3"/>
    <s v="Малозначительное"/>
    <x v="0"/>
    <x v="2"/>
    <s v="svod.pto@gmail.com"/>
    <x v="7"/>
    <d v="2019-09-11T00:00:00"/>
    <d v="2019-09-12T00:00:00"/>
    <m/>
    <m/>
    <m/>
    <m/>
    <m/>
    <m/>
    <m/>
    <m/>
    <x v="304"/>
    <d v="2019-09-17T08:56:54"/>
    <d v="2019-09-17T09:33:42"/>
    <m/>
    <d v="2019-09-17T09:33:43"/>
  </r>
  <r>
    <n v="353"/>
    <s v="ООО &quot;СВОД&quot; Нарушение требований ОТ при организации работ на высоте."/>
    <n v="1"/>
    <s v="КРИТИЧЕСКОЕ"/>
    <x v="0"/>
    <x v="2"/>
    <s v="svod.pto@gmail.com"/>
    <x v="7"/>
    <d v="2019-08-13T00:00:00"/>
    <d v="2019-08-13T00:00:00"/>
    <m/>
    <m/>
    <m/>
    <m/>
    <m/>
    <m/>
    <m/>
    <m/>
    <x v="305"/>
    <d v="2019-09-03T11:56:02"/>
    <d v="2019-08-19T09:12:55"/>
    <m/>
    <d v="2019-09-03T11:55:06"/>
  </r>
  <r>
    <n v="331"/>
    <s v="ООО &quot;СВОД&quot; Нарушение требований ПОС по размещению бытовых и вспомогательных построек-помещений."/>
    <n v="2"/>
    <s v="Значительное"/>
    <x v="0"/>
    <x v="2"/>
    <s v="svod.pto@gmail.com"/>
    <x v="7"/>
    <m/>
    <m/>
    <m/>
    <m/>
    <m/>
    <m/>
    <m/>
    <m/>
    <m/>
    <m/>
    <x v="306"/>
    <d v="2019-08-02T13:58:49"/>
    <d v="2019-08-02T13:58:49"/>
    <m/>
    <d v="2019-08-02T13:58:49"/>
  </r>
  <r>
    <n v="330"/>
    <s v="ООО &quot;СВОД&quot; Несоблюдение ППР."/>
    <n v="1"/>
    <s v="КРИТИЧЕСКОЕ"/>
    <x v="0"/>
    <x v="2"/>
    <s v="svod.pto@gmail.com"/>
    <x v="7"/>
    <m/>
    <m/>
    <m/>
    <m/>
    <m/>
    <m/>
    <m/>
    <m/>
    <m/>
    <m/>
    <x v="307"/>
    <d v="2019-08-02T13:58:18"/>
    <d v="2019-08-02T13:58:18"/>
    <m/>
    <d v="2019-08-02T13:58:18"/>
  </r>
  <r>
    <n v="634"/>
    <s v="ООО &quot;СВОД&quot; Нарушение требований ОТ при выполнении и организации работ."/>
    <n v="2"/>
    <s v="Значительное"/>
    <x v="0"/>
    <x v="2"/>
    <s v="svod.pto@gmail.com"/>
    <x v="7"/>
    <m/>
    <m/>
    <m/>
    <m/>
    <m/>
    <m/>
    <m/>
    <m/>
    <m/>
    <m/>
    <x v="308"/>
    <d v="2019-11-05T09:50:05"/>
    <d v="2019-11-06T09:29:11"/>
    <m/>
    <d v="2019-11-06T09:29:12"/>
  </r>
  <r>
    <n v="328"/>
    <s v="ООО &quot;СВОД&quot; Нарушение правил ОТ при работе на высоте."/>
    <n v="1"/>
    <s v="КРИТИЧЕСКОЕ"/>
    <x v="0"/>
    <x v="2"/>
    <s v="svod.pto@gmail.com"/>
    <x v="7"/>
    <d v="2019-07-31T00:00:00"/>
    <d v="2019-07-31T00:00:00"/>
    <m/>
    <m/>
    <m/>
    <m/>
    <m/>
    <m/>
    <m/>
    <m/>
    <x v="309"/>
    <d v="2019-09-03T11:56:02"/>
    <d v="2019-08-02T13:57:27"/>
    <m/>
    <d v="2019-09-03T11:55:06"/>
  </r>
  <r>
    <n v="397"/>
    <s v="ООО &quot;СВОД&quot; Нарушение требований к материалам, применяемым в строительстве."/>
    <n v="3"/>
    <s v="Малозначительное"/>
    <x v="0"/>
    <x v="2"/>
    <s v="svod.pto@gmail.com"/>
    <x v="7"/>
    <d v="2019-08-27T00:00:00"/>
    <d v="2019-08-27T00:00:00"/>
    <m/>
    <m/>
    <m/>
    <m/>
    <m/>
    <m/>
    <m/>
    <m/>
    <x v="310"/>
    <d v="2019-09-03T11:56:02"/>
    <d v="2019-09-02T16:33:13"/>
    <m/>
    <d v="2019-09-03T11:55:06"/>
  </r>
  <r>
    <n v="399"/>
    <s v="ООО &quot;СВОД&quot; Нарушение требований безопасности при организации работ на высоте."/>
    <n v="1"/>
    <s v="КРИТИЧЕСКОЕ"/>
    <x v="0"/>
    <x v="2"/>
    <s v="svod.pto@gmail.com"/>
    <x v="7"/>
    <d v="2019-08-27T00:00:00"/>
    <d v="2019-09-03T00:00:00"/>
    <m/>
    <m/>
    <m/>
    <m/>
    <m/>
    <m/>
    <m/>
    <m/>
    <x v="311"/>
    <d v="2019-09-03T11:56:02"/>
    <d v="2019-09-02T16:21:50"/>
    <m/>
    <d v="2019-09-03T11:55:06"/>
  </r>
  <r>
    <n v="404"/>
    <s v="ООО &quot;СВОД&quot; Нарушение правил по охране труда при работе на высоте."/>
    <n v="1"/>
    <s v="КРИТИЧЕСКОЕ"/>
    <x v="0"/>
    <x v="2"/>
    <s v="svod.pto@gmail.com"/>
    <x v="7"/>
    <d v="2019-08-29T00:00:00"/>
    <d v="2019-08-29T00:00:00"/>
    <m/>
    <m/>
    <m/>
    <m/>
    <m/>
    <m/>
    <m/>
    <m/>
    <x v="312"/>
    <d v="2019-09-03T11:56:02"/>
    <d v="2019-09-02T16:21:16"/>
    <m/>
    <d v="2019-09-03T11:55:06"/>
  </r>
  <r>
    <n v="516"/>
    <s v="ООО &quot;СВОД&quot; Нарушение требований ПТЭЭП"/>
    <n v="1"/>
    <s v="КРИТИЧЕСКОЕ"/>
    <x v="0"/>
    <x v="2"/>
    <s v="svod.pto@gmail.com"/>
    <x v="7"/>
    <d v="2019-09-23T00:00:00"/>
    <d v="2019-10-02T00:00:00"/>
    <m/>
    <m/>
    <m/>
    <m/>
    <m/>
    <m/>
    <m/>
    <m/>
    <x v="313"/>
    <d v="2019-09-24T11:27:43"/>
    <d v="2019-09-24T17:47:38"/>
    <m/>
    <d v="2019-09-24T17:47:38"/>
  </r>
  <r>
    <n v="517"/>
    <s v="ООО &quot;СВОД&quot; Нарушение к требованиям при сборке лесов. ППР и ТК."/>
    <n v="1"/>
    <s v="КРИТИЧЕСКОЕ"/>
    <x v="0"/>
    <x v="2"/>
    <s v="svod.pto@gmail.com"/>
    <x v="7"/>
    <d v="2019-09-23T00:00:00"/>
    <d v="2019-09-30T00:00:00"/>
    <m/>
    <m/>
    <m/>
    <m/>
    <m/>
    <m/>
    <m/>
    <m/>
    <x v="314"/>
    <d v="2019-10-09T12:37:03"/>
    <d v="2019-10-09T12:37:03"/>
    <m/>
    <d v="2019-10-09T12:37:03"/>
  </r>
  <r>
    <n v="518"/>
    <s v="ООО &quot;СВОД&quot; Нарушение правил ОТ при организации работ"/>
    <n v="1"/>
    <s v="КРИТИЧЕСКОЕ"/>
    <x v="0"/>
    <x v="2"/>
    <s v="svod.pto@gmail.com"/>
    <x v="7"/>
    <d v="2019-09-23T00:00:00"/>
    <d v="2019-09-24T00:00:00"/>
    <m/>
    <m/>
    <m/>
    <m/>
    <m/>
    <m/>
    <m/>
    <m/>
    <x v="315"/>
    <d v="2019-09-24T17:47:54"/>
    <d v="2019-09-24T17:47:54"/>
    <m/>
    <d v="2019-09-24T17:47:54"/>
  </r>
  <r>
    <n v="519"/>
    <s v="ООО &quot;СВОД&quot; Нарушение правил прохождения стажировки  на РМ и допуска к самостоятельной работе."/>
    <n v="1"/>
    <s v="КРИТИЧЕСКОЕ"/>
    <x v="0"/>
    <x v="2"/>
    <s v="svod.pto@gmail.com"/>
    <x v="7"/>
    <d v="2019-09-23T00:00:00"/>
    <d v="2019-10-04T00:00:00"/>
    <m/>
    <m/>
    <m/>
    <m/>
    <m/>
    <m/>
    <m/>
    <m/>
    <x v="316"/>
    <d v="2019-09-24T11:29:10"/>
    <d v="2019-09-24T14:36:39"/>
    <m/>
    <d v="2019-09-24T14:36:39"/>
  </r>
  <r>
    <n v="423"/>
    <s v="ООО &quot;СВОД&quot; Нарушение ПТЭЭП"/>
    <n v="2"/>
    <s v="Значительное"/>
    <x v="0"/>
    <x v="2"/>
    <s v="svod.pto@gmail.com"/>
    <x v="7"/>
    <m/>
    <m/>
    <m/>
    <m/>
    <m/>
    <m/>
    <m/>
    <m/>
    <m/>
    <m/>
    <x v="317"/>
    <d v="2019-09-20T11:03:47"/>
    <d v="2019-09-20T16:14:47"/>
    <m/>
    <d v="2019-09-20T16:14:47"/>
  </r>
  <r>
    <n v="422"/>
    <s v="ООО &quot;СВОД&quot; Нарушение ППР и правил пожарной безопасности"/>
    <n v="1"/>
    <s v="КРИТИЧЕСКОЕ"/>
    <x v="0"/>
    <x v="2"/>
    <s v="svod.pto@gmail.com"/>
    <x v="7"/>
    <m/>
    <m/>
    <m/>
    <m/>
    <m/>
    <m/>
    <m/>
    <m/>
    <m/>
    <m/>
    <x v="318"/>
    <d v="2019-09-11T23:40:12"/>
    <d v="2019-09-17T14:36:36"/>
    <m/>
    <d v="2019-09-17T14:36:36"/>
  </r>
  <r>
    <n v="640"/>
    <s v="ООО &quot;СВОД&quot; Нарушение правил ПТЭЭП."/>
    <n v="1"/>
    <s v="КРИТИЧЕСКОЕ"/>
    <x v="0"/>
    <x v="2"/>
    <s v="svod.pto@gmail.com"/>
    <x v="7"/>
    <d v="2019-10-22T00:00:00"/>
    <d v="2019-10-22T00:00:00"/>
    <m/>
    <m/>
    <m/>
    <m/>
    <m/>
    <m/>
    <m/>
    <m/>
    <x v="319"/>
    <d v="2019-11-05T09:48:49"/>
    <d v="2019-11-06T09:29:38"/>
    <m/>
    <d v="2019-11-06T09:29:39"/>
  </r>
  <r>
    <n v="436"/>
    <s v="ООО &quot;СВОД&quot; Нарушение правил по ОТ при работе на высоте"/>
    <n v="1"/>
    <s v="КРИТИЧЕСКОЕ"/>
    <x v="0"/>
    <x v="2"/>
    <s v="svod.pto@gmail.com"/>
    <x v="7"/>
    <d v="2019-09-06T00:00:00"/>
    <d v="2019-09-06T00:00:00"/>
    <m/>
    <m/>
    <m/>
    <m/>
    <m/>
    <m/>
    <m/>
    <m/>
    <x v="320"/>
    <d v="2019-09-20T11:04:10"/>
    <d v="2019-09-20T16:14:34"/>
    <m/>
    <d v="2019-09-20T16:14:34"/>
  </r>
  <r>
    <n v="431"/>
    <s v="ООО &quot;СВОД&quot; Нарушение требований ПТЭЭП"/>
    <n v="1"/>
    <s v="КРИТИЧЕСКОЕ"/>
    <x v="0"/>
    <x v="2"/>
    <s v="svod.pto@gmail.com"/>
    <x v="7"/>
    <d v="2019-09-05T00:00:00"/>
    <d v="2019-09-06T00:00:00"/>
    <m/>
    <m/>
    <m/>
    <m/>
    <m/>
    <m/>
    <m/>
    <m/>
    <x v="321"/>
    <d v="2019-09-11T23:40:06"/>
    <d v="2019-09-17T14:36:56"/>
    <m/>
    <d v="2019-09-17T14:36:56"/>
  </r>
  <r>
    <n v="435"/>
    <s v="ООО &quot;СВОД&quot; Нарушение требований предъявляемых к элементам лесов и подмостей."/>
    <n v="2"/>
    <s v="Значительное"/>
    <x v="0"/>
    <x v="2"/>
    <s v="svod.pto@gmail.com"/>
    <x v="7"/>
    <m/>
    <m/>
    <m/>
    <m/>
    <m/>
    <m/>
    <m/>
    <m/>
    <m/>
    <m/>
    <x v="322"/>
    <d v="2019-09-11T23:42:11"/>
    <d v="2019-09-17T14:37:04"/>
    <m/>
    <d v="2019-09-17T14:37:04"/>
  </r>
  <r>
    <n v="643"/>
    <s v="ООО &quot;СВОД&quot; Нарушение правил инструкции по ОТ при работе с ударным инструментом"/>
    <n v="1"/>
    <s v="КРИТИЧЕСКОЕ"/>
    <x v="0"/>
    <x v="2"/>
    <s v="svod.pto@gmail.com"/>
    <x v="7"/>
    <m/>
    <m/>
    <m/>
    <m/>
    <m/>
    <m/>
    <m/>
    <m/>
    <m/>
    <m/>
    <x v="323"/>
    <d v="2019-11-05T09:33:08"/>
    <d v="2019-11-06T09:29:21"/>
    <m/>
    <d v="2019-11-06T09:29:22"/>
  </r>
  <r>
    <n v="437"/>
    <s v="ООО &quot;СВОД&quot; Нарушение правил по ОТ при работе на высоте."/>
    <n v="2"/>
    <s v="Значительное"/>
    <x v="0"/>
    <x v="2"/>
    <s v="svod.pto@gmail.com"/>
    <x v="7"/>
    <m/>
    <m/>
    <m/>
    <m/>
    <m/>
    <m/>
    <m/>
    <m/>
    <m/>
    <m/>
    <x v="324"/>
    <d v="2019-09-11T23:42:50"/>
    <d v="2019-09-13T09:47:17"/>
    <m/>
    <d v="2019-09-13T09:47:19"/>
  </r>
  <r>
    <n v="590"/>
    <s v="ООО &quot;СВОД Предоставление документации на проверку"/>
    <n v="2"/>
    <s v="Значительное"/>
    <x v="0"/>
    <x v="2"/>
    <s v="svod.pto@gmail.com"/>
    <x v="7"/>
    <d v="2019-10-10T00:00:00"/>
    <d v="2019-10-11T00:00:00"/>
    <m/>
    <m/>
    <m/>
    <m/>
    <m/>
    <m/>
    <m/>
    <m/>
    <x v="325"/>
    <d v="2019-10-18T13:36:26"/>
    <d v="2019-10-18T13:36:26"/>
    <m/>
    <d v="2019-10-18T13:36:26"/>
  </r>
  <r>
    <n v="739"/>
    <s v="ООО &quot;СВОД&quot; Нарушение конструкции лесов."/>
    <n v="1"/>
    <s v="КРИТИЧЕСКОЕ"/>
    <x v="0"/>
    <x v="2"/>
    <s v="svod.pto@gmail.com"/>
    <x v="7"/>
    <d v="2019-12-02T00:00:00"/>
    <d v="2019-12-06T00:00:00"/>
    <m/>
    <m/>
    <m/>
    <m/>
    <m/>
    <m/>
    <m/>
    <m/>
    <x v="326"/>
    <d v="2019-12-09T09:27:17"/>
    <d v="2019-12-17T17:01:56"/>
    <m/>
    <d v="2019-12-17T17:01:56"/>
  </r>
  <r>
    <n v="606"/>
    <s v="ООО &quot;СВОД&quot; Нарушение требований предъявляемым к строительным лесам."/>
    <n v="1"/>
    <s v="КРИТИЧЕСКОЕ"/>
    <x v="0"/>
    <x v="2"/>
    <s v="svod.pto@gmail.com"/>
    <x v="7"/>
    <m/>
    <m/>
    <m/>
    <m/>
    <m/>
    <m/>
    <m/>
    <m/>
    <m/>
    <m/>
    <x v="327"/>
    <d v="2019-10-31T10:06:35"/>
    <d v="2019-10-31T10:06:35"/>
    <m/>
    <d v="2019-10-31T10:06:35"/>
  </r>
  <r>
    <n v="681"/>
    <s v="ООО &quot;СВОД&quot; Нарушение требований ПТЭЭП"/>
    <n v="1"/>
    <s v="КРИТИЧЕСКОЕ"/>
    <x v="0"/>
    <x v="2"/>
    <s v="svod.pto@gmail.com"/>
    <x v="7"/>
    <m/>
    <m/>
    <m/>
    <m/>
    <m/>
    <m/>
    <m/>
    <m/>
    <m/>
    <m/>
    <x v="328"/>
    <d v="2019-11-12T15:39:11"/>
    <d v="2019-11-15T15:41:27"/>
    <m/>
    <d v="2019-11-15T15:41:27"/>
  </r>
  <r>
    <n v="680"/>
    <s v="ООО &quot;СВОД&quot; Нарушение правил работы с электроинструментами."/>
    <n v="1"/>
    <s v="КРИТИЧЕСКОЕ"/>
    <x v="0"/>
    <x v="2"/>
    <s v="svod.pto@gmail.com"/>
    <x v="7"/>
    <d v="2019-11-08T00:00:00"/>
    <d v="2019-11-08T00:00:00"/>
    <m/>
    <m/>
    <m/>
    <m/>
    <m/>
    <m/>
    <m/>
    <m/>
    <x v="329"/>
    <d v="2019-11-12T15:18:36"/>
    <d v="2019-11-15T15:41:15"/>
    <m/>
    <d v="2019-11-15T15:41:15"/>
  </r>
  <r>
    <n v="763"/>
    <s v="ООО &quot;СВОД&quot; Нарушение требований к складированию материалов и оборудования."/>
    <n v="2"/>
    <s v="Значительное"/>
    <x v="0"/>
    <x v="2"/>
    <s v="svod.pto@gmail.com"/>
    <x v="7"/>
    <d v="2019-12-10T00:00:00"/>
    <d v="2019-12-16T00:00:00"/>
    <m/>
    <m/>
    <m/>
    <m/>
    <m/>
    <m/>
    <m/>
    <m/>
    <x v="330"/>
    <d v="2019-12-17T11:30:39"/>
    <d v="2019-12-17T17:01:48"/>
    <m/>
    <d v="2019-12-17T17:01:48"/>
  </r>
  <r>
    <n v="326"/>
    <s v="ООО &quot;ТМГ-Груп&quot; Нарушение правил ОТ в строительстве."/>
    <n v="3"/>
    <s v="Малозначительное"/>
    <x v="3"/>
    <x v="2"/>
    <s v="nkasalica@yandex.ru"/>
    <x v="9"/>
    <m/>
    <m/>
    <m/>
    <m/>
    <m/>
    <m/>
    <m/>
    <m/>
    <m/>
    <m/>
    <x v="331"/>
    <m/>
    <m/>
    <m/>
    <d v="2019-08-08T12:10:14"/>
  </r>
  <r>
    <n v="238"/>
    <s v="ООО &quot;ТМГ-Груп&quot; Нарушение правил ОТ на высоте (леса)"/>
    <n v="1"/>
    <s v="КРИТИЧЕСКОЕ"/>
    <x v="0"/>
    <x v="2"/>
    <s v="nkasalica@yandex.ru"/>
    <x v="9"/>
    <m/>
    <m/>
    <m/>
    <m/>
    <m/>
    <m/>
    <m/>
    <m/>
    <m/>
    <m/>
    <x v="332"/>
    <d v="2019-07-12T17:11:35"/>
    <d v="2019-07-12T17:11:35"/>
    <m/>
    <d v="2019-07-12T17:11:36"/>
  </r>
  <r>
    <n v="232"/>
    <s v="ООО &quot;ТМГ-Груп&quot; Нарушение требований ОТ при работе на Высоте."/>
    <n v="2"/>
    <s v="Значительное"/>
    <x v="0"/>
    <x v="2"/>
    <s v="nkasalica@yandex.ru"/>
    <x v="9"/>
    <m/>
    <m/>
    <m/>
    <m/>
    <m/>
    <m/>
    <m/>
    <m/>
    <m/>
    <m/>
    <x v="333"/>
    <d v="2019-07-22T16:13:26"/>
    <d v="2019-07-22T16:13:26"/>
    <m/>
    <d v="2019-07-22T16:13:26"/>
  </r>
  <r>
    <n v="186"/>
    <s v="ООО &quot;ТМГ&quot; Нарушение правил ПТЭЭП."/>
    <n v="3"/>
    <s v="Малозначительное"/>
    <x v="0"/>
    <x v="2"/>
    <s v="nkasalica@yandex.ru"/>
    <x v="9"/>
    <m/>
    <m/>
    <m/>
    <m/>
    <m/>
    <m/>
    <m/>
    <m/>
    <m/>
    <m/>
    <x v="334"/>
    <d v="2019-07-08T17:30:54"/>
    <d v="2019-07-08T17:30:54"/>
    <m/>
    <d v="2019-07-08T17:30:54"/>
  </r>
  <r>
    <n v="188"/>
    <s v="ООО &quot;ТМГ&quot; Нарушение правил ППБ 01-03"/>
    <n v="3"/>
    <s v="Малозначительное"/>
    <x v="0"/>
    <x v="2"/>
    <s v="nkasalica@yandex.ru"/>
    <x v="9"/>
    <d v="2019-07-01T00:00:00"/>
    <d v="2019-07-05T00:00:00"/>
    <m/>
    <m/>
    <m/>
    <m/>
    <m/>
    <m/>
    <m/>
    <m/>
    <x v="335"/>
    <d v="2019-07-04T11:17:48"/>
    <d v="2019-07-04T11:17:48"/>
    <m/>
    <d v="2019-07-04T11:17:51"/>
  </r>
  <r>
    <n v="324"/>
    <s v="ООО &quot;ТМГ-Груп&quot; Нарушение требований правил ОТ при работе на высоте."/>
    <n v="1"/>
    <s v="КРИТИЧЕСКОЕ"/>
    <x v="0"/>
    <x v="2"/>
    <s v="nkasalica@yandex.ru"/>
    <x v="9"/>
    <d v="2019-07-29T00:00:00"/>
    <d v="2019-08-05T00:00:00"/>
    <m/>
    <m/>
    <m/>
    <m/>
    <m/>
    <m/>
    <m/>
    <m/>
    <x v="336"/>
    <d v="2019-08-02T13:57:45"/>
    <d v="2019-08-02T13:57:45"/>
    <m/>
    <d v="2019-08-02T13:57:45"/>
  </r>
  <r>
    <n v="736"/>
    <s v="Очистить цокольный камень от цементного раствора"/>
    <n v="3"/>
    <s v="Малозначительное"/>
    <x v="3"/>
    <x v="3"/>
    <s v="msumatokhin@geoizol.ru"/>
    <x v="0"/>
    <d v="2019-11-29T00:00:00"/>
    <d v="2019-11-30T00:00:00"/>
    <s v="11-16/Л-УЗакрепление грунтов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337"/>
    <m/>
    <m/>
    <m/>
    <d v="2019-11-29T12:05:37"/>
  </r>
  <r>
    <n v="260"/>
    <s v="Арматурный Каркас СВГ Зах.33"/>
    <n v="2"/>
    <s v="Значительное"/>
    <x v="0"/>
    <x v="3"/>
    <s v="msumatokhin@geoizol.ru"/>
    <x v="0"/>
    <d v="2019-07-16T00:00:00"/>
    <d v="2019-07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38"/>
    <d v="2019-07-17T09:21:27"/>
    <d v="2019-07-19T14:46:09"/>
    <m/>
    <d v="2019-07-19T14:46:10"/>
  </r>
  <r>
    <n v="780"/>
    <s v="ТМГ_ Фасадные Работы _ Штукатурка Фасадов В/О 1-4/А"/>
    <n v="3"/>
    <s v="Малозначительное"/>
    <x v="0"/>
    <x v="3"/>
    <s v="tmg-sergey@mail.ru"/>
    <x v="5"/>
    <d v="2019-12-16T00:00:00"/>
    <d v="2019-12-16T00:00:00"/>
    <s v="НФ_Марсово поле"/>
    <n v="0"/>
    <n v="0"/>
    <s v="Фасад Марсово Поле В/О 1-4/А"/>
    <m/>
    <m/>
    <s v="_Планы ПД"/>
    <s v="Ссылка на план"/>
    <x v="339"/>
    <d v="2019-12-23T15:49:57"/>
    <d v="2019-12-23T15:49:57"/>
    <m/>
    <d v="2019-12-23T15:49:57"/>
  </r>
  <r>
    <n v="222"/>
    <s v="Операционный Контроль Бетонирования Стен Форшахты В/О Л-И/19/2"/>
    <n v="2"/>
    <s v="Значительное"/>
    <x v="0"/>
    <x v="3"/>
    <s v="denisov@spgr.ru"/>
    <x v="2"/>
    <d v="2019-07-09T00:00:00"/>
    <d v="2019-07-09T00:00:00"/>
    <s v="Форшахта"/>
    <n v="12.99"/>
    <n v="37.68"/>
    <s v="СВГ_Устройство форшахты"/>
    <m/>
    <m/>
    <s v="_Планы ПД"/>
    <s v="Ссылка на план"/>
    <x v="340"/>
    <d v="2019-07-09T17:08:10"/>
    <d v="2019-07-09T17:08:10"/>
    <m/>
    <d v="2019-07-09T17:08:31"/>
  </r>
  <r>
    <n v="65"/>
    <s v="Операционный Контроль Бетонирования Стен Ж/Б Канала В Местах Прохода Гильз В/О 1-2/Д-И1"/>
    <n v="2"/>
    <s v="Значительное"/>
    <x v="0"/>
    <x v="3"/>
    <s v="denisov@spgr.ru"/>
    <x v="2"/>
    <d v="2019-05-04T00:00:00"/>
    <d v="2019-05-04T00:00:00"/>
    <s v="00_-1 этаж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341"/>
    <d v="2019-05-04T13:24:24"/>
    <d v="2019-05-04T13:24:24"/>
    <m/>
    <d v="2019-05-04T13:24:24"/>
  </r>
  <r>
    <n v="67"/>
    <s v="Операционный контроль усиления грунтов фундаментов в/о 21-22/Б"/>
    <n v="2"/>
    <s v="Значительное"/>
    <x v="0"/>
    <x v="3"/>
    <s v="denisov@spgr.ru"/>
    <x v="2"/>
    <d v="2019-05-04T00:00:00"/>
    <d v="2019-05-04T00:00:00"/>
    <s v="01_1-ый этаж"/>
    <n v="0"/>
    <n v="0"/>
    <s v="УФ_ Закрепление грунтов основания под подошвой фундаментов"/>
    <m/>
    <m/>
    <s v="_Планы ПД"/>
    <s v="Ссылка на план"/>
    <x v="342"/>
    <d v="2019-05-04T13:26:33"/>
    <d v="2019-05-04T13:26:33"/>
    <m/>
    <d v="2019-05-04T13:26:56"/>
  </r>
  <r>
    <n v="597"/>
    <s v="Бетонирование БО"/>
    <n v="2"/>
    <s v="Значительное"/>
    <x v="0"/>
    <x v="3"/>
    <s v="denisov@spgr.ru"/>
    <x v="2"/>
    <d v="2019-10-11T00:00:00"/>
    <d v="2019-10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43"/>
    <d v="2019-10-12T22:15:54"/>
    <d v="2019-10-12T22:15:54"/>
    <m/>
    <d v="2019-10-12T22:16:22"/>
  </r>
  <r>
    <n v="600"/>
    <s v="Бетонирование СВГ захв. 57"/>
    <n v="2"/>
    <s v="Значительное"/>
    <x v="0"/>
    <x v="3"/>
    <s v="denisov@spgr.ru"/>
    <x v="2"/>
    <d v="2019-10-11T00:00:00"/>
    <d v="2019-10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44"/>
    <d v="2019-10-12T22:37:44"/>
    <d v="2019-10-12T22:37:44"/>
    <m/>
    <d v="2019-10-12T22:38:46"/>
  </r>
  <r>
    <n v="603"/>
    <s v="Бетонирование СВГ захв 58"/>
    <n v="2"/>
    <s v="Значительное"/>
    <x v="0"/>
    <x v="3"/>
    <s v="denisov@spgr.ru"/>
    <x v="2"/>
    <d v="2019-10-12T00:00:00"/>
    <d v="2019-10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45"/>
    <d v="2019-10-12T22:45:18"/>
    <d v="2019-10-12T22:45:18"/>
    <m/>
    <d v="2019-10-12T22:45:51"/>
  </r>
  <r>
    <n v="772"/>
    <s v="Закрепление Грунтов Под Фундаментами 2-12/1/У"/>
    <n v="2"/>
    <s v="Значительное"/>
    <x v="0"/>
    <x v="3"/>
    <s v="denisov@spgr.ru"/>
    <x v="2"/>
    <d v="2019-12-12T00:00:00"/>
    <d v="2019-12-12T00:00:00"/>
    <s v="2-12_Д-У Закрепление грунтов"/>
    <n v="47.62"/>
    <n v="16.48"/>
    <s v="УФ_ Закрепление грунтов основания под подошвой фундаментов"/>
    <m/>
    <m/>
    <s v="Контроль монтажных работ"/>
    <s v="Ссылка на план"/>
    <x v="346"/>
    <d v="2019-12-12T18:38:32"/>
    <d v="2019-12-12T18:38:32"/>
    <m/>
    <d v="2019-12-17T14:22:34"/>
  </r>
  <r>
    <n v="787"/>
    <s v="Закрепление Грунтов Под Фундаментами 4/1-5/1/К/1-У/1"/>
    <n v="2"/>
    <s v="Значительное"/>
    <x v="0"/>
    <x v="3"/>
    <s v="denisov@spgr.ru"/>
    <x v="2"/>
    <d v="2019-12-17T00:00:00"/>
    <d v="2019-12-17T00:00:00"/>
    <s v="2-12_Д-У Закрепление грунтов"/>
    <n v="37.44"/>
    <n v="32.17"/>
    <s v="УФ_ Закрепление грунтов основания под подошвой фундаментов"/>
    <m/>
    <m/>
    <s v="Контроль монтажных работ"/>
    <s v="Ссылка на план"/>
    <x v="347"/>
    <d v="2019-12-12T18:38:32"/>
    <d v="2019-12-12T18:38:32"/>
    <m/>
    <d v="2019-12-17T14:24:21"/>
  </r>
  <r>
    <n v="11"/>
    <s v="Операционный Контроль Бетонирования Стен Лотка В/О 1-2/И/1-У"/>
    <n v="2"/>
    <s v="Значительное"/>
    <x v="0"/>
    <x v="3"/>
    <s v="denisov@spgr.ru"/>
    <x v="2"/>
    <d v="2019-03-27T00:00:00"/>
    <d v="2019-03-27T00:00:00"/>
    <s v="00_-1 этаж"/>
    <n v="4.5199999999999996"/>
    <n v="46.88"/>
    <s v="УФ_Устройство монолитного подземного канала(добавить закладные и гильзы)"/>
    <m/>
    <m/>
    <s v="_Планы ПД"/>
    <s v="Ссылка на план"/>
    <x v="348"/>
    <d v="2019-03-27T16:28:25"/>
    <d v="2019-03-27T16:28:25"/>
    <m/>
    <d v="2019-03-27T16:33:05"/>
  </r>
  <r>
    <n v="201"/>
    <s v="Бетонирование Основания Форшахты 19/2-21/Д"/>
    <n v="2"/>
    <s v="Значительное"/>
    <x v="0"/>
    <x v="3"/>
    <s v="denisov@spgr.ru"/>
    <x v="2"/>
    <d v="2019-07-05T00:00:00"/>
    <d v="2019-07-05T00:00:00"/>
    <s v="Форшахта"/>
    <n v="0"/>
    <n v="0"/>
    <s v="СВГ_Устройство форшахты"/>
    <m/>
    <m/>
    <s v="_Планы ПД"/>
    <s v="Ссылка на план"/>
    <x v="349"/>
    <d v="2019-07-05T14:51:43"/>
    <d v="2019-07-05T14:51:43"/>
    <m/>
    <d v="2019-07-05T14:52:12"/>
  </r>
  <r>
    <n v="133"/>
    <s v="Операционный Контроль Усиления Грунтов В/О 26-27/Д-Е"/>
    <n v="2"/>
    <s v="Значительное"/>
    <x v="0"/>
    <x v="3"/>
    <s v="denisov@spgr.ru"/>
    <x v="2"/>
    <d v="2019-06-12T00:00:00"/>
    <d v="2019-06-12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350"/>
    <d v="2019-06-12T09:59:41"/>
    <d v="2019-06-12T09:59:41"/>
    <m/>
    <d v="2019-06-12T10:00:26"/>
  </r>
  <r>
    <n v="14"/>
    <s v="Операционный контроль армирования стен приливов в подвале в/о 1-2/А-Г"/>
    <n v="2"/>
    <s v="Значительное"/>
    <x v="0"/>
    <x v="3"/>
    <s v="denisov@spgr.ru"/>
    <x v="2"/>
    <d v="2019-03-29T00:00:00"/>
    <d v="2019-03-29T00:00:00"/>
    <s v="00_-1 этаж"/>
    <n v="4.38"/>
    <n v="77.77"/>
    <s v="УФ_ЖБ плита и приливы"/>
    <m/>
    <m/>
    <s v="_Планы ПД"/>
    <s v="Ссылка на план"/>
    <x v="351"/>
    <d v="2019-03-29T10:10:01"/>
    <d v="2019-03-29T10:10:01"/>
    <m/>
    <d v="2019-03-29T10:13:06"/>
  </r>
  <r>
    <n v="22"/>
    <s v="Операционный Контроль Бетонирования Приливов В/О 1-2/А-Г"/>
    <n v="2"/>
    <s v="Значительное"/>
    <x v="0"/>
    <x v="3"/>
    <s v="denisov@spgr.ru"/>
    <x v="2"/>
    <d v="2019-04-04T00:00:00"/>
    <d v="2019-04-04T00:00:00"/>
    <s v="00_-1 этаж"/>
    <n v="0"/>
    <n v="0"/>
    <s v="УФ_ЖБ плита и приливы"/>
    <m/>
    <m/>
    <s v="_Планы ПД"/>
    <s v="Ссылка на план"/>
    <x v="352"/>
    <d v="2019-04-04T17:08:47"/>
    <d v="2019-04-04T17:08:47"/>
    <m/>
    <d v="2019-04-04T17:10:47"/>
  </r>
  <r>
    <n v="25"/>
    <s v="Операционный Контроль Усиления Фундаментов Цементацией В/О 26-27/В-Ж"/>
    <n v="2"/>
    <s v="Значительное"/>
    <x v="0"/>
    <x v="3"/>
    <s v="denisov@spgr.ru"/>
    <x v="2"/>
    <d v="2019-04-08T00:00:00"/>
    <d v="2019-04-08T00:00:00"/>
    <s v="00_-1 этаж"/>
    <n v="0"/>
    <n v="0"/>
    <s v="УФ_Усиление тела фундамента цементацией"/>
    <m/>
    <m/>
    <s v="_Планы ПД"/>
    <s v="Ссылка на план"/>
    <x v="353"/>
    <d v="2019-04-08T14:17:16"/>
    <d v="2019-04-08T14:17:16"/>
    <m/>
    <d v="2019-04-08T14:19:34"/>
  </r>
  <r>
    <n v="73"/>
    <s v="Операционный Контроль Усиления Фундаментов Цементацией В/О 18-19/Д-Е, 22-24/Б-Д"/>
    <n v="2"/>
    <s v="Значительное"/>
    <x v="0"/>
    <x v="3"/>
    <s v="denisov@spgr.ru"/>
    <x v="2"/>
    <d v="2019-05-14T00:00:00"/>
    <d v="2019-05-14T00:00:00"/>
    <s v="00_-1 этаж"/>
    <n v="0"/>
    <n v="0"/>
    <s v="УФ_Усиление тела фундамента цементацией"/>
    <m/>
    <m/>
    <s v="_Планы ПД"/>
    <s v="Ссылка на план"/>
    <x v="354"/>
    <d v="2019-05-14T17:21:02"/>
    <d v="2019-05-14T17:21:02"/>
    <m/>
    <d v="2019-05-14T17:31:53"/>
  </r>
  <r>
    <n v="80"/>
    <s v="Операционный Контроль Усиления Грунтов Фундаментов В/О 21-22/Г"/>
    <n v="2"/>
    <s v="Значительное"/>
    <x v="0"/>
    <x v="3"/>
    <s v="denisov@spgr.ru"/>
    <x v="2"/>
    <d v="2019-05-15T00:00:00"/>
    <d v="2019-05-15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355"/>
    <d v="2019-05-15T16:51:55"/>
    <d v="2019-05-15T16:51:55"/>
    <m/>
    <d v="2019-05-15T16:53:37"/>
  </r>
  <r>
    <n v="33"/>
    <s v="Операционный Контроль Усиления Фундаментов В/О 21-27/А-Ж"/>
    <n v="2"/>
    <s v="Значительное"/>
    <x v="0"/>
    <x v="3"/>
    <s v="denisov@spgr.ru"/>
    <x v="2"/>
    <d v="2019-04-11T00:00:00"/>
    <d v="2019-04-11T00:00:00"/>
    <s v="00_-1 этаж"/>
    <n v="0"/>
    <n v="0"/>
    <s v="УФ_Усиление тела фундамента цементацией"/>
    <m/>
    <m/>
    <s v="_Планы ПД"/>
    <s v="Ссылка на план"/>
    <x v="356"/>
    <d v="2019-04-11T14:49:28"/>
    <d v="2019-04-11T14:49:28"/>
    <m/>
    <d v="2019-04-11T14:53:10"/>
  </r>
  <r>
    <n v="36"/>
    <s v="Операционный Контроль Усиления Фундаментов В/О 13-27/А-И"/>
    <n v="2"/>
    <s v="Значительное"/>
    <x v="0"/>
    <x v="3"/>
    <s v="denisov@spgr.ru"/>
    <x v="2"/>
    <d v="2019-04-13T00:00:00"/>
    <d v="2019-04-13T00:00:00"/>
    <s v="00_-1 этаж"/>
    <n v="0"/>
    <n v="0"/>
    <s v="УФ_Усиление тела фундамента цементацией"/>
    <m/>
    <m/>
    <s v="_Планы ПД"/>
    <s v="Ссылка на план"/>
    <x v="357"/>
    <d v="2019-04-13T09:44:20"/>
    <d v="2019-04-13T09:44:20"/>
    <m/>
    <d v="2019-04-13T09:45:06"/>
  </r>
  <r>
    <n v="708"/>
    <s v="Устройство Скважины Для БНС №2"/>
    <n v="2"/>
    <s v="Значительное"/>
    <x v="0"/>
    <x v="3"/>
    <s v="denisov@spgr.ru"/>
    <x v="2"/>
    <d v="2019-11-09T00:00:00"/>
    <d v="2019-11-09T00:00:00"/>
    <s v="Схема БН свай для предпроектного испытания"/>
    <n v="49.98"/>
    <n v="46.64"/>
    <s v="БНС1двор_предпроектное Испытание БН Свай"/>
    <m/>
    <m/>
    <m/>
    <s v="Ссылка на план"/>
    <x v="358"/>
    <d v="2019-11-21T15:05:11"/>
    <d v="2019-11-21T15:05:11"/>
    <m/>
    <d v="2019-11-21T15:08:12"/>
  </r>
  <r>
    <n v="709"/>
    <s v="Армирование Бнс №2"/>
    <n v="2"/>
    <s v="Значительное"/>
    <x v="0"/>
    <x v="3"/>
    <s v="denisov@spgr.ru"/>
    <x v="2"/>
    <d v="2019-11-09T00:00:00"/>
    <d v="2019-11-09T00:00:00"/>
    <s v="Схема БН свай для предпроектного испытания"/>
    <n v="52"/>
    <n v="46.76"/>
    <s v="БНС1двор_предпроектное Испытание БН Свай"/>
    <m/>
    <m/>
    <m/>
    <s v="Ссылка на план"/>
    <x v="359"/>
    <d v="2019-11-21T15:12:41"/>
    <d v="2019-11-21T15:12:41"/>
    <m/>
    <d v="2019-11-21T15:13:10"/>
  </r>
  <r>
    <n v="88"/>
    <s v="Операционный контроль работ по усилению грунтов в/о Л-П/24-27"/>
    <n v="2"/>
    <s v="Значительное"/>
    <x v="0"/>
    <x v="3"/>
    <s v="denisov@spgr.ru"/>
    <x v="2"/>
    <d v="2019-05-17T00:00:00"/>
    <d v="2019-05-17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360"/>
    <d v="2019-05-17T16:06:26"/>
    <d v="2019-05-17T16:06:26"/>
    <m/>
    <d v="2019-05-17T16:06:42"/>
  </r>
  <r>
    <n v="85"/>
    <s v="Операционный контроль усиления фундаментов цементацией в/о 17-19/Д-Л,  19/1-21/1/У-Т/1"/>
    <n v="2"/>
    <s v="Значительное"/>
    <x v="0"/>
    <x v="3"/>
    <s v="denisov@spgr.ru"/>
    <x v="2"/>
    <d v="2019-05-17T00:00:00"/>
    <d v="2019-05-17T00:00:00"/>
    <s v="00_-1 этаж"/>
    <n v="0"/>
    <n v="0"/>
    <s v="УФ_Усиление тела фундамента цементацией"/>
    <m/>
    <m/>
    <s v="_Планы ПД"/>
    <s v="Ссылка на план"/>
    <x v="361"/>
    <d v="2019-05-17T15:49:34"/>
    <d v="2019-05-17T15:49:34"/>
    <m/>
    <d v="2019-05-17T16:08:08"/>
  </r>
  <r>
    <n v="706"/>
    <s v="Устройство Диафрагмы Jet Grouting Е/20-21"/>
    <n v="2"/>
    <s v="Значительное"/>
    <x v="0"/>
    <x v="3"/>
    <s v="denisov@spgr.ru"/>
    <x v="2"/>
    <d v="2019-11-21T00:00:00"/>
    <d v="2019-11-21T00:00:00"/>
    <s v="1 двор Jet Groting"/>
    <n v="19.75"/>
    <n v="60.88"/>
    <s v="Jet1Двор_устройство Jet Grouting"/>
    <m/>
    <m/>
    <s v="Контроль монтажных работ"/>
    <s v="Ссылка на план"/>
    <x v="362"/>
    <d v="2019-11-21T14:57:48"/>
    <d v="2019-11-21T14:57:48"/>
    <m/>
    <d v="2019-11-21T14:58:51"/>
  </r>
  <r>
    <n v="37"/>
    <s v="Операционный Контроль Усиления Фундаментов Цементацией В/О 17-24/Б-Д"/>
    <n v="2"/>
    <s v="Значительное"/>
    <x v="0"/>
    <x v="3"/>
    <s v="denisov@spgr.ru"/>
    <x v="2"/>
    <d v="2019-04-16T00:00:00"/>
    <d v="2019-04-16T00:00:00"/>
    <s v="00_-1 этаж"/>
    <n v="0"/>
    <n v="0"/>
    <s v="УФ_Усиление тела фундамента цементацией"/>
    <m/>
    <m/>
    <s v="_Планы ПД"/>
    <s v="Ссылка на план"/>
    <x v="363"/>
    <d v="2019-04-16T10:33:59"/>
    <d v="2019-04-16T10:33:59"/>
    <m/>
    <d v="2019-04-16T10:35:13"/>
  </r>
  <r>
    <n v="710"/>
    <s v="Бетонирование Бнс №2"/>
    <n v="2"/>
    <s v="Значительное"/>
    <x v="0"/>
    <x v="3"/>
    <s v="denisov@spgr.ru"/>
    <x v="2"/>
    <d v="2019-11-09T00:00:00"/>
    <d v="2019-11-09T00:00:00"/>
    <s v="Схема БН свай для предпроектного испытания"/>
    <n v="48.13"/>
    <n v="44.14"/>
    <s v="БНС1двор_предпроектное Испытание БН Свай"/>
    <m/>
    <m/>
    <m/>
    <s v="Ссылка на план"/>
    <x v="364"/>
    <d v="2019-11-21T15:16:59"/>
    <d v="2019-11-21T15:16:59"/>
    <m/>
    <d v="2019-11-21T15:17:20"/>
  </r>
  <r>
    <n v="1"/>
    <s v="Операционный Контроль Бетонирования Ж/Б Плиты подвала в/о 1-2/А-Г"/>
    <n v="2"/>
    <s v="Значительное"/>
    <x v="0"/>
    <x v="3"/>
    <s v="denisov@spgr.ru"/>
    <x v="2"/>
    <d v="2019-03-20T00:00:00"/>
    <d v="2019-03-20T00:00:00"/>
    <s v="00_-1 этаж"/>
    <n v="0"/>
    <n v="0"/>
    <s v="УФ_ЖБ плита и приливы"/>
    <m/>
    <m/>
    <s v="_Планы ПД"/>
    <s v="Ссылка на план"/>
    <x v="365"/>
    <d v="2019-03-20T16:27:53"/>
    <d v="2019-03-21T17:13:27"/>
    <m/>
    <d v="2019-03-22T14:44:12"/>
  </r>
  <r>
    <n v="131"/>
    <s v="Операционный Контроль Усиление Грунтов В/О 23-27/И-Е"/>
    <n v="2"/>
    <s v="Значительное"/>
    <x v="0"/>
    <x v="3"/>
    <s v="denisov@spgr.ru"/>
    <x v="2"/>
    <d v="2019-06-11T00:00:00"/>
    <d v="2019-06-11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366"/>
    <d v="2019-06-11T16:20:05"/>
    <d v="2019-06-11T16:20:05"/>
    <m/>
    <d v="2019-09-13T15:54:05"/>
  </r>
  <r>
    <n v="141"/>
    <s v="Операционный Контроль Усиления Грунтов В/О 24-25/Л"/>
    <n v="2"/>
    <s v="Значительное"/>
    <x v="0"/>
    <x v="3"/>
    <s v="denisov@spgr.ru"/>
    <x v="2"/>
    <d v="2019-06-17T00:00:00"/>
    <d v="2019-06-17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367"/>
    <d v="2019-06-17T15:15:37"/>
    <d v="2019-06-17T15:15:37"/>
    <m/>
    <d v="2019-09-13T15:53:15"/>
  </r>
  <r>
    <n v="253"/>
    <s v="Операционный Контроль Бетонирования СВГ №44 СТмП-9"/>
    <n v="2"/>
    <s v="Значительное"/>
    <x v="0"/>
    <x v="3"/>
    <s v="denisov@spgr.ru"/>
    <x v="2"/>
    <d v="2019-07-14T00:00:00"/>
    <d v="2019-07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68"/>
    <d v="2019-07-14T14:51:57"/>
    <d v="2019-07-14T14:51:57"/>
    <m/>
    <d v="2019-07-14T14:51:58"/>
  </r>
  <r>
    <n v="41"/>
    <s v="Операционный Контроль Усиления Фундаментов Цементацией в/о 14-27/А-П"/>
    <n v="2"/>
    <s v="Значительное"/>
    <x v="0"/>
    <x v="3"/>
    <s v="denisov@spgr.ru"/>
    <x v="2"/>
    <d v="2019-04-18T00:00:00"/>
    <d v="2019-04-18T00:00:00"/>
    <s v="00_-1 этаж"/>
    <n v="0"/>
    <n v="0"/>
    <s v="УФ_Усиление тела фундамента цементацией"/>
    <m/>
    <m/>
    <s v="_Планы ПД"/>
    <s v="Ссылка на план"/>
    <x v="369"/>
    <d v="2019-04-18T15:44:17"/>
    <d v="2019-04-18T15:44:17"/>
    <m/>
    <d v="2019-04-18T15:53:22"/>
  </r>
  <r>
    <n v="302"/>
    <s v="Операционный Контроль Закрепления Грунтов В/О 23/1/У-Т"/>
    <n v="2"/>
    <s v="Значительное"/>
    <x v="0"/>
    <x v="3"/>
    <s v="denisov@spgr.ru"/>
    <x v="2"/>
    <d v="2019-07-26T00:00:00"/>
    <d v="2019-07-26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370"/>
    <d v="2019-07-26T13:18:05"/>
    <d v="2019-07-26T13:18:05"/>
    <m/>
    <d v="2019-09-13T15:53:42"/>
  </r>
  <r>
    <n v="254"/>
    <s v="Стыковка Арматурного Каркаса СВГ №44 СТмП-9"/>
    <n v="2"/>
    <s v="Значительное"/>
    <x v="0"/>
    <x v="3"/>
    <s v="denisov@spgr.ru"/>
    <x v="2"/>
    <d v="2019-07-14T00:00:00"/>
    <d v="2019-07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71"/>
    <d v="2019-07-14T14:49:11"/>
    <d v="2019-07-14T14:49:11"/>
    <m/>
    <d v="2019-07-14T14:55:45"/>
  </r>
  <r>
    <n v="258"/>
    <s v="Операционный Контроль Усиления Грунтов Цементацией В/О 15/Л, 24-26/Б-Г"/>
    <n v="2"/>
    <s v="Значительное"/>
    <x v="0"/>
    <x v="3"/>
    <s v="denisov@spgr.ru"/>
    <x v="2"/>
    <d v="2019-07-15T00:00:00"/>
    <d v="2019-07-15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372"/>
    <d v="2019-07-15T11:10:09"/>
    <d v="2019-07-15T11:10:09"/>
    <m/>
    <d v="2019-09-13T15:54:15"/>
  </r>
  <r>
    <n v="92"/>
    <s v="Операционный Контроль Усиления Фундаментов Цементацией В/О 19/2/М-К, 19/1-21/1/У-Т/1, 17-18/Д-Ж"/>
    <n v="2"/>
    <s v="Значительное"/>
    <x v="0"/>
    <x v="3"/>
    <s v="denisov@spgr.ru"/>
    <x v="2"/>
    <d v="2019-05-21T00:00:00"/>
    <d v="2019-05-21T00:00:00"/>
    <s v="00_-1 этаж"/>
    <n v="0"/>
    <n v="0"/>
    <s v="УФ_Усиление тела фундамента цементацией"/>
    <m/>
    <m/>
    <s v="_Планы ПД"/>
    <s v="Ссылка на план"/>
    <x v="373"/>
    <d v="2019-05-21T16:02:29"/>
    <d v="2019-05-21T16:02:29"/>
    <m/>
    <d v="2019-05-21T16:05:22"/>
  </r>
  <r>
    <n v="97"/>
    <s v="Операционный контроль усиления грунтов в/о 24-26/М-О, 20-22/А-Г"/>
    <n v="2"/>
    <s v="Значительное"/>
    <x v="0"/>
    <x v="3"/>
    <s v="denisov@spgr.ru"/>
    <x v="2"/>
    <d v="2019-05-21T00:00:00"/>
    <d v="2019-05-21T00:00:00"/>
    <s v="01_1-ый этаж"/>
    <n v="0"/>
    <n v="0"/>
    <s v="УФ_ Закрепление грунтов основания под подошвой фундаментов"/>
    <m/>
    <m/>
    <s v="_Планы ПД"/>
    <s v="Ссылка на план"/>
    <x v="374"/>
    <d v="2019-05-21T17:27:11"/>
    <d v="2019-05-21T17:27:11"/>
    <m/>
    <d v="2019-05-21T17:27:09"/>
  </r>
  <r>
    <n v="46"/>
    <s v="Операционный Контроль Усиления Фундаментов Цементацией В/О 13-27/А-Л"/>
    <n v="2"/>
    <s v="Значительное"/>
    <x v="0"/>
    <x v="3"/>
    <s v="denisov@spgr.ru"/>
    <x v="2"/>
    <d v="2019-04-24T00:00:00"/>
    <d v="2019-04-24T00:00:00"/>
    <s v="00_-1 этаж"/>
    <n v="0"/>
    <n v="0"/>
    <s v="УФ_Усиление тела фундамента цементацией"/>
    <m/>
    <m/>
    <s v="_Планы ПД"/>
    <s v="Ссылка на план"/>
    <x v="375"/>
    <d v="2019-04-24T16:35:33"/>
    <d v="2019-04-24T16:35:33"/>
    <m/>
    <d v="2019-04-24T16:40:24"/>
  </r>
  <r>
    <n v="144"/>
    <s v="Операционный контроль усиления грунтов цементацией 18/К-И"/>
    <n v="2"/>
    <s v="Значительное"/>
    <x v="0"/>
    <x v="3"/>
    <s v="denisov@spgr.ru"/>
    <x v="2"/>
    <m/>
    <m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376"/>
    <d v="2019-06-18T11:17:40"/>
    <d v="2019-06-18T11:17:40"/>
    <m/>
    <d v="2019-06-18T11:19:08"/>
  </r>
  <r>
    <n v="53"/>
    <s v="Операционный Контроль Усиления Фундаментов Цементацией В/О 25/П-М; 23-27/Е-И; 19-24/Г-Д"/>
    <n v="2"/>
    <s v="Значительное"/>
    <x v="0"/>
    <x v="3"/>
    <s v="denisov@spgr.ru"/>
    <x v="2"/>
    <d v="2019-04-27T00:00:00"/>
    <d v="2019-04-27T00:00:00"/>
    <s v="00_-1 этаж"/>
    <n v="0"/>
    <n v="0"/>
    <s v="УФ_Усиление тела фундамента цементацией"/>
    <m/>
    <m/>
    <s v="_Планы ПД"/>
    <s v="Ссылка на план"/>
    <x v="377"/>
    <d v="2019-04-27T10:33:18"/>
    <d v="2019-04-27T10:33:18"/>
    <m/>
    <d v="2019-04-27T10:35:20"/>
  </r>
  <r>
    <n v="105"/>
    <s v="Операционный Контроль Усиления Фундаментов Цементацией В/О 16-19/2/Д-П"/>
    <n v="2"/>
    <s v="Значительное"/>
    <x v="0"/>
    <x v="3"/>
    <s v="denisov@spgr.ru"/>
    <x v="2"/>
    <d v="2019-05-25T00:00:00"/>
    <d v="2019-05-25T00:00:00"/>
    <s v="00_-1 этаж"/>
    <n v="0"/>
    <n v="0"/>
    <s v="УФ_Усиление тела фундамента цементацией"/>
    <m/>
    <m/>
    <s v="_Планы ПД"/>
    <s v="Ссылка на план"/>
    <x v="378"/>
    <d v="2019-05-25T20:13:17"/>
    <d v="2019-05-25T20:13:19"/>
    <m/>
    <d v="2019-05-25T20:15:36"/>
  </r>
  <r>
    <n v="59"/>
    <s v="Операционный контроль усиления грунтов фундаментов в/о 21-22/Б"/>
    <n v="2"/>
    <s v="Значительное"/>
    <x v="0"/>
    <x v="3"/>
    <s v="denisov@spgr.ru"/>
    <x v="2"/>
    <d v="2019-04-30T00:00:00"/>
    <d v="2019-04-30T00:00:00"/>
    <s v="01_1-ый этаж"/>
    <n v="0"/>
    <n v="0"/>
    <s v="УФ_ Закрепление грунтов основания под подошвой фундаментов"/>
    <m/>
    <m/>
    <s v="_Планы ПД"/>
    <s v="Ссылка на план"/>
    <x v="379"/>
    <d v="2019-04-30T14:31:19"/>
    <d v="2019-04-30T14:31:19"/>
    <m/>
    <d v="2019-04-30T14:31:19"/>
  </r>
  <r>
    <n v="60"/>
    <s v="Операционный Контроль Усиления Фундаментов Цементацией В/О 23-27/К-Л, 23-26/И-Ж, 19-24/Г-Д"/>
    <n v="2"/>
    <s v="Значительное"/>
    <x v="0"/>
    <x v="3"/>
    <s v="denisov@spgr.ru"/>
    <x v="2"/>
    <d v="2019-04-30T00:00:00"/>
    <d v="2019-04-30T00:00:00"/>
    <s v="00_-1 этаж"/>
    <n v="0"/>
    <n v="0"/>
    <s v="УФ_Усиление тела фундамента цементацией"/>
    <m/>
    <m/>
    <s v="_Планы ПД"/>
    <s v="Ссылка на план"/>
    <x v="380"/>
    <d v="2019-04-30T14:35:54"/>
    <d v="2019-04-30T14:35:54"/>
    <m/>
    <d v="2019-04-30T14:47:51"/>
  </r>
  <r>
    <n v="106"/>
    <s v="Операционный Контроль Устройства Гидроизоляции Прокачка Инжект Системы В/О 1-2/Д-У"/>
    <n v="2"/>
    <s v="Значительное"/>
    <x v="0"/>
    <x v="3"/>
    <s v="denisov@spgr.ru"/>
    <x v="2"/>
    <d v="2019-05-25T00:00:00"/>
    <d v="2019-05-25T00:00:00"/>
    <s v="00_-1 этаж"/>
    <n v="0"/>
    <n v="0"/>
    <s v="УФ_Гидроизоляция ЖБ плиты и приливов"/>
    <m/>
    <m/>
    <s v="_Планы ПД"/>
    <s v="Ссылка на план"/>
    <x v="381"/>
    <d v="2019-05-25T21:53:35"/>
    <d v="2019-05-25T21:53:35"/>
    <m/>
    <d v="2019-05-25T21:55:10"/>
  </r>
  <r>
    <n v="155"/>
    <s v="Операционный Контроль Бетонирования Форшахты В/О 21-23/Г-д и 23/Е-И"/>
    <n v="2"/>
    <s v="Значительное"/>
    <x v="0"/>
    <x v="3"/>
    <s v="denisov@spgr.ru"/>
    <x v="2"/>
    <d v="2019-06-20T00:00:00"/>
    <d v="2019-06-20T00:00:00"/>
    <s v="Форшахта"/>
    <n v="0"/>
    <n v="0"/>
    <s v="СВГ_Устройство форшахты"/>
    <m/>
    <m/>
    <s v="_Планы ПД"/>
    <s v="Ссылка на план"/>
    <x v="382"/>
    <d v="2019-06-21T09:02:10"/>
    <d v="2019-06-21T09:02:10"/>
    <m/>
    <d v="2019-06-21T09:05:16"/>
  </r>
  <r>
    <n v="263"/>
    <s v="Операционный Контроль Бетонирования СВГ №33"/>
    <n v="2"/>
    <s v="Значительное"/>
    <x v="0"/>
    <x v="3"/>
    <s v="denisov@spgr.ru"/>
    <x v="2"/>
    <d v="2019-07-16T00:00:00"/>
    <d v="2019-07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83"/>
    <d v="2019-07-16T22:44:21"/>
    <d v="2019-07-16T22:44:21"/>
    <m/>
    <d v="2019-07-16T22:45:06"/>
  </r>
  <r>
    <n v="790"/>
    <s v="Закрепление Грунтов Под Фундаментами 4/1-5/1/К/1-У/1"/>
    <n v="2"/>
    <s v="Значительное"/>
    <x v="0"/>
    <x v="3"/>
    <s v="denisov@spgr.ru"/>
    <x v="2"/>
    <d v="2019-12-18T00:00:00"/>
    <d v="2019-12-18T00:00:00"/>
    <s v="2-12_Д-У Закрепление грунтов"/>
    <n v="40.71"/>
    <n v="24.94"/>
    <s v="УФ_ Закрепление грунтов основания под подошвой фундаментов"/>
    <m/>
    <m/>
    <s v="Контроль монтажных работ"/>
    <s v="Ссылка на план"/>
    <x v="384"/>
    <d v="2019-12-12T18:38:32"/>
    <d v="2019-12-12T18:38:32"/>
    <m/>
    <d v="2019-12-18T17:57:26"/>
  </r>
  <r>
    <n v="117"/>
    <s v="Операционный Контроль Усиления Грунтов В/О Ж-Е/24-26, Д-Е/17-18"/>
    <n v="2"/>
    <s v="Значительное"/>
    <x v="0"/>
    <x v="3"/>
    <s v="denisov@spgr.ru"/>
    <x v="2"/>
    <d v="2019-06-04T00:00:00"/>
    <d v="2019-06-04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385"/>
    <d v="2019-06-04T17:04:31"/>
    <d v="2019-06-04T17:04:31"/>
    <m/>
    <d v="2019-06-04T17:07:36"/>
  </r>
  <r>
    <n v="272"/>
    <s v="Операционный Контроль Бетонирования Основания Форшахты В/О М-Р/24"/>
    <n v="2"/>
    <s v="Значительное"/>
    <x v="0"/>
    <x v="3"/>
    <s v="denisov@spgr.ru"/>
    <x v="2"/>
    <d v="2019-07-18T00:00:00"/>
    <d v="2019-07-18T00:00:00"/>
    <s v="Форшахта"/>
    <n v="30.7"/>
    <n v="16.850000000000001"/>
    <s v="СВГ_Устройство форшахты"/>
    <m/>
    <m/>
    <s v="_Планы ПД"/>
    <s v="Ссылка на план"/>
    <x v="386"/>
    <d v="2019-07-18T16:16:36"/>
    <d v="2019-07-18T16:16:36"/>
    <m/>
    <d v="2019-07-18T16:18:00"/>
  </r>
  <r>
    <n v="276"/>
    <s v="Операционный Контроль Бетонирования Стен Форшахты В/О М-Р/24"/>
    <n v="2"/>
    <s v="Значительное"/>
    <x v="0"/>
    <x v="3"/>
    <s v="denisov@spgr.ru"/>
    <x v="2"/>
    <d v="2019-07-19T00:00:00"/>
    <d v="2019-07-19T00:00:00"/>
    <s v="Форшахта"/>
    <n v="31.12"/>
    <n v="16.07"/>
    <s v="СВГ_Устройство форшахты"/>
    <m/>
    <m/>
    <s v="_Планы ПД"/>
    <s v="Ссылка на план"/>
    <x v="387"/>
    <d v="2019-07-19T16:22:12"/>
    <d v="2019-07-19T16:22:12"/>
    <m/>
    <d v="2019-07-19T16:22:31"/>
  </r>
  <r>
    <n v="123"/>
    <s v="Операционный Контроль Усиления Грунтов В/О 16-19/Д-Л"/>
    <n v="2"/>
    <s v="Значительное"/>
    <x v="0"/>
    <x v="3"/>
    <s v="denisov@spgr.ru"/>
    <x v="2"/>
    <d v="2019-06-07T00:00:00"/>
    <d v="2019-06-07T00:00:00"/>
    <s v="01_1-ый этаж"/>
    <n v="0"/>
    <n v="0"/>
    <s v="УФ_ Закрепление грунтов основания под подошвой фундаментов"/>
    <m/>
    <m/>
    <s v="_Планы ПД"/>
    <s v="Ссылка на план"/>
    <x v="388"/>
    <d v="2019-06-07T12:38:15"/>
    <d v="2019-06-07T12:38:15"/>
    <m/>
    <d v="2019-09-13T15:53:05"/>
  </r>
  <r>
    <n v="277"/>
    <s v="Контроль Глубины Траншеи СВГ Зах.35"/>
    <n v="2"/>
    <s v="Значительное"/>
    <x v="0"/>
    <x v="3"/>
    <s v="denisov@spgr.ru"/>
    <x v="2"/>
    <d v="2019-07-19T00:00:00"/>
    <d v="2019-07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89"/>
    <d v="2019-07-19T16:25:14"/>
    <d v="2019-07-19T16:25:14"/>
    <m/>
    <d v="2019-07-19T16:27:35"/>
  </r>
  <r>
    <n v="475"/>
    <s v="Операционный Контроль Усиления Фундаментов Цементацией В/0 12/1-13/2/И/1-У"/>
    <n v="2"/>
    <s v="Значительное"/>
    <x v="0"/>
    <x v="3"/>
    <s v="denisov@spgr.ru"/>
    <x v="2"/>
    <d v="2019-09-14T00:00:00"/>
    <d v="2019-09-14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390"/>
    <d v="2019-09-15T23:20:15"/>
    <d v="2019-09-15T23:20:15"/>
    <m/>
    <d v="2019-09-15T23:25:22"/>
  </r>
  <r>
    <n v="618"/>
    <s v="Бетонирование Захв 59 СВГ"/>
    <n v="2"/>
    <s v="Значительное"/>
    <x v="0"/>
    <x v="3"/>
    <s v="denisov@spgr.ru"/>
    <x v="2"/>
    <d v="2019-10-13T00:00:00"/>
    <d v="2019-10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1"/>
    <d v="2019-10-15T23:44:33"/>
    <d v="2019-10-15T23:44:33"/>
    <m/>
    <d v="2019-10-15T23:44:34"/>
  </r>
  <r>
    <n v="624"/>
    <s v="Бетонирование Зах 61 СВГ"/>
    <n v="2"/>
    <s v="Значительное"/>
    <x v="0"/>
    <x v="3"/>
    <s v="denisov@spgr.ru"/>
    <x v="2"/>
    <d v="2019-10-15T00:00:00"/>
    <d v="2019-10-1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2"/>
    <d v="2019-10-15T23:54:26"/>
    <d v="2019-10-15T23:54:26"/>
    <m/>
    <d v="2019-10-15T23:54:55"/>
  </r>
  <r>
    <n v="626"/>
    <s v="Бетонирование БО"/>
    <n v="2"/>
    <s v="Значительное"/>
    <x v="0"/>
    <x v="3"/>
    <s v="denisov@spgr.ru"/>
    <x v="2"/>
    <d v="2019-10-15T00:00:00"/>
    <d v="2019-10-1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3"/>
    <d v="2019-10-15T23:56:53"/>
    <d v="2019-10-15T23:56:53"/>
    <m/>
    <d v="2019-10-15T23:57:04"/>
  </r>
  <r>
    <n v="621"/>
    <s v="Бетонирование Захв 60 Свг"/>
    <n v="2"/>
    <s v="Значительное"/>
    <x v="0"/>
    <x v="3"/>
    <s v="denisov@spgr.ru"/>
    <x v="2"/>
    <d v="2019-10-14T00:00:00"/>
    <d v="2019-10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4"/>
    <d v="2019-10-15T23:49:49"/>
    <d v="2019-10-15T23:49:49"/>
    <m/>
    <d v="2019-10-15T23:50:19"/>
  </r>
  <r>
    <n v="477"/>
    <s v="Стыковка Бетонного Ограничителя Зах. 27"/>
    <n v="2"/>
    <s v="Значительное"/>
    <x v="0"/>
    <x v="3"/>
    <s v="denisov@spgr.ru"/>
    <x v="2"/>
    <d v="2019-09-14T00:00:00"/>
    <d v="2019-09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5"/>
    <d v="2019-09-15T23:32:46"/>
    <d v="2019-09-15T23:32:46"/>
    <m/>
    <d v="2019-09-15T23:32:57"/>
  </r>
  <r>
    <n v="479"/>
    <s v="Бетонирование Стена В Грунте Захв.27"/>
    <n v="2"/>
    <s v="Значительное"/>
    <x v="0"/>
    <x v="3"/>
    <s v="denisov@spgr.ru"/>
    <x v="2"/>
    <d v="2019-09-14T00:00:00"/>
    <d v="2019-09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6"/>
    <d v="2019-09-15T23:37:35"/>
    <d v="2019-09-15T23:37:35"/>
    <m/>
    <d v="2019-09-15T23:37:35"/>
  </r>
  <r>
    <n v="478"/>
    <s v="Стыковка Армокаркаса Зах. 27"/>
    <n v="2"/>
    <s v="Значительное"/>
    <x v="0"/>
    <x v="3"/>
    <s v="denisov@spgr.ru"/>
    <x v="2"/>
    <d v="2019-09-14T00:00:00"/>
    <d v="2019-09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7"/>
    <d v="2019-09-15T23:34:36"/>
    <d v="2019-09-15T23:34:36"/>
    <m/>
    <d v="2019-09-15T23:35:07"/>
  </r>
  <r>
    <n v="366"/>
    <s v="Операционный Контроль Усиления Грунтов В/О 18/1/Т"/>
    <n v="2"/>
    <s v="Значительное"/>
    <x v="0"/>
    <x v="3"/>
    <s v="denisov@spgr.ru"/>
    <x v="2"/>
    <d v="2019-08-17T00:00:00"/>
    <d v="2019-08-17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398"/>
    <d v="2019-08-17T16:26:42"/>
    <d v="2019-08-17T16:26:43"/>
    <m/>
    <d v="2019-08-17T16:27:48"/>
  </r>
  <r>
    <n v="367"/>
    <s v="Контроль Глубины Траншеи СВГ 31 Захв. Контроль Бентонитового Раствора"/>
    <n v="2"/>
    <s v="Значительное"/>
    <x v="0"/>
    <x v="3"/>
    <s v="denisov@spgr.ru"/>
    <x v="2"/>
    <d v="2019-08-17T00:00:00"/>
    <d v="2019-08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399"/>
    <d v="2019-08-17T16:28:46"/>
    <d v="2019-08-17T16:28:46"/>
    <m/>
    <d v="2019-08-17T16:32:12"/>
  </r>
  <r>
    <n v="196"/>
    <s v="Операционный Контроль Усиления Грунтов В/О 21-22/А-Б"/>
    <n v="2"/>
    <s v="Значительное"/>
    <x v="0"/>
    <x v="3"/>
    <s v="denisov@spgr.ru"/>
    <x v="2"/>
    <d v="2019-07-03T00:00:00"/>
    <d v="2019-07-03T00:00:00"/>
    <s v="00_-1 этаж"/>
    <n v="0"/>
    <n v="0"/>
    <s v="УФ_ Закрепление грунтов основания под подошвой фундаментов"/>
    <m/>
    <m/>
    <s v="_Планы ПД"/>
    <s v="Ссылка на план"/>
    <x v="400"/>
    <d v="2019-07-03T10:27:58"/>
    <d v="2019-07-03T10:27:58"/>
    <m/>
    <d v="2019-07-03T10:28:19"/>
  </r>
  <r>
    <n v="285"/>
    <s v="Операционный Контроль Усиления Фундаментов В/О 27/К-Л, 22/1-26/Т/1-У"/>
    <n v="2"/>
    <s v="Значительное"/>
    <x v="0"/>
    <x v="3"/>
    <s v="denisov@spgr.ru"/>
    <x v="2"/>
    <d v="2019-07-22T00:00:00"/>
    <d v="2019-07-22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401"/>
    <d v="2019-07-22T14:58:08"/>
    <d v="2019-07-22T14:58:08"/>
    <m/>
    <d v="2019-07-22T14:59:30"/>
  </r>
  <r>
    <n v="200"/>
    <s v="Армирование Форшахты 19/2-21/Д"/>
    <n v="2"/>
    <s v="Значительное"/>
    <x v="0"/>
    <x v="3"/>
    <s v="denisov@spgr.ru"/>
    <x v="2"/>
    <d v="2019-07-05T00:00:00"/>
    <d v="2019-07-05T00:00:00"/>
    <s v="Форшахта"/>
    <n v="16.399999999999999"/>
    <n v="69.819999999999993"/>
    <s v="СВГ_Устройство форшахты"/>
    <m/>
    <m/>
    <s v="_Планы ПД"/>
    <s v="Ссылка на план"/>
    <x v="402"/>
    <d v="2019-07-05T14:50:01"/>
    <d v="2019-07-05T14:50:01"/>
    <m/>
    <d v="2019-07-08T15:45:30"/>
  </r>
  <r>
    <n v="369"/>
    <s v="Операционный Контроль Бетонирования Основания Форшахты В/О 21/1-22/1/Т/1"/>
    <n v="2"/>
    <s v="Значительное"/>
    <x v="0"/>
    <x v="3"/>
    <s v="denisov@spgr.ru"/>
    <x v="2"/>
    <d v="2019-08-17T00:00:00"/>
    <d v="2019-08-17T00:00:00"/>
    <s v="Форшахта"/>
    <n v="23.51"/>
    <n v="12.68"/>
    <s v="СВГ_Устройство форшахты"/>
    <m/>
    <m/>
    <s v="_Планы ПД"/>
    <s v="Ссылка на план"/>
    <x v="403"/>
    <d v="2019-08-17T16:37:34"/>
    <d v="2019-08-17T16:37:34"/>
    <m/>
    <d v="2019-08-17T16:38:20"/>
  </r>
  <r>
    <n v="206"/>
    <s v="Операционный контроль усиления фундаментов цементацией в/о 18-22/А, 19/1-21/1/У-Т/1"/>
    <n v="2"/>
    <s v="Значительное"/>
    <x v="0"/>
    <x v="3"/>
    <s v="denisov@spgr.ru"/>
    <x v="2"/>
    <d v="2019-07-06T00:00:00"/>
    <d v="2019-07-06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404"/>
    <d v="2019-07-06T14:55:58"/>
    <d v="2019-07-06T14:55:58"/>
    <m/>
    <d v="2019-07-25T11:08:59"/>
  </r>
  <r>
    <n v="211"/>
    <s v="Операционный Контроль Бетонирования Стен Форшахты 20-22/Д"/>
    <n v="2"/>
    <s v="Значительное"/>
    <x v="0"/>
    <x v="3"/>
    <s v="denisov@spgr.ru"/>
    <x v="2"/>
    <d v="2019-07-06T00:00:00"/>
    <d v="2019-07-06T00:00:00"/>
    <s v="Форшахта"/>
    <n v="0"/>
    <n v="0"/>
    <s v="СВГ_Устройство форшахты"/>
    <m/>
    <m/>
    <s v="_Планы ПД"/>
    <s v="Ссылка на план"/>
    <x v="405"/>
    <d v="2019-07-06T15:11:50"/>
    <d v="2019-07-06T15:11:50"/>
    <m/>
    <d v="2019-07-06T15:13:26"/>
  </r>
  <r>
    <n v="209"/>
    <s v="Операционный Контроль Усиления Грунтов В/О 27/И-Ж, 17-18/Л-М"/>
    <n v="2"/>
    <s v="Значительное"/>
    <x v="0"/>
    <x v="3"/>
    <s v="denisov@spgr.ru"/>
    <x v="2"/>
    <d v="2019-07-06T00:00:00"/>
    <d v="2019-07-06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06"/>
    <d v="2019-07-06T15:02:33"/>
    <d v="2019-07-06T15:02:33"/>
    <m/>
    <d v="2019-07-25T11:08:54"/>
  </r>
  <r>
    <n v="721"/>
    <s v="Закрепление Грунтов Под Фундаментами 8/1/Е/1-И/1"/>
    <n v="2"/>
    <s v="Значительное"/>
    <x v="0"/>
    <x v="3"/>
    <s v="denisov@spgr.ru"/>
    <x v="2"/>
    <d v="2019-11-22T00:00:00"/>
    <d v="2019-11-22T00:00:00"/>
    <s v="2-12_Д-У Закрепление грунтов"/>
    <n v="53.57"/>
    <n v="41.34"/>
    <s v="УФ_ Закрепление грунтов основания под подошвой фундаментов"/>
    <m/>
    <m/>
    <s v="Контроль монтажных работ"/>
    <s v="Ссылка на план"/>
    <x v="407"/>
    <d v="2019-11-22T19:59:04"/>
    <d v="2019-11-22T19:59:04"/>
    <m/>
    <d v="2019-11-22T20:04:19"/>
  </r>
  <r>
    <n v="63"/>
    <s v="Операционный Контроль Усиления Фундаментов Цементацией В/О 19-27/А-Р"/>
    <n v="2"/>
    <s v="Значительное"/>
    <x v="0"/>
    <x v="3"/>
    <s v="denisov@spgr.ru"/>
    <x v="2"/>
    <d v="2019-05-03T00:00:00"/>
    <d v="2019-05-03T00:00:00"/>
    <s v="00_-1 этаж"/>
    <n v="0"/>
    <n v="0"/>
    <s v="УФ_Усиление тела фундамента цементацией"/>
    <m/>
    <m/>
    <s v="_Планы ПД"/>
    <s v="Ссылка на план"/>
    <x v="408"/>
    <d v="2019-05-03T10:58:01"/>
    <d v="2019-05-03T10:58:01"/>
    <m/>
    <d v="2019-09-16T14:59:52"/>
  </r>
  <r>
    <n v="295"/>
    <s v="Операционный Контроль Закрепления Грунтов В/О 25/Т-У"/>
    <n v="2"/>
    <s v="Значительное"/>
    <x v="0"/>
    <x v="3"/>
    <s v="denisov@spgr.ru"/>
    <x v="2"/>
    <d v="2019-07-24T00:00:00"/>
    <d v="2019-07-24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09"/>
    <d v="2019-07-24T14:49:03"/>
    <d v="2019-07-24T14:49:03"/>
    <m/>
    <d v="2019-07-24T14:50:12"/>
  </r>
  <r>
    <n v="296"/>
    <s v="Стыковка И Погружение БО Зах.37"/>
    <n v="2"/>
    <s v="Значительное"/>
    <x v="0"/>
    <x v="3"/>
    <s v="denisov@spgr.ru"/>
    <x v="2"/>
    <d v="2019-07-23T00:00:00"/>
    <d v="2019-07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10"/>
    <d v="2019-07-25T09:27:44"/>
    <d v="2019-07-25T09:27:44"/>
    <m/>
    <d v="2019-07-25T09:28:07"/>
  </r>
  <r>
    <n v="212"/>
    <s v="Операционный Контроль Армирования Форшахты В/О Л-И/19/2"/>
    <n v="2"/>
    <s v="Значительное"/>
    <x v="0"/>
    <x v="3"/>
    <s v="denisov@spgr.ru"/>
    <x v="2"/>
    <d v="2019-07-08T00:00:00"/>
    <d v="2019-07-08T00:00:00"/>
    <s v="Форшахта"/>
    <n v="0"/>
    <n v="0"/>
    <s v="СВГ_Устройство форшахты"/>
    <m/>
    <m/>
    <s v="_Планы ПД"/>
    <s v="Ссылка на план"/>
    <x v="411"/>
    <d v="2019-07-08T15:39:18"/>
    <d v="2019-07-08T15:39:18"/>
    <m/>
    <d v="2019-07-08T15:41:00"/>
  </r>
  <r>
    <n v="213"/>
    <s v="Операционный Контроль Бетонирования Основания Форшахты В/О Л-И/19/2"/>
    <n v="2"/>
    <s v="Значительное"/>
    <x v="0"/>
    <x v="3"/>
    <s v="denisov@spgr.ru"/>
    <x v="2"/>
    <d v="2019-07-08T00:00:00"/>
    <d v="2019-07-08T00:00:00"/>
    <s v="Форшахта"/>
    <n v="0"/>
    <n v="0"/>
    <s v="СВГ_Устройство форшахты"/>
    <m/>
    <m/>
    <s v="_Планы ПД"/>
    <s v="Ссылка на план"/>
    <x v="412"/>
    <d v="2019-07-08T15:41:20"/>
    <d v="2019-07-08T15:41:20"/>
    <m/>
    <d v="2019-07-08T15:43:13"/>
  </r>
  <r>
    <n v="299"/>
    <s v="Операционный Контроль Усиления Грунтов В/О Н-М/19-18"/>
    <n v="2"/>
    <s v="Значительное"/>
    <x v="0"/>
    <x v="3"/>
    <s v="denisov@spgr.ru"/>
    <x v="2"/>
    <d v="2019-07-25T00:00:00"/>
    <d v="2019-07-25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13"/>
    <d v="2019-07-25T10:50:42"/>
    <d v="2019-07-25T10:50:42"/>
    <m/>
    <d v="2019-09-13T15:53:29"/>
  </r>
  <r>
    <n v="300"/>
    <s v="Операционный Контроль Бетонирования Стен Форшахты В/О Л/1-М/22-23"/>
    <n v="2"/>
    <s v="Значительное"/>
    <x v="0"/>
    <x v="3"/>
    <s v="denisov@spgr.ru"/>
    <x v="2"/>
    <d v="2019-07-25T00:00:00"/>
    <d v="2019-07-25T00:00:00"/>
    <s v="Форшахта"/>
    <n v="30.87"/>
    <n v="22.62"/>
    <s v="СВГ_Устройство форшахты"/>
    <m/>
    <m/>
    <s v="_Планы ПД"/>
    <s v="Ссылка на план"/>
    <x v="414"/>
    <d v="2019-07-25T13:45:05"/>
    <d v="2019-07-25T13:45:05"/>
    <m/>
    <d v="2019-07-25T13:45:06"/>
  </r>
  <r>
    <n v="301"/>
    <s v="Операционный Контроль Усиления Фундаментов Цементацией В/О 18/1-21/1/У-Т, 4-9/Б-Г"/>
    <n v="2"/>
    <s v="Значительное"/>
    <x v="0"/>
    <x v="3"/>
    <s v="denisov@spgr.ru"/>
    <x v="2"/>
    <d v="2019-07-26T00:00:00"/>
    <d v="2019-07-26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415"/>
    <d v="2019-07-26T13:14:33"/>
    <d v="2019-07-26T13:14:33"/>
    <m/>
    <d v="2019-09-13T15:53:36"/>
  </r>
  <r>
    <n v="720"/>
    <s v="Закрепление Грунтов Под Фундаментами 10-12/1/Е/1-У"/>
    <n v="2"/>
    <s v="Значительное"/>
    <x v="0"/>
    <x v="3"/>
    <s v="denisov@spgr.ru"/>
    <x v="2"/>
    <d v="2019-11-22T00:00:00"/>
    <d v="2019-11-22T00:00:00"/>
    <s v="2-12_Д-У Закрепление грунтов"/>
    <n v="82.14"/>
    <n v="29.14"/>
    <s v="УФ_ Закрепление грунтов основания под подошвой фундаментов"/>
    <m/>
    <m/>
    <s v="Контроль монтажных работ"/>
    <s v="Ссылка на план"/>
    <x v="416"/>
    <d v="2019-11-22T19:59:04"/>
    <d v="2019-11-22T19:59:04"/>
    <m/>
    <d v="2019-11-22T20:02:46"/>
  </r>
  <r>
    <n v="631"/>
    <s v="Усиление Фундаментов Цементацией В/О 17-18/А, 23-24/А"/>
    <n v="2"/>
    <s v="Значительное"/>
    <x v="0"/>
    <x v="3"/>
    <s v="denisov@spgr.ru"/>
    <x v="2"/>
    <d v="2019-10-16T00:00:00"/>
    <d v="2019-10-16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417"/>
    <d v="2019-10-16T23:30:37"/>
    <d v="2019-10-16T23:30:37"/>
    <m/>
    <d v="2019-10-16T23:32:44"/>
  </r>
  <r>
    <n v="630"/>
    <s v="Бетонирование Захв 9"/>
    <n v="2"/>
    <s v="Значительное"/>
    <x v="0"/>
    <x v="3"/>
    <s v="denisov@spgr.ru"/>
    <x v="2"/>
    <d v="2019-10-16T00:00:00"/>
    <d v="2019-10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18"/>
    <d v="2019-10-16T23:29:40"/>
    <d v="2019-10-16T23:29:40"/>
    <m/>
    <d v="2019-10-16T23:30:03"/>
  </r>
  <r>
    <n v="485"/>
    <s v="Бетонирование СВГ ЗАЗ. 28"/>
    <n v="2"/>
    <s v="Значительное"/>
    <x v="0"/>
    <x v="3"/>
    <s v="denisov@spgr.ru"/>
    <x v="2"/>
    <d v="2019-09-16T00:00:00"/>
    <d v="2019-09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19"/>
    <d v="2019-09-17T14:15:39"/>
    <d v="2019-09-17T14:15:39"/>
    <m/>
    <d v="2019-09-17T14:16:06"/>
  </r>
  <r>
    <n v="380"/>
    <s v="Операционный Контроль Устройства Обмазочной Гидроизоляции Стен 1слой В/О 1-2/У"/>
    <n v="2"/>
    <s v="Значительное"/>
    <x v="0"/>
    <x v="3"/>
    <s v="denisov@spgr.ru"/>
    <x v="2"/>
    <d v="2019-08-20T00:00:00"/>
    <d v="2019-08-20T00:00:00"/>
    <s v="00_-1 этаж"/>
    <n v="0"/>
    <n v="0"/>
    <s v="УФ_Гидроизоляция ЖБ плиты и приливов"/>
    <m/>
    <m/>
    <s v="_Планы ПД"/>
    <s v="Ссылка на план"/>
    <x v="420"/>
    <d v="2019-08-20T15:21:58"/>
    <d v="2019-08-20T15:21:58"/>
    <m/>
    <d v="2019-08-20T15:26:50"/>
  </r>
  <r>
    <n v="484"/>
    <s v="Стыковка Арматурного Каркаса Зах. 28"/>
    <n v="2"/>
    <s v="Значительное"/>
    <x v="0"/>
    <x v="3"/>
    <s v="denisov@spgr.ru"/>
    <x v="2"/>
    <d v="2019-09-16T00:00:00"/>
    <d v="2019-09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21"/>
    <d v="2019-09-17T14:14:16"/>
    <d v="2019-09-17T14:14:16"/>
    <m/>
    <d v="2019-09-17T14:14:51"/>
  </r>
  <r>
    <n v="486"/>
    <s v="Бетонирование Форшахты В/О 19-21/М-Н"/>
    <n v="2"/>
    <s v="Значительное"/>
    <x v="0"/>
    <x v="3"/>
    <s v="denisov@spgr.ru"/>
    <x v="2"/>
    <d v="2019-09-16T00:00:00"/>
    <d v="2019-09-16T00:00:00"/>
    <s v="Форшахта"/>
    <n v="0"/>
    <n v="0"/>
    <s v="СВГ_Устройство форшахты"/>
    <m/>
    <m/>
    <s v="_Планы ПД"/>
    <s v="Ссылка на план"/>
    <x v="422"/>
    <d v="2019-09-17T14:17:15"/>
    <d v="2019-09-17T14:17:15"/>
    <m/>
    <d v="2019-09-17T14:18:15"/>
  </r>
  <r>
    <n v="487"/>
    <s v="Операционный Контроль Усиления Фундаментов Цементацией 4/1-8/1/И/1-К/1"/>
    <n v="2"/>
    <s v="Значительное"/>
    <x v="0"/>
    <x v="3"/>
    <s v="denisov@spgr.ru"/>
    <x v="2"/>
    <d v="2019-09-16T00:00:00"/>
    <d v="2019-09-16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23"/>
    <d v="2019-09-17T14:22:55"/>
    <d v="2019-09-17T14:22:55"/>
    <m/>
    <d v="2019-09-17T14:22:55"/>
  </r>
  <r>
    <n v="488"/>
    <s v="Операционный Контроль Усиления Фундаментов Цементацией В/О 4-15/А"/>
    <n v="2"/>
    <s v="Значительное"/>
    <x v="0"/>
    <x v="3"/>
    <s v="denisov@spgr.ru"/>
    <x v="2"/>
    <d v="2019-09-17T00:00:00"/>
    <d v="2019-09-17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24"/>
    <d v="2019-09-17T15:23:55"/>
    <d v="2019-09-17T15:23:55"/>
    <m/>
    <d v="2019-09-17T15:24:56"/>
  </r>
  <r>
    <n v="311"/>
    <s v="Операционный Контроль Укрепления Грунтов В/О 24-25/С-Р"/>
    <n v="2"/>
    <s v="Значительное"/>
    <x v="0"/>
    <x v="3"/>
    <s v="denisov@spgr.ru"/>
    <x v="2"/>
    <d v="2019-07-29T00:00:00"/>
    <d v="2019-07-29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25"/>
    <d v="2019-07-29T22:55:27"/>
    <d v="2019-07-29T22:55:27"/>
    <m/>
    <d v="2019-07-29T22:56:12"/>
  </r>
  <r>
    <n v="313"/>
    <s v="Операционный Контроль Закрепления Грунтов В/О 25-26/Р-С"/>
    <n v="2"/>
    <s v="Значительное"/>
    <x v="0"/>
    <x v="3"/>
    <s v="denisov@spgr.ru"/>
    <x v="2"/>
    <d v="2019-07-30T00:00:00"/>
    <d v="2019-07-30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26"/>
    <d v="2019-07-30T15:15:26"/>
    <d v="2019-07-30T15:15:26"/>
    <m/>
    <d v="2019-07-30T15:16:25"/>
  </r>
  <r>
    <n v="317"/>
    <s v="Операционный Контроль Бетонирования Основания Форшахты В/О 22-23/Т/1"/>
    <n v="2"/>
    <s v="Значительное"/>
    <x v="0"/>
    <x v="3"/>
    <s v="denisov@spgr.ru"/>
    <x v="2"/>
    <d v="2019-07-30T00:00:00"/>
    <d v="2019-07-30T00:00:00"/>
    <s v="Форшахта"/>
    <n v="27.21"/>
    <n v="11.07"/>
    <s v="СВГ_Устройство форшахты"/>
    <m/>
    <m/>
    <s v="_Планы ПД"/>
    <s v="Ссылка на план"/>
    <x v="427"/>
    <d v="2019-07-30T15:26:57"/>
    <d v="2019-07-30T15:26:57"/>
    <m/>
    <d v="2019-07-30T15:28:35"/>
  </r>
  <r>
    <n v="409"/>
    <s v="Операционный Контроль Выборки Траншеи Захв. 21"/>
    <n v="2"/>
    <s v="Значительное"/>
    <x v="0"/>
    <x v="3"/>
    <s v="denisov@spgr.ru"/>
    <x v="2"/>
    <d v="2019-08-30T00:00:00"/>
    <d v="2019-08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28"/>
    <d v="2019-08-31T17:59:19"/>
    <d v="2019-08-31T17:59:19"/>
    <m/>
    <d v="2019-08-31T17:59:37"/>
  </r>
  <r>
    <n v="333"/>
    <s v="Операционный Контроль Закрепления Грунтов В/О 22/2/У-Т"/>
    <n v="2"/>
    <s v="Значительное"/>
    <x v="0"/>
    <x v="3"/>
    <s v="denisov@spgr.ru"/>
    <x v="2"/>
    <d v="2019-08-01T00:00:00"/>
    <d v="2019-08-01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29"/>
    <d v="2019-08-01T16:08:37"/>
    <d v="2019-08-01T16:08:37"/>
    <m/>
    <d v="2019-08-01T16:09:54"/>
  </r>
  <r>
    <n v="387"/>
    <s v="Операционный Контроль Бетонирования Перекрытия Канала 1-2/Д-И/1"/>
    <n v="2"/>
    <s v="Значительное"/>
    <x v="0"/>
    <x v="3"/>
    <s v="denisov@spgr.ru"/>
    <x v="2"/>
    <d v="2019-08-22T00:00:00"/>
    <d v="2019-08-22T00:00:00"/>
    <s v="00_-1 этаж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430"/>
    <d v="2019-08-22T21:07:09"/>
    <d v="2019-08-22T21:07:09"/>
    <m/>
    <d v="2019-08-22T21:07:59"/>
  </r>
  <r>
    <n v="392"/>
    <s v="Операционный Контроль Бетонирования Зах. 28"/>
    <n v="2"/>
    <s v="Значительное"/>
    <x v="0"/>
    <x v="3"/>
    <s v="denisov@spgr.ru"/>
    <x v="2"/>
    <d v="2019-08-25T00:00:00"/>
    <d v="2019-08-25T00:00:00"/>
    <s v="Ограждающая конструкция стена в грунте"/>
    <n v="0"/>
    <n v="0"/>
    <s v="Демонтажные Работы Двор 1"/>
    <m/>
    <m/>
    <s v="Контроль монтажных работ"/>
    <s v="Ссылка на план"/>
    <x v="431"/>
    <d v="2019-08-25T15:49:31"/>
    <d v="2019-08-25T15:49:31"/>
    <m/>
    <d v="2019-08-25T15:50:11"/>
  </r>
  <r>
    <n v="390"/>
    <s v="Операционный Контроль Монтажа БО Зах. 28"/>
    <n v="2"/>
    <s v="Значительное"/>
    <x v="0"/>
    <x v="3"/>
    <s v="denisov@spgr.ru"/>
    <x v="2"/>
    <d v="2019-08-25T00:00:00"/>
    <d v="2019-08-2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2"/>
    <d v="2019-08-25T15:45:45"/>
    <d v="2019-08-25T15:45:45"/>
    <m/>
    <d v="2019-08-25T15:45:46"/>
  </r>
  <r>
    <n v="391"/>
    <s v="Операционный Контроль Монтажа Армокаркаса Зах. 28"/>
    <n v="2"/>
    <s v="Значительное"/>
    <x v="0"/>
    <x v="3"/>
    <s v="denisov@spgr.ru"/>
    <x v="2"/>
    <d v="2019-08-25T00:00:00"/>
    <d v="2019-08-2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3"/>
    <d v="2019-08-25T15:47:49"/>
    <d v="2019-08-25T15:47:49"/>
    <m/>
    <d v="2019-08-25T15:48:35"/>
  </r>
  <r>
    <n v="500"/>
    <s v="Стыковка Армокаркасов СВГ Зах 15"/>
    <n v="2"/>
    <s v="Значительное"/>
    <x v="0"/>
    <x v="3"/>
    <s v="denisov@spgr.ru"/>
    <x v="2"/>
    <d v="2019-09-19T00:00:00"/>
    <d v="2019-09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4"/>
    <d v="2019-09-19T18:27:57"/>
    <d v="2019-09-19T18:27:57"/>
    <m/>
    <d v="2019-09-19T18:28:35"/>
  </r>
  <r>
    <n v="722"/>
    <s v="Закрепление Грунтов Под Фундаментами 7/Е/1-И/1"/>
    <n v="2"/>
    <s v="Значительное"/>
    <x v="0"/>
    <x v="3"/>
    <s v="denisov@spgr.ru"/>
    <x v="2"/>
    <d v="2019-11-23T00:00:00"/>
    <d v="2019-11-23T00:00:00"/>
    <s v="2-12_Д-У Закрепление грунтов"/>
    <n v="54.23"/>
    <n v="51.18"/>
    <s v="УФ_ Закрепление грунтов основания под подошвой фундаментов"/>
    <m/>
    <m/>
    <s v="Контроль монтажных работ"/>
    <s v="Ссылка на план"/>
    <x v="435"/>
    <d v="2019-11-24T13:04:44"/>
    <d v="2019-11-24T13:04:44"/>
    <m/>
    <d v="2019-11-24T13:04:45"/>
  </r>
  <r>
    <n v="395"/>
    <s v="Операционный Контроль Устройства Траншеи Захв. 19"/>
    <n v="2"/>
    <s v="Значительное"/>
    <x v="0"/>
    <x v="3"/>
    <s v="denisov@spgr.ru"/>
    <x v="2"/>
    <d v="2019-08-26T00:00:00"/>
    <d v="2019-08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6"/>
    <d v="2019-08-27T09:33:14"/>
    <d v="2019-08-27T09:33:14"/>
    <m/>
    <d v="2019-08-27T09:33:30"/>
  </r>
  <r>
    <n v="400"/>
    <s v="Операционный контроль стыковки армокаркаса захв. 29"/>
    <n v="2"/>
    <s v="Значительное"/>
    <x v="0"/>
    <x v="3"/>
    <s v="denisov@spgr.ru"/>
    <x v="2"/>
    <d v="2019-08-27T00:00:00"/>
    <d v="2019-08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7"/>
    <d v="2019-08-27T11:51:29"/>
    <d v="2019-08-27T11:51:29"/>
    <m/>
    <d v="2019-08-27T11:53:23"/>
  </r>
  <r>
    <n v="401"/>
    <s v="Операционный Контроль Бетонирования Захв. 29"/>
    <n v="2"/>
    <s v="Значительное"/>
    <x v="0"/>
    <x v="3"/>
    <s v="denisov@spgr.ru"/>
    <x v="2"/>
    <d v="2019-08-27T00:00:00"/>
    <d v="2019-08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38"/>
    <d v="2019-08-27T15:35:41"/>
    <d v="2019-08-27T15:35:41"/>
    <m/>
    <d v="2019-08-27T15:37:16"/>
  </r>
  <r>
    <n v="794"/>
    <s v="Устройство Диафрагмы Jet Grouting М-Н/20-22"/>
    <n v="2"/>
    <s v="Значительное"/>
    <x v="0"/>
    <x v="3"/>
    <s v="denisov@spgr.ru"/>
    <x v="2"/>
    <d v="2019-12-20T00:00:00"/>
    <d v="2019-12-20T00:00:00"/>
    <s v="1 двор Jet Groting"/>
    <n v="21.71"/>
    <n v="18.89"/>
    <s v="Jet1Двор_устройство Jet Grouting"/>
    <m/>
    <m/>
    <s v="Контроль монтажных работ"/>
    <s v="Ссылка на план"/>
    <x v="439"/>
    <d v="2019-11-21T14:57:48"/>
    <d v="2019-11-21T14:57:48"/>
    <m/>
    <d v="2019-12-20T17:25:44"/>
  </r>
  <r>
    <n v="402"/>
    <s v="Операционный Контроль Выборки Траншеи Захв. 20"/>
    <n v="2"/>
    <s v="Значительное"/>
    <x v="0"/>
    <x v="3"/>
    <s v="denisov@spgr.ru"/>
    <x v="2"/>
    <d v="2019-08-28T00:00:00"/>
    <d v="2019-08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0"/>
    <d v="2019-08-28T18:38:00"/>
    <d v="2019-08-28T18:38:00"/>
    <m/>
    <d v="2019-08-28T18:38:43"/>
  </r>
  <r>
    <n v="513"/>
    <s v="Усиление Фундаментов Цементацией 5-10/А"/>
    <n v="2"/>
    <s v="Значительное"/>
    <x v="0"/>
    <x v="3"/>
    <s v="denisov@spgr.ru"/>
    <x v="2"/>
    <d v="2019-09-20T00:00:00"/>
    <d v="2019-09-20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41"/>
    <d v="2019-09-21T23:22:41"/>
    <d v="2019-09-21T23:22:41"/>
    <m/>
    <d v="2019-09-21T23:23:35"/>
  </r>
  <r>
    <n v="512"/>
    <s v="Бетонирование СВГ Зах 14"/>
    <n v="2"/>
    <s v="Значительное"/>
    <x v="0"/>
    <x v="3"/>
    <s v="denisov@spgr.ru"/>
    <x v="2"/>
    <d v="2019-09-20T00:00:00"/>
    <d v="2019-09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2"/>
    <d v="2019-09-21T23:21:17"/>
    <d v="2019-09-21T23:21:17"/>
    <m/>
    <d v="2019-09-21T23:21:51"/>
  </r>
  <r>
    <n v="511"/>
    <s v="Стыковка Армокаркаса СВГ Зах 14"/>
    <n v="2"/>
    <s v="Значительное"/>
    <x v="0"/>
    <x v="3"/>
    <s v="denisov@spgr.ru"/>
    <x v="2"/>
    <d v="2019-09-20T00:00:00"/>
    <d v="2019-09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3"/>
    <d v="2019-09-21T23:17:02"/>
    <d v="2019-09-21T23:17:02"/>
    <m/>
    <d v="2019-09-21T23:20:03"/>
  </r>
  <r>
    <n v="510"/>
    <s v="Стыковка Бетонного Ограничителя Зах. 14"/>
    <n v="2"/>
    <s v="Значительное"/>
    <x v="0"/>
    <x v="3"/>
    <s v="denisov@spgr.ru"/>
    <x v="2"/>
    <d v="2019-09-20T00:00:00"/>
    <d v="2019-09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4"/>
    <d v="2019-09-21T23:13:02"/>
    <d v="2019-09-21T23:13:02"/>
    <m/>
    <d v="2019-09-21T23:14:55"/>
  </r>
  <r>
    <n v="509"/>
    <s v="Бетонирование СВГ Захв. 15"/>
    <n v="2"/>
    <s v="Значительное"/>
    <x v="0"/>
    <x v="3"/>
    <s v="denisov@spgr.ru"/>
    <x v="2"/>
    <d v="2019-09-19T00:00:00"/>
    <d v="2019-09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5"/>
    <d v="2019-09-21T23:09:03"/>
    <d v="2019-09-21T23:09:03"/>
    <m/>
    <d v="2019-09-21T23:10:35"/>
  </r>
  <r>
    <n v="793"/>
    <s v="Закрепление Грунтов Под Фундаментами 2-3/1/К/1-У"/>
    <n v="2"/>
    <s v="Значительное"/>
    <x v="0"/>
    <x v="3"/>
    <s v="denisov@spgr.ru"/>
    <x v="2"/>
    <d v="2019-12-20T00:00:00"/>
    <d v="2019-12-20T00:00:00"/>
    <s v="2-12_Д-У Закрепление грунтов"/>
    <n v="19.399999999999999"/>
    <n v="30.61"/>
    <s v="УФ_ Закрепление грунтов основания под подошвой фундаментов"/>
    <m/>
    <m/>
    <s v="Контроль монтажных работ"/>
    <s v="Ссылка на план"/>
    <x v="446"/>
    <d v="2019-12-12T18:38:32"/>
    <d v="2019-12-12T18:38:32"/>
    <m/>
    <d v="2019-12-20T17:18:57"/>
  </r>
  <r>
    <n v="514"/>
    <s v="Операционный Контроль Откопки Траншеи Для СВГ Зах. 12"/>
    <n v="2"/>
    <s v="Значительное"/>
    <x v="0"/>
    <x v="3"/>
    <s v="denisov@spgr.ru"/>
    <x v="2"/>
    <d v="2019-09-22T00:00:00"/>
    <d v="2019-09-2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7"/>
    <d v="2019-09-23T09:32:31"/>
    <d v="2019-09-23T09:32:31"/>
    <m/>
    <d v="2019-09-23T09:36:42"/>
  </r>
  <r>
    <n v="411"/>
    <s v="Стыковка И Погружение Бетонного Ограничителя Зах. 21"/>
    <n v="2"/>
    <s v="Значительное"/>
    <x v="0"/>
    <x v="3"/>
    <s v="denisov@spgr.ru"/>
    <x v="2"/>
    <d v="2019-08-31T00:00:00"/>
    <d v="2019-08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48"/>
    <d v="2019-08-31T18:07:01"/>
    <d v="2019-08-31T18:07:01"/>
    <m/>
    <d v="2019-08-31T18:07:54"/>
  </r>
  <r>
    <n v="414"/>
    <s v="Операционный Контроль Бетонирования Стен Форшахты В/О Д-Ж/19"/>
    <n v="2"/>
    <s v="Значительное"/>
    <x v="0"/>
    <x v="3"/>
    <s v="denisov@spgr.ru"/>
    <x v="2"/>
    <d v="2019-08-31T00:00:00"/>
    <d v="2019-08-31T00:00:00"/>
    <s v="Форшахта"/>
    <n v="10.18"/>
    <n v="64.52"/>
    <s v="СВГ_Устройство форшахты"/>
    <m/>
    <m/>
    <s v="_Планы ПД"/>
    <s v="Ссылка на план"/>
    <x v="449"/>
    <d v="2019-08-31T18:15:38"/>
    <d v="2019-08-31T18:15:38"/>
    <m/>
    <d v="2019-08-31T18:16:42"/>
  </r>
  <r>
    <n v="413"/>
    <s v="Операционный Контроль Бетонирования СВГ Зах. 21"/>
    <n v="2"/>
    <s v="Значительное"/>
    <x v="0"/>
    <x v="3"/>
    <s v="denisov@spgr.ru"/>
    <x v="2"/>
    <d v="2019-08-31T00:00:00"/>
    <d v="2019-08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50"/>
    <d v="2019-08-31T18:11:58"/>
    <d v="2019-08-31T18:11:58"/>
    <m/>
    <d v="2019-08-31T18:12:44"/>
  </r>
  <r>
    <n v="410"/>
    <s v="Операционный Контроль Бетонирования Основания Форшахты В/О Ж-Д/19"/>
    <n v="2"/>
    <s v="Значительное"/>
    <x v="0"/>
    <x v="3"/>
    <s v="denisov@spgr.ru"/>
    <x v="2"/>
    <d v="2019-08-30T00:00:00"/>
    <d v="2019-08-30T00:00:00"/>
    <s v="Форшахта"/>
    <n v="9.42"/>
    <n v="62.92"/>
    <s v="СВГ_Устройство форшахты"/>
    <m/>
    <m/>
    <s v="_Планы ПД"/>
    <s v="Ссылка на план"/>
    <x v="451"/>
    <d v="2019-08-31T18:04:48"/>
    <d v="2019-08-31T18:04:48"/>
    <m/>
    <d v="2019-08-31T18:04:49"/>
  </r>
  <r>
    <n v="412"/>
    <s v="Операционный Контроль Стыковки По Погружения Армокаркаса Зах. 21"/>
    <n v="2"/>
    <s v="Значительное"/>
    <x v="0"/>
    <x v="3"/>
    <s v="denisov@spgr.ru"/>
    <x v="2"/>
    <d v="2019-08-31T00:00:00"/>
    <d v="2019-08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52"/>
    <d v="2019-08-31T18:09:14"/>
    <d v="2019-08-31T18:09:14"/>
    <m/>
    <d v="2019-08-31T18:10:01"/>
  </r>
  <r>
    <n v="801"/>
    <s v="Устройство Диафрагмы Jet Grouting М-Л/1/22-23"/>
    <n v="2"/>
    <s v="Значительное"/>
    <x v="0"/>
    <x v="3"/>
    <s v="denisov@spgr.ru"/>
    <x v="2"/>
    <d v="2019-12-21T00:00:00"/>
    <d v="2019-12-21T00:00:00"/>
    <s v="1 двор Jet Groting"/>
    <n v="49.91"/>
    <n v="23.05"/>
    <s v="Jet1Двор_устройство Jet Grouting"/>
    <m/>
    <m/>
    <s v="Контроль монтажных работ"/>
    <s v="Ссылка на план"/>
    <x v="453"/>
    <d v="2019-11-21T14:57:48"/>
    <d v="2019-11-21T14:57:48"/>
    <m/>
    <d v="2019-12-21T12:41:01"/>
  </r>
  <r>
    <n v="800"/>
    <s v="Компенсирующие Мероприятия На Контакте Фундамент-грунт"/>
    <n v="2"/>
    <s v="Значительное"/>
    <x v="0"/>
    <x v="3"/>
    <s v="denisov@spgr.ru"/>
    <x v="2"/>
    <d v="2019-12-21T00:00:00"/>
    <d v="2019-12-21T00:00:00"/>
    <s v="УФ усиление фундаментов цементацией-1"/>
    <n v="55.24"/>
    <n v="23.97"/>
    <m/>
    <m/>
    <m/>
    <s v="Контроль монтажных работ"/>
    <s v="Ссылка на план"/>
    <x v="454"/>
    <d v="2019-12-21T11:06:28"/>
    <d v="2019-12-21T11:06:28"/>
    <m/>
    <d v="2019-12-21T11:08:09"/>
  </r>
  <r>
    <n v="425"/>
    <s v="Операционный Контроль Усиления Фундаментов Цементацией В/О Д-Е1/7-10"/>
    <n v="2"/>
    <s v="Значительное"/>
    <x v="0"/>
    <x v="3"/>
    <s v="denisov@spgr.ru"/>
    <x v="2"/>
    <d v="2019-09-03T00:00:00"/>
    <d v="2019-09-03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55"/>
    <d v="2019-09-03T17:18:50"/>
    <d v="2019-09-03T17:18:50"/>
    <m/>
    <d v="2019-09-03T17:20:07"/>
  </r>
  <r>
    <n v="807"/>
    <s v="Бетонирование Бнс № 46"/>
    <n v="2"/>
    <s v="Значительное"/>
    <x v="0"/>
    <x v="3"/>
    <s v="denisov@spgr.ru"/>
    <x v="2"/>
    <d v="2019-12-21T00:00:00"/>
    <d v="2019-12-21T00:00:00"/>
    <s v="03.2019-Р-КЖ0-2[04] 7"/>
    <n v="51.34"/>
    <n v="44.22"/>
    <s v="БНС1_Устройство Буронабивных Свай В 1 Дворе"/>
    <m/>
    <m/>
    <s v="Устроство буронабивных свай 1 двор"/>
    <s v="Ссылка на план"/>
    <x v="456"/>
    <d v="2019-12-21T18:56:41"/>
    <d v="2019-12-21T18:56:41"/>
    <m/>
    <d v="2019-12-21T18:57:04"/>
  </r>
  <r>
    <n v="804"/>
    <s v="Армирование Бнс № 46"/>
    <n v="2"/>
    <s v="Значительное"/>
    <x v="0"/>
    <x v="3"/>
    <s v="denisov@spgr.ru"/>
    <x v="2"/>
    <d v="2019-12-21T00:00:00"/>
    <d v="2019-12-21T00:00:00"/>
    <s v="03.2019-Р-КЖ0-2[04] 7"/>
    <n v="51.58"/>
    <n v="44.43"/>
    <s v="БНС1_Устройство Буронабивных Свай В 1 Дворе"/>
    <m/>
    <m/>
    <s v="Устроство буронабивных свай 1 двор"/>
    <s v="Ссылка на план"/>
    <x v="457"/>
    <d v="2019-12-21T17:27:07"/>
    <d v="2019-12-21T17:27:07"/>
    <m/>
    <d v="2019-12-21T17:27:43"/>
  </r>
  <r>
    <n v="802"/>
    <s v="Противокапиллярная Защита В/О 12-13/А-В"/>
    <n v="2"/>
    <s v="Значительное"/>
    <x v="0"/>
    <x v="3"/>
    <s v="denisov@spgr.ru"/>
    <x v="2"/>
    <d v="2019-12-21T00:00:00"/>
    <d v="2019-12-21T00:00:00"/>
    <s v="4-20_А-Д Противокапилярная защита"/>
    <n v="46.49"/>
    <n v="37.119999999999997"/>
    <s v="УФ_Противокапилярная гидроизоляция 1-3й этап"/>
    <m/>
    <m/>
    <s v="Противокапиллярная защита стен здания"/>
    <s v="Ссылка на план"/>
    <x v="458"/>
    <d v="2019-12-21T15:07:42"/>
    <d v="2019-12-21T15:07:42"/>
    <m/>
    <d v="2019-12-21T15:08:36"/>
  </r>
  <r>
    <n v="805"/>
    <s v="Устройство Забоя Бнс № 46"/>
    <n v="2"/>
    <s v="Значительное"/>
    <x v="0"/>
    <x v="3"/>
    <s v="denisov@spgr.ru"/>
    <x v="2"/>
    <d v="2019-12-21T00:00:00"/>
    <d v="2019-12-21T00:00:00"/>
    <s v="03.2019-Р-КЖ0-2[04] 7"/>
    <n v="51.28"/>
    <n v="44.22"/>
    <s v="БНС1_Устройство Буронабивных Свай В 1 Дворе"/>
    <m/>
    <m/>
    <s v="Устроство буронабивных свай 1 двор"/>
    <s v="Ссылка на план"/>
    <x v="459"/>
    <d v="2019-12-21T17:16:12"/>
    <d v="2019-12-21T17:16:12"/>
    <m/>
    <d v="2019-12-21T17:23:36"/>
  </r>
  <r>
    <n v="547"/>
    <s v="Усиление Фундаментов Цементацией В/О 8/1-13/2/И/1-У"/>
    <n v="2"/>
    <s v="Значительное"/>
    <x v="0"/>
    <x v="3"/>
    <s v="denisov@spgr.ru"/>
    <x v="2"/>
    <d v="2019-09-27T00:00:00"/>
    <d v="2019-09-27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60"/>
    <d v="2019-09-27T18:27:30"/>
    <d v="2019-09-27T18:27:30"/>
    <m/>
    <d v="2019-09-27T18:29:24"/>
  </r>
  <r>
    <n v="441"/>
    <s v="Операционный Контроль Усиления Фундаментов В/О 5/1-8/1/У-К/1"/>
    <n v="2"/>
    <s v="Значительное"/>
    <x v="0"/>
    <x v="3"/>
    <s v="denisov@spgr.ru"/>
    <x v="2"/>
    <d v="2019-09-04T00:00:00"/>
    <d v="2019-09-04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61"/>
    <d v="2019-09-06T16:45:30"/>
    <d v="2019-09-06T16:45:30"/>
    <m/>
    <d v="2019-09-06T16:47:23"/>
  </r>
  <r>
    <n v="549"/>
    <s v="Стыковка Армокаркаса СВГ 7"/>
    <n v="2"/>
    <s v="Значительное"/>
    <x v="0"/>
    <x v="3"/>
    <s v="denisov@spgr.ru"/>
    <x v="2"/>
    <d v="2019-09-28T00:00:00"/>
    <d v="2019-09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62"/>
    <d v="2019-09-28T21:54:50"/>
    <d v="2019-09-28T21:54:50"/>
    <m/>
    <d v="2019-09-28T21:55:47"/>
  </r>
  <r>
    <n v="440"/>
    <s v="Бетонирование Форшахты В/О 21-22/Т/1"/>
    <n v="2"/>
    <s v="Значительное"/>
    <x v="0"/>
    <x v="3"/>
    <s v="denisov@spgr.ru"/>
    <x v="2"/>
    <d v="2019-09-04T00:00:00"/>
    <d v="2019-09-04T00:00:00"/>
    <s v="Форшахта"/>
    <n v="0"/>
    <n v="0"/>
    <s v="СВГ_Устройство форшахты"/>
    <m/>
    <m/>
    <s v="_Планы ПД"/>
    <s v="Ссылка на план"/>
    <x v="463"/>
    <d v="2019-09-06T16:42:42"/>
    <d v="2019-09-06T16:42:42"/>
    <m/>
    <d v="2019-09-06T16:44:34"/>
  </r>
  <r>
    <n v="442"/>
    <s v="Операционный Контроль Усиления Фундаментов Цементацией В/О 9-12/Б-Г"/>
    <n v="2"/>
    <s v="Значительное"/>
    <x v="0"/>
    <x v="3"/>
    <s v="denisov@spgr.ru"/>
    <x v="2"/>
    <d v="2019-09-06T00:00:00"/>
    <d v="2019-09-06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64"/>
    <d v="2019-09-06T16:48:28"/>
    <d v="2019-09-06T16:48:28"/>
    <m/>
    <d v="2019-09-06T16:49:24"/>
  </r>
  <r>
    <n v="449"/>
    <s v="Устройство Траншеи Для Стены В Грунте Зх. 25"/>
    <n v="2"/>
    <s v="Значительное"/>
    <x v="0"/>
    <x v="3"/>
    <s v="denisov@spgr.ru"/>
    <x v="2"/>
    <d v="2019-09-08T00:00:00"/>
    <d v="2019-09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65"/>
    <d v="2019-09-08T15:29:48"/>
    <d v="2019-09-08T15:29:48"/>
    <m/>
    <d v="2019-09-08T15:32:15"/>
  </r>
  <r>
    <n v="592"/>
    <s v="Бетонирование СВГ Захв 1"/>
    <n v="2"/>
    <s v="Значительное"/>
    <x v="0"/>
    <x v="3"/>
    <s v="denisov@spgr.ru"/>
    <x v="2"/>
    <d v="2019-10-09T00:00:00"/>
    <d v="2019-10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66"/>
    <d v="2019-10-11T13:06:42"/>
    <d v="2019-10-11T13:06:42"/>
    <m/>
    <d v="2019-10-11T13:08:02"/>
  </r>
  <r>
    <n v="453"/>
    <s v="Операционный Контроль Усиления Фундаментов Цементацией У-И/1/4/1-8/1"/>
    <n v="2"/>
    <s v="Значительное"/>
    <x v="0"/>
    <x v="3"/>
    <s v="denisov@spgr.ru"/>
    <x v="2"/>
    <d v="2019-09-09T00:00:00"/>
    <d v="2019-09-09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67"/>
    <d v="2019-09-09T17:48:47"/>
    <d v="2019-09-09T17:48:47"/>
    <m/>
    <d v="2019-09-09T17:50:48"/>
  </r>
  <r>
    <n v="726"/>
    <s v="Закрепление грунтов Фундаментов В/О К/1-У/8/1-12/1"/>
    <n v="2"/>
    <s v="Значительное"/>
    <x v="0"/>
    <x v="3"/>
    <s v="denisov@spgr.ru"/>
    <x v="2"/>
    <d v="2019-11-27T00:00:00"/>
    <d v="2019-11-27T00:00:00"/>
    <s v="2-12_Д-У Закрепление грунтов"/>
    <n v="76.900000000000006"/>
    <n v="22.79"/>
    <s v="УФ_ Закрепление грунтов основания под подошвой фундаментов"/>
    <m/>
    <m/>
    <s v="Контроль монтажных работ"/>
    <s v="Ссылка на план"/>
    <x v="468"/>
    <d v="2019-11-27T23:26:26"/>
    <d v="2019-11-27T23:26:26"/>
    <m/>
    <d v="2019-11-27T23:28:14"/>
  </r>
  <r>
    <n v="727"/>
    <s v="Закрепление грунтов Фундаментов В/О 7-8/Д-Е/1"/>
    <n v="2"/>
    <s v="Значительное"/>
    <x v="0"/>
    <x v="3"/>
    <s v="denisov@spgr.ru"/>
    <x v="2"/>
    <d v="2019-11-27T00:00:00"/>
    <d v="2019-11-27T00:00:00"/>
    <s v="2-12_Д-У Закрепление грунтов"/>
    <n v="54.94"/>
    <n v="68.08"/>
    <s v="УФ_ Закрепление грунтов основания под подошвой фундаментов"/>
    <m/>
    <m/>
    <s v="Контроль монтажных работ"/>
    <s v="Ссылка на план"/>
    <x v="469"/>
    <d v="2019-11-27T23:26:26"/>
    <d v="2019-11-27T23:26:26"/>
    <m/>
    <d v="2019-11-27T23:29:31"/>
  </r>
  <r>
    <n v="565"/>
    <s v="Операционный Контроль 1 Этапа Инъецирования Скважины Расширяющимся Раствором В/О 19/2/И"/>
    <n v="2"/>
    <s v="Значительное"/>
    <x v="0"/>
    <x v="3"/>
    <s v="denisov@spgr.ru"/>
    <x v="2"/>
    <d v="2019-10-03T00:00:00"/>
    <d v="2019-10-03T00:00:00"/>
    <s v="УФ усиление фундаментов цементацией-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470"/>
    <d v="2019-10-03T13:34:47"/>
    <d v="2019-10-03T13:34:47"/>
    <m/>
    <d v="2019-10-03T13:37:41"/>
  </r>
  <r>
    <n v="567"/>
    <s v="Операционный Контроль Усиления Фундаментов Цементацией В/О 8/2-12/2/И/1-У"/>
    <n v="2"/>
    <s v="Значительное"/>
    <x v="0"/>
    <x v="3"/>
    <s v="denisov@spgr.ru"/>
    <x v="2"/>
    <d v="2019-10-03T00:00:00"/>
    <d v="2019-10-03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71"/>
    <d v="2019-10-03T15:25:30"/>
    <d v="2019-10-03T15:25:30"/>
    <m/>
    <d v="2019-10-03T15:26:40"/>
  </r>
  <r>
    <n v="824"/>
    <s v="Бетонирование Бнс № 28"/>
    <n v="2"/>
    <s v="Значительное"/>
    <x v="0"/>
    <x v="3"/>
    <s v="denisov@spgr.ru"/>
    <x v="2"/>
    <d v="2019-12-21T00:00:00"/>
    <d v="2019-12-21T00:00:00"/>
    <s v="03.2019-Р-КЖ0-2[04] 7"/>
    <n v="38.07"/>
    <n v="49.14"/>
    <s v="БНС1_Устройство Буронабивных Свай В 1 Дворе"/>
    <m/>
    <m/>
    <s v="Устроство буронабивных свай 1 двор"/>
    <s v="Ссылка на план"/>
    <x v="472"/>
    <d v="2019-12-21T18:56:41"/>
    <d v="2019-12-21T18:56:41"/>
    <m/>
    <d v="2019-12-23T17:36:20"/>
  </r>
  <r>
    <n v="828"/>
    <s v="Устройство Забоя Бнс № 28"/>
    <n v="2"/>
    <s v="Значительное"/>
    <x v="0"/>
    <x v="3"/>
    <s v="denisov@spgr.ru"/>
    <x v="2"/>
    <d v="2019-12-21T00:00:00"/>
    <d v="2019-12-21T00:00:00"/>
    <s v="03.2019-Р-КЖ0-2[04] 7"/>
    <n v="38.49"/>
    <n v="49.18"/>
    <s v="БНС1_Устройство Буронабивных Свай В 1 Дворе"/>
    <m/>
    <m/>
    <s v="Устроство буронабивных свай 1 двор"/>
    <s v="Ссылка на план"/>
    <x v="473"/>
    <d v="2019-12-21T17:16:12"/>
    <d v="2019-12-21T17:16:12"/>
    <m/>
    <d v="2019-12-23T17:39:02"/>
  </r>
  <r>
    <n v="820"/>
    <s v="Устройство Диафрагмы Jet Grouting 21-22/Н-П"/>
    <n v="2"/>
    <s v="Значительное"/>
    <x v="0"/>
    <x v="3"/>
    <s v="denisov@spgr.ru"/>
    <x v="2"/>
    <d v="2019-12-23T00:00:00"/>
    <d v="2019-12-23T00:00:00"/>
    <s v="1 двор Jet Groting"/>
    <n v="33.020000000000003"/>
    <n v="13.88"/>
    <s v="Jet1Двор_устройство Jet Grouting"/>
    <m/>
    <m/>
    <s v="Контроль монтажных работ"/>
    <s v="Ссылка на план"/>
    <x v="474"/>
    <d v="2019-11-21T14:57:48"/>
    <d v="2019-11-21T14:57:48"/>
    <m/>
    <d v="2019-12-23T17:28:05"/>
  </r>
  <r>
    <n v="735"/>
    <s v="Закрепление грунтов под фундаментами 13/3/Т-У"/>
    <n v="2"/>
    <s v="Значительное"/>
    <x v="0"/>
    <x v="3"/>
    <s v="denisov@spgr.ru"/>
    <x v="2"/>
    <d v="2019-11-29T00:00:00"/>
    <d v="2019-11-29T00:00:00"/>
    <s v="11-16/Л-УЗакрепление грунтов"/>
    <n v="43.67"/>
    <n v="43.43"/>
    <s v="УФ_ Закрепление грунтов основания под подошвой фундаментов"/>
    <m/>
    <m/>
    <s v="Контроль монтажных работ"/>
    <s v="Ссылка на план"/>
    <x v="475"/>
    <d v="2019-11-29T12:01:40"/>
    <d v="2019-11-29T12:01:40"/>
    <m/>
    <d v="2019-11-29T12:03:42"/>
  </r>
  <r>
    <n v="821"/>
    <s v="Армирование Бнс № 28"/>
    <n v="2"/>
    <s v="Значительное"/>
    <x v="0"/>
    <x v="3"/>
    <s v="denisov@spgr.ru"/>
    <x v="2"/>
    <d v="2019-12-21T00:00:00"/>
    <d v="2019-12-21T00:00:00"/>
    <s v="03.2019-Р-КЖ0-2[04] 7"/>
    <n v="37.42"/>
    <n v="49.31"/>
    <s v="БНС1_Устройство Буронабивных Свай В 1 Дворе"/>
    <m/>
    <m/>
    <s v="Устроство буронабивных свай 1 двор"/>
    <s v="Ссылка на план"/>
    <x v="476"/>
    <d v="2019-12-21T17:27:07"/>
    <d v="2019-12-21T17:27:07"/>
    <m/>
    <d v="2019-12-23T17:34:25"/>
  </r>
  <r>
    <n v="734"/>
    <s v="Закрепление Грунтов Цементацией 8-9/А-Г"/>
    <n v="2"/>
    <s v="Значительное"/>
    <x v="0"/>
    <x v="3"/>
    <s v="denisov@spgr.ru"/>
    <x v="2"/>
    <d v="2019-11-29T00:00:00"/>
    <d v="2019-11-29T00:00:00"/>
    <s v="5-18/А-Г Закрепление грунтов"/>
    <n v="24.64"/>
    <n v="45.36"/>
    <s v="УФ_ Закрепление грунтов основания под подошвой фундаментов"/>
    <m/>
    <m/>
    <s v="Контроль монтажных работ"/>
    <s v="Ссылка на план"/>
    <x v="477"/>
    <d v="2019-11-07T15:59:54"/>
    <d v="2019-11-07T15:59:54"/>
    <m/>
    <d v="2019-11-29T12:00:34"/>
  </r>
  <r>
    <n v="578"/>
    <s v="Усиление Фундаментов Цементацией 8/1-12/1/И/1-У"/>
    <n v="2"/>
    <s v="Значительное"/>
    <x v="0"/>
    <x v="3"/>
    <s v="denisov@spgr.ru"/>
    <x v="2"/>
    <d v="2019-10-07T00:00:00"/>
    <d v="2019-10-07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478"/>
    <d v="2019-10-07T18:26:44"/>
    <d v="2019-10-07T18:26:44"/>
    <m/>
    <d v="2019-10-07T18:43:25"/>
  </r>
  <r>
    <n v="654"/>
    <s v="Бетонирование СВГ Захв 48"/>
    <n v="2"/>
    <s v="Значительное"/>
    <x v="0"/>
    <x v="3"/>
    <s v="denisov@spgr.ru"/>
    <x v="2"/>
    <d v="2019-10-27T00:00:00"/>
    <d v="2019-10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79"/>
    <d v="2019-10-28T07:33:20"/>
    <d v="2019-10-28T07:33:20"/>
    <m/>
    <d v="2019-10-28T07:33:53"/>
  </r>
  <r>
    <n v="836"/>
    <s v="Бетонирование Бнс № 28"/>
    <n v="2"/>
    <s v="Значительное"/>
    <x v="0"/>
    <x v="3"/>
    <s v="denisov@spgr.ru"/>
    <x v="2"/>
    <d v="2019-12-21T00:00:00"/>
    <d v="2019-12-21T00:00:00"/>
    <s v="03.2019-Р-КЖ0-2[04] 7"/>
    <n v="47.65"/>
    <n v="43.96"/>
    <s v="БНС1_Устройство Буронабивных Свай В 1 Дворе"/>
    <m/>
    <m/>
    <s v="Устроство буронабивных свай 1 двор"/>
    <s v="Ссылка на план"/>
    <x v="480"/>
    <d v="2019-12-21T18:56:41"/>
    <d v="2019-12-21T18:56:41"/>
    <m/>
    <d v="2019-12-24T17:39:36"/>
  </r>
  <r>
    <n v="834"/>
    <s v="Армирование Бнс № 44"/>
    <n v="2"/>
    <s v="Значительное"/>
    <x v="0"/>
    <x v="3"/>
    <s v="denisov@spgr.ru"/>
    <x v="2"/>
    <d v="2019-12-24T00:00:00"/>
    <d v="2019-12-24T00:00:00"/>
    <s v="03.2019-Р-КЖ0-2[04] 7"/>
    <n v="46.46"/>
    <n v="43.84"/>
    <s v="БНС1_Устройство Буронабивных Свай В 1 Дворе"/>
    <m/>
    <m/>
    <s v="Устроство буронабивных свай 1 двор"/>
    <s v="Ссылка на план"/>
    <x v="481"/>
    <d v="2019-12-21T17:27:07"/>
    <d v="2019-12-21T17:27:07"/>
    <m/>
    <d v="2019-12-24T17:37:08"/>
  </r>
  <r>
    <n v="835"/>
    <s v="Устройство Забоя Бнс № 44"/>
    <n v="2"/>
    <s v="Значительное"/>
    <x v="0"/>
    <x v="3"/>
    <s v="denisov@spgr.ru"/>
    <x v="2"/>
    <d v="2019-12-24T00:00:00"/>
    <d v="2019-12-24T00:00:00"/>
    <s v="03.2019-Р-КЖ0-2[04] 7"/>
    <n v="47.23"/>
    <n v="43.92"/>
    <s v="БНС1_Устройство Буронабивных Свай В 1 Дворе"/>
    <m/>
    <m/>
    <s v="Устроство буронабивных свай 1 двор"/>
    <s v="Ссылка на план"/>
    <x v="482"/>
    <d v="2019-12-21T17:16:12"/>
    <d v="2019-12-21T17:16:12"/>
    <m/>
    <d v="2019-12-24T17:39:19"/>
  </r>
  <r>
    <n v="738"/>
    <s v="Устройство Диафрагмы Jet Grouting Ж-Е/22-23"/>
    <n v="2"/>
    <s v="Значительное"/>
    <x v="0"/>
    <x v="3"/>
    <s v="denisov@spgr.ru"/>
    <x v="2"/>
    <d v="2019-11-21T00:00:00"/>
    <d v="2019-11-21T00:00:00"/>
    <s v="1 двор Jet Groting"/>
    <n v="49.14"/>
    <n v="51.58"/>
    <s v="Jet1Двор_устройство Jet Grouting"/>
    <m/>
    <m/>
    <s v="Контроль монтажных работ"/>
    <s v="Ссылка на план"/>
    <x v="483"/>
    <d v="2019-11-21T14:57:48"/>
    <d v="2019-11-21T14:57:48"/>
    <m/>
    <d v="2019-12-02T20:27:53"/>
  </r>
  <r>
    <n v="595"/>
    <s v="Бетонирование СВГ Захв 57"/>
    <n v="2"/>
    <s v="Значительное"/>
    <x v="0"/>
    <x v="3"/>
    <s v="denisov@spgr.ru"/>
    <x v="2"/>
    <d v="2019-10-10T00:00:00"/>
    <d v="2019-10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484"/>
    <d v="2019-10-11T13:13:01"/>
    <d v="2019-10-11T13:13:01"/>
    <m/>
    <d v="2019-10-11T13:13:26"/>
  </r>
  <r>
    <n v="741"/>
    <s v="Закрепление Грунтов Под Фундаментами 7-10/Е/1-И/1"/>
    <n v="2"/>
    <s v="Значительное"/>
    <x v="0"/>
    <x v="3"/>
    <s v="denisov@spgr.ru"/>
    <x v="2"/>
    <d v="2019-11-23T00:00:00"/>
    <d v="2019-11-23T00:00:00"/>
    <s v="2-12_Д-У Закрепление грунтов"/>
    <n v="68.150000000000006"/>
    <n v="51.98"/>
    <s v="УФ_ Закрепление грунтов основания под подошвой фундаментов"/>
    <m/>
    <m/>
    <s v="Контроль монтажных работ"/>
    <s v="Ссылка на план"/>
    <x v="485"/>
    <d v="2019-11-24T13:04:44"/>
    <d v="2019-11-24T13:04:44"/>
    <m/>
    <d v="2019-12-02T20:26:47"/>
  </r>
  <r>
    <n v="742"/>
    <s v="Устройство Диафрагмы Jet Grouting И-К/21-22"/>
    <n v="2"/>
    <s v="Значительное"/>
    <x v="0"/>
    <x v="3"/>
    <s v="denisov@spgr.ru"/>
    <x v="2"/>
    <d v="2019-11-21T00:00:00"/>
    <d v="2019-11-21T00:00:00"/>
    <s v="1 двор Jet Groting"/>
    <n v="34.32"/>
    <n v="40.39"/>
    <s v="Jet1Двор_устройство Jet Grouting"/>
    <m/>
    <m/>
    <s v="Контроль монтажных работ"/>
    <s v="Ссылка на план"/>
    <x v="486"/>
    <d v="2019-11-21T14:57:48"/>
    <d v="2019-11-21T14:57:48"/>
    <m/>
    <d v="2019-12-02T20:29:39"/>
  </r>
  <r>
    <n v="740"/>
    <s v="Закрепление Грунтов Цементацией 9-12/А-Б"/>
    <n v="2"/>
    <s v="Значительное"/>
    <x v="0"/>
    <x v="3"/>
    <s v="denisov@spgr.ru"/>
    <x v="2"/>
    <d v="2019-11-29T00:00:00"/>
    <d v="2019-11-29T00:00:00"/>
    <s v="5-18/А-Г Закрепление грунтов"/>
    <n v="36"/>
    <n v="52.08"/>
    <s v="УФ_ Закрепление грунтов основания под подошвой фундаментов"/>
    <m/>
    <m/>
    <s v="Контроль монтажных работ"/>
    <s v="Ссылка на план"/>
    <x v="487"/>
    <d v="2019-11-07T15:59:54"/>
    <d v="2019-11-07T15:59:54"/>
    <m/>
    <d v="2019-12-02T20:24:59"/>
  </r>
  <r>
    <n v="750"/>
    <s v="Устройство Диафрагмы Jet Grouting Ж-И/19/3-21"/>
    <n v="2"/>
    <s v="Значительное"/>
    <x v="0"/>
    <x v="3"/>
    <s v="denisov@spgr.ru"/>
    <x v="2"/>
    <d v="2019-12-04T00:00:00"/>
    <d v="2019-12-04T00:00:00"/>
    <s v="1 двор Jet Groting"/>
    <n v="19.989999999999998"/>
    <n v="45.06"/>
    <s v="Jet1Двор_устройство Jet Grouting"/>
    <m/>
    <m/>
    <s v="Контроль монтажных работ"/>
    <s v="Ссылка на план"/>
    <x v="488"/>
    <d v="2019-11-21T14:57:48"/>
    <d v="2019-11-21T14:57:48"/>
    <m/>
    <d v="2019-12-04T17:38:46"/>
  </r>
  <r>
    <n v="756"/>
    <s v="Закрепление грунтов под фундаментами 12/1-13/2/У"/>
    <n v="2"/>
    <s v="Значительное"/>
    <x v="0"/>
    <x v="3"/>
    <s v="denisov@spgr.ru"/>
    <x v="2"/>
    <d v="2019-12-06T00:00:00"/>
    <d v="2019-12-06T00:00:00"/>
    <s v="11-16/Л-УЗакрепление грунтов"/>
    <n v="24.06"/>
    <n v="32.119999999999997"/>
    <s v="УФ_ Закрепление грунтов основания под подошвой фундаментов"/>
    <m/>
    <m/>
    <s v="Контроль монтажных работ"/>
    <s v="Ссылка на план"/>
    <x v="489"/>
    <d v="2019-11-29T12:01:40"/>
    <d v="2019-11-29T12:01:40"/>
    <m/>
    <d v="2019-12-06T17:34:49"/>
  </r>
  <r>
    <n v="753"/>
    <s v="Закрепление Грунтов Цементацией 5-8/А-Б"/>
    <n v="2"/>
    <s v="Значительное"/>
    <x v="0"/>
    <x v="3"/>
    <s v="denisov@spgr.ru"/>
    <x v="2"/>
    <d v="2019-12-05T00:00:00"/>
    <d v="2019-12-05T00:00:00"/>
    <s v="5-18/А-Г Закрепление грунтов"/>
    <n v="15.39"/>
    <n v="53.15"/>
    <s v="УФ_ Закрепление грунтов основания под подошвой фундаментов"/>
    <m/>
    <m/>
    <s v="Контроль монтажных работ"/>
    <s v="Ссылка на план"/>
    <x v="490"/>
    <d v="2019-11-07T15:59:54"/>
    <d v="2019-11-07T15:59:54"/>
    <m/>
    <d v="2019-12-10T16:53:58"/>
  </r>
  <r>
    <n v="754"/>
    <s v="Закрепление Грунтов Под Фундаментами 7-10/Д/1-Е/1"/>
    <n v="2"/>
    <s v="Значительное"/>
    <x v="0"/>
    <x v="3"/>
    <s v="denisov@spgr.ru"/>
    <x v="2"/>
    <d v="2019-12-05T00:00:00"/>
    <d v="2019-12-05T00:00:00"/>
    <s v="2-12_Д-У Закрепление грунтов"/>
    <n v="67.319999999999993"/>
    <n v="59.71"/>
    <s v="УФ_ Закрепление грунтов основания под подошвой фундаментов"/>
    <m/>
    <m/>
    <s v="Контроль монтажных работ"/>
    <s v="Ссылка на план"/>
    <x v="491"/>
    <d v="2019-11-24T13:04:44"/>
    <d v="2019-11-24T13:04:44"/>
    <m/>
    <d v="2019-12-05T20:02:19"/>
  </r>
  <r>
    <n v="759"/>
    <s v="Устройство Диафрагмы Jet Grouting И-К/21-22"/>
    <n v="2"/>
    <s v="Значительное"/>
    <x v="0"/>
    <x v="3"/>
    <s v="denisov@spgr.ru"/>
    <x v="2"/>
    <d v="2019-12-07T00:00:00"/>
    <d v="2019-12-07T00:00:00"/>
    <s v="1 двор Jet Groting"/>
    <n v="25.28"/>
    <n v="39.29"/>
    <s v="Jet1Двор_устройство Jet Grouting"/>
    <m/>
    <m/>
    <s v="Контроль монтажных работ"/>
    <s v="Ссылка на план"/>
    <x v="492"/>
    <d v="2019-11-21T14:57:48"/>
    <d v="2019-11-21T14:57:48"/>
    <m/>
    <d v="2019-12-07T16:17:11"/>
  </r>
  <r>
    <n v="678"/>
    <s v="Закрепление Грунтов Цементацией 13-14/Г"/>
    <n v="2"/>
    <s v="Значительное"/>
    <x v="0"/>
    <x v="3"/>
    <s v="denisov@spgr.ru"/>
    <x v="2"/>
    <d v="2019-11-07T00:00:00"/>
    <d v="2019-11-07T00:00:00"/>
    <s v="5-18/А-Г Закрепление грунтов"/>
    <n v="65.22"/>
    <n v="30.89"/>
    <s v="УФ_ Закрепление грунтов основания под подошвой фундаментов"/>
    <m/>
    <m/>
    <s v="Контроль монтажных работ"/>
    <s v="Ссылка на план"/>
    <x v="493"/>
    <d v="2019-11-07T15:59:54"/>
    <d v="2019-11-07T15:59:54"/>
    <m/>
    <d v="2019-11-07T16:01:14"/>
  </r>
  <r>
    <n v="765"/>
    <s v="Закрепление Грунтов Цементацией 4-9/Б-Г"/>
    <n v="2"/>
    <s v="Значительное"/>
    <x v="0"/>
    <x v="3"/>
    <s v="denisov@spgr.ru"/>
    <x v="2"/>
    <d v="2019-12-10T00:00:00"/>
    <d v="2019-12-10T00:00:00"/>
    <s v="5-18/А-Г Закрепление грунтов"/>
    <n v="12.49"/>
    <n v="33.39"/>
    <s v="УФ_ Закрепление грунтов основания под подошвой фундаментов"/>
    <m/>
    <m/>
    <s v="Контроль монтажных работ"/>
    <s v="Ссылка на план"/>
    <x v="494"/>
    <d v="2019-11-07T15:59:54"/>
    <d v="2019-11-07T15:59:54"/>
    <m/>
    <d v="2019-12-10T16:56:48"/>
  </r>
  <r>
    <n v="766"/>
    <s v="Закрепление Грунтов Под Фундаментами 7-10/Е/1-И/1"/>
    <n v="2"/>
    <s v="Значительное"/>
    <x v="0"/>
    <x v="3"/>
    <s v="denisov@spgr.ru"/>
    <x v="2"/>
    <d v="2019-12-10T00:00:00"/>
    <d v="2019-12-10T00:00:00"/>
    <s v="2-12_Д-У Закрепление грунтов"/>
    <n v="67.319999999999993"/>
    <n v="46.51"/>
    <s v="УФ_ Закрепление грунтов основания под подошвой фундаментов"/>
    <m/>
    <m/>
    <s v="Контроль монтажных работ"/>
    <s v="Ссылка на план"/>
    <x v="495"/>
    <d v="2019-11-24T13:04:44"/>
    <d v="2019-11-24T13:04:44"/>
    <m/>
    <d v="2019-12-10T17:02:01"/>
  </r>
  <r>
    <n v="769"/>
    <s v="Устройство Диафрагмы Jet Grouting Ж-К/22-23"/>
    <n v="2"/>
    <s v="Значительное"/>
    <x v="0"/>
    <x v="3"/>
    <s v="denisov@spgr.ru"/>
    <x v="2"/>
    <d v="2019-12-12T00:00:00"/>
    <d v="2019-12-12T00:00:00"/>
    <s v="1 двор Jet Groting"/>
    <n v="48.07"/>
    <n v="41.94"/>
    <s v="Jet1Двор_устройство Jet Grouting"/>
    <m/>
    <m/>
    <s v="Контроль монтажных работ"/>
    <s v="Ссылка на план"/>
    <x v="496"/>
    <d v="2019-11-21T14:57:48"/>
    <d v="2019-11-21T14:57:48"/>
    <m/>
    <d v="2019-12-12T18:36:46"/>
  </r>
  <r>
    <n v="771"/>
    <s v="Закрепление Грунтов Цементацией 5-8/А"/>
    <n v="2"/>
    <s v="Значительное"/>
    <x v="0"/>
    <x v="3"/>
    <s v="denisov@spgr.ru"/>
    <x v="2"/>
    <d v="2019-12-12T00:00:00"/>
    <d v="2019-12-12T00:00:00"/>
    <s v="5-18/А-Г Закрепление грунтов"/>
    <n v="13.54"/>
    <n v="62.74"/>
    <s v="УФ_ Закрепление грунтов основания под подошвой фундаментов"/>
    <m/>
    <m/>
    <s v="Контроль монтажных работ"/>
    <s v="Ссылка на план"/>
    <x v="497"/>
    <d v="2019-11-07T15:59:54"/>
    <d v="2019-11-07T15:59:54"/>
    <m/>
    <d v="2019-12-12T18:37:27"/>
  </r>
  <r>
    <n v="686"/>
    <s v="Закрепление Грунтов 11-16/Д"/>
    <n v="2"/>
    <s v="Значительное"/>
    <x v="0"/>
    <x v="3"/>
    <s v="denisov@spgr.ru"/>
    <x v="2"/>
    <d v="2019-11-11T00:00:00"/>
    <d v="2019-11-11T00:00:00"/>
    <s v="5-18/А-Г Закрепление грунтов"/>
    <n v="51.09"/>
    <n v="19.170000000000002"/>
    <s v="УФ_ Закрепление грунтов основания под подошвой фундаментов"/>
    <m/>
    <m/>
    <s v="Контроль монтажных работ"/>
    <s v="Ссылка на план"/>
    <x v="498"/>
    <d v="2019-11-11T18:51:39"/>
    <d v="2019-11-11T18:51:39"/>
    <m/>
    <d v="2019-11-11T18:56:21"/>
  </r>
  <r>
    <n v="776"/>
    <s v="Устройство Диафрагмы Jet Grouting И-К/21-22"/>
    <n v="2"/>
    <s v="Значительное"/>
    <x v="0"/>
    <x v="3"/>
    <s v="denisov@spgr.ru"/>
    <x v="2"/>
    <d v="2019-12-13T00:00:00"/>
    <d v="2019-12-13T00:00:00"/>
    <s v="1 двор Jet Groting"/>
    <n v="20.23"/>
    <n v="36.14"/>
    <s v="Jet1Двор_устройство Jet Grouting"/>
    <m/>
    <m/>
    <s v="Контроль монтажных работ"/>
    <s v="Ссылка на план"/>
    <x v="499"/>
    <d v="2019-11-21T14:57:48"/>
    <d v="2019-11-21T14:57:48"/>
    <m/>
    <d v="2019-12-13T21:50:00"/>
  </r>
  <r>
    <n v="782"/>
    <s v="Устройство Диафрагмы Jet Grouting К-Л/22-23"/>
    <n v="2"/>
    <s v="Значительное"/>
    <x v="0"/>
    <x v="3"/>
    <s v="denisov@spgr.ru"/>
    <x v="2"/>
    <d v="2019-12-16T00:00:00"/>
    <d v="2019-12-16T00:00:00"/>
    <s v="1 двор Jet Groting"/>
    <n v="48.54"/>
    <n v="35.42"/>
    <s v="Jet1Двор_устройство Jet Grouting"/>
    <m/>
    <m/>
    <s v="Контроль монтажных работ"/>
    <s v="Ссылка на план"/>
    <x v="500"/>
    <d v="2019-11-21T14:57:48"/>
    <d v="2019-11-21T14:57:48"/>
    <m/>
    <d v="2019-12-16T17:11:33"/>
  </r>
  <r>
    <n v="783"/>
    <s v="Закрепление Грунтов Цементацией 8-12/А"/>
    <n v="2"/>
    <s v="Значительное"/>
    <x v="0"/>
    <x v="3"/>
    <s v="denisov@spgr.ru"/>
    <x v="2"/>
    <d v="2019-12-16T00:00:00"/>
    <d v="2019-12-16T00:00:00"/>
    <s v="5-18/А-Г Закрепление грунтов"/>
    <n v="39.07"/>
    <n v="63.33"/>
    <s v="УФ_ Закрепление грунтов основания под подошвой фундаментов"/>
    <m/>
    <m/>
    <s v="Контроль монтажных работ"/>
    <s v="Ссылка на план"/>
    <x v="501"/>
    <d v="2019-11-07T15:59:54"/>
    <d v="2019-11-07T15:59:54"/>
    <m/>
    <d v="2019-12-16T17:16:43"/>
  </r>
  <r>
    <n v="694"/>
    <s v="Закрепление Грунтов По Фундаментами В/О 12-15/А-Д, 10/Д-И/1"/>
    <n v="2"/>
    <s v="Значительное"/>
    <x v="0"/>
    <x v="3"/>
    <s v="denisov@spgr.ru"/>
    <x v="2"/>
    <d v="2019-11-19T00:00:00"/>
    <d v="2019-11-19T00:00:00"/>
    <s v="5-18/А-Г Закрепление грунтов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502"/>
    <d v="2019-11-19T13:18:43"/>
    <d v="2019-11-19T13:18:43"/>
    <m/>
    <d v="2019-11-19T13:21:44"/>
  </r>
  <r>
    <n v="215"/>
    <s v="Усиление Фундаментов Цементацией В/О 23-27/М-С, 11-14/А-Д, 14-16-А-Д"/>
    <n v="2"/>
    <s v="Значительное"/>
    <x v="0"/>
    <x v="3"/>
    <s v="chugunov@spgr.ru"/>
    <x v="3"/>
    <d v="2019-07-09T00:00:00"/>
    <d v="2019-07-09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503"/>
    <d v="2019-07-09T10:26:03"/>
    <d v="2019-07-09T10:31:49"/>
    <m/>
    <d v="2019-07-09T10:31:52"/>
  </r>
  <r>
    <n v="8"/>
    <s v="Операционный Контроль Армирования Проёма 1/Г"/>
    <n v="2"/>
    <s v="Значительное"/>
    <x v="0"/>
    <x v="3"/>
    <s v="chugunov@spgr.ru"/>
    <x v="3"/>
    <d v="2019-03-25T00:00:00"/>
    <d v="2019-03-25T00:00:00"/>
    <s v="00_-1 этаж"/>
    <n v="4.41"/>
    <n v="71.12"/>
    <s v="Уф_Усиление Проёма"/>
    <m/>
    <m/>
    <s v="_Планы ПД"/>
    <s v="Ссылка на план"/>
    <x v="504"/>
    <d v="2019-03-25T16:07:36"/>
    <d v="2019-03-25T16:07:37"/>
    <m/>
    <d v="2019-03-25T16:18:46"/>
  </r>
  <r>
    <n v="132"/>
    <s v="Гидроизоляция Ж/Б Канала Теплотрассы В/О 1-2/А-Г"/>
    <n v="2"/>
    <s v="Значительное"/>
    <x v="0"/>
    <x v="3"/>
    <s v="chugunov@spgr.ru"/>
    <x v="3"/>
    <d v="2019-06-11T00:00:00"/>
    <d v="2019-06-11T00:00:00"/>
    <s v="00_-1 этаж"/>
    <n v="0"/>
    <n v="0"/>
    <s v="УФ_Гидроизоляция ЖБ плиты и приливов"/>
    <m/>
    <m/>
    <s v="_Планы ПД"/>
    <s v="Ссылка на план"/>
    <x v="505"/>
    <d v="2019-06-11T16:26:23"/>
    <d v="2019-06-11T16:31:16"/>
    <m/>
    <d v="2019-06-11T16:31:19"/>
  </r>
  <r>
    <n v="227"/>
    <s v="Контроль Качества Бентонитового Раствора Зах.45"/>
    <n v="2"/>
    <s v="Значительное"/>
    <x v="0"/>
    <x v="3"/>
    <s v="chugunov@spgr.ru"/>
    <x v="3"/>
    <d v="2019-07-10T00:00:00"/>
    <d v="2019-07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06"/>
    <d v="2019-07-10T13:58:45"/>
    <d v="2019-07-10T14:03:23"/>
    <m/>
    <d v="2019-07-10T14:03:56"/>
  </r>
  <r>
    <n v="228"/>
    <s v="Стыковка И Погружение БО Зах.45"/>
    <n v="2"/>
    <s v="Значительное"/>
    <x v="0"/>
    <x v="3"/>
    <s v="chugunov@spgr.ru"/>
    <x v="3"/>
    <d v="2019-07-10T00:00:00"/>
    <d v="2019-07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07"/>
    <d v="2019-07-10T14:14:57"/>
    <d v="2019-07-10T14:17:50"/>
    <m/>
    <d v="2019-07-10T14:17:51"/>
  </r>
  <r>
    <n v="229"/>
    <s v="Арматурный Каркас Стыковка Зах.45"/>
    <n v="2"/>
    <s v="Значительное"/>
    <x v="0"/>
    <x v="3"/>
    <s v="chugunov@spgr.ru"/>
    <x v="3"/>
    <d v="2019-07-10T00:00:00"/>
    <d v="2019-07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08"/>
    <d v="2019-07-10T18:29:01"/>
    <d v="2019-07-10T18:31:01"/>
    <m/>
    <d v="2019-07-10T18:31:05"/>
  </r>
  <r>
    <n v="18"/>
    <s v="Операционный Контроль Траншеи Вынос Линий Связи"/>
    <n v="2"/>
    <s v="Значительное"/>
    <x v="0"/>
    <x v="3"/>
    <s v="chugunov@spgr.ru"/>
    <x v="3"/>
    <d v="2019-04-01T00:00:00"/>
    <d v="2019-04-01T00:00:00"/>
    <s v="ГП_Генплан_сети"/>
    <n v="0"/>
    <n v="0"/>
    <s v="Вынос Линий Связи"/>
    <m/>
    <m/>
    <s v="_Планы ПД"/>
    <s v="Ссылка на план"/>
    <x v="509"/>
    <d v="2019-04-01T11:23:52"/>
    <d v="2019-04-01T11:23:52"/>
    <m/>
    <d v="2019-04-01T11:25:04"/>
  </r>
  <r>
    <n v="69"/>
    <s v="Усиление Тела Фундамента Цементацией В/О 19-19/2/Д-Н"/>
    <n v="2"/>
    <s v="Значительное"/>
    <x v="0"/>
    <x v="3"/>
    <s v="chugunov@spgr.ru"/>
    <x v="3"/>
    <d v="2019-05-10T00:00:00"/>
    <d v="2019-05-10T00:00:00"/>
    <s v="01_1-ый этаж"/>
    <n v="0"/>
    <n v="0"/>
    <s v="УФ_Усиление тела фундамента цементацией"/>
    <m/>
    <m/>
    <s v="_Планы ПД"/>
    <s v="Ссылка на план"/>
    <x v="510"/>
    <d v="2019-05-10T09:27:04"/>
    <d v="2019-05-10T09:33:06"/>
    <m/>
    <d v="2019-05-10T09:33:48"/>
  </r>
  <r>
    <n v="70"/>
    <s v="Усиление Тела Фундамента Цементацией В/О 16-18/Д-И"/>
    <n v="2"/>
    <s v="Значительное"/>
    <x v="0"/>
    <x v="3"/>
    <s v="chugunov@spgr.ru"/>
    <x v="3"/>
    <d v="2019-05-10T00:00:00"/>
    <d v="2019-05-10T00:00:00"/>
    <s v="00_-1 этаж"/>
    <n v="0"/>
    <n v="0"/>
    <s v="УФ_Усиление тела фундамента цементацией"/>
    <m/>
    <m/>
    <s v="_Планы ПД"/>
    <s v="Ссылка на план"/>
    <x v="511"/>
    <d v="2019-05-10T09:45:08"/>
    <d v="2019-05-10T09:47:48"/>
    <m/>
    <d v="2019-05-10T09:47:48"/>
  </r>
  <r>
    <n v="71"/>
    <s v="Усиление Тела Фундаментов Цементацией в/о 16-18/Д-И"/>
    <n v="2"/>
    <s v="Значительное"/>
    <x v="0"/>
    <x v="3"/>
    <s v="chugunov@spgr.ru"/>
    <x v="3"/>
    <d v="2019-05-11T00:00:00"/>
    <d v="2019-05-11T00:00:00"/>
    <s v="01_1-ый этаж"/>
    <n v="0"/>
    <n v="0"/>
    <s v="УФ_Усиление тела фундамента цементацией"/>
    <m/>
    <m/>
    <s v="_Планы ПД"/>
    <s v="Ссылка на план"/>
    <x v="512"/>
    <d v="2019-05-11T11:10:02"/>
    <d v="2019-05-11T11:16:03"/>
    <m/>
    <d v="2019-05-11T11:16:03"/>
  </r>
  <r>
    <n v="24"/>
    <s v="Операционный Контроль Усиление Фундаментов В/О 26/А-В"/>
    <n v="2"/>
    <s v="Значительное"/>
    <x v="0"/>
    <x v="3"/>
    <s v="chugunov@spgr.ru"/>
    <x v="3"/>
    <d v="2019-04-05T00:00:00"/>
    <d v="2019-04-05T00:00:00"/>
    <s v="00_-1 этаж"/>
    <n v="0"/>
    <n v="0"/>
    <s v="УФ_Усиление тела фундамента цементацией"/>
    <m/>
    <m/>
    <s v="_Планы ПД"/>
    <s v="Ссылка на план"/>
    <x v="513"/>
    <d v="2019-04-05T09:59:10"/>
    <d v="2019-04-05T10:00:30"/>
    <m/>
    <d v="2019-04-05T11:14:23"/>
  </r>
  <r>
    <n v="72"/>
    <s v="Усиление Тела Фундамента Цементацией в/о 19-19/2/Д-Ж"/>
    <n v="2"/>
    <s v="Значительное"/>
    <x v="0"/>
    <x v="3"/>
    <s v="chugunov@spgr.ru"/>
    <x v="3"/>
    <d v="2019-05-13T00:00:00"/>
    <d v="2019-05-13T00:00:00"/>
    <s v="01_1-ый этаж"/>
    <n v="0"/>
    <n v="0"/>
    <s v="УФ_Усиление тела фундамента цементацией"/>
    <m/>
    <m/>
    <s v="_Планы ПД"/>
    <s v="Ссылка на план"/>
    <x v="514"/>
    <d v="2019-05-13T16:04:35"/>
    <d v="2019-05-13T16:07:10"/>
    <m/>
    <d v="2019-05-13T16:07:10"/>
  </r>
  <r>
    <n v="26"/>
    <s v="Операционный Контроль Армирования Ж/Б плиты Подвала В/О 1-2/Г-Д"/>
    <n v="2"/>
    <s v="Значительное"/>
    <x v="0"/>
    <x v="3"/>
    <s v="chugunov@spgr.ru"/>
    <x v="3"/>
    <d v="2019-04-08T00:00:00"/>
    <d v="2019-04-08T00:00:00"/>
    <s v="00_-1 этаж"/>
    <n v="0"/>
    <n v="0"/>
    <s v="УФ_ЖБ плита и приливы"/>
    <m/>
    <m/>
    <s v="_Планы ПД"/>
    <s v="Ссылка на план"/>
    <x v="515"/>
    <d v="2019-04-08T14:20:48"/>
    <d v="2019-04-08T14:20:48"/>
    <m/>
    <d v="2019-04-08T14:22:36"/>
  </r>
  <r>
    <n v="139"/>
    <s v="Армирование Форшахты В/О 22-23/Д-Ж"/>
    <n v="2"/>
    <s v="Значительное"/>
    <x v="0"/>
    <x v="3"/>
    <s v="chugunov@spgr.ru"/>
    <x v="3"/>
    <m/>
    <m/>
    <s v="ВФ_Двор 1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516"/>
    <d v="2019-06-15T10:49:58"/>
    <d v="2019-06-15T10:50:00"/>
    <m/>
    <d v="2019-06-15T10:51:09"/>
  </r>
  <r>
    <n v="30"/>
    <s v="Операционный Контроль Армирования Канала Выноса Теплосети В/О 1-2/Д-Е/1"/>
    <n v="2"/>
    <s v="Значительное"/>
    <x v="0"/>
    <x v="3"/>
    <s v="chugunov@spgr.ru"/>
    <x v="3"/>
    <d v="2019-04-09T00:00:00"/>
    <d v="2019-04-09T00:00:00"/>
    <s v="00_-1 этаж"/>
    <n v="0"/>
    <n v="0"/>
    <s v="Вынос ТС"/>
    <m/>
    <m/>
    <s v="_Планы ПД"/>
    <s v="Ссылка на план"/>
    <x v="517"/>
    <d v="2019-04-09T10:58:01"/>
    <d v="2019-04-09T10:58:09"/>
    <m/>
    <d v="2019-04-09T10:58:26"/>
  </r>
  <r>
    <n v="34"/>
    <s v="Операционный Контроль Армирования Свода Проёма На Отм. -2.940 В/О 1-2/Г"/>
    <n v="2"/>
    <s v="Значительное"/>
    <x v="0"/>
    <x v="3"/>
    <s v="chugunov@spgr.ru"/>
    <x v="3"/>
    <d v="2019-04-12T00:00:00"/>
    <d v="2019-04-12T00:00:00"/>
    <s v="00_-1 этаж"/>
    <n v="0"/>
    <n v="0"/>
    <s v="Уф_Усиление Проёма"/>
    <m/>
    <m/>
    <s v="_Планы ПД"/>
    <s v="Ссылка на план"/>
    <x v="518"/>
    <d v="2019-04-12T15:15:45"/>
    <d v="2019-04-12T15:23:36"/>
    <m/>
    <d v="2019-04-12T15:30:16"/>
  </r>
  <r>
    <n v="38"/>
    <s v="Усиление Тела Фундамента Цементацией в/о 23-27/Н-П"/>
    <n v="2"/>
    <s v="Значительное"/>
    <x v="0"/>
    <x v="3"/>
    <s v="chugunov@spgr.ru"/>
    <x v="3"/>
    <d v="2019-04-16T00:00:00"/>
    <d v="2019-04-16T00:00:00"/>
    <s v="00_-1 этаж"/>
    <n v="0"/>
    <n v="0"/>
    <s v="УФ_Усиление тела фундамента цементацией"/>
    <m/>
    <m/>
    <s v="_Планы ПД"/>
    <s v="Ссылка на план"/>
    <x v="519"/>
    <d v="2019-04-16T11:05:58"/>
    <d v="2019-04-16T11:30:11"/>
    <m/>
    <d v="2019-04-16T11:30:11"/>
  </r>
  <r>
    <n v="91"/>
    <s v="Усиление Тела Фундамента Цементацией В/О 19-19/2/К-Н"/>
    <n v="2"/>
    <s v="Значительное"/>
    <x v="0"/>
    <x v="3"/>
    <s v="chugunov@spgr.ru"/>
    <x v="3"/>
    <d v="2019-05-18T00:00:00"/>
    <d v="2019-05-18T00:00:00"/>
    <s v="00_-1 этаж"/>
    <n v="0"/>
    <n v="0"/>
    <s v="УФ_Усиление тела фундамента цементацией"/>
    <m/>
    <m/>
    <s v="_Планы ПД"/>
    <s v="Ссылка на план"/>
    <x v="520"/>
    <d v="2019-05-18T11:08:53"/>
    <d v="2019-05-18T11:15:05"/>
    <m/>
    <d v="2019-05-18T11:15:05"/>
  </r>
  <r>
    <n v="90"/>
    <s v="Усиление Тела Фундамента Цементацией в/о 18-21/Т-У"/>
    <n v="2"/>
    <s v="Значительное"/>
    <x v="0"/>
    <x v="3"/>
    <s v="chugunov@spgr.ru"/>
    <x v="3"/>
    <d v="2019-05-18T00:00:00"/>
    <d v="2019-05-18T00:00:00"/>
    <s v="00_-1 этаж"/>
    <n v="0"/>
    <n v="0"/>
    <s v="УФ_Усиление тела фундамента цементацией"/>
    <m/>
    <m/>
    <s v="_Планы ПД"/>
    <s v="Ссылка на план"/>
    <x v="521"/>
    <d v="2019-05-18T11:04:03"/>
    <d v="2019-05-18T11:09:10"/>
    <m/>
    <d v="2019-05-18T11:09:11"/>
  </r>
  <r>
    <n v="45"/>
    <s v="Усиление Тела Фундамента Цементацией В/О 18-22/А-Г"/>
    <n v="2"/>
    <s v="Значительное"/>
    <x v="0"/>
    <x v="3"/>
    <s v="chugunov@spgr.ru"/>
    <x v="3"/>
    <d v="2019-04-20T00:00:00"/>
    <d v="2019-04-20T00:00:00"/>
    <s v="00_-1 этаж"/>
    <n v="0"/>
    <n v="0"/>
    <s v="УФ_Усиление тела фундамента цементацией"/>
    <m/>
    <m/>
    <s v="_Планы ПД"/>
    <s v="Ссылка на план"/>
    <x v="522"/>
    <d v="2019-04-20T10:23:40"/>
    <d v="2019-04-20T10:24:50"/>
    <m/>
    <d v="2019-04-20T10:24:50"/>
  </r>
  <r>
    <n v="50"/>
    <s v="Операционный Контроль Усиление Тела Фундамента Цементацией В/О 23-27/А-Д"/>
    <n v="2"/>
    <s v="Значительное"/>
    <x v="0"/>
    <x v="3"/>
    <s v="chugunov@spgr.ru"/>
    <x v="3"/>
    <d v="2019-04-25T00:00:00"/>
    <d v="2019-04-25T00:00:00"/>
    <s v="00_-1 этаж"/>
    <n v="0"/>
    <n v="0"/>
    <s v="УФ_Усиление тела фундамента цементацией"/>
    <m/>
    <m/>
    <s v="_Планы ПД"/>
    <s v="Ссылка на план"/>
    <x v="523"/>
    <d v="2019-04-25T10:16:00"/>
    <d v="2019-04-25T10:20:11"/>
    <m/>
    <d v="2019-04-25T10:20:11"/>
  </r>
  <r>
    <n v="51"/>
    <s v="Операционный Контроль Усиления Тела Фундамента В/О 19-19/2/Ж-Л"/>
    <n v="2"/>
    <s v="Значительное"/>
    <x v="0"/>
    <x v="3"/>
    <s v="chugunov@spgr.ru"/>
    <x v="3"/>
    <d v="2019-04-25T00:00:00"/>
    <d v="2019-04-25T00:00:00"/>
    <s v="01_1-ый этаж"/>
    <n v="0"/>
    <n v="0"/>
    <s v="УФ_Усиление тела фундамента цементацией"/>
    <m/>
    <m/>
    <s v="_Планы ПД"/>
    <s v="Ссылка на план"/>
    <x v="524"/>
    <d v="2019-04-25T10:20:22"/>
    <d v="2019-04-25T10:23:18"/>
    <m/>
    <d v="2019-04-25T10:23:18"/>
  </r>
  <r>
    <n v="49"/>
    <s v="Операционный Контроль Усиления Тела Фундамента Цементацией В/О  23-27/К-Н"/>
    <n v="2"/>
    <s v="Значительное"/>
    <x v="0"/>
    <x v="3"/>
    <s v="chugunov@spgr.ru"/>
    <x v="3"/>
    <d v="2019-04-25T00:00:00"/>
    <d v="2019-04-25T00:00:00"/>
    <s v="00_-1 этаж"/>
    <n v="0"/>
    <n v="0"/>
    <s v="УФ_Усиление тела фундамента цементацией"/>
    <m/>
    <m/>
    <s v="_Планы ПД"/>
    <s v="Ссылка на план"/>
    <x v="525"/>
    <d v="2019-04-25T10:12:00"/>
    <d v="2019-04-25T10:15:48"/>
    <m/>
    <d v="2019-04-25T10:15:49"/>
  </r>
  <r>
    <n v="252"/>
    <s v="Контроль Глубины Траншеи СВГ Зах.44"/>
    <n v="2"/>
    <s v="Значительное"/>
    <x v="0"/>
    <x v="3"/>
    <s v="chugunov@spgr.ru"/>
    <x v="3"/>
    <d v="2019-07-13T00:00:00"/>
    <d v="2019-07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26"/>
    <d v="2019-07-13T18:53:22"/>
    <d v="2019-07-16T09:50:34"/>
    <m/>
    <d v="2019-07-16T09:50:36"/>
  </r>
  <r>
    <n v="262"/>
    <s v="Стыковка Бетонных Ограничителей В Зах.33"/>
    <n v="2"/>
    <s v="Значительное"/>
    <x v="0"/>
    <x v="3"/>
    <s v="chugunov@spgr.ru"/>
    <x v="3"/>
    <d v="2019-07-16T00:00:00"/>
    <d v="2019-07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27"/>
    <d v="2019-07-16T10:34:31"/>
    <d v="2019-07-16T10:35:49"/>
    <m/>
    <d v="2019-07-16T10:35:50"/>
  </r>
  <r>
    <n v="57"/>
    <s v="Армирование  СтенЖ/Б Каналов (Гильзы)"/>
    <n v="2"/>
    <s v="Значительное"/>
    <x v="0"/>
    <x v="3"/>
    <s v="chugunov@spgr.ru"/>
    <x v="3"/>
    <d v="2019-04-29T00:00:00"/>
    <d v="2019-04-29T00:00:00"/>
    <s v="01_1-ый этаж"/>
    <n v="0"/>
    <n v="0"/>
    <s v="УФ_ЖБ плита и приливы"/>
    <m/>
    <m/>
    <s v="_Планы ПД"/>
    <s v="Ссылка на план"/>
    <x v="528"/>
    <d v="2019-04-29T15:40:34"/>
    <d v="2019-04-30T14:55:18"/>
    <m/>
    <d v="2019-04-30T14:55:18"/>
  </r>
  <r>
    <n v="104"/>
    <s v="Гидроизоляция Примыкания Стена Плита Ж/Б Лоток"/>
    <n v="2"/>
    <s v="Значительное"/>
    <x v="0"/>
    <x v="3"/>
    <s v="chugunov@spgr.ru"/>
    <x v="3"/>
    <d v="2019-05-24T00:00:00"/>
    <d v="2019-05-24T00:00:00"/>
    <s v="00_-1 этаж"/>
    <n v="0"/>
    <n v="0"/>
    <s v="УФ_Гидроизоляция ЖБ плиты и приливов"/>
    <m/>
    <m/>
    <s v="_Планы ПД"/>
    <s v="Ссылка на план"/>
    <x v="529"/>
    <d v="2019-05-24T16:42:49"/>
    <d v="2019-05-24T16:44:59"/>
    <m/>
    <d v="2019-05-24T17:01:56"/>
  </r>
  <r>
    <n v="306"/>
    <s v="Арматурный Каркас И Опалубка Боковые Ограничители 30, 31"/>
    <n v="2"/>
    <s v="Значительное"/>
    <x v="0"/>
    <x v="3"/>
    <s v="chugunov@spgr.ru"/>
    <x v="3"/>
    <d v="2019-07-26T00:00:00"/>
    <d v="2019-07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30"/>
    <d v="2019-07-26T17:02:14"/>
    <d v="2019-07-26T17:05:03"/>
    <m/>
    <d v="2019-07-26T17:05:04"/>
  </r>
  <r>
    <n v="471"/>
    <s v="Армирование БО  18"/>
    <n v="2"/>
    <s v="Значительное"/>
    <x v="0"/>
    <x v="3"/>
    <s v="chugunov@spgr.ru"/>
    <x v="3"/>
    <d v="2019-09-13T00:00:00"/>
    <d v="2019-09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31"/>
    <d v="2019-09-13T15:04:20"/>
    <d v="2019-09-13T15:05:49"/>
    <m/>
    <d v="2019-09-13T15:05:50"/>
  </r>
  <r>
    <n v="16"/>
    <s v="Операционныйй Контроль Армирования Прилива В/О 1-2/А-Г"/>
    <n v="2"/>
    <s v="Значительное"/>
    <x v="0"/>
    <x v="3"/>
    <s v="chugunov@spgr.ru"/>
    <x v="3"/>
    <d v="2019-04-01T00:00:00"/>
    <d v="2019-04-01T00:00:00"/>
    <s v="00_-1 этаж"/>
    <n v="0"/>
    <n v="0"/>
    <s v="УФ_ЖБ плита и приливы"/>
    <m/>
    <m/>
    <s v="_Планы ПД"/>
    <s v="Ссылка на план"/>
    <x v="532"/>
    <d v="2019-04-01T10:08:48"/>
    <d v="2019-04-01T10:08:48"/>
    <m/>
    <d v="2019-09-13T15:53:58"/>
  </r>
  <r>
    <n v="110"/>
    <s v="Гидроизоляция Плиты И Ж/Б Приливов В/О 1-2/А-Г"/>
    <n v="2"/>
    <s v="Значительное"/>
    <x v="0"/>
    <x v="3"/>
    <s v="chugunov@spgr.ru"/>
    <x v="3"/>
    <d v="2019-05-29T00:00:00"/>
    <d v="2019-05-29T00:00:00"/>
    <s v="00_-1 этаж"/>
    <n v="0"/>
    <n v="0"/>
    <s v="УФ_Гидроизоляция ЖБ плиты и приливов"/>
    <m/>
    <m/>
    <s v="_Планы ПД"/>
    <s v="Ссылка на план"/>
    <x v="533"/>
    <d v="2019-05-29T12:13:43"/>
    <d v="2019-05-29T12:14:00"/>
    <m/>
    <d v="2019-05-29T12:17:07"/>
  </r>
  <r>
    <n v="267"/>
    <s v="Контроль Глубины Траншеи СВГ Зах.33"/>
    <n v="2"/>
    <s v="Значительное"/>
    <x v="0"/>
    <x v="3"/>
    <s v="chugunov@spgr.ru"/>
    <x v="3"/>
    <d v="2019-07-17T00:00:00"/>
    <d v="2019-07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34"/>
    <d v="2019-07-17T18:15:35"/>
    <d v="2019-07-17T18:16:22"/>
    <m/>
    <d v="2019-07-17T18:16:31"/>
  </r>
  <r>
    <n v="265"/>
    <s v="Армокаркасы Для БО 36, 37"/>
    <n v="2"/>
    <s v="Значительное"/>
    <x v="0"/>
    <x v="3"/>
    <s v="chugunov@spgr.ru"/>
    <x v="3"/>
    <d v="2019-07-16T00:00:00"/>
    <d v="2019-07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35"/>
    <d v="2019-07-17T09:18:58"/>
    <d v="2019-07-17T09:21:07"/>
    <m/>
    <d v="2019-07-17T11:08:47"/>
  </r>
  <r>
    <n v="112"/>
    <s v="Усиление Тела Фундамента Цементацией В/О 19-19/2/Е-Ж"/>
    <n v="2"/>
    <s v="Значительное"/>
    <x v="0"/>
    <x v="3"/>
    <s v="chugunov@spgr.ru"/>
    <x v="3"/>
    <d v="2019-06-01T00:00:00"/>
    <d v="2019-06-01T00:00:00"/>
    <s v="01_1-ый этаж"/>
    <n v="0"/>
    <n v="0"/>
    <s v="УФ_Усиление тела фундамента цементацией"/>
    <m/>
    <m/>
    <s v="_Планы ПД"/>
    <s v="Ссылка на план"/>
    <x v="536"/>
    <d v="2019-06-01T10:23:57"/>
    <d v="2019-06-01T10:26:35"/>
    <m/>
    <d v="2019-06-01T10:26:35"/>
  </r>
  <r>
    <n v="113"/>
    <s v="Усиление Тела Фундаментов Цементацией В/О 18-19/Д-Е"/>
    <n v="2"/>
    <s v="Значительное"/>
    <x v="0"/>
    <x v="3"/>
    <s v="chugunov@spgr.ru"/>
    <x v="3"/>
    <d v="2019-06-01T00:00:00"/>
    <d v="2019-06-01T00:00:00"/>
    <s v="00_-1 этаж"/>
    <n v="0"/>
    <n v="0"/>
    <s v="УФ_Усиление тела фундамента цементацией"/>
    <m/>
    <m/>
    <s v="_Планы ПД"/>
    <s v="Ссылка на план"/>
    <x v="537"/>
    <d v="2019-06-01T10:26:43"/>
    <d v="2019-06-01T10:28:51"/>
    <m/>
    <d v="2019-06-01T10:28:52"/>
  </r>
  <r>
    <n v="268"/>
    <s v="Контроль Стыковки БО Зах.33"/>
    <n v="2"/>
    <s v="Значительное"/>
    <x v="0"/>
    <x v="3"/>
    <s v="chugunov@spgr.ru"/>
    <x v="3"/>
    <d v="2019-07-17T00:00:00"/>
    <d v="2019-07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38"/>
    <d v="2019-07-17T18:17:04"/>
    <d v="2019-07-17T18:18:30"/>
    <m/>
    <d v="2019-07-17T18:22:37"/>
  </r>
  <r>
    <n v="168"/>
    <s v="Освидетельствование арматурных каркасов для БО стены в грунте"/>
    <n v="2"/>
    <s v="Значительное"/>
    <x v="0"/>
    <x v="3"/>
    <s v="chugunov@spgr.ru"/>
    <x v="3"/>
    <d v="2019-06-25T00:00:00"/>
    <d v="2019-07-17T00:00:00"/>
    <s v="Форшахта"/>
    <n v="0"/>
    <n v="0"/>
    <s v="СВГ_Устройство форшахты"/>
    <m/>
    <m/>
    <s v="_Планы ПД"/>
    <s v="Ссылка на план"/>
    <x v="539"/>
    <d v="2019-06-25T13:10:59"/>
    <d v="2019-06-25T13:15:30"/>
    <m/>
    <d v="2019-07-24T16:16:15"/>
  </r>
  <r>
    <n v="178"/>
    <s v="Усиление Оснований Фундаментов В/О 26-27/И-К"/>
    <n v="2"/>
    <s v="Значительное"/>
    <x v="0"/>
    <x v="3"/>
    <s v="chugunov@spgr.ru"/>
    <x v="3"/>
    <d v="2019-06-28T00:00:00"/>
    <d v="2019-06-28T00:00:00"/>
    <s v="03_2019_Р_УФ-3 усиление грунтов основания изм.1.1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540"/>
    <d v="2019-06-28T10:52:21"/>
    <d v="2019-06-28T10:53:56"/>
    <m/>
    <d v="2019-06-28T10:53:57"/>
  </r>
  <r>
    <n v="179"/>
    <s v="Армирование БО"/>
    <n v="2"/>
    <s v="Значительное"/>
    <x v="0"/>
    <x v="3"/>
    <s v="chugunov@spgr.ru"/>
    <x v="3"/>
    <d v="2019-06-28T00:00:00"/>
    <d v="2019-06-28T00:00:00"/>
    <s v="Форшахта"/>
    <n v="0"/>
    <n v="0"/>
    <s v="СВГ_Устройство форшахты"/>
    <m/>
    <m/>
    <s v="_Планы ПД"/>
    <s v="Ссылка на план"/>
    <x v="541"/>
    <d v="2019-06-28T13:52:10"/>
    <d v="2019-06-28T14:18:40"/>
    <m/>
    <d v="2019-06-28T14:18:42"/>
  </r>
  <r>
    <n v="182"/>
    <s v="Армирование Форшахты В/О 22-23/Д-Е"/>
    <n v="2"/>
    <s v="Значительное"/>
    <x v="0"/>
    <x v="3"/>
    <s v="chugunov@spgr.ru"/>
    <x v="3"/>
    <d v="2019-06-29T00:00:00"/>
    <d v="2019-06-29T00:00:00"/>
    <s v="Форшахта"/>
    <n v="0"/>
    <n v="0"/>
    <s v="СВГ_Устройство форшахты"/>
    <m/>
    <m/>
    <s v="_Планы ПД"/>
    <s v="Ссылка на план"/>
    <x v="542"/>
    <d v="2019-06-29T10:51:49"/>
    <d v="2019-06-29T10:53:16"/>
    <m/>
    <d v="2019-06-29T10:53:17"/>
  </r>
  <r>
    <n v="183"/>
    <s v="Усиление Фундаментов Цементацией в/о16/1-20/1/Т/1-У"/>
    <n v="2"/>
    <s v="Значительное"/>
    <x v="0"/>
    <x v="3"/>
    <s v="chugunov@spgr.ru"/>
    <x v="3"/>
    <d v="2019-06-29T00:00:00"/>
    <d v="2019-06-29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543"/>
    <d v="2019-06-29T11:12:29"/>
    <d v="2019-06-29T11:15:01"/>
    <m/>
    <d v="2019-06-29T11:15:04"/>
  </r>
  <r>
    <n v="274"/>
    <s v="Арматурный Каркас Бетонные Отсечки 34.35"/>
    <n v="2"/>
    <s v="Значительное"/>
    <x v="0"/>
    <x v="3"/>
    <s v="chugunov@spgr.ru"/>
    <x v="3"/>
    <d v="2019-07-19T00:00:00"/>
    <d v="2019-07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44"/>
    <d v="2019-07-19T14:46:18"/>
    <d v="2019-07-19T14:48:34"/>
    <m/>
    <d v="2019-07-19T14:48:35"/>
  </r>
  <r>
    <n v="364"/>
    <s v="Арматурные Каркасы БО 25, 1"/>
    <n v="2"/>
    <s v="Значительное"/>
    <x v="0"/>
    <x v="3"/>
    <s v="chugunov@spgr.ru"/>
    <x v="3"/>
    <d v="2019-08-16T00:00:00"/>
    <d v="2019-08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45"/>
    <d v="2019-08-16T15:50:51"/>
    <d v="2019-08-16T15:52:15"/>
    <m/>
    <d v="2019-08-16T15:52:16"/>
  </r>
  <r>
    <n v="194"/>
    <s v="Приёмка Арматурных Каркасов И Опалубки БО 43 БО42"/>
    <n v="2"/>
    <s v="Значительное"/>
    <x v="0"/>
    <x v="3"/>
    <s v="chugunov@spgr.ru"/>
    <x v="3"/>
    <d v="2019-07-02T00:00:00"/>
    <d v="2019-07-02T00:00:00"/>
    <s v="Форшахта"/>
    <n v="0"/>
    <n v="0"/>
    <s v="СВГ1Д_Устройство СВГ 1-ый двор"/>
    <m/>
    <m/>
    <s v="_Планы ПД"/>
    <s v="Ссылка на план"/>
    <x v="546"/>
    <d v="2019-07-02T15:56:19"/>
    <d v="2019-07-02T16:00:45"/>
    <m/>
    <d v="2019-07-02T16:00:46"/>
  </r>
  <r>
    <n v="282"/>
    <s v="Стыковка Бетонных Ограничителей Зах.36"/>
    <n v="2"/>
    <s v="Значительное"/>
    <x v="0"/>
    <x v="3"/>
    <s v="chugunov@spgr.ru"/>
    <x v="3"/>
    <d v="2019-07-21T00:00:00"/>
    <d v="2019-07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47"/>
    <d v="2019-07-22T09:23:54"/>
    <d v="2019-07-22T09:24:43"/>
    <m/>
    <d v="2019-07-22T09:26:56"/>
  </r>
  <r>
    <n v="283"/>
    <s v="Установка Арматурного Каркаса Зах.36"/>
    <n v="2"/>
    <s v="Значительное"/>
    <x v="0"/>
    <x v="3"/>
    <s v="chugunov@spgr.ru"/>
    <x v="3"/>
    <d v="2019-07-22T00:00:00"/>
    <d v="2019-07-2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48"/>
    <d v="2019-07-22T09:26:14"/>
    <d v="2019-07-22T09:27:30"/>
    <m/>
    <d v="2019-07-22T09:29:53"/>
  </r>
  <r>
    <n v="291"/>
    <s v="Армировование БО 32,33"/>
    <n v="2"/>
    <s v="Значительное"/>
    <x v="0"/>
    <x v="3"/>
    <s v="chugunov@spgr.ru"/>
    <x v="3"/>
    <d v="2019-07-23T00:00:00"/>
    <d v="2019-07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49"/>
    <d v="2019-07-23T15:39:56"/>
    <d v="2019-07-23T15:42:20"/>
    <m/>
    <d v="2019-07-23T15:42:20"/>
  </r>
  <r>
    <n v="203"/>
    <s v="Армирование БО Стена В Грунте"/>
    <n v="2"/>
    <s v="Значительное"/>
    <x v="0"/>
    <x v="3"/>
    <s v="chugunov@spgr.ru"/>
    <x v="3"/>
    <d v="2019-07-05T00:00:00"/>
    <d v="2019-07-0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0"/>
    <d v="2019-07-05T16:17:38"/>
    <d v="2019-07-05T16:17:46"/>
    <m/>
    <d v="2019-07-05T16:17:47"/>
  </r>
  <r>
    <n v="481"/>
    <s v="Армирование БО 13 16"/>
    <n v="2"/>
    <s v="Значительное"/>
    <x v="0"/>
    <x v="3"/>
    <s v="chugunov@spgr.ru"/>
    <x v="3"/>
    <d v="2019-09-16T00:00:00"/>
    <d v="2019-09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1"/>
    <d v="2019-09-16T18:06:23"/>
    <d v="2019-09-16T18:19:02"/>
    <m/>
    <d v="2019-09-16T18:19:03"/>
  </r>
  <r>
    <n v="293"/>
    <s v="Армирование СВГ Зах.37"/>
    <n v="2"/>
    <s v="Значительное"/>
    <x v="0"/>
    <x v="3"/>
    <s v="chugunov@spgr.ru"/>
    <x v="3"/>
    <d v="2019-07-24T00:00:00"/>
    <d v="2019-07-2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2"/>
    <d v="2019-07-24T14:00:44"/>
    <d v="2019-07-24T14:04:04"/>
    <m/>
    <d v="2019-07-24T14:04:05"/>
  </r>
  <r>
    <n v="489"/>
    <s v="Стыковка БО Зах.17"/>
    <n v="2"/>
    <s v="Значительное"/>
    <x v="0"/>
    <x v="3"/>
    <s v="chugunov@spgr.ru"/>
    <x v="3"/>
    <d v="2019-09-17T00:00:00"/>
    <d v="2019-09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3"/>
    <d v="2019-09-17T16:16:02"/>
    <d v="2019-09-17T16:16:39"/>
    <m/>
    <d v="2019-09-17T16:16:39"/>
  </r>
  <r>
    <n v="382"/>
    <s v="Арматурный Каркас БО 3, 4"/>
    <n v="2"/>
    <s v="Значительное"/>
    <x v="0"/>
    <x v="3"/>
    <s v="chugunov@spgr.ru"/>
    <x v="3"/>
    <d v="2019-08-21T00:00:00"/>
    <d v="2019-08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4"/>
    <d v="2019-08-21T15:38:41"/>
    <d v="2019-08-21T15:41:52"/>
    <m/>
    <d v="2019-08-21T15:41:52"/>
  </r>
  <r>
    <n v="494"/>
    <s v="Стыковка БО Зах.16"/>
    <n v="2"/>
    <s v="Значительное"/>
    <x v="0"/>
    <x v="3"/>
    <s v="chugunov@spgr.ru"/>
    <x v="3"/>
    <d v="2019-09-18T00:00:00"/>
    <d v="2019-09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5"/>
    <d v="2019-09-18T14:40:08"/>
    <d v="2019-09-18T14:41:50"/>
    <m/>
    <d v="2019-09-18T14:41:51"/>
  </r>
  <r>
    <n v="492"/>
    <s v="Арматурный Каркас БО14, 15"/>
    <n v="2"/>
    <s v="Значительное"/>
    <x v="0"/>
    <x v="3"/>
    <s v="chugunov@spgr.ru"/>
    <x v="3"/>
    <d v="2019-09-18T00:00:00"/>
    <d v="2019-09-18T00:00:00"/>
    <s v="УФ усиление фундаментов цементацией-1"/>
    <n v="0"/>
    <n v="0"/>
    <s v="СВГ1Д_Устройство СВГ 1-ый двор"/>
    <m/>
    <m/>
    <s v="Контроль монтажных работ"/>
    <s v="Ссылка на план"/>
    <x v="556"/>
    <d v="2019-09-18T16:25:10"/>
    <d v="2019-09-18T16:25:11"/>
    <m/>
    <d v="2019-09-18T14:27:53"/>
  </r>
  <r>
    <n v="320"/>
    <s v="Стыковка Арматурного Каркаса Зах.38"/>
    <n v="2"/>
    <s v="Значительное"/>
    <x v="0"/>
    <x v="3"/>
    <s v="chugunov@spgr.ru"/>
    <x v="3"/>
    <d v="2019-07-29T00:00:00"/>
    <d v="2019-07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7"/>
    <d v="2019-07-29T18:34:28"/>
    <d v="2019-07-29T18:36:01"/>
    <m/>
    <d v="2019-07-30T17:01:10"/>
  </r>
  <r>
    <n v="322"/>
    <s v="Арматурные Каркасы И Опалубка Боковых Ограничителей 28, 29"/>
    <n v="2"/>
    <s v="Значительное"/>
    <x v="0"/>
    <x v="3"/>
    <s v="chugunov@spgr.ru"/>
    <x v="3"/>
    <d v="2019-07-30T00:00:00"/>
    <d v="2019-07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8"/>
    <d v="2019-07-30T15:22:53"/>
    <d v="2019-07-30T15:24:18"/>
    <m/>
    <d v="2019-07-30T17:01:15"/>
  </r>
  <r>
    <n v="332"/>
    <s v="Стыковка Арматурных Каркасов Зах.43"/>
    <n v="2"/>
    <s v="Значительное"/>
    <x v="0"/>
    <x v="3"/>
    <s v="chugunov@spgr.ru"/>
    <x v="3"/>
    <d v="2019-08-01T00:00:00"/>
    <d v="2019-08-0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59"/>
    <d v="2019-08-01T10:48:34"/>
    <d v="2019-08-01T20:11:57"/>
    <m/>
    <d v="2019-08-01T20:11:59"/>
  </r>
  <r>
    <n v="337"/>
    <s v="Арматурный Каркас БО 26, 27"/>
    <n v="2"/>
    <s v="Значительное"/>
    <x v="0"/>
    <x v="3"/>
    <s v="chugunov@spgr.ru"/>
    <x v="3"/>
    <d v="2019-08-02T00:00:00"/>
    <d v="2019-08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0"/>
    <d v="2019-08-02T15:28:51"/>
    <d v="2019-08-02T15:30:54"/>
    <m/>
    <d v="2019-08-02T15:30:55"/>
  </r>
  <r>
    <n v="340"/>
    <s v="Арматурный Каркас Зах.43/2"/>
    <n v="2"/>
    <s v="Значительное"/>
    <x v="0"/>
    <x v="3"/>
    <s v="chugunov@spgr.ru"/>
    <x v="3"/>
    <d v="2019-08-04T00:00:00"/>
    <d v="2019-08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1"/>
    <d v="2019-08-04T15:40:26"/>
    <d v="2019-08-04T15:42:37"/>
    <m/>
    <d v="2019-08-04T15:44:02"/>
  </r>
  <r>
    <n v="502"/>
    <s v="Арматурный Каркас БО 16, 17"/>
    <n v="2"/>
    <s v="Значительное"/>
    <x v="0"/>
    <x v="3"/>
    <s v="chugunov@spgr.ru"/>
    <x v="3"/>
    <d v="2019-09-20T00:00:00"/>
    <d v="2019-09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2"/>
    <d v="2019-09-20T15:09:19"/>
    <d v="2019-09-20T15:10:37"/>
    <m/>
    <d v="2019-09-20T15:10:37"/>
  </r>
  <r>
    <n v="393"/>
    <s v="Арматурный Каркас 7"/>
    <n v="2"/>
    <s v="Значительное"/>
    <x v="0"/>
    <x v="3"/>
    <s v="chugunov@spgr.ru"/>
    <x v="3"/>
    <d v="2019-08-26T00:00:00"/>
    <d v="2019-08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3"/>
    <d v="2019-08-26T16:23:49"/>
    <d v="2019-08-26T15:25:59"/>
    <m/>
    <d v="2019-08-26T15:26:01"/>
  </r>
  <r>
    <n v="345"/>
    <s v="Арматурный Каркас Зах.42"/>
    <n v="2"/>
    <s v="Значительное"/>
    <x v="0"/>
    <x v="3"/>
    <s v="chugunov@spgr.ru"/>
    <x v="3"/>
    <d v="2019-08-06T00:00:00"/>
    <d v="2019-08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4"/>
    <d v="2019-08-06T15:32:38"/>
    <d v="2019-08-06T15:33:52"/>
    <m/>
    <d v="2019-08-06T15:34:15"/>
  </r>
  <r>
    <n v="506"/>
    <s v="Стыковка БО Зах.13"/>
    <n v="2"/>
    <s v="Значительное"/>
    <x v="0"/>
    <x v="3"/>
    <s v="chugunov@spgr.ru"/>
    <x v="3"/>
    <d v="2019-09-21T00:00:00"/>
    <d v="2019-09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5"/>
    <d v="2019-09-21T13:28:32"/>
    <d v="2019-09-21T13:28:32"/>
    <m/>
    <d v="2019-09-21T13:28:33"/>
  </r>
  <r>
    <n v="796"/>
    <s v="СВГ_ Армирование БО"/>
    <n v="2"/>
    <s v="Значительное"/>
    <x v="0"/>
    <x v="3"/>
    <s v="chugunov@spgr.ru"/>
    <x v="3"/>
    <d v="2019-12-20T00:00:00"/>
    <d v="2019-12-20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566"/>
    <d v="2019-12-20T15:33:24"/>
    <d v="2019-12-20T15:35:31"/>
    <m/>
    <d v="2019-12-20T21:45:07"/>
  </r>
  <r>
    <n v="798"/>
    <s v="БНС 620"/>
    <n v="2"/>
    <s v="Значительное"/>
    <x v="0"/>
    <x v="3"/>
    <s v="chugunov@spgr.ru"/>
    <x v="3"/>
    <d v="2019-12-20T00:00:00"/>
    <d v="2019-12-20T00:00:00"/>
    <s v="Схема БН свай для предпроектного испытания"/>
    <n v="0"/>
    <n v="0"/>
    <s v="БНС1двор_предпроектное Испытание БН Свай"/>
    <m/>
    <m/>
    <m/>
    <s v="Ссылка на план"/>
    <x v="567"/>
    <d v="2019-12-20T21:49:36"/>
    <d v="2019-12-20T21:49:39"/>
    <m/>
    <d v="2019-12-20T21:49:49"/>
  </r>
  <r>
    <n v="407"/>
    <s v="Арматурный Каркас БО 8, 26"/>
    <n v="2"/>
    <s v="Значительное"/>
    <x v="0"/>
    <x v="3"/>
    <s v="chugunov@spgr.ru"/>
    <x v="3"/>
    <d v="2019-08-30T00:00:00"/>
    <d v="2019-08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8"/>
    <d v="2019-08-30T15:18:55"/>
    <d v="2019-08-30T15:20:09"/>
    <m/>
    <d v="2019-08-30T15:20:10"/>
  </r>
  <r>
    <n v="515"/>
    <s v="Армирование БО 11, 12"/>
    <n v="2"/>
    <s v="Значительное"/>
    <x v="0"/>
    <x v="3"/>
    <s v="chugunov@spgr.ru"/>
    <x v="3"/>
    <d v="2019-09-23T00:00:00"/>
    <d v="2019-09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69"/>
    <d v="2019-09-23T14:56:11"/>
    <d v="2019-09-23T14:57:50"/>
    <m/>
    <d v="2019-09-23T14:57:51"/>
  </r>
  <r>
    <n v="534"/>
    <s v="Арматурный Каркас БО 19, 20"/>
    <n v="2"/>
    <s v="Значительное"/>
    <x v="0"/>
    <x v="3"/>
    <s v="chugunov@spgr.ru"/>
    <x v="3"/>
    <d v="2019-09-25T00:00:00"/>
    <d v="2019-09-2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0"/>
    <d v="2019-09-25T16:55:10"/>
    <d v="2019-09-25T16:55:51"/>
    <m/>
    <d v="2019-09-25T16:55:52"/>
  </r>
  <r>
    <n v="424"/>
    <s v="Арматурный Каркас БО 10, 11, 22"/>
    <n v="2"/>
    <s v="Значительное"/>
    <x v="0"/>
    <x v="3"/>
    <s v="chugunov@spgr.ru"/>
    <x v="3"/>
    <d v="2019-09-03T00:00:00"/>
    <d v="2019-09-0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1"/>
    <d v="2019-09-03T14:30:08"/>
    <d v="2019-09-03T14:33:02"/>
    <m/>
    <d v="2019-09-03T14:33:05"/>
  </r>
  <r>
    <n v="541"/>
    <s v="Армирование Ж/Б Прилива В/О 1-2/А-Д"/>
    <n v="2"/>
    <s v="Значительное"/>
    <x v="0"/>
    <x v="3"/>
    <s v="chugunov@spgr.ru"/>
    <x v="3"/>
    <d v="2019-09-26T00:00:00"/>
    <d v="2019-09-26T00:00:00"/>
    <s v="00_-1 этаж"/>
    <n v="0"/>
    <n v="0"/>
    <s v="УФ_ЖБ плита и приливы"/>
    <m/>
    <m/>
    <s v="_Планы ПД"/>
    <s v="Ссылка на план"/>
    <x v="572"/>
    <d v="2019-09-26T18:42:37"/>
    <d v="2019-09-26T18:44:48"/>
    <m/>
    <d v="2019-09-26T18:44:49"/>
  </r>
  <r>
    <n v="545"/>
    <s v="Стыковка И Погружение БО Зах.6"/>
    <n v="2"/>
    <s v="Значительное"/>
    <x v="0"/>
    <x v="3"/>
    <s v="chugunov@spgr.ru"/>
    <x v="3"/>
    <d v="2019-09-27T00:00:00"/>
    <d v="2019-09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3"/>
    <d v="2019-09-27T15:40:41"/>
    <d v="2019-09-27T15:41:27"/>
    <m/>
    <d v="2019-09-27T15:41:27"/>
  </r>
  <r>
    <n v="430"/>
    <s v="Контроль Глубины И Угла Скважины Усиления Тела Фундамента Цементацией 3-8/1/Т-У, 2-3/Т-У, 12-18/А"/>
    <n v="2"/>
    <s v="Значительное"/>
    <x v="0"/>
    <x v="3"/>
    <s v="chugunov@spgr.ru"/>
    <x v="3"/>
    <d v="2019-09-05T00:00:00"/>
    <d v="2019-09-05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574"/>
    <d v="2019-09-05T10:39:16"/>
    <d v="2019-09-05T10:44:25"/>
    <m/>
    <d v="2019-09-05T10:44:26"/>
  </r>
  <r>
    <n v="808"/>
    <s v="Армирование Форшахты 2й Двор"/>
    <n v="2"/>
    <s v="Значительное"/>
    <x v="0"/>
    <x v="3"/>
    <s v="chugunov@spgr.ru"/>
    <x v="3"/>
    <d v="2019-12-22T00:00:00"/>
    <d v="2019-12-22T00:00:00"/>
    <s v="Форшахта"/>
    <n v="0"/>
    <n v="0"/>
    <s v="СВГ2д_Устройство Стены в Грунте 2й Двор"/>
    <m/>
    <m/>
    <s v="_Планы ПД"/>
    <s v="Ссылка на план"/>
    <x v="575"/>
    <d v="2019-12-22T09:55:48"/>
    <d v="2019-12-22T09:58:14"/>
    <m/>
    <d v="2019-12-22T09:58:15"/>
  </r>
  <r>
    <n v="557"/>
    <s v="Арматурный Каркас БО 23, 24"/>
    <n v="2"/>
    <s v="Значительное"/>
    <x v="0"/>
    <x v="3"/>
    <s v="chugunov@spgr.ru"/>
    <x v="3"/>
    <d v="2019-09-30T00:00:00"/>
    <d v="2019-09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6"/>
    <d v="2019-09-30T17:19:35"/>
    <d v="2019-09-30T17:21:07"/>
    <m/>
    <d v="2019-09-30T17:21:08"/>
  </r>
  <r>
    <n v="450"/>
    <s v="Монтаж БО Зах.25"/>
    <n v="2"/>
    <s v="Значительное"/>
    <x v="0"/>
    <x v="3"/>
    <s v="chugunov@spgr.ru"/>
    <x v="3"/>
    <d v="2019-09-09T00:00:00"/>
    <d v="2019-09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7"/>
    <d v="2019-09-09T09:32:42"/>
    <d v="2019-09-09T09:34:48"/>
    <m/>
    <d v="2019-09-09T09:34:48"/>
  </r>
  <r>
    <n v="456"/>
    <s v="Армирование БО 19, 20"/>
    <n v="2"/>
    <s v="Значительное"/>
    <x v="0"/>
    <x v="3"/>
    <s v="chugunov@spgr.ru"/>
    <x v="3"/>
    <d v="2019-09-10T00:00:00"/>
    <d v="2019-09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78"/>
    <d v="2019-09-10T14:59:54"/>
    <d v="2019-09-10T15:01:29"/>
    <m/>
    <d v="2019-09-10T15:01:31"/>
  </r>
  <r>
    <n v="810"/>
    <s v="Устройство Диафрагмы Jet Grouting 1й Двор"/>
    <n v="2"/>
    <s v="Значительное"/>
    <x v="0"/>
    <x v="3"/>
    <s v="chugunov@spgr.ru"/>
    <x v="3"/>
    <d v="2019-12-22T00:00:00"/>
    <d v="2019-12-22T00:00:00"/>
    <s v="1 двор Jet Groting"/>
    <n v="0"/>
    <n v="0"/>
    <s v="Jet1Двор_устройство Jet Grouting"/>
    <m/>
    <m/>
    <s v="Контроль монтажных работ"/>
    <s v="Ссылка на план"/>
    <x v="579"/>
    <d v="2019-12-22T14:37:53"/>
    <d v="2019-12-22T14:38:48"/>
    <m/>
    <d v="2019-12-22T14:38:50"/>
  </r>
  <r>
    <n v="570"/>
    <s v="Арматурный Каркас БО 25, 26"/>
    <n v="2"/>
    <s v="Значительное"/>
    <x v="0"/>
    <x v="3"/>
    <s v="chugunov@spgr.ru"/>
    <x v="3"/>
    <d v="2019-10-04T00:00:00"/>
    <d v="2019-10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80"/>
    <d v="2019-10-04T15:54:25"/>
    <d v="2019-10-04T15:55:50"/>
    <m/>
    <d v="2019-10-04T15:55:51"/>
  </r>
  <r>
    <n v="732"/>
    <s v="Противокапилярная Защита в/о 23-27/А-И"/>
    <n v="2"/>
    <s v="Значительное"/>
    <x v="0"/>
    <x v="3"/>
    <s v="chugunov@spgr.ru"/>
    <x v="3"/>
    <d v="2019-11-29T00:00:00"/>
    <d v="2019-11-29T00:00:00"/>
    <s v="00_-1 этаж"/>
    <n v="0"/>
    <n v="0"/>
    <s v="УФ_Противокапилярная гидроизоляция 1-3й этап"/>
    <m/>
    <m/>
    <s v="_Планы ПД"/>
    <s v="Ссылка на план"/>
    <x v="581"/>
    <d v="2019-11-29T10:32:59"/>
    <d v="2019-11-29T10:36:42"/>
    <m/>
    <d v="2019-11-29T10:36:42"/>
  </r>
  <r>
    <n v="829"/>
    <s v="ГЕО_Противокапилярная Защита В/О 12-28 А-г"/>
    <n v="2"/>
    <s v="Значительное"/>
    <x v="0"/>
    <x v="3"/>
    <s v="chugunov@spgr.ru"/>
    <x v="3"/>
    <d v="2019-12-23T00:00:00"/>
    <d v="2019-12-23T00:00:00"/>
    <s v="4-20_А-Д Противокапилярная защита"/>
    <n v="0"/>
    <n v="0"/>
    <s v="УФ_Противокапилярная гидроизоляция 1-3й этап"/>
    <m/>
    <m/>
    <s v="Противокапиллярная защита стен здания"/>
    <s v="Ссылка на план"/>
    <x v="582"/>
    <d v="2019-12-23T17:33:52"/>
    <d v="2019-12-23T17:36:33"/>
    <m/>
    <d v="2019-12-23T17:39:15"/>
  </r>
  <r>
    <n v="833"/>
    <s v="СВГ_Арматурный Каркас БО"/>
    <n v="2"/>
    <s v="Значительное"/>
    <x v="0"/>
    <x v="3"/>
    <s v="chugunov@spgr.ru"/>
    <x v="3"/>
    <d v="2019-12-24T00:00:00"/>
    <d v="2019-12-24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583"/>
    <d v="2019-12-24T14:35:48"/>
    <d v="2019-12-24T14:37:09"/>
    <m/>
    <d v="2019-12-24T14:38:55"/>
  </r>
  <r>
    <n v="658"/>
    <s v="Монтаж Боковых Ограничителей СВГ Зах.53"/>
    <n v="2"/>
    <s v="Значительное"/>
    <x v="0"/>
    <x v="3"/>
    <s v="chugunov@spgr.ru"/>
    <x v="3"/>
    <d v="2019-10-29T00:00:00"/>
    <d v="2019-10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84"/>
    <d v="2019-10-29T14:46:50"/>
    <d v="2019-10-29T14:48:54"/>
    <m/>
    <d v="2019-10-29T14:48:55"/>
  </r>
  <r>
    <n v="758"/>
    <s v="Контроль Процесса Испытания СВГ 620"/>
    <n v="2"/>
    <s v="Значительное"/>
    <x v="0"/>
    <x v="3"/>
    <s v="chugunov@spgr.ru"/>
    <x v="3"/>
    <d v="2019-12-06T00:00:00"/>
    <d v="2019-12-06T00:00:00"/>
    <s v="Схема БН свай для предпроектного испытания"/>
    <n v="0"/>
    <n v="0"/>
    <s v="БНС1двор_предпроектное Испытание БН Свай"/>
    <m/>
    <m/>
    <m/>
    <s v="Ссылка на план"/>
    <x v="585"/>
    <d v="2019-12-06T21:52:42"/>
    <d v="2019-12-06T21:54:00"/>
    <m/>
    <d v="2019-12-06T21:54:01"/>
  </r>
  <r>
    <n v="773"/>
    <s v="Гидрофобизация Цокольного Камня В/О 22-26/А"/>
    <n v="2"/>
    <s v="Значительное"/>
    <x v="0"/>
    <x v="3"/>
    <s v="chugunov@spgr.ru"/>
    <x v="3"/>
    <d v="2019-12-13T00:00:00"/>
    <d v="2019-12-13T00:00:00"/>
    <s v="НФ_Марсово поле"/>
    <n v="0"/>
    <n v="0"/>
    <s v="МП, Фасад"/>
    <m/>
    <m/>
    <s v="_Планы ПД"/>
    <s v="Ссылка на план"/>
    <x v="586"/>
    <d v="2019-12-13T14:18:06"/>
    <d v="2019-12-13T14:52:29"/>
    <m/>
    <d v="2019-12-13T14:52:30"/>
  </r>
  <r>
    <n v="775"/>
    <s v="Фасадные Работы. Набрызг На Кирпичную Кладку В/О 1-4/А"/>
    <n v="2"/>
    <s v="Значительное"/>
    <x v="0"/>
    <x v="3"/>
    <s v="chugunov@spgr.ru"/>
    <x v="3"/>
    <d v="2019-12-13T00:00:00"/>
    <d v="2019-12-13T00:00:00"/>
    <s v="НФ_Марсово поле"/>
    <n v="0"/>
    <n v="0"/>
    <s v="МП, Фасад"/>
    <m/>
    <m/>
    <s v="_Планы ПД"/>
    <s v="Ссылка на план"/>
    <x v="587"/>
    <d v="2019-12-13T14:58:21"/>
    <d v="2019-12-13T14:59:14"/>
    <m/>
    <d v="2019-12-13T14:59:15"/>
  </r>
  <r>
    <n v="777"/>
    <s v="СВГ_Арматурный Каркас БО"/>
    <n v="2"/>
    <s v="Значительное"/>
    <x v="0"/>
    <x v="3"/>
    <s v="chugunov@spgr.ru"/>
    <x v="3"/>
    <d v="2019-12-14T00:00:00"/>
    <d v="2019-12-14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588"/>
    <d v="2019-12-14T14:28:19"/>
    <d v="2019-12-14T14:31:58"/>
    <m/>
    <d v="2019-12-14T14:31:59"/>
  </r>
  <r>
    <n v="599"/>
    <s v="Армирование СВГ Захв 57"/>
    <n v="2"/>
    <s v="Значительное"/>
    <x v="0"/>
    <x v="4"/>
    <s v="denisov@spgr.ru"/>
    <x v="2"/>
    <d v="2019-10-11T00:00:00"/>
    <d v="2019-10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89"/>
    <d v="2019-10-12T22:34:57"/>
    <d v="2019-10-12T22:34:57"/>
    <m/>
    <d v="2019-10-12T22:35:49"/>
  </r>
  <r>
    <n v="9"/>
    <s v="Приемочный Контроль Армирования Стен ж/б Лотка в/о 1-2/И/1-2"/>
    <n v="2"/>
    <s v="Значительное"/>
    <x v="0"/>
    <x v="4"/>
    <s v="denisov@spgr.ru"/>
    <x v="2"/>
    <d v="2019-03-25T00:00:00"/>
    <d v="2019-03-25T00:00:00"/>
    <s v="00_-1 этаж"/>
    <n v="4.59"/>
    <n v="46.47"/>
    <s v="УФ_Устройство монолитного подземного канала(добавить закладные и гильзы)"/>
    <m/>
    <m/>
    <s v="_Планы ПД"/>
    <s v="Ссылка на план"/>
    <x v="590"/>
    <d v="2019-03-25T16:26:40"/>
    <d v="2019-03-25T16:26:40"/>
    <m/>
    <d v="2019-03-25T16:27:05"/>
  </r>
  <r>
    <n v="596"/>
    <s v="Армирование БО"/>
    <n v="2"/>
    <s v="Значительное"/>
    <x v="0"/>
    <x v="4"/>
    <s v="denisov@spgr.ru"/>
    <x v="2"/>
    <d v="2019-10-11T00:00:00"/>
    <d v="2019-10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1"/>
    <d v="2019-10-12T22:13:21"/>
    <d v="2019-10-12T22:13:21"/>
    <m/>
    <d v="2019-10-12T22:14:04"/>
  </r>
  <r>
    <n v="598"/>
    <s v="Устройство Траншеи СВГ Захв 57"/>
    <n v="2"/>
    <s v="Значительное"/>
    <x v="0"/>
    <x v="4"/>
    <s v="denisov@spgr.ru"/>
    <x v="2"/>
    <d v="2019-10-11T00:00:00"/>
    <d v="2019-10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2"/>
    <d v="2019-10-12T22:18:14"/>
    <d v="2019-10-12T22:18:14"/>
    <m/>
    <d v="2019-10-12T22:32:26"/>
  </r>
  <r>
    <n v="601"/>
    <s v="Устройство Траншеи СВГ Захв 58"/>
    <n v="2"/>
    <s v="Значительное"/>
    <x v="0"/>
    <x v="4"/>
    <s v="denisov@spgr.ru"/>
    <x v="2"/>
    <d v="2019-10-12T00:00:00"/>
    <d v="2019-10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3"/>
    <d v="2019-10-12T22:40:51"/>
    <d v="2019-10-12T22:40:51"/>
    <m/>
    <d v="2019-10-12T22:41:37"/>
  </r>
  <r>
    <n v="602"/>
    <s v="Армирование СВГ захв 58"/>
    <n v="2"/>
    <s v="Значительное"/>
    <x v="0"/>
    <x v="4"/>
    <s v="denisov@spgr.ru"/>
    <x v="2"/>
    <d v="2019-10-12T00:00:00"/>
    <d v="2019-10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4"/>
    <d v="2019-10-12T22:43:48"/>
    <d v="2019-10-12T22:43:48"/>
    <m/>
    <d v="2019-10-12T22:44:27"/>
  </r>
  <r>
    <n v="129"/>
    <s v="Приемочный Контроль Усиление Фундаментов Цементацией В/О К-П/23-27"/>
    <n v="2"/>
    <s v="Значительное"/>
    <x v="0"/>
    <x v="4"/>
    <s v="denisov@spgr.ru"/>
    <x v="2"/>
    <d v="2019-06-11T00:00:00"/>
    <d v="2019-06-11T00:00:00"/>
    <s v="00_-1 этаж"/>
    <n v="0"/>
    <n v="0"/>
    <s v="УФ_Усиление тела фундамента цементацией"/>
    <m/>
    <m/>
    <s v="_Планы ПД"/>
    <s v="Ссылка на план"/>
    <x v="595"/>
    <d v="2019-06-11T16:12:20"/>
    <d v="2019-06-11T16:12:20"/>
    <m/>
    <d v="2019-06-11T16:19:04"/>
  </r>
  <r>
    <n v="701"/>
    <s v="Устройство Траншеи СВГ захв 10"/>
    <n v="2"/>
    <s v="Значительное"/>
    <x v="0"/>
    <x v="4"/>
    <s v="denisov@spgr.ru"/>
    <x v="2"/>
    <d v="2019-11-20T00:00:00"/>
    <d v="2019-11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6"/>
    <d v="2019-11-21T10:29:44"/>
    <d v="2019-11-21T10:29:44"/>
    <m/>
    <d v="2019-11-21T10:31:48"/>
  </r>
  <r>
    <n v="702"/>
    <s v="Армирование СВГ Зах 10"/>
    <n v="2"/>
    <s v="Значительное"/>
    <x v="0"/>
    <x v="4"/>
    <s v="denisov@spgr.ru"/>
    <x v="2"/>
    <d v="2019-11-20T00:00:00"/>
    <d v="2019-11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597"/>
    <d v="2019-11-21T10:33:10"/>
    <d v="2019-11-21T10:33:10"/>
    <m/>
    <d v="2019-11-21T10:33:36"/>
  </r>
  <r>
    <n v="140"/>
    <s v="Приемочный Контроль Усиления Фундаментов Цементацей 19-19/2/Е, 20/1-21/1/Т/1"/>
    <n v="2"/>
    <s v="Значительное"/>
    <x v="0"/>
    <x v="4"/>
    <s v="denisov@spgr.ru"/>
    <x v="2"/>
    <d v="2019-06-17T00:00:00"/>
    <d v="2019-06-17T00:00:00"/>
    <s v="00_-1 этаж"/>
    <n v="0"/>
    <n v="0"/>
    <s v="УФ_Усиление тела фундамента цементацией"/>
    <m/>
    <m/>
    <s v="_Планы ПД"/>
    <s v="Ссылка на план"/>
    <x v="598"/>
    <d v="2019-06-17T15:09:32"/>
    <d v="2019-06-17T15:09:32"/>
    <m/>
    <d v="2019-06-17T16:23:28"/>
  </r>
  <r>
    <n v="257"/>
    <s v="Приемочный Контроль Усиления Фундаментов Цементацией В/О Д-Е/23, Т/1-У/22/1, Б/4-8"/>
    <n v="2"/>
    <s v="Значительное"/>
    <x v="0"/>
    <x v="4"/>
    <s v="denisov@spgr.ru"/>
    <x v="2"/>
    <d v="2019-07-15T00:00:00"/>
    <d v="2019-07-15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599"/>
    <d v="2019-07-15T11:03:37"/>
    <d v="2019-07-15T11:03:37"/>
    <m/>
    <d v="2019-07-15T11:08:48"/>
  </r>
  <r>
    <n v="52"/>
    <s v="Приемочный Контроль Армирования Стен Ж/Б Канал В Местах Прохода Гильз В/О 1-2/Д-И1"/>
    <n v="2"/>
    <s v="Значительное"/>
    <x v="0"/>
    <x v="4"/>
    <s v="denisov@spgr.ru"/>
    <x v="2"/>
    <d v="2019-04-26T00:00:00"/>
    <d v="2019-04-26T00:00:00"/>
    <s v="00_-1 этаж"/>
    <n v="0"/>
    <n v="0"/>
    <s v="УФ_Устройство монолитного подземного канала(добавить закладные и гильзы)"/>
    <m/>
    <m/>
    <s v="_Планы ПД"/>
    <s v="Ссылка на план"/>
    <x v="600"/>
    <d v="2019-04-26T17:20:36"/>
    <d v="2019-04-26T17:20:36"/>
    <m/>
    <d v="2019-04-26T17:26:16"/>
  </r>
  <r>
    <n v="607"/>
    <s v="Устройство Траншеи СВГ Захв 59"/>
    <n v="2"/>
    <s v="Значительное"/>
    <x v="0"/>
    <x v="4"/>
    <s v="denisov@spgr.ru"/>
    <x v="2"/>
    <d v="2019-10-13T00:00:00"/>
    <d v="2019-10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01"/>
    <d v="2019-10-15T00:03:39"/>
    <d v="2019-10-15T00:03:39"/>
    <m/>
    <d v="2019-10-15T00:04:16"/>
  </r>
  <r>
    <n v="351"/>
    <s v="Приемочный Контроль Усиления Фундаментов Цементацией В/О 5/1-12/1Т-У"/>
    <n v="2"/>
    <s v="Значительное"/>
    <x v="0"/>
    <x v="4"/>
    <s v="denisov@spgr.ru"/>
    <x v="2"/>
    <d v="2019-08-13T00:00:00"/>
    <d v="2019-08-13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602"/>
    <d v="2019-08-13T13:53:35"/>
    <d v="2019-08-13T13:53:35"/>
    <m/>
    <d v="2019-08-13T13:54:38"/>
  </r>
  <r>
    <n v="107"/>
    <s v="Приемочный Контроль Усиления Фундаментов Цементацией 18-19/2/Л, 18-19/2/Ж"/>
    <n v="2"/>
    <s v="Значительное"/>
    <x v="0"/>
    <x v="4"/>
    <s v="denisov@spgr.ru"/>
    <x v="2"/>
    <d v="2019-05-28T00:00:00"/>
    <d v="2019-05-28T00:00:00"/>
    <s v="00_-1 этаж"/>
    <n v="0"/>
    <n v="0"/>
    <s v="УФ_Усиление тела фундамента цементацией"/>
    <m/>
    <m/>
    <s v="_Планы ПД"/>
    <s v="Ссылка на план"/>
    <x v="603"/>
    <d v="2019-05-28T16:58:01"/>
    <d v="2019-05-28T16:58:01"/>
    <m/>
    <d v="2019-05-28T16:58:08"/>
  </r>
  <r>
    <n v="108"/>
    <s v="Приемочный Контроль Усиления Грунтов В/О 18-19/Д-Е, Д/22"/>
    <n v="2"/>
    <s v="Значительное"/>
    <x v="0"/>
    <x v="4"/>
    <s v="denisov@spgr.ru"/>
    <x v="2"/>
    <d v="2019-05-28T00:00:00"/>
    <d v="2019-05-28T00:00:00"/>
    <s v="01_1-ый этаж"/>
    <n v="0"/>
    <n v="0"/>
    <s v="УФ_ Закрепление грунтов основания под подошвой фундаментов"/>
    <m/>
    <m/>
    <s v="_Планы ПД"/>
    <s v="Ссылка на план"/>
    <x v="604"/>
    <d v="2019-05-28T17:02:14"/>
    <d v="2019-05-28T17:02:14"/>
    <m/>
    <d v="2019-05-28T17:04:02"/>
  </r>
  <r>
    <n v="474"/>
    <s v="Операционный Контроль Усиления Фундаментов Цементацией В/О 4/1-8/1/К-И"/>
    <n v="2"/>
    <s v="Значительное"/>
    <x v="0"/>
    <x v="4"/>
    <s v="denisov@spgr.ru"/>
    <x v="2"/>
    <d v="2019-09-13T00:00:00"/>
    <d v="2019-09-13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605"/>
    <d v="2019-09-13T16:34:54"/>
    <d v="2019-09-13T16:34:54"/>
    <m/>
    <d v="2019-09-13T16:47:23"/>
  </r>
  <r>
    <n v="473"/>
    <s v="Траншея Зах. 27"/>
    <n v="2"/>
    <s v="Значительное"/>
    <x v="0"/>
    <x v="4"/>
    <s v="denisov@spgr.ru"/>
    <x v="2"/>
    <d v="2019-09-13T00:00:00"/>
    <d v="2019-09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06"/>
    <d v="2019-09-13T16:16:32"/>
    <d v="2019-09-13T16:16:32"/>
    <m/>
    <d v="2019-09-13T16:47:21"/>
  </r>
  <r>
    <n v="156"/>
    <s v="Приемочный Контроль Усиления Фундаментов В/О 21-23/А-Б"/>
    <n v="2"/>
    <s v="Значительное"/>
    <x v="0"/>
    <x v="4"/>
    <s v="denisov@spgr.ru"/>
    <x v="2"/>
    <d v="2019-06-22T00:00:00"/>
    <d v="2019-06-22T00:00:00"/>
    <s v="00_-1 этаж"/>
    <n v="0"/>
    <n v="0"/>
    <s v="УФ_Усиление тела фундамента цементацией"/>
    <m/>
    <m/>
    <s v="_Планы ПД"/>
    <s v="Ссылка на план"/>
    <x v="607"/>
    <d v="2019-06-22T10:53:36"/>
    <d v="2019-06-22T10:53:36"/>
    <m/>
    <d v="2019-06-22T10:53:37"/>
  </r>
  <r>
    <n v="115"/>
    <s v="Приемочный Контроль Усиления Фундаментов Цементацией В/О 23-27/К-М, 27/Ж-И, Т/1/21/1-19/1, Н-Л/18-19/2"/>
    <n v="2"/>
    <s v="Значительное"/>
    <x v="0"/>
    <x v="4"/>
    <s v="denisov@spgr.ru"/>
    <x v="2"/>
    <d v="2019-06-04T00:00:00"/>
    <d v="2019-06-04T00:00:00"/>
    <s v="00_-1 этаж"/>
    <n v="0"/>
    <n v="0"/>
    <s v="УФ_Усиление тела фундамента цементацией"/>
    <m/>
    <m/>
    <s v="_Планы ПД"/>
    <s v="Ссылка на план"/>
    <x v="608"/>
    <d v="2019-06-04T10:14:06"/>
    <d v="2019-06-04T10:14:06"/>
    <m/>
    <d v="2019-09-11T12:02:39"/>
  </r>
  <r>
    <n v="173"/>
    <s v="Приемочный Контроль Усиление Фундаментов Цементацией В/О 22-26/А, 27/Ж-И, 23/Е-Д"/>
    <n v="3"/>
    <s v="Малозначительное"/>
    <x v="0"/>
    <x v="4"/>
    <s v="denisov@spgr.ru"/>
    <x v="2"/>
    <d v="2019-06-25T00:00:00"/>
    <d v="2019-06-25T00:00:00"/>
    <s v="00_-1 этаж"/>
    <n v="0"/>
    <n v="0"/>
    <s v="УФ_Усиление тела фундамента цементацией"/>
    <m/>
    <m/>
    <s v="_Планы ПД"/>
    <s v="Ссылка на план"/>
    <x v="609"/>
    <d v="2019-06-25T16:38:50"/>
    <d v="2019-06-25T16:38:50"/>
    <m/>
    <d v="2019-06-25T16:40:43"/>
  </r>
  <r>
    <n v="270"/>
    <s v="Приемочный Контроль Армирования Форшахты В/О М-Р/24"/>
    <n v="2"/>
    <s v="Значительное"/>
    <x v="0"/>
    <x v="4"/>
    <s v="denisov@spgr.ru"/>
    <x v="2"/>
    <d v="2019-07-18T00:00:00"/>
    <d v="2019-07-18T00:00:00"/>
    <s v="Форшахта"/>
    <n v="0"/>
    <n v="0"/>
    <s v="СВГ_Устройство форшахты"/>
    <m/>
    <m/>
    <s v="_Планы ПД"/>
    <s v="Ссылка на план"/>
    <x v="610"/>
    <d v="2019-07-18T16:04:12"/>
    <d v="2019-07-18T16:04:12"/>
    <m/>
    <d v="2019-07-18T16:05:48"/>
  </r>
  <r>
    <n v="271"/>
    <s v="Стыковка Арматурного Каркаса СВГ Зах.34"/>
    <n v="2"/>
    <s v="Значительное"/>
    <x v="0"/>
    <x v="4"/>
    <s v="denisov@spgr.ru"/>
    <x v="2"/>
    <d v="2019-07-18T00:00:00"/>
    <d v="2019-07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1"/>
    <d v="2019-07-18T16:08:49"/>
    <d v="2019-07-18T16:08:49"/>
    <m/>
    <d v="2019-07-18T16:09:16"/>
  </r>
  <r>
    <n v="269"/>
    <s v="Приемочный Контроль Усиление Фундаментов Цементацией В/О 22/1-26/Т-У"/>
    <n v="2"/>
    <s v="Значительное"/>
    <x v="0"/>
    <x v="4"/>
    <s v="denisov@spgr.ru"/>
    <x v="2"/>
    <d v="2019-07-18T00:00:00"/>
    <d v="2019-07-18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12"/>
    <d v="2019-07-18T16:01:34"/>
    <d v="2019-07-18T16:01:34"/>
    <m/>
    <d v="2019-07-18T16:03:18"/>
  </r>
  <r>
    <n v="122"/>
    <s v="Приемочный Контроль В/О 16/Д-К"/>
    <n v="2"/>
    <s v="Значительное"/>
    <x v="0"/>
    <x v="4"/>
    <s v="denisov@spgr.ru"/>
    <x v="2"/>
    <d v="2019-06-07T00:00:00"/>
    <d v="2019-06-07T00:00:00"/>
    <s v="00_-1 этаж"/>
    <n v="0"/>
    <n v="0"/>
    <s v="УФ_Усиление тела фундамента цементацией"/>
    <m/>
    <m/>
    <s v="_Планы ПД"/>
    <s v="Ссылка на план"/>
    <x v="613"/>
    <d v="2019-06-07T12:30:01"/>
    <d v="2019-06-07T12:30:01"/>
    <m/>
    <d v="2019-06-07T12:36:59"/>
  </r>
  <r>
    <n v="617"/>
    <s v="Армирование Захватки 59 СВГ"/>
    <n v="2"/>
    <s v="Значительное"/>
    <x v="0"/>
    <x v="4"/>
    <s v="denisov@spgr.ru"/>
    <x v="2"/>
    <d v="2019-10-13T00:00:00"/>
    <d v="2019-10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4"/>
    <d v="2019-10-15T23:41:58"/>
    <d v="2019-10-15T23:41:58"/>
    <m/>
    <d v="2019-10-15T23:42:33"/>
  </r>
  <r>
    <n v="619"/>
    <s v="Устройство Траншеи Захв 60 СВГ"/>
    <n v="2"/>
    <s v="Значительное"/>
    <x v="0"/>
    <x v="4"/>
    <s v="denisov@spgr.ru"/>
    <x v="2"/>
    <d v="2019-10-14T00:00:00"/>
    <d v="2019-10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5"/>
    <d v="2019-10-15T23:45:28"/>
    <d v="2019-10-15T23:45:28"/>
    <m/>
    <d v="2019-10-15T23:46:08"/>
  </r>
  <r>
    <n v="625"/>
    <s v="Армирование БО"/>
    <n v="2"/>
    <s v="Значительное"/>
    <x v="0"/>
    <x v="4"/>
    <s v="denisov@spgr.ru"/>
    <x v="2"/>
    <d v="2019-10-15T00:00:00"/>
    <d v="2019-10-1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6"/>
    <d v="2019-10-15T23:55:34"/>
    <d v="2019-10-15T23:55:34"/>
    <m/>
    <d v="2019-10-15T23:55:50"/>
  </r>
  <r>
    <n v="622"/>
    <s v="Устройство Траншеи Захв 61 Свг"/>
    <n v="2"/>
    <s v="Значительное"/>
    <x v="0"/>
    <x v="4"/>
    <s v="denisov@spgr.ru"/>
    <x v="2"/>
    <d v="2019-10-15T00:00:00"/>
    <d v="2019-10-1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7"/>
    <d v="2019-10-15T23:51:55"/>
    <d v="2019-10-15T23:51:55"/>
    <m/>
    <d v="2019-10-15T23:52:26"/>
  </r>
  <r>
    <n v="623"/>
    <s v="Армирование Захв 61 Свг"/>
    <n v="2"/>
    <s v="Значительное"/>
    <x v="0"/>
    <x v="4"/>
    <s v="denisov@spgr.ru"/>
    <x v="2"/>
    <d v="2019-10-15T00:00:00"/>
    <d v="2019-10-1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18"/>
    <d v="2019-10-15T23:53:28"/>
    <d v="2019-10-15T23:53:28"/>
    <m/>
    <d v="2019-10-15T23:53:50"/>
  </r>
  <r>
    <n v="184"/>
    <s v="Приемочный Контроль Усиление Фундаментов Цементацией В/О 15-16/Б-В"/>
    <n v="2"/>
    <s v="Значительное"/>
    <x v="0"/>
    <x v="4"/>
    <s v="denisov@spgr.ru"/>
    <x v="2"/>
    <d v="2019-07-01T00:00:00"/>
    <d v="2019-07-01T00:00:00"/>
    <s v="00_-1 этаж"/>
    <n v="0"/>
    <n v="0"/>
    <s v="УФ_Усиление тела фундамента цементацией"/>
    <m/>
    <m/>
    <s v="_Планы ПД"/>
    <s v="Ссылка на план"/>
    <x v="619"/>
    <d v="2019-07-01T11:27:49"/>
    <d v="2019-07-01T11:27:49"/>
    <m/>
    <d v="2019-07-01T11:29:47"/>
  </r>
  <r>
    <n v="279"/>
    <s v="Стыковка Арматурного Каркаса СВГ Зах.35"/>
    <n v="2"/>
    <s v="Значительное"/>
    <x v="0"/>
    <x v="4"/>
    <s v="denisov@spgr.ru"/>
    <x v="2"/>
    <d v="2019-07-20T00:00:00"/>
    <d v="2019-07-20T00:00:00"/>
    <s v="Ограждающая конструкция стена в грунте"/>
    <n v="0"/>
    <n v="0"/>
    <s v="СВГ_Устройство форшахты"/>
    <m/>
    <m/>
    <s v="Контроль монтажных работ"/>
    <s v="Ссылка на план"/>
    <x v="620"/>
    <d v="2019-07-20T15:56:54"/>
    <d v="2019-07-20T15:56:54"/>
    <m/>
    <d v="2019-07-20T15:57:15"/>
  </r>
  <r>
    <n v="278"/>
    <s v="Приемочный Контроль Усиление Фундаментов Цементацией В/О 22/1-26/П-У, 8/1-12/1/У"/>
    <n v="2"/>
    <s v="Значительное"/>
    <x v="0"/>
    <x v="4"/>
    <s v="denisov@spgr.ru"/>
    <x v="2"/>
    <d v="2019-07-20T00:00:00"/>
    <d v="2019-07-20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21"/>
    <d v="2019-07-20T15:54:13"/>
    <d v="2019-07-20T15:54:13"/>
    <m/>
    <d v="2019-07-20T15:54:25"/>
  </r>
  <r>
    <n v="620"/>
    <s v="Армирование Захв 60 СВГ"/>
    <n v="2"/>
    <s v="Значительное"/>
    <x v="0"/>
    <x v="4"/>
    <s v="denisov@spgr.ru"/>
    <x v="2"/>
    <d v="2019-10-14T00:00:00"/>
    <d v="2019-10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22"/>
    <d v="2019-10-15T23:47:46"/>
    <d v="2019-10-15T23:47:46"/>
    <m/>
    <d v="2019-10-15T23:48:15"/>
  </r>
  <r>
    <n v="368"/>
    <s v="Приемочный Контроль Армирования Форшахты В/О 21/1-22/1/Т/1"/>
    <n v="2"/>
    <s v="Значительное"/>
    <x v="0"/>
    <x v="4"/>
    <s v="denisov@spgr.ru"/>
    <x v="2"/>
    <d v="2019-08-17T00:00:00"/>
    <d v="2019-08-17T00:00:00"/>
    <s v="Форшахта"/>
    <n v="23"/>
    <n v="12.5"/>
    <s v="СВГ_Устройство форшахты"/>
    <m/>
    <m/>
    <s v="_Планы ПД"/>
    <s v="Ссылка на план"/>
    <x v="623"/>
    <d v="2019-08-17T16:35:10"/>
    <d v="2019-08-17T16:35:10"/>
    <m/>
    <d v="2019-08-17T16:36:23"/>
  </r>
  <r>
    <n v="308"/>
    <s v="Контроль Глубины Траншеи Зах.38"/>
    <n v="2"/>
    <s v="Значительное"/>
    <x v="0"/>
    <x v="4"/>
    <s v="denisov@spgr.ru"/>
    <x v="2"/>
    <d v="2019-07-28T00:00:00"/>
    <d v="2019-07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24"/>
    <d v="2019-07-28T22:03:45"/>
    <d v="2019-07-28T22:03:45"/>
    <m/>
    <d v="2019-07-30T09:00:54"/>
  </r>
  <r>
    <n v="309"/>
    <s v="Стыковка И Погружение БО Зах.38"/>
    <n v="2"/>
    <s v="Значительное"/>
    <x v="0"/>
    <x v="4"/>
    <s v="denisov@spgr.ru"/>
    <x v="2"/>
    <d v="2019-07-28T00:00:00"/>
    <d v="2019-07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25"/>
    <d v="2019-07-28T22:05:36"/>
    <d v="2019-07-28T22:05:36"/>
    <m/>
    <d v="2019-07-30T09:01:08"/>
  </r>
  <r>
    <n v="297"/>
    <s v="Приемочный Контроль Усиления Фундаментов Цементацией В/О 22/1-26/У-Т/1, 16/1-19/1/У-Т/1"/>
    <n v="2"/>
    <s v="Значительное"/>
    <x v="0"/>
    <x v="4"/>
    <s v="denisov@spgr.ru"/>
    <x v="2"/>
    <d v="2019-07-25T00:00:00"/>
    <d v="2019-07-25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26"/>
    <d v="2019-07-25T10:35:38"/>
    <d v="2019-07-25T10:35:38"/>
    <m/>
    <d v="2019-07-25T10:37:37"/>
  </r>
  <r>
    <n v="629"/>
    <s v="Армирование Саш Захв 9"/>
    <n v="2"/>
    <s v="Значительное"/>
    <x v="0"/>
    <x v="4"/>
    <s v="denisov@spgr.ru"/>
    <x v="2"/>
    <d v="2019-10-16T00:00:00"/>
    <d v="2019-10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27"/>
    <d v="2019-10-16T23:28:19"/>
    <d v="2019-10-16T23:28:19"/>
    <m/>
    <d v="2019-10-16T23:28:49"/>
  </r>
  <r>
    <n v="628"/>
    <s v="Устройство Траншеи Захв 9 Свг"/>
    <n v="2"/>
    <s v="Значительное"/>
    <x v="0"/>
    <x v="4"/>
    <s v="denisov@spgr.ru"/>
    <x v="2"/>
    <d v="2019-10-16T00:00:00"/>
    <d v="2019-10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28"/>
    <d v="2019-10-16T23:26:09"/>
    <d v="2019-10-16T23:26:09"/>
    <m/>
    <d v="2019-10-16T23:27:03"/>
  </r>
  <r>
    <n v="310"/>
    <s v="Приемочный Контроль Цементации Фундаментов В/О 19/1-23/1/Т-У"/>
    <n v="2"/>
    <s v="Значительное"/>
    <x v="0"/>
    <x v="4"/>
    <s v="denisov@spgr.ru"/>
    <x v="2"/>
    <d v="2019-07-29T00:00:00"/>
    <d v="2019-07-29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29"/>
    <d v="2019-07-29T22:51:28"/>
    <d v="2019-07-29T22:51:28"/>
    <m/>
    <d v="2019-07-29T22:52:43"/>
  </r>
  <r>
    <n v="312"/>
    <s v="Приемочный Контроль Усиления Фундаментов Цементацией В/О 19/1-21/1/Т-У, Д-Е/7-10"/>
    <n v="2"/>
    <s v="Значительное"/>
    <x v="0"/>
    <x v="4"/>
    <s v="denisov@spgr.ru"/>
    <x v="2"/>
    <d v="2019-07-30T00:00:00"/>
    <d v="2019-07-30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30"/>
    <d v="2019-07-30T15:12:47"/>
    <d v="2019-07-30T15:12:47"/>
    <m/>
    <d v="2019-07-30T15:14:33"/>
  </r>
  <r>
    <n v="318"/>
    <s v="Приемочный Контроль Армирования Форшахты В/О 22-23/Т/1"/>
    <n v="2"/>
    <s v="Значительное"/>
    <x v="0"/>
    <x v="4"/>
    <s v="denisov@spgr.ru"/>
    <x v="2"/>
    <d v="2019-07-30T00:00:00"/>
    <d v="2019-07-30T00:00:00"/>
    <s v="Форшахта"/>
    <n v="29.06"/>
    <n v="9.23"/>
    <s v="СВГ_Устройство форшахты"/>
    <m/>
    <m/>
    <s v="_Планы ПД"/>
    <s v="Ссылка на план"/>
    <x v="631"/>
    <d v="2019-07-30T15:29:24"/>
    <d v="2019-07-30T15:29:24"/>
    <m/>
    <d v="2019-07-30T15:30:11"/>
  </r>
  <r>
    <n v="314"/>
    <s v="Приемочный Контроль Армирования Приливов В/О 1-2/А-Д"/>
    <n v="2"/>
    <s v="Значительное"/>
    <x v="0"/>
    <x v="4"/>
    <s v="denisov@spgr.ru"/>
    <x v="2"/>
    <d v="2019-07-30T00:00:00"/>
    <d v="2019-07-30T00:00:00"/>
    <s v="00_-1 этаж"/>
    <n v="0"/>
    <n v="0"/>
    <s v="УФ_ЖБ плита и приливы"/>
    <m/>
    <m/>
    <s v="_Планы ПД"/>
    <s v="Ссылка на план"/>
    <x v="632"/>
    <d v="2019-07-30T15:17:42"/>
    <d v="2019-07-30T15:17:42"/>
    <m/>
    <d v="2019-07-30T15:23:41"/>
  </r>
  <r>
    <n v="632"/>
    <s v="Устройство Траншеи Захв 63 СВГ"/>
    <n v="2"/>
    <s v="Значительное"/>
    <x v="0"/>
    <x v="4"/>
    <s v="denisov@spgr.ru"/>
    <x v="2"/>
    <d v="2019-10-17T00:00:00"/>
    <d v="2019-10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33"/>
    <d v="2019-10-17T15:37:17"/>
    <d v="2019-10-17T15:37:17"/>
    <m/>
    <d v="2019-10-17T15:37:42"/>
  </r>
  <r>
    <n v="334"/>
    <s v="Приемочный Контроль Усиление Фундаментов Цементацией Д-И/1/7-10"/>
    <n v="2"/>
    <s v="Значительное"/>
    <x v="0"/>
    <x v="4"/>
    <s v="denisov@spgr.ru"/>
    <x v="2"/>
    <d v="2019-08-01T00:00:00"/>
    <d v="2019-08-01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634"/>
    <d v="2019-08-01T16:10:37"/>
    <d v="2019-08-01T16:10:37"/>
    <m/>
    <d v="2019-08-01T16:13:01"/>
  </r>
  <r>
    <n v="499"/>
    <s v="Устройство Траншеи СВГ Зах 15"/>
    <n v="2"/>
    <s v="Значительное"/>
    <x v="0"/>
    <x v="4"/>
    <s v="denisov@spgr.ru"/>
    <x v="2"/>
    <d v="2019-09-19T00:00:00"/>
    <d v="2019-09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35"/>
    <d v="2019-09-19T18:24:55"/>
    <d v="2019-09-19T18:24:55"/>
    <m/>
    <d v="2019-09-19T18:25:26"/>
  </r>
  <r>
    <n v="350"/>
    <s v="Приемочный Контроль Цементации Фундаментов В/О 8/1-12/1/Т-У"/>
    <n v="2"/>
    <s v="Значительное"/>
    <x v="0"/>
    <x v="4"/>
    <s v="denisov@spgr.ru"/>
    <x v="2"/>
    <d v="2019-08-08T00:00:00"/>
    <d v="2019-08-08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636"/>
    <d v="2019-08-08T18:19:44"/>
    <d v="2019-08-08T18:19:44"/>
    <m/>
    <d v="2019-08-08T18:20:59"/>
  </r>
  <r>
    <n v="528"/>
    <s v="Устройство Траншеи СВГ Захв 12"/>
    <n v="2"/>
    <s v="Значительное"/>
    <x v="0"/>
    <x v="4"/>
    <s v="denisov@spgr.ru"/>
    <x v="2"/>
    <d v="2019-09-22T00:00:00"/>
    <d v="2019-09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37"/>
    <d v="2019-09-24T09:07:50"/>
    <d v="2019-09-24T09:07:50"/>
    <m/>
    <d v="2019-09-24T09:08:56"/>
  </r>
  <r>
    <n v="537"/>
    <s v="Устройство Траншеи СВГ 11 Захв"/>
    <n v="2"/>
    <s v="Значительное"/>
    <x v="0"/>
    <x v="4"/>
    <s v="denisov@spgr.ru"/>
    <x v="2"/>
    <d v="2019-09-25T00:00:00"/>
    <d v="2019-09-2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38"/>
    <d v="2019-09-25T14:44:19"/>
    <d v="2019-09-25T14:44:19"/>
    <m/>
    <d v="2019-09-26T13:15:19"/>
  </r>
  <r>
    <n v="799"/>
    <s v="Армирование Стен И Основания Форшахты В/О Е/1-И/1/10"/>
    <n v="2"/>
    <s v="Значительное"/>
    <x v="0"/>
    <x v="4"/>
    <s v="denisov@spgr.ru"/>
    <x v="2"/>
    <d v="2019-12-21T00:00:00"/>
    <d v="2019-12-21T00:00:00"/>
    <s v="03_2019-Р-КЖ0-4[02] форшахта 2 Двор"/>
    <n v="13.26"/>
    <n v="48.87"/>
    <s v="СВГ2д_Устройство Стены в Грунте 2й Двор"/>
    <m/>
    <m/>
    <s v="Стена в грунте 2 двор"/>
    <s v="Ссылка на план"/>
    <x v="639"/>
    <d v="2019-12-21T11:02:15"/>
    <d v="2019-12-21T11:02:15"/>
    <m/>
    <d v="2019-12-21T11:04:12"/>
  </r>
  <r>
    <n v="426"/>
    <s v="Устройство Траншеи Зах. 23"/>
    <n v="2"/>
    <s v="Значительное"/>
    <x v="0"/>
    <x v="4"/>
    <s v="denisov@spgr.ru"/>
    <x v="2"/>
    <d v="2019-09-03T00:00:00"/>
    <d v="2019-09-0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0"/>
    <d v="2019-09-03T17:21:19"/>
    <d v="2019-09-03T17:21:19"/>
    <m/>
    <d v="2019-09-03T17:22:16"/>
  </r>
  <r>
    <n v="576"/>
    <s v="Армирование СВГ Захв 56"/>
    <n v="2"/>
    <s v="Значительное"/>
    <x v="0"/>
    <x v="4"/>
    <s v="denisov@spgr.ru"/>
    <x v="2"/>
    <d v="2019-10-06T00:00:00"/>
    <d v="2019-10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1"/>
    <d v="2019-10-06T23:09:30"/>
    <d v="2019-10-06T23:09:30"/>
    <m/>
    <d v="2019-10-06T23:10:02"/>
  </r>
  <r>
    <n v="577"/>
    <s v="Бетонирование СВГ Зах 56"/>
    <n v="2"/>
    <s v="Значительное"/>
    <x v="0"/>
    <x v="4"/>
    <s v="denisov@spgr.ru"/>
    <x v="2"/>
    <d v="2019-10-06T00:00:00"/>
    <d v="2019-10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2"/>
    <d v="2019-10-06T23:11:18"/>
    <d v="2019-10-06T23:11:18"/>
    <m/>
    <d v="2019-10-06T23:11:49"/>
  </r>
  <r>
    <n v="581"/>
    <s v="Бетонирование СВГ Захв 2"/>
    <n v="2"/>
    <s v="Значительное"/>
    <x v="0"/>
    <x v="4"/>
    <s v="denisov@spgr.ru"/>
    <x v="2"/>
    <d v="2019-10-07T00:00:00"/>
    <d v="2019-10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3"/>
    <d v="2019-10-08T07:54:57"/>
    <d v="2019-10-08T07:54:57"/>
    <m/>
    <d v="2019-10-08T07:55:35"/>
  </r>
  <r>
    <n v="548"/>
    <s v="Устройство Траншеи СВГ 7"/>
    <n v="2"/>
    <s v="Значительное"/>
    <x v="0"/>
    <x v="4"/>
    <s v="denisov@spgr.ru"/>
    <x v="2"/>
    <d v="2019-09-28T00:00:00"/>
    <d v="2019-09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4"/>
    <d v="2019-09-28T21:53:36"/>
    <d v="2019-09-28T21:53:36"/>
    <m/>
    <d v="2019-09-28T21:54:13"/>
  </r>
  <r>
    <n v="550"/>
    <s v="Армирование БО"/>
    <n v="2"/>
    <s v="Значительное"/>
    <x v="0"/>
    <x v="4"/>
    <s v="denisov@spgr.ru"/>
    <x v="2"/>
    <d v="2019-09-28T00:00:00"/>
    <d v="2019-09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5"/>
    <d v="2019-09-28T21:56:03"/>
    <d v="2019-09-28T21:56:03"/>
    <m/>
    <d v="2019-09-28T21:56:28"/>
  </r>
  <r>
    <n v="552"/>
    <s v="БЕТОНИРОВАНИЕ СВГ ЗАХВ 7"/>
    <n v="2"/>
    <s v="Значительное"/>
    <x v="0"/>
    <x v="4"/>
    <s v="denisov@spgr.ru"/>
    <x v="2"/>
    <d v="2019-09-28T00:00:00"/>
    <d v="2019-09-2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6"/>
    <d v="2019-09-28T21:59:54"/>
    <d v="2019-09-28T21:59:54"/>
    <m/>
    <d v="2019-09-28T22:01:13"/>
  </r>
  <r>
    <n v="443"/>
    <s v="Приемочный Контроль Устройства Обмазочной Гидроизоляции Стен И Плиты В/О 1-2/А-Г"/>
    <n v="2"/>
    <s v="Значительное"/>
    <x v="0"/>
    <x v="4"/>
    <s v="denisov@spgr.ru"/>
    <x v="2"/>
    <d v="2019-09-06T00:00:00"/>
    <d v="2019-09-06T00:00:00"/>
    <s v="00_-1 этаж"/>
    <n v="0"/>
    <n v="0"/>
    <s v="УФ_Гидроизоляция ЖБ плиты и приливов"/>
    <m/>
    <m/>
    <s v="_Планы ПД"/>
    <s v="Ссылка на план"/>
    <x v="647"/>
    <d v="2019-09-06T16:50:30"/>
    <d v="2019-09-06T16:50:30"/>
    <m/>
    <d v="2019-09-06T16:53:13"/>
  </r>
  <r>
    <n v="444"/>
    <s v="Устройство Под Свг Траншеи Зах. 24"/>
    <n v="2"/>
    <s v="Значительное"/>
    <x v="0"/>
    <x v="4"/>
    <s v="denisov@spgr.ru"/>
    <x v="2"/>
    <d v="2019-09-06T00:00:00"/>
    <d v="2019-09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8"/>
    <d v="2019-09-06T17:18:44"/>
    <d v="2019-09-06T17:18:44"/>
    <m/>
    <d v="2019-09-06T17:19:53"/>
  </r>
  <r>
    <n v="587"/>
    <s v="Устройство Траншеи СВГ захв 1"/>
    <n v="2"/>
    <s v="Значительное"/>
    <x v="0"/>
    <x v="4"/>
    <s v="denisov@spgr.ru"/>
    <x v="2"/>
    <d v="2019-10-09T00:00:00"/>
    <d v="2019-10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49"/>
    <d v="2019-10-09T22:34:26"/>
    <d v="2019-10-09T22:34:26"/>
    <m/>
    <d v="2019-10-09T22:35:03"/>
  </r>
  <r>
    <n v="575"/>
    <s v="Устройство Траншеи СВГ Зах 56"/>
    <n v="2"/>
    <s v="Значительное"/>
    <x v="0"/>
    <x v="4"/>
    <s v="denisov@spgr.ru"/>
    <x v="2"/>
    <d v="2019-10-06T00:00:00"/>
    <d v="2019-10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0"/>
    <d v="2019-10-06T23:06:11"/>
    <d v="2019-10-06T23:06:11"/>
    <m/>
    <d v="2019-10-06T23:07:45"/>
  </r>
  <r>
    <n v="653"/>
    <s v="Армирование СВГ Захв 48"/>
    <n v="2"/>
    <s v="Значительное"/>
    <x v="0"/>
    <x v="4"/>
    <s v="denisov@spgr.ru"/>
    <x v="2"/>
    <d v="2019-10-27T00:00:00"/>
    <d v="2019-10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1"/>
    <d v="2019-10-28T07:30:40"/>
    <d v="2019-10-28T07:30:40"/>
    <m/>
    <d v="2019-10-28T07:32:46"/>
  </r>
  <r>
    <n v="652"/>
    <s v="Устройство Траншеи СВГ Зах 48"/>
    <n v="2"/>
    <s v="Значительное"/>
    <x v="0"/>
    <x v="4"/>
    <s v="denisov@spgr.ru"/>
    <x v="2"/>
    <d v="2019-10-27T00:00:00"/>
    <d v="2019-10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2"/>
    <d v="2019-10-27T16:55:39"/>
    <d v="2019-10-27T16:55:39"/>
    <m/>
    <d v="2019-10-27T16:56:07"/>
  </r>
  <r>
    <n v="579"/>
    <s v="Устройство Траншеи СВГ Захв 2"/>
    <n v="2"/>
    <s v="Значительное"/>
    <x v="0"/>
    <x v="4"/>
    <s v="denisov@spgr.ru"/>
    <x v="2"/>
    <d v="2019-10-07T00:00:00"/>
    <d v="2019-10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3"/>
    <d v="2019-10-08T07:50:37"/>
    <d v="2019-10-08T07:50:37"/>
    <m/>
    <d v="2019-10-08T07:51:21"/>
  </r>
  <r>
    <n v="580"/>
    <s v="Армирование Захв 2"/>
    <n v="2"/>
    <s v="Значительное"/>
    <x v="0"/>
    <x v="4"/>
    <s v="denisov@spgr.ru"/>
    <x v="2"/>
    <d v="2019-10-07T00:00:00"/>
    <d v="2019-10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4"/>
    <d v="2019-10-08T07:53:01"/>
    <d v="2019-10-08T07:53:01"/>
    <m/>
    <d v="2019-10-08T07:53:42"/>
  </r>
  <r>
    <n v="584"/>
    <s v="Армирование БО"/>
    <n v="2"/>
    <s v="Значительное"/>
    <x v="0"/>
    <x v="4"/>
    <s v="denisov@spgr.ru"/>
    <x v="2"/>
    <d v="2019-10-08T00:00:00"/>
    <d v="2019-10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5"/>
    <d v="2019-10-08T22:56:19"/>
    <d v="2019-10-08T22:56:19"/>
    <m/>
    <d v="2019-10-08T22:57:34"/>
  </r>
  <r>
    <n v="582"/>
    <s v="Устройство Траншеи СВГ захв 6"/>
    <n v="2"/>
    <s v="Значительное"/>
    <x v="0"/>
    <x v="4"/>
    <s v="denisov@spgr.ru"/>
    <x v="2"/>
    <d v="2019-10-08T00:00:00"/>
    <d v="2019-10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6"/>
    <d v="2019-10-08T22:47:50"/>
    <d v="2019-10-08T22:47:50"/>
    <m/>
    <d v="2019-10-08T22:48:44"/>
  </r>
  <r>
    <n v="583"/>
    <s v="Армирование СВГ Захв 6"/>
    <n v="2"/>
    <s v="Значительное"/>
    <x v="0"/>
    <x v="4"/>
    <s v="denisov@spgr.ru"/>
    <x v="2"/>
    <d v="2019-10-08T00:00:00"/>
    <d v="2019-10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7"/>
    <d v="2019-10-08T22:50:42"/>
    <d v="2019-10-08T22:50:42"/>
    <m/>
    <d v="2019-10-08T22:51:27"/>
  </r>
  <r>
    <n v="585"/>
    <s v="Бетонирование БО"/>
    <n v="2"/>
    <s v="Значительное"/>
    <x v="0"/>
    <x v="4"/>
    <s v="denisov@spgr.ru"/>
    <x v="2"/>
    <d v="2019-10-08T00:00:00"/>
    <d v="2019-10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8"/>
    <d v="2019-10-08T22:59:10"/>
    <d v="2019-10-08T22:59:10"/>
    <m/>
    <d v="2019-10-08T22:59:35"/>
  </r>
  <r>
    <n v="588"/>
    <s v="Армирование СВГ Захв 1"/>
    <n v="2"/>
    <s v="Значительное"/>
    <x v="0"/>
    <x v="4"/>
    <s v="denisov@spgr.ru"/>
    <x v="2"/>
    <d v="2019-10-09T00:00:00"/>
    <d v="2019-10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59"/>
    <d v="2019-10-09T22:36:23"/>
    <d v="2019-10-09T22:36:23"/>
    <m/>
    <d v="2019-10-09T22:36:49"/>
  </r>
  <r>
    <n v="593"/>
    <s v="Устройство Траншеи СВГ Захв 57"/>
    <n v="2"/>
    <s v="Значительное"/>
    <x v="0"/>
    <x v="4"/>
    <s v="denisov@spgr.ru"/>
    <x v="2"/>
    <d v="2019-10-10T00:00:00"/>
    <d v="2019-10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0"/>
    <d v="2019-10-11T13:09:21"/>
    <d v="2019-10-11T13:09:21"/>
    <m/>
    <d v="2019-10-11T13:10:08"/>
  </r>
  <r>
    <n v="594"/>
    <s v="Армирование СВГ Захв 57"/>
    <n v="2"/>
    <s v="Значительное"/>
    <x v="0"/>
    <x v="4"/>
    <s v="denisov@spgr.ru"/>
    <x v="2"/>
    <d v="2019-10-10T00:00:00"/>
    <d v="2019-10-1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1"/>
    <d v="2019-10-11T13:11:48"/>
    <d v="2019-10-11T13:11:48"/>
    <m/>
    <d v="2019-10-11T13:12:10"/>
  </r>
  <r>
    <n v="667"/>
    <s v="Устройство Траншеи Свг Захв 51"/>
    <n v="2"/>
    <s v="Значительное"/>
    <x v="0"/>
    <x v="4"/>
    <s v="denisov@spgr.ru"/>
    <x v="2"/>
    <d v="2019-10-31T00:00:00"/>
    <d v="2019-10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2"/>
    <d v="2019-10-31T15:50:40"/>
    <d v="2019-10-31T15:50:40"/>
    <m/>
    <d v="2019-11-12T17:36:41"/>
  </r>
  <r>
    <n v="690"/>
    <s v="Устройство Траншеи СВГ Захв 62"/>
    <n v="2"/>
    <s v="Значительное"/>
    <x v="0"/>
    <x v="4"/>
    <s v="denisov@spgr.ru"/>
    <x v="2"/>
    <d v="2019-11-17T00:00:00"/>
    <d v="2019-11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3"/>
    <d v="2019-11-17T17:07:28"/>
    <d v="2019-11-17T17:07:28"/>
    <m/>
    <d v="2019-11-17T17:08:10"/>
  </r>
  <r>
    <n v="788"/>
    <s v="СВГ_Армирование Боковых Бетонных Ограничителей"/>
    <n v="2"/>
    <s v="Значительное"/>
    <x v="0"/>
    <x v="4"/>
    <s v="chugunov@spgr.ru"/>
    <x v="3"/>
    <d v="2019-12-17T00:00:00"/>
    <d v="2019-12-17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664"/>
    <d v="2019-12-17T15:43:19"/>
    <d v="2019-12-17T15:44:31"/>
    <m/>
    <d v="2019-12-17T15:44:32"/>
  </r>
  <r>
    <n v="467"/>
    <s v="Траншея . Зах.26"/>
    <n v="2"/>
    <s v="Значительное"/>
    <x v="0"/>
    <x v="4"/>
    <s v="chugunov@spgr.ru"/>
    <x v="3"/>
    <d v="2019-09-11T00:00:00"/>
    <d v="2019-09-1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5"/>
    <d v="2019-09-11T16:49:12"/>
    <d v="2019-09-11T16:51:24"/>
    <m/>
    <d v="2019-09-11T16:51:25"/>
  </r>
  <r>
    <n v="15"/>
    <s v="Приёмочный Контроль Траншеи Для Переноса Линий Связи"/>
    <n v="2"/>
    <s v="Значительное"/>
    <x v="0"/>
    <x v="4"/>
    <s v="chugunov@spgr.ru"/>
    <x v="3"/>
    <d v="2019-03-29T00:00:00"/>
    <d v="2019-03-29T00:00:00"/>
    <s v="ГП_Генплан_сети"/>
    <n v="0"/>
    <n v="0"/>
    <s v="Вынос ТС"/>
    <m/>
    <m/>
    <s v="_Планы ПД"/>
    <s v="Ссылка на план"/>
    <x v="666"/>
    <d v="2019-03-29T10:16:44"/>
    <d v="2019-03-29T10:16:44"/>
    <m/>
    <d v="2019-03-29T10:18:51"/>
  </r>
  <r>
    <n v="135"/>
    <s v="Усиление Фундаментов Цементацией В/О 18-27/А-У"/>
    <n v="2"/>
    <s v="Значительное"/>
    <x v="0"/>
    <x v="4"/>
    <s v="chugunov@spgr.ru"/>
    <x v="3"/>
    <d v="2019-06-13T00:00:00"/>
    <d v="2019-06-13T00:00:00"/>
    <s v="01_1-ый этаж"/>
    <n v="0"/>
    <n v="0"/>
    <s v="УФ_Усиление тела фундамента цементацией"/>
    <m/>
    <m/>
    <s v="_Планы ПД"/>
    <s v="Ссылка на план"/>
    <x v="667"/>
    <d v="2019-06-13T12:06:43"/>
    <d v="2019-06-13T12:06:43"/>
    <m/>
    <d v="2019-06-13T12:06:43"/>
  </r>
  <r>
    <n v="468"/>
    <s v="Стыковка БО Зах.26"/>
    <n v="2"/>
    <s v="Значительное"/>
    <x v="0"/>
    <x v="4"/>
    <s v="chugunov@spgr.ru"/>
    <x v="3"/>
    <d v="2019-09-12T00:00:00"/>
    <d v="2019-09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68"/>
    <d v="2019-09-12T09:53:53"/>
    <d v="2019-09-12T09:54:34"/>
    <m/>
    <d v="2019-09-12T10:23:54"/>
  </r>
  <r>
    <n v="138"/>
    <s v="Усиление Тела Фундаментов Цементацией В/О 16-19/Д-М"/>
    <n v="2"/>
    <s v="Значительное"/>
    <x v="0"/>
    <x v="4"/>
    <s v="chugunov@spgr.ru"/>
    <x v="3"/>
    <d v="2019-06-15T00:00:00"/>
    <d v="2019-06-15T00:00:00"/>
    <s v="01_1-ый этаж"/>
    <n v="0"/>
    <n v="0"/>
    <s v="УФ_Усиление тела фундамента цементацией"/>
    <m/>
    <m/>
    <s v="_Планы ПД"/>
    <s v="Ссылка на план"/>
    <x v="669"/>
    <d v="2019-06-15T10:47:10"/>
    <d v="2019-06-15T10:48:13"/>
    <m/>
    <d v="2019-06-15T10:48:17"/>
  </r>
  <r>
    <n v="247"/>
    <s v="Стыковка Арматурного Каркаса СВГ Зах.46"/>
    <n v="2"/>
    <s v="Значительное"/>
    <x v="0"/>
    <x v="4"/>
    <s v="chugunov@spgr.ru"/>
    <x v="3"/>
    <d v="2019-07-12T00:00:00"/>
    <d v="2019-07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70"/>
    <d v="2019-07-12T15:23:31"/>
    <d v="2019-07-12T15:25:05"/>
    <m/>
    <d v="2019-07-12T15:25:07"/>
  </r>
  <r>
    <n v="242"/>
    <s v="Стыковка  Бетонного Ограничителя Зах.46"/>
    <n v="2"/>
    <s v="Значительное"/>
    <x v="0"/>
    <x v="4"/>
    <s v="chugunov@spgr.ru"/>
    <x v="3"/>
    <d v="2019-07-12T00:00:00"/>
    <d v="2019-07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71"/>
    <d v="2019-07-12T12:29:13"/>
    <d v="2019-07-12T12:31:15"/>
    <m/>
    <d v="2019-07-12T12:31:15"/>
  </r>
  <r>
    <n v="469"/>
    <s v="Арматурный Каркас Зах.26"/>
    <n v="2"/>
    <s v="Значительное"/>
    <x v="0"/>
    <x v="4"/>
    <s v="chugunov@spgr.ru"/>
    <x v="3"/>
    <d v="2019-09-12T00:00:00"/>
    <d v="2019-09-1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72"/>
    <d v="2019-09-12T11:26:53"/>
    <d v="2019-09-12T17:55:01"/>
    <m/>
    <d v="2019-09-12T17:55:02"/>
  </r>
  <r>
    <n v="251"/>
    <s v="Усиление Фундаментов  Цементацией В/О 8/1-12/1-У,  18/1-20/1/У, 23/2-25/С-У,"/>
    <n v="2"/>
    <s v="Значительное"/>
    <x v="0"/>
    <x v="4"/>
    <s v="chugunov@spgr.ru"/>
    <x v="3"/>
    <d v="2019-07-13T00:00:00"/>
    <d v="2019-07-13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73"/>
    <d v="2019-07-13T11:05:11"/>
    <d v="2019-07-13T11:12:44"/>
    <m/>
    <d v="2019-07-13T11:12:57"/>
  </r>
  <r>
    <n v="256"/>
    <s v="Монтаж Бетонного Ограничителя Зах.44"/>
    <n v="2"/>
    <s v="Значительное"/>
    <x v="0"/>
    <x v="4"/>
    <s v="chugunov@spgr.ru"/>
    <x v="3"/>
    <d v="2019-07-13T00:00:00"/>
    <d v="2019-07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74"/>
    <d v="2019-07-15T09:19:33"/>
    <d v="2019-07-15T09:21:29"/>
    <m/>
    <d v="2019-07-15T09:21:30"/>
  </r>
  <r>
    <n v="44"/>
    <s v="Цементация Тела Фундамента В/О 22-27/М-П"/>
    <n v="2"/>
    <s v="Значительное"/>
    <x v="0"/>
    <x v="4"/>
    <s v="chugunov@spgr.ru"/>
    <x v="3"/>
    <d v="2019-04-20T00:00:00"/>
    <d v="2019-04-20T00:00:00"/>
    <s v="00_-1 этаж"/>
    <n v="0"/>
    <n v="0"/>
    <s v="УФ_Усиление тела фундамента цементацией"/>
    <m/>
    <m/>
    <s v="_Планы ПД"/>
    <s v="Ссылка на план"/>
    <x v="675"/>
    <d v="2019-04-20T09:44:05"/>
    <d v="2019-04-20T10:20:05"/>
    <m/>
    <d v="2019-04-20T10:20:05"/>
  </r>
  <r>
    <n v="357"/>
    <s v="Траншея Зах.39"/>
    <n v="2"/>
    <s v="Значительное"/>
    <x v="0"/>
    <x v="4"/>
    <s v="chugunov@spgr.ru"/>
    <x v="3"/>
    <d v="2019-08-13T00:00:00"/>
    <d v="2019-08-1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76"/>
    <d v="2019-08-13T16:45:20"/>
    <d v="2019-08-13T16:47:25"/>
    <m/>
    <d v="2019-08-13T16:47:27"/>
  </r>
  <r>
    <n v="54"/>
    <s v="Усиление Тела Фундамента Цементацией В/О 23-27/К-Р"/>
    <n v="2"/>
    <s v="Значительное"/>
    <x v="0"/>
    <x v="4"/>
    <s v="chugunov@spgr.ru"/>
    <x v="3"/>
    <d v="2019-04-29T00:00:00"/>
    <d v="2019-04-29T00:00:00"/>
    <s v="00_-1 этаж"/>
    <n v="0"/>
    <n v="0"/>
    <s v="УФ_Усиление тела фундамента цементацией"/>
    <m/>
    <m/>
    <s v="_Планы ПД"/>
    <s v="Ссылка на план"/>
    <x v="677"/>
    <d v="2019-04-29T15:27:56"/>
    <d v="2019-04-29T15:33:00"/>
    <m/>
    <d v="2019-04-29T15:33:00"/>
  </r>
  <r>
    <n v="55"/>
    <s v="Усиление Тела Фундамента Цементацией В/О 19-19/2/К-П"/>
    <n v="2"/>
    <s v="Значительное"/>
    <x v="0"/>
    <x v="4"/>
    <s v="chugunov@spgr.ru"/>
    <x v="3"/>
    <d v="2019-04-29T00:00:00"/>
    <d v="2019-04-29T00:00:00"/>
    <s v="01_1-ый этаж"/>
    <n v="0"/>
    <n v="0"/>
    <s v="УФ_Усиление тела фундамента цементацией"/>
    <m/>
    <m/>
    <s v="_Планы ПД"/>
    <s v="Ссылка на план"/>
    <x v="678"/>
    <d v="2019-04-29T15:33:26"/>
    <d v="2019-04-29T15:36:14"/>
    <m/>
    <d v="2019-04-29T15:36:14"/>
  </r>
  <r>
    <n v="56"/>
    <s v="Усиление Тела Фундамента Цементацией В/О 23-27/А-И"/>
    <n v="2"/>
    <s v="Значительное"/>
    <x v="0"/>
    <x v="4"/>
    <s v="chugunov@spgr.ru"/>
    <x v="3"/>
    <d v="2019-04-29T00:00:00"/>
    <d v="2019-04-29T00:00:00"/>
    <s v="00_-1 этаж"/>
    <n v="0"/>
    <n v="0"/>
    <s v="УФ_Усиление тела фундамента цементацией"/>
    <m/>
    <m/>
    <s v="_Планы ПД"/>
    <s v="Ссылка на план"/>
    <x v="679"/>
    <d v="2019-04-30T14:55:37"/>
    <d v="2019-04-30T14:55:37"/>
    <m/>
    <d v="2019-04-30T14:55:37"/>
  </r>
  <r>
    <n v="359"/>
    <s v="Арматурный Каркас Зах.39"/>
    <n v="2"/>
    <s v="Значительное"/>
    <x v="0"/>
    <x v="4"/>
    <s v="chugunov@spgr.ru"/>
    <x v="3"/>
    <d v="2019-08-14T00:00:00"/>
    <d v="2019-08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0"/>
    <d v="2019-08-14T13:58:31"/>
    <d v="2019-08-14T14:00:58"/>
    <m/>
    <d v="2019-08-14T14:00:59"/>
  </r>
  <r>
    <n v="362"/>
    <s v="Бетонирование Зах.39"/>
    <n v="2"/>
    <s v="Значительное"/>
    <x v="0"/>
    <x v="4"/>
    <s v="chugunov@spgr.ru"/>
    <x v="3"/>
    <d v="2019-08-14T00:00:00"/>
    <d v="2019-08-1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1"/>
    <d v="2019-08-14T18:39:44"/>
    <d v="2019-08-14T18:40:36"/>
    <m/>
    <d v="2019-08-14T18:40:40"/>
  </r>
  <r>
    <n v="177"/>
    <s v="Усиление Фундамента Цементацией В/О 13/3/С-У"/>
    <n v="2"/>
    <s v="Значительное"/>
    <x v="0"/>
    <x v="4"/>
    <s v="chugunov@spgr.ru"/>
    <x v="3"/>
    <d v="2019-06-28T00:00:00"/>
    <d v="2019-06-28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682"/>
    <d v="2019-06-28T10:08:25"/>
    <d v="2019-06-28T10:12:10"/>
    <m/>
    <d v="2019-06-28T10:12:10"/>
  </r>
  <r>
    <n v="176"/>
    <s v="Усиление Тела Фундаментов Цементацией В/О 36-27/К-Л"/>
    <n v="2"/>
    <s v="Значительное"/>
    <x v="0"/>
    <x v="4"/>
    <s v="chugunov@spgr.ru"/>
    <x v="3"/>
    <d v="2019-06-28T00:00:00"/>
    <d v="2019-06-28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683"/>
    <d v="2019-06-28T10:07:14"/>
    <d v="2019-06-28T10:08:06"/>
    <m/>
    <d v="2019-06-28T10:08:07"/>
  </r>
  <r>
    <n v="181"/>
    <s v="Приёмка Бетонных Ограничителей"/>
    <n v="2"/>
    <s v="Значительное"/>
    <x v="0"/>
    <x v="4"/>
    <s v="chugunov@spgr.ru"/>
    <x v="3"/>
    <d v="2019-06-29T00:00:00"/>
    <d v="2019-07-18T00:00:00"/>
    <s v="Форшахта"/>
    <n v="0"/>
    <n v="0"/>
    <s v="СВГ_Устройство форшахты"/>
    <m/>
    <m/>
    <s v="_Планы ПД"/>
    <s v="Ссылка на план"/>
    <x v="684"/>
    <d v="2019-06-29T10:48:49"/>
    <d v="2019-06-29T10:49:40"/>
    <m/>
    <d v="2019-07-24T16:16:18"/>
  </r>
  <r>
    <n v="480"/>
    <s v="Арматурный Каркас Зах.28"/>
    <n v="2"/>
    <s v="Значительное"/>
    <x v="0"/>
    <x v="4"/>
    <s v="chugunov@spgr.ru"/>
    <x v="3"/>
    <d v="2019-09-16T00:00:00"/>
    <d v="2019-09-1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5"/>
    <d v="2019-09-16T11:15:16"/>
    <d v="2019-09-16T14:19:10"/>
    <m/>
    <d v="2019-09-16T14:19:13"/>
  </r>
  <r>
    <n v="281"/>
    <s v="Контроль Глубины Траншеи Зах.36"/>
    <n v="2"/>
    <s v="Значительное"/>
    <x v="0"/>
    <x v="4"/>
    <s v="chugunov@spgr.ru"/>
    <x v="3"/>
    <d v="2019-07-21T00:00:00"/>
    <d v="2019-07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6"/>
    <d v="2019-07-22T09:20:50"/>
    <d v="2019-07-22T09:22:46"/>
    <m/>
    <d v="2019-07-22T09:25:00"/>
  </r>
  <r>
    <n v="370"/>
    <s v="Арматурный Каркас Зах.31"/>
    <n v="2"/>
    <s v="Значительное"/>
    <x v="0"/>
    <x v="4"/>
    <s v="chugunov@spgr.ru"/>
    <x v="3"/>
    <d v="2019-08-18T00:00:00"/>
    <d v="2019-08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7"/>
    <d v="2019-08-18T10:29:05"/>
    <d v="2019-08-18T11:22:09"/>
    <m/>
    <d v="2019-08-18T11:22:10"/>
  </r>
  <r>
    <n v="371"/>
    <s v="Траншея Зах.31"/>
    <n v="2"/>
    <s v="Значительное"/>
    <x v="0"/>
    <x v="4"/>
    <s v="chugunov@spgr.ru"/>
    <x v="3"/>
    <d v="2019-08-18T00:00:00"/>
    <d v="2019-08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8"/>
    <d v="2019-08-18T10:33:21"/>
    <d v="2019-08-18T10:34:26"/>
    <m/>
    <d v="2019-08-18T10:34:27"/>
  </r>
  <r>
    <n v="373"/>
    <s v="Бетонирование Зах.31"/>
    <n v="2"/>
    <s v="Значительное"/>
    <x v="0"/>
    <x v="4"/>
    <s v="chugunov@spgr.ru"/>
    <x v="3"/>
    <d v="2019-08-18T00:00:00"/>
    <d v="2019-08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89"/>
    <d v="2019-08-18T21:26:05"/>
    <d v="2019-08-18T21:27:47"/>
    <m/>
    <d v="2019-08-18T21:27:48"/>
  </r>
  <r>
    <n v="375"/>
    <s v="Арматурный Каркас БО 2"/>
    <n v="2"/>
    <s v="Значительное"/>
    <x v="0"/>
    <x v="4"/>
    <s v="chugunov@spgr.ru"/>
    <x v="3"/>
    <d v="2019-08-19T00:00:00"/>
    <d v="2019-08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0"/>
    <d v="2019-08-19T16:18:00"/>
    <d v="2019-08-19T18:02:04"/>
    <m/>
    <d v="2019-08-19T18:02:06"/>
  </r>
  <r>
    <n v="377"/>
    <s v="Траншея Зах. 30"/>
    <n v="2"/>
    <s v="Значительное"/>
    <x v="0"/>
    <x v="4"/>
    <s v="chugunov@spgr.ru"/>
    <x v="3"/>
    <d v="2019-08-19T00:00:00"/>
    <d v="2019-08-1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1"/>
    <d v="2019-08-19T18:02:56"/>
    <d v="2019-08-19T18:03:37"/>
    <m/>
    <d v="2019-08-19T18:03:39"/>
  </r>
  <r>
    <n v="483"/>
    <s v="Траншея Зах.17"/>
    <n v="2"/>
    <s v="Значительное"/>
    <x v="0"/>
    <x v="4"/>
    <s v="chugunov@spgr.ru"/>
    <x v="3"/>
    <d v="2019-09-17T00:00:00"/>
    <d v="2019-09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2"/>
    <d v="2019-09-17T12:38:17"/>
    <d v="2019-09-17T12:38:54"/>
    <m/>
    <d v="2019-09-17T12:38:55"/>
  </r>
  <r>
    <n v="490"/>
    <s v="Арматурный Каркас Зах.17"/>
    <n v="2"/>
    <s v="Значительное"/>
    <x v="0"/>
    <x v="4"/>
    <s v="chugunov@spgr.ru"/>
    <x v="3"/>
    <d v="2019-09-17T00:00:00"/>
    <d v="2019-09-1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3"/>
    <d v="2019-09-17T19:07:07"/>
    <d v="2019-09-17T20:35:22"/>
    <m/>
    <d v="2019-09-17T20:35:23"/>
  </r>
  <r>
    <n v="378"/>
    <s v="Арматурный Каркас Зах.30"/>
    <n v="2"/>
    <s v="Значительное"/>
    <x v="0"/>
    <x v="4"/>
    <s v="chugunov@spgr.ru"/>
    <x v="3"/>
    <d v="2019-08-20T00:00:00"/>
    <d v="2019-08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4"/>
    <d v="2019-08-20T10:52:12"/>
    <d v="2019-08-20T11:53:16"/>
    <m/>
    <d v="2019-08-20T11:53:48"/>
  </r>
  <r>
    <n v="493"/>
    <s v="Траншея Зах.16"/>
    <n v="2"/>
    <s v="Значительное"/>
    <x v="0"/>
    <x v="4"/>
    <s v="chugunov@spgr.ru"/>
    <x v="3"/>
    <d v="2019-09-18T00:00:00"/>
    <d v="2019-09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5"/>
    <d v="2019-09-18T16:26:09"/>
    <d v="2019-09-18T16:29:05"/>
    <m/>
    <d v="2019-09-18T14:31:47"/>
  </r>
  <r>
    <n v="316"/>
    <s v="Контроль Глубины И Угла Скважины Усиления Фундаментов Цементацией В/О 19/1-21/1/Т-У"/>
    <n v="2"/>
    <s v="Значительное"/>
    <x v="0"/>
    <x v="4"/>
    <s v="chugunov@spgr.ru"/>
    <x v="3"/>
    <d v="2019-07-27T00:00:00"/>
    <d v="2019-07-27T00:00:00"/>
    <s v="УФ усиление фундаментов цементацией-1"/>
    <n v="0"/>
    <n v="0"/>
    <s v="УФ_Усиление тела фундамента цементацией"/>
    <m/>
    <m/>
    <s v="Контроль монтажных работ"/>
    <s v="Ссылка на план"/>
    <x v="696"/>
    <d v="2019-07-27T12:26:30"/>
    <d v="2019-07-27T12:29:48"/>
    <m/>
    <d v="2019-07-30T17:01:04"/>
  </r>
  <r>
    <n v="319"/>
    <s v="Усиление Оснований Фундаментов 24-25/У"/>
    <n v="2"/>
    <s v="Значительное"/>
    <x v="0"/>
    <x v="4"/>
    <s v="chugunov@spgr.ru"/>
    <x v="3"/>
    <d v="2019-07-27T00:00:00"/>
    <d v="2019-07-27T00:00:00"/>
    <s v="03_2019_Р_УФ-3 усиление грунтов основания изм.1.1 4"/>
    <n v="0"/>
    <n v="0"/>
    <s v="УФ_ Закрепление грунтов основания под подошвой фундаментов"/>
    <m/>
    <m/>
    <s v="Контроль монтажных работ"/>
    <s v="Ссылка на план"/>
    <x v="697"/>
    <d v="2019-07-27T12:30:55"/>
    <d v="2019-07-27T12:32:07"/>
    <m/>
    <d v="2019-07-30T17:01:07"/>
  </r>
  <r>
    <n v="496"/>
    <s v="Армирование СВГ Зах.16"/>
    <n v="2"/>
    <s v="Значительное"/>
    <x v="0"/>
    <x v="4"/>
    <s v="chugunov@spgr.ru"/>
    <x v="3"/>
    <d v="2019-09-18T00:00:00"/>
    <d v="2019-09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8"/>
    <d v="2019-09-18T16:42:31"/>
    <d v="2019-09-18T17:26:23"/>
    <m/>
    <d v="2019-09-18T17:26:24"/>
  </r>
  <r>
    <n v="384"/>
    <s v="Траншея Зах.29"/>
    <n v="2"/>
    <s v="Значительное"/>
    <x v="0"/>
    <x v="4"/>
    <s v="chugunov@spgr.ru"/>
    <x v="3"/>
    <d v="2019-08-22T00:00:00"/>
    <d v="2019-08-2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699"/>
    <d v="2019-08-22T13:59:15"/>
    <d v="2019-08-22T13:59:45"/>
    <m/>
    <d v="2019-08-22T13:59:46"/>
  </r>
  <r>
    <n v="385"/>
    <s v="Арматурный Каркас Зах.29"/>
    <n v="2"/>
    <s v="Значительное"/>
    <x v="0"/>
    <x v="4"/>
    <s v="chugunov@spgr.ru"/>
    <x v="3"/>
    <d v="2019-08-22T00:00:00"/>
    <d v="2019-08-2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0"/>
    <d v="2019-08-22T13:59:55"/>
    <d v="2019-08-22T14:02:35"/>
    <m/>
    <d v="2019-08-22T14:02:36"/>
  </r>
  <r>
    <n v="389"/>
    <s v="Траншея Зах.18"/>
    <n v="2"/>
    <s v="Значительное"/>
    <x v="0"/>
    <x v="4"/>
    <s v="chugunov@spgr.ru"/>
    <x v="3"/>
    <d v="2019-08-24T00:00:00"/>
    <d v="2019-08-2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1"/>
    <d v="2019-08-24T18:37:02"/>
    <d v="2019-08-24T18:38:39"/>
    <m/>
    <d v="2019-08-24T18:38:39"/>
  </r>
  <r>
    <n v="388"/>
    <s v="Арматурный Каркас БО  24. 5, 6 Входной Контроль Бетона"/>
    <n v="2"/>
    <s v="Значительное"/>
    <x v="0"/>
    <x v="4"/>
    <s v="chugunov@spgr.ru"/>
    <x v="3"/>
    <d v="2019-08-23T00:00:00"/>
    <d v="2019-08-2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2"/>
    <d v="2019-08-23T15:26:31"/>
    <d v="2019-08-23T15:31:29"/>
    <m/>
    <d v="2019-08-23T15:31:29"/>
  </r>
  <r>
    <n v="415"/>
    <s v="Траншея СВГ 21"/>
    <n v="2"/>
    <s v="Значительное"/>
    <x v="0"/>
    <x v="4"/>
    <s v="chugunov@spgr.ru"/>
    <x v="3"/>
    <d v="2019-09-01T00:00:00"/>
    <d v="2019-09-0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3"/>
    <d v="2019-09-01T13:50:37"/>
    <d v="2019-09-01T13:51:41"/>
    <m/>
    <d v="2019-09-01T13:51:42"/>
  </r>
  <r>
    <n v="501"/>
    <s v="Траншея Зах.14"/>
    <n v="2"/>
    <s v="Значительное"/>
    <x v="0"/>
    <x v="4"/>
    <s v="chugunov@spgr.ru"/>
    <x v="3"/>
    <d v="2019-09-20T00:00:00"/>
    <d v="2019-09-2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4"/>
    <d v="2019-09-20T11:20:31"/>
    <d v="2019-09-20T11:22:07"/>
    <m/>
    <d v="2019-09-20T11:22:08"/>
  </r>
  <r>
    <n v="347"/>
    <s v="Траншея Зах.41"/>
    <n v="2"/>
    <s v="Значительное"/>
    <x v="0"/>
    <x v="4"/>
    <s v="chugunov@spgr.ru"/>
    <x v="3"/>
    <d v="2019-08-07T00:00:00"/>
    <d v="2019-08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5"/>
    <d v="2019-08-07T15:38:26"/>
    <d v="2019-08-07T16:53:02"/>
    <m/>
    <d v="2019-08-07T16:53:07"/>
  </r>
  <r>
    <n v="507"/>
    <s v="Армирование СВГ Зах.13"/>
    <n v="2"/>
    <s v="Значительное"/>
    <x v="0"/>
    <x v="4"/>
    <s v="chugunov@spgr.ru"/>
    <x v="3"/>
    <d v="2019-09-21T00:00:00"/>
    <d v="2019-09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6"/>
    <d v="2019-09-21T16:27:27"/>
    <d v="2019-09-21T16:29:33"/>
    <m/>
    <d v="2019-09-21T16:29:34"/>
  </r>
  <r>
    <n v="348"/>
    <s v="Стыковка Арматурных Каркасов Зах.41"/>
    <n v="2"/>
    <s v="Значительное"/>
    <x v="0"/>
    <x v="4"/>
    <s v="chugunov@spgr.ru"/>
    <x v="3"/>
    <d v="2019-08-08T00:00:00"/>
    <d v="2019-08-0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7"/>
    <d v="2019-08-08T13:05:33"/>
    <d v="2019-08-08T13:08:49"/>
    <m/>
    <d v="2019-08-08T13:08:59"/>
  </r>
  <r>
    <n v="396"/>
    <s v="Арматурный Каркас Зах. 20"/>
    <n v="2"/>
    <s v="Значительное"/>
    <x v="0"/>
    <x v="4"/>
    <s v="chugunov@spgr.ru"/>
    <x v="3"/>
    <d v="2019-08-29T00:00:00"/>
    <d v="2019-08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8"/>
    <d v="2019-08-27T10:22:50"/>
    <d v="2019-08-29T11:04:07"/>
    <m/>
    <d v="2019-08-29T11:04:08"/>
  </r>
  <r>
    <n v="505"/>
    <s v="Траншея Зах.13"/>
    <n v="2"/>
    <s v="Значительное"/>
    <x v="0"/>
    <x v="4"/>
    <s v="chugunov@spgr.ru"/>
    <x v="3"/>
    <d v="2019-09-21T00:00:00"/>
    <d v="2019-09-2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09"/>
    <d v="2019-09-21T11:53:59"/>
    <d v="2019-09-21T11:55:18"/>
    <m/>
    <d v="2019-09-21T11:55:20"/>
  </r>
  <r>
    <n v="529"/>
    <s v="Арматурный Каркас СВГ Зах.12"/>
    <n v="2"/>
    <s v="Значительное"/>
    <x v="0"/>
    <x v="4"/>
    <s v="chugunov@spgr.ru"/>
    <x v="3"/>
    <d v="2019-09-24T00:00:00"/>
    <d v="2019-09-2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0"/>
    <d v="2019-09-24T09:50:47"/>
    <d v="2019-09-24T16:40:49"/>
    <m/>
    <d v="2019-09-24T16:40:50"/>
  </r>
  <r>
    <n v="533"/>
    <s v="Арматурный Каркас СВГ Зах. 11"/>
    <n v="2"/>
    <s v="Значительное"/>
    <x v="0"/>
    <x v="4"/>
    <s v="chugunov@spgr.ru"/>
    <x v="3"/>
    <d v="2019-09-25T00:00:00"/>
    <d v="2019-09-25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1"/>
    <d v="2019-09-25T16:51:50"/>
    <d v="2019-09-25T17:54:55"/>
    <m/>
    <d v="2019-09-25T17:54:58"/>
  </r>
  <r>
    <n v="416"/>
    <s v="Арматурный Каркас Зах.22"/>
    <n v="2"/>
    <s v="Значительное"/>
    <x v="0"/>
    <x v="4"/>
    <s v="chugunov@spgr.ru"/>
    <x v="3"/>
    <d v="2019-09-02T00:00:00"/>
    <d v="2019-09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2"/>
    <d v="2019-09-02T10:36:11"/>
    <d v="2019-09-02T11:27:10"/>
    <m/>
    <d v="2019-09-02T11:27:11"/>
  </r>
  <r>
    <n v="539"/>
    <s v="Арматурный Каркас СВГ Зах.5"/>
    <n v="2"/>
    <s v="Значительное"/>
    <x v="0"/>
    <x v="4"/>
    <s v="chugunov@spgr.ru"/>
    <x v="3"/>
    <d v="2019-09-26T00:00:00"/>
    <d v="2019-09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3"/>
    <d v="2019-09-26T18:38:03"/>
    <d v="2019-09-26T19:11:31"/>
    <m/>
    <d v="2019-09-26T19:11:32"/>
  </r>
  <r>
    <n v="428"/>
    <s v="Арматурный Каркас Зах.23"/>
    <n v="2"/>
    <s v="Значительное"/>
    <x v="0"/>
    <x v="4"/>
    <s v="chugunov@spgr.ru"/>
    <x v="3"/>
    <d v="2019-09-04T00:00:00"/>
    <d v="2019-09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4"/>
    <d v="2019-09-04T10:41:38"/>
    <d v="2019-09-04T11:05:44"/>
    <m/>
    <d v="2019-09-04T11:05:45"/>
  </r>
  <r>
    <n v="546"/>
    <s v="Арматурный Каркас СВГ Зах.6"/>
    <n v="2"/>
    <s v="Значительное"/>
    <x v="0"/>
    <x v="4"/>
    <s v="chugunov@spgr.ru"/>
    <x v="3"/>
    <d v="2019-09-27T00:00:00"/>
    <d v="2019-09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5"/>
    <d v="2019-09-27T15:42:21"/>
    <d v="2019-09-27T15:44:36"/>
    <m/>
    <d v="2019-09-27T15:44:37"/>
  </r>
  <r>
    <n v="543"/>
    <s v="Траншея Зах.6"/>
    <n v="2"/>
    <s v="Значительное"/>
    <x v="0"/>
    <x v="4"/>
    <s v="chugunov@spgr.ru"/>
    <x v="3"/>
    <d v="2019-09-27T00:00:00"/>
    <d v="2019-09-2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6"/>
    <d v="2019-09-27T11:43:50"/>
    <d v="2019-09-27T11:45:46"/>
    <m/>
    <d v="2019-09-27T11:45:47"/>
  </r>
  <r>
    <n v="553"/>
    <s v="Траншея Зах. 4"/>
    <n v="2"/>
    <s v="Значительное"/>
    <x v="0"/>
    <x v="4"/>
    <s v="chugunov@spgr.ru"/>
    <x v="3"/>
    <d v="2019-09-29T00:00:00"/>
    <d v="2019-09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7"/>
    <d v="2019-09-29T15:31:20"/>
    <d v="2019-09-29T15:33:34"/>
    <m/>
    <d v="2019-09-29T15:33:36"/>
  </r>
  <r>
    <n v="554"/>
    <s v="Арматурный Каркас Зах.4"/>
    <n v="2"/>
    <s v="Значительное"/>
    <x v="0"/>
    <x v="4"/>
    <s v="chugunov@spgr.ru"/>
    <x v="3"/>
    <d v="2019-09-29T00:00:00"/>
    <d v="2019-09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8"/>
    <d v="2019-09-29T15:33:46"/>
    <d v="2019-09-29T16:32:12"/>
    <m/>
    <d v="2019-09-29T16:32:13"/>
  </r>
  <r>
    <n v="439"/>
    <s v="Арматурный Каркас БО 12, 21"/>
    <n v="2"/>
    <s v="Значительное"/>
    <x v="0"/>
    <x v="4"/>
    <s v="chugunov@spgr.ru"/>
    <x v="3"/>
    <d v="2019-09-06T00:00:00"/>
    <d v="2019-09-0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19"/>
    <d v="2019-09-06T14:57:26"/>
    <d v="2019-09-06T14:58:35"/>
    <m/>
    <d v="2019-09-06T14:58:38"/>
  </r>
  <r>
    <n v="447"/>
    <s v="Арматурный Каркас Зах.24"/>
    <n v="2"/>
    <s v="Значительное"/>
    <x v="0"/>
    <x v="4"/>
    <s v="chugunov@spgr.ru"/>
    <x v="3"/>
    <d v="2019-09-07T00:00:00"/>
    <d v="2019-09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0"/>
    <d v="2019-09-07T11:12:39"/>
    <d v="2019-09-07T14:46:52"/>
    <m/>
    <d v="2019-09-07T14:46:53"/>
  </r>
  <r>
    <n v="445"/>
    <s v="Стыковка БО Зах.24"/>
    <n v="2"/>
    <s v="Значительное"/>
    <x v="0"/>
    <x v="4"/>
    <s v="chugunov@spgr.ru"/>
    <x v="3"/>
    <d v="2019-09-07T00:00:00"/>
    <d v="2019-09-07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1"/>
    <d v="2019-09-07T10:59:41"/>
    <d v="2019-09-07T11:01:15"/>
    <m/>
    <d v="2019-09-07T11:01:16"/>
  </r>
  <r>
    <n v="446"/>
    <s v="Усиление Тела Фундамента В/О 2-12/Л-У, 7-12/A-Г, 12-16/А"/>
    <n v="2"/>
    <s v="Значительное"/>
    <x v="0"/>
    <x v="4"/>
    <s v="chugunov@spgr.ru"/>
    <x v="3"/>
    <d v="2019-09-07T00:00:00"/>
    <d v="2019-09-07T00:00:00"/>
    <s v="УФ усиление фундаментов цементацией-2"/>
    <n v="0"/>
    <n v="0"/>
    <s v="УФ_Усиление тела фундамента цементацией"/>
    <m/>
    <m/>
    <s v="Контроль монтажных работ"/>
    <s v="Ссылка на план"/>
    <x v="722"/>
    <d v="2019-09-07T11:01:41"/>
    <d v="2019-09-07T11:05:29"/>
    <m/>
    <d v="2019-09-07T11:05:30"/>
  </r>
  <r>
    <n v="152"/>
    <s v="Армирование Форшахты В/О 21-23/Г-д и 23/Е-И"/>
    <n v="2"/>
    <s v="Значительное"/>
    <x v="0"/>
    <x v="4"/>
    <s v="chugunov@spgr.ru"/>
    <x v="3"/>
    <d v="2019-06-18T00:00:00"/>
    <d v="2019-06-18T00:00:00"/>
    <s v="Форшахта"/>
    <n v="0"/>
    <n v="0"/>
    <s v="СВГ_Устройство форшахты"/>
    <m/>
    <m/>
    <s v="_Планы ПД"/>
    <s v="Ссылка на план"/>
    <x v="723"/>
    <d v="2019-10-23T11:38:30"/>
    <d v="2019-10-23T11:38:38"/>
    <m/>
    <d v="2019-10-23T11:38:39"/>
  </r>
  <r>
    <n v="556"/>
    <s v="Траншея Зах.3"/>
    <n v="2"/>
    <s v="Значительное"/>
    <x v="0"/>
    <x v="4"/>
    <s v="chugunov@spgr.ru"/>
    <x v="3"/>
    <d v="2019-09-30T00:00:00"/>
    <d v="2019-09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4"/>
    <d v="2019-09-30T16:24:32"/>
    <d v="2019-09-30T16:25:42"/>
    <m/>
    <d v="2019-09-30T16:25:42"/>
  </r>
  <r>
    <n v="559"/>
    <s v="Арматурный Каркас Зах.3"/>
    <n v="2"/>
    <s v="Значительное"/>
    <x v="0"/>
    <x v="4"/>
    <s v="chugunov@spgr.ru"/>
    <x v="3"/>
    <d v="2019-09-30T00:00:00"/>
    <d v="2019-09-30T00:00:00"/>
    <s v="Ограждающая конструкция стена в грунте"/>
    <n v="0"/>
    <n v="0"/>
    <s v="СВГ_Устройство форшахты"/>
    <m/>
    <m/>
    <s v="Контроль монтажных работ"/>
    <s v="Ссылка на план"/>
    <x v="725"/>
    <d v="2019-09-30T18:45:21"/>
    <d v="2019-09-30T18:45:57"/>
    <m/>
    <d v="2019-09-30T18:45:58"/>
  </r>
  <r>
    <n v="451"/>
    <s v="Арматурный Каркас СВГ Зах. 25"/>
    <n v="2"/>
    <s v="Значительное"/>
    <x v="0"/>
    <x v="4"/>
    <s v="chugunov@spgr.ru"/>
    <x v="3"/>
    <d v="2019-09-09T00:00:00"/>
    <d v="2019-09-0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6"/>
    <d v="2019-09-09T11:00:03"/>
    <d v="2019-09-09T11:02:12"/>
    <m/>
    <d v="2019-09-09T11:02:13"/>
  </r>
  <r>
    <n v="809"/>
    <s v="БНС 620_14"/>
    <n v="2"/>
    <s v="Значительное"/>
    <x v="0"/>
    <x v="4"/>
    <s v="chugunov@spgr.ru"/>
    <x v="3"/>
    <d v="2019-12-22T00:00:00"/>
    <d v="2019-12-22T00:00:00"/>
    <s v="Схема БН свай для предпроектного испытания"/>
    <n v="0"/>
    <n v="0"/>
    <s v="БНС1_Устройство Буронабивных Свай В 1 Дворе"/>
    <m/>
    <m/>
    <m/>
    <s v="Ссылка на план"/>
    <x v="727"/>
    <d v="2019-12-22T14:19:32"/>
    <d v="2019-12-22T14:19:35"/>
    <m/>
    <d v="2019-12-22T14:19:37"/>
  </r>
  <r>
    <n v="562"/>
    <s v="Стыковка БО Зах.54"/>
    <n v="2"/>
    <s v="Значительное"/>
    <x v="0"/>
    <x v="4"/>
    <s v="chugunov@spgr.ru"/>
    <x v="3"/>
    <d v="2019-10-02T00:00:00"/>
    <d v="2019-10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8"/>
    <d v="2019-10-02T17:00:49"/>
    <d v="2019-10-03T10:48:51"/>
    <m/>
    <d v="2019-10-03T10:48:52"/>
  </r>
  <r>
    <n v="561"/>
    <s v="Траншея СВГ Зах. 54"/>
    <n v="2"/>
    <s v="Значительное"/>
    <x v="0"/>
    <x v="4"/>
    <s v="chugunov@spgr.ru"/>
    <x v="3"/>
    <d v="2019-10-02T00:00:00"/>
    <d v="2019-10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29"/>
    <d v="2019-10-02T14:03:56"/>
    <d v="2019-10-02T17:00:17"/>
    <m/>
    <d v="2019-10-02T17:00:17"/>
  </r>
  <r>
    <n v="563"/>
    <s v="Арматурный Каркас СВГ Зах.54"/>
    <n v="2"/>
    <s v="Значительное"/>
    <x v="0"/>
    <x v="4"/>
    <s v="chugunov@spgr.ru"/>
    <x v="3"/>
    <d v="2019-10-03T00:00:00"/>
    <d v="2019-10-03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0"/>
    <d v="2019-10-03T10:48:58"/>
    <d v="2019-10-03T10:50:30"/>
    <m/>
    <d v="2019-10-03T10:50:31"/>
  </r>
  <r>
    <n v="572"/>
    <s v="Арматурный Каркас Зах.55"/>
    <n v="2"/>
    <s v="Значительное"/>
    <x v="0"/>
    <x v="4"/>
    <s v="chugunov@spgr.ru"/>
    <x v="3"/>
    <d v="2019-10-04T00:00:00"/>
    <d v="2019-10-04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1"/>
    <d v="2019-10-04T16:03:44"/>
    <d v="2019-10-04T16:05:57"/>
    <m/>
    <d v="2019-10-04T16:05:58"/>
  </r>
  <r>
    <n v="812"/>
    <s v="БНС 620_27"/>
    <n v="2"/>
    <s v="Значительное"/>
    <x v="0"/>
    <x v="4"/>
    <s v="chugunov@spgr.ru"/>
    <x v="3"/>
    <d v="2019-12-23T00:00:00"/>
    <d v="2019-12-23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732"/>
    <d v="2019-12-23T09:20:49"/>
    <d v="2019-12-23T09:22:17"/>
    <m/>
    <d v="2019-12-23T09:22:17"/>
  </r>
  <r>
    <n v="648"/>
    <s v="Траншея Зах.47"/>
    <n v="2"/>
    <s v="Значительное"/>
    <x v="0"/>
    <x v="4"/>
    <s v="chugunov@spgr.ru"/>
    <x v="3"/>
    <d v="2019-10-26T00:00:00"/>
    <d v="2019-10-26T00:00:00"/>
    <s v="Ограждающая конструкция стена в грунте"/>
    <n v="50"/>
    <n v="50"/>
    <s v="СВГ1Д_Устройство СВГ 1-ый двор"/>
    <m/>
    <m/>
    <s v="Контроль монтажных работ"/>
    <s v="Ссылка на план"/>
    <x v="733"/>
    <d v="2019-10-26T12:30:04"/>
    <d v="2019-10-26T14:21:07"/>
    <m/>
    <d v="2019-10-26T14:22:07"/>
  </r>
  <r>
    <n v="649"/>
    <s v="Монтаж Боковых граничителей Зах.47"/>
    <n v="2"/>
    <s v="Значительное"/>
    <x v="0"/>
    <x v="4"/>
    <s v="chugunov@spgr.ru"/>
    <x v="3"/>
    <d v="2019-10-26T00:00:00"/>
    <d v="2019-10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4"/>
    <d v="2019-10-26T18:09:37"/>
    <d v="2019-10-26T18:10:17"/>
    <m/>
    <d v="2019-10-26T18:10:18"/>
  </r>
  <r>
    <n v="817"/>
    <s v="БНС 620_40"/>
    <n v="2"/>
    <s v="Значительное"/>
    <x v="0"/>
    <x v="4"/>
    <s v="chugunov@spgr.ru"/>
    <x v="3"/>
    <d v="2019-12-23T00:00:00"/>
    <d v="2019-12-23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735"/>
    <d v="2019-12-23T16:21:52"/>
    <d v="2019-12-24T14:37:20"/>
    <m/>
    <d v="2019-12-24T14:38:55"/>
  </r>
  <r>
    <n v="650"/>
    <s v="Арматурный Каркас СВГ Зах.47"/>
    <n v="2"/>
    <s v="Значительное"/>
    <x v="0"/>
    <x v="4"/>
    <s v="chugunov@spgr.ru"/>
    <x v="3"/>
    <d v="2019-10-26T00:00:00"/>
    <d v="2019-10-26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6"/>
    <d v="2019-10-26T18:10:54"/>
    <d v="2019-10-26T18:12:20"/>
    <m/>
    <d v="2019-10-26T18:12:21"/>
  </r>
  <r>
    <n v="656"/>
    <s v="Траншея СВГ Зах.53"/>
    <n v="2"/>
    <s v="Значительное"/>
    <x v="0"/>
    <x v="4"/>
    <s v="chugunov@spgr.ru"/>
    <x v="3"/>
    <d v="2019-10-29T00:00:00"/>
    <d v="2019-10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7"/>
    <d v="2019-10-29T12:27:07"/>
    <d v="2019-10-29T12:27:40"/>
    <m/>
    <d v="2019-10-29T12:27:41"/>
  </r>
  <r>
    <n v="838"/>
    <s v="БНС 620_ 12"/>
    <n v="2"/>
    <s v="Значительное"/>
    <x v="0"/>
    <x v="4"/>
    <s v="chugunov@spgr.ru"/>
    <x v="3"/>
    <d v="2019-12-24T00:00:00"/>
    <d v="2019-12-24T00:00:00"/>
    <s v="03.2019-Р-КЖ0-2[04] 7"/>
    <n v="0"/>
    <n v="0"/>
    <s v="БНС1_Устройство Буронабивных Свай В 1 Дворе"/>
    <m/>
    <m/>
    <s v="Устроство буронабивных свай 1 двор"/>
    <s v="Ссылка на план"/>
    <x v="738"/>
    <d v="2019-12-24T15:54:07"/>
    <d v="2019-12-24T15:55:20"/>
    <m/>
    <d v="2019-12-25T13:09:39"/>
  </r>
  <r>
    <n v="660"/>
    <s v="Бетонирование СВГ Зах.53"/>
    <n v="2"/>
    <s v="Значительное"/>
    <x v="0"/>
    <x v="4"/>
    <s v="chugunov@spgr.ru"/>
    <x v="3"/>
    <d v="2019-10-29T00:00:00"/>
    <d v="2019-10-29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39"/>
    <d v="2019-10-21T22:06:48"/>
    <d v="2019-10-29T22:10:14"/>
    <m/>
    <d v="2019-10-29T22:10:15"/>
  </r>
  <r>
    <n v="662"/>
    <s v="Стыковка Боковых Ограничителей СВГ Зах.52"/>
    <n v="2"/>
    <s v="Значительное"/>
    <x v="0"/>
    <x v="4"/>
    <s v="chugunov@spgr.ru"/>
    <x v="3"/>
    <d v="2019-10-30T00:00:00"/>
    <d v="2019-10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0"/>
    <d v="2019-10-30T17:13:32"/>
    <d v="2019-10-30T17:14:04"/>
    <m/>
    <d v="2019-10-30T17:14:05"/>
  </r>
  <r>
    <n v="663"/>
    <s v="Арматурный Каркас СВГ Зах.52"/>
    <n v="2"/>
    <s v="Значительное"/>
    <x v="0"/>
    <x v="4"/>
    <s v="chugunov@spgr.ru"/>
    <x v="3"/>
    <d v="2019-10-30T00:00:00"/>
    <d v="2019-10-30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1"/>
    <d v="2019-10-30T20:35:51"/>
    <d v="2019-10-30T20:39:55"/>
    <m/>
    <d v="2019-10-30T20:39:56"/>
  </r>
  <r>
    <n v="666"/>
    <s v="Стыковка Боковых Ограничителей СВГ Зах.51"/>
    <n v="2"/>
    <s v="Значительное"/>
    <x v="0"/>
    <x v="4"/>
    <s v="chugunov@spgr.ru"/>
    <x v="3"/>
    <d v="2019-10-31T00:00:00"/>
    <d v="2019-10-31T00:00:00"/>
    <s v="УФ усиление фундаментов цементацией-1"/>
    <n v="0"/>
    <n v="0"/>
    <s v="СВГ1Д_Устройство СВГ 1-ый двор"/>
    <m/>
    <m/>
    <s v="Контроль монтажных работ"/>
    <s v="Ссылка на план"/>
    <x v="742"/>
    <d v="2019-10-31T15:50:38"/>
    <d v="2019-10-31T15:51:58"/>
    <m/>
    <d v="2019-10-31T15:51:59"/>
  </r>
  <r>
    <n v="669"/>
    <s v="Арматурный Каркас СВГ Зах.51"/>
    <n v="2"/>
    <s v="Значительное"/>
    <x v="0"/>
    <x v="4"/>
    <s v="chugunov@spgr.ru"/>
    <x v="3"/>
    <d v="2019-10-31T00:00:00"/>
    <d v="2019-10-3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3"/>
    <d v="2019-10-31T17:35:02"/>
    <d v="2019-10-31T20:06:40"/>
    <m/>
    <d v="2019-10-31T20:06:41"/>
  </r>
  <r>
    <n v="671"/>
    <s v="Траншея СВГ Зах.50"/>
    <n v="2"/>
    <s v="Значительное"/>
    <x v="0"/>
    <x v="4"/>
    <s v="chugunov@spgr.ru"/>
    <x v="3"/>
    <d v="2019-11-01T00:00:00"/>
    <d v="2019-11-0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4"/>
    <d v="2019-11-01T15:13:12"/>
    <d v="2019-11-01T15:17:39"/>
    <m/>
    <d v="2019-11-01T15:17:39"/>
  </r>
  <r>
    <n v="672"/>
    <s v="Стыковка БО СВГ Зах.50"/>
    <n v="2"/>
    <s v="Значительное"/>
    <x v="0"/>
    <x v="4"/>
    <s v="chugunov@spgr.ru"/>
    <x v="3"/>
    <d v="2019-11-01T00:00:00"/>
    <d v="2019-11-0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5"/>
    <d v="2019-11-01T15:18:11"/>
    <d v="2019-11-01T15:18:56"/>
    <m/>
    <d v="2019-11-01T15:18:57"/>
  </r>
  <r>
    <n v="673"/>
    <s v="Арматурный Каркас СВГ Зах.50"/>
    <n v="2"/>
    <s v="Значительное"/>
    <x v="0"/>
    <x v="4"/>
    <s v="chugunov@spgr.ru"/>
    <x v="3"/>
    <d v="2019-11-01T00:00:00"/>
    <d v="2019-11-01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6"/>
    <d v="2019-11-01T17:24:52"/>
    <d v="2019-11-01T17:26:10"/>
    <m/>
    <d v="2019-11-01T17:26:11"/>
  </r>
  <r>
    <n v="675"/>
    <s v="Арматурный Каркас СВГ Зах.49"/>
    <n v="2"/>
    <s v="Значительное"/>
    <x v="0"/>
    <x v="4"/>
    <s v="chugunov@spgr.ru"/>
    <x v="3"/>
    <d v="2019-11-02T00:00:00"/>
    <d v="2019-11-02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7"/>
    <d v="2019-11-02T21:07:27"/>
    <d v="2019-11-02T21:08:50"/>
    <m/>
    <d v="2019-11-02T21:08:52"/>
  </r>
  <r>
    <n v="767"/>
    <s v="Арматурный Каркас БО 1.2"/>
    <n v="2"/>
    <s v="Значительное"/>
    <x v="0"/>
    <x v="4"/>
    <s v="chugunov@spgr.ru"/>
    <x v="3"/>
    <d v="2019-12-11T00:00:00"/>
    <d v="2019-12-11T00:00:00"/>
    <s v="Ограждающая конструкция стена в грунте"/>
    <n v="0"/>
    <n v="0"/>
    <s v="СВГ2д_Устройство Стены в Грунте 2й Двор"/>
    <m/>
    <m/>
    <s v="Контроль монтажных работ"/>
    <s v="Ссылка на план"/>
    <x v="748"/>
    <d v="2019-12-11T16:43:51"/>
    <d v="2019-12-11T16:46:41"/>
    <m/>
    <d v="2019-12-11T16:54:51"/>
  </r>
  <r>
    <n v="691"/>
    <s v="Бетонирование СВГ Зах.62"/>
    <n v="2"/>
    <s v="Значительное"/>
    <x v="0"/>
    <x v="4"/>
    <s v="chugunov@spgr.ru"/>
    <x v="3"/>
    <d v="2019-11-18T00:00:00"/>
    <d v="2019-11-18T00:00:00"/>
    <s v="Ограждающая конструкция стена в грунте"/>
    <n v="0"/>
    <n v="0"/>
    <s v="СВГ1Д_Устройство СВГ 1-ый двор"/>
    <m/>
    <m/>
    <s v="Контроль монтажных работ"/>
    <s v="Ссылка на план"/>
    <x v="749"/>
    <d v="2019-11-18T11:57:10"/>
    <d v="2019-11-18T12:00:04"/>
    <m/>
    <d v="2019-11-18T12:00: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 Fieldwire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outline="1" outlineData="1" compactData="0" multipleFieldFilters="0">
  <location ref="A3:N71" firstHeaderRow="1" firstDataRow="3" firstDataCol="3"/>
  <pivotFields count="24">
    <pivotField compact="0" showAll="0"/>
    <pivotField dataField="1" compact="0" showAll="0"/>
    <pivotField compact="0" showAll="0"/>
    <pivotField compact="0" showAll="0"/>
    <pivotField axis="axisRow" compact="0" showAll="0">
      <items count="6">
        <item x="4"/>
        <item x="1"/>
        <item x="2"/>
        <item x="3"/>
        <item x="0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axis="axisRow" compact="0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numFmtId="22" showAll="0"/>
    <pivotField axis="axisCol" compact="0" showAll="0" defaultSubtotal="0">
      <items count="3">
        <item x="0"/>
        <item x="1"/>
        <item x="2"/>
      </items>
    </pivotField>
  </pivotFields>
  <rowFields count="3">
    <field x="5"/>
    <field x="7"/>
    <field x="4"/>
  </rowFields>
  <rowItems count="66">
    <i>
      <x/>
    </i>
    <i r="1">
      <x/>
    </i>
    <i r="2">
      <x v="4"/>
    </i>
    <i r="1">
      <x v="1"/>
    </i>
    <i r="2">
      <x v="4"/>
    </i>
    <i r="1">
      <x v="2"/>
    </i>
    <i r="2">
      <x v="1"/>
    </i>
    <i r="2">
      <x v="4"/>
    </i>
    <i r="1">
      <x v="9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3"/>
    </i>
    <i r="2">
      <x v="4"/>
    </i>
    <i r="1">
      <x v="4"/>
    </i>
    <i r="2">
      <x v="2"/>
    </i>
    <i r="2">
      <x v="4"/>
    </i>
    <i r="1">
      <x v="5"/>
    </i>
    <i r="2">
      <x v="4"/>
    </i>
    <i r="1">
      <x v="6"/>
    </i>
    <i r="2">
      <x v="4"/>
    </i>
    <i r="1">
      <x v="9"/>
    </i>
    <i r="2">
      <x v="4"/>
    </i>
    <i>
      <x v="2"/>
    </i>
    <i r="1">
      <x/>
    </i>
    <i r="2">
      <x v="2"/>
    </i>
    <i r="2">
      <x v="4"/>
    </i>
    <i r="1">
      <x v="3"/>
    </i>
    <i r="2">
      <x v="2"/>
    </i>
    <i r="2">
      <x v="4"/>
    </i>
    <i r="1">
      <x v="4"/>
    </i>
    <i r="2">
      <x v="1"/>
    </i>
    <i r="2">
      <x v="2"/>
    </i>
    <i r="2">
      <x v="3"/>
    </i>
    <i r="2">
      <x v="4"/>
    </i>
    <i r="1">
      <x v="5"/>
    </i>
    <i r="2">
      <x v="4"/>
    </i>
    <i r="1">
      <x v="6"/>
    </i>
    <i r="2">
      <x v="4"/>
    </i>
    <i r="1">
      <x v="7"/>
    </i>
    <i r="2">
      <x v="1"/>
    </i>
    <i r="2">
      <x v="4"/>
    </i>
    <i r="1">
      <x v="8"/>
    </i>
    <i r="2">
      <x v="3"/>
    </i>
    <i r="2">
      <x v="4"/>
    </i>
    <i>
      <x v="3"/>
    </i>
    <i r="1">
      <x/>
    </i>
    <i r="2">
      <x v="3"/>
    </i>
    <i r="2">
      <x v="4"/>
    </i>
    <i r="1">
      <x v="1"/>
    </i>
    <i r="2">
      <x v="4"/>
    </i>
    <i r="1">
      <x v="2"/>
    </i>
    <i r="2">
      <x v="4"/>
    </i>
    <i r="1">
      <x v="4"/>
    </i>
    <i r="2">
      <x v="4"/>
    </i>
    <i>
      <x v="4"/>
    </i>
    <i r="1">
      <x v="1"/>
    </i>
    <i r="2">
      <x v="4"/>
    </i>
    <i r="1">
      <x v="2"/>
    </i>
    <i r="2">
      <x v="4"/>
    </i>
    <i t="grand">
      <x/>
    </i>
  </rowItems>
  <colFields count="2">
    <field x="23"/>
    <field x="18"/>
  </colFields>
  <colItems count="11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Количество по полю Заголовок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source" displayName="source" ref="A4:W754" totalsRowShown="0">
  <autoFilter ref="A4:W754"/>
  <tableColumns count="23">
    <tableColumn id="1" name="ID"/>
    <tableColumn id="2" name="Заголовок"/>
    <tableColumn id="3" name="Приоритет"/>
    <tableColumn id="21" name="Приоритет_" dataDxfId="6">
      <calculatedColumnFormula>VLOOKUP(source[[#This Row],[Приоритет]],тПриоритеты[],2,0)</calculatedColumnFormula>
    </tableColumn>
    <tableColumn id="22" name="Статус" dataDxfId="5">
      <calculatedColumnFormula>IF(ISBLANK(source[[#This Row],[Проверенные]]),IF(ISBLANK(source[[#This Row],[Завершенные]]),source[[#This Row],[Приоритет_]],"Завершено"),"Проверено")</calculatedColumnFormula>
    </tableColumn>
    <tableColumn id="4" name="Категория"/>
    <tableColumn id="5" name="Отвественный"/>
    <tableColumn id="23" name="Ответственный_" dataDxfId="4">
      <calculatedColumnFormula>VLOOKUP(source[[#This Row],[Отвественный]],тОтветственные[],2,0)</calculatedColumnFormula>
    </tableColumn>
    <tableColumn id="6" name="Дата начала" dataDxfId="12"/>
    <tableColumn id="7" name="Дата завершения" dataDxfId="11"/>
    <tableColumn id="8" name="План"/>
    <tableColumn id="9" name="Поз. X (%)"/>
    <tableColumn id="10" name="Поз. Y (%)"/>
    <tableColumn id="11" name="Местоположение"/>
    <tableColumn id="12" name="Рабочая сила"/>
    <tableColumn id="13" name="Стоимость"/>
    <tableColumn id="14" name="Плановая папка"/>
    <tableColumn id="15" name="Ссылка на план">
      <calculatedColumnFormula>HYPERLINK("https://d28ji4sm1vmprj.cloudfront.net/e7a526a7220c3bc5cfeeb407c455c0b3/580ffb055aff8ee0c88c6e676cfba776.jpeg", "Ссылка на план")</calculatedColumnFormula>
    </tableColumn>
    <tableColumn id="16" name="Созданный" dataDxfId="10"/>
    <tableColumn id="17" name="Завершенные" dataDxfId="9"/>
    <tableColumn id="18" name="Проверенные" dataDxfId="8"/>
    <tableColumn id="19" name="Удалено"/>
    <tableColumn id="20" name="Последнее обновление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Приоритеты" displayName="тПриоритеты" ref="B2:C5" totalsRowShown="0">
  <autoFilter ref="B2:C5"/>
  <tableColumns count="2">
    <tableColumn id="1" name="Код"/>
    <tableColumn id="2" name="Приоритет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тОтветственные" displayName="тОтветственные" ref="E2:F12" totalsRowShown="0">
  <autoFilter ref="E2:F12"/>
  <tableColumns count="2">
    <tableColumn id="1" name="Email"/>
    <tableColumn id="2" name="Ответствен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R754"/>
  <sheetViews>
    <sheetView workbookViewId="0"/>
  </sheetViews>
  <sheetFormatPr defaultRowHeight="14.5" x14ac:dyDescent="0.35"/>
  <cols>
    <col min="2" max="2" width="11.90625" customWidth="1"/>
    <col min="3" max="5" width="12.1796875" customWidth="1"/>
    <col min="6" max="6" width="11.7265625" customWidth="1"/>
    <col min="7" max="8" width="15.36328125" customWidth="1"/>
    <col min="9" max="9" width="13.6328125" customWidth="1"/>
    <col min="10" max="10" width="18.08984375" customWidth="1"/>
    <col min="12" max="12" width="11.26953125" customWidth="1"/>
    <col min="13" max="13" width="11.1796875" customWidth="1"/>
    <col min="14" max="14" width="18.26953125" customWidth="1"/>
    <col min="15" max="15" width="14.54296875" customWidth="1"/>
    <col min="16" max="16" width="12.08984375" customWidth="1"/>
    <col min="17" max="17" width="17" customWidth="1"/>
    <col min="18" max="18" width="16.54296875" customWidth="1"/>
    <col min="19" max="19" width="12.7265625" customWidth="1"/>
    <col min="20" max="20" width="15.08984375" customWidth="1"/>
    <col min="21" max="21" width="15" customWidth="1"/>
    <col min="22" max="22" width="10.36328125" customWidth="1"/>
    <col min="23" max="23" width="23.453125" customWidth="1"/>
  </cols>
  <sheetData>
    <row r="1" spans="1:96" ht="15" customHeight="1" x14ac:dyDescent="0.35">
      <c r="A1" t="s">
        <v>0</v>
      </c>
    </row>
    <row r="2" spans="1:96" ht="15" customHeight="1" x14ac:dyDescent="0.35">
      <c r="A2" t="s">
        <v>1</v>
      </c>
    </row>
    <row r="3" spans="1:96" ht="15" customHeight="1" x14ac:dyDescent="0.35">
      <c r="A3" s="1">
        <v>43824.699756944443</v>
      </c>
    </row>
    <row r="4" spans="1:96" ht="15" customHeight="1" x14ac:dyDescent="0.35">
      <c r="A4" t="s">
        <v>2</v>
      </c>
      <c r="B4" t="s">
        <v>3</v>
      </c>
      <c r="C4" t="s">
        <v>4</v>
      </c>
      <c r="D4" t="s">
        <v>5928</v>
      </c>
      <c r="E4" t="s">
        <v>5929</v>
      </c>
      <c r="F4" t="s">
        <v>5</v>
      </c>
      <c r="G4" t="s">
        <v>6</v>
      </c>
      <c r="H4" t="s">
        <v>5930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</row>
    <row r="5" spans="1:96" ht="15" customHeight="1" x14ac:dyDescent="0.35">
      <c r="A5">
        <v>235</v>
      </c>
      <c r="B5" t="s">
        <v>95</v>
      </c>
      <c r="C5">
        <v>2</v>
      </c>
      <c r="D5" t="str">
        <f>VLOOKUP(source[[#This Row],[Приоритет]],тПриоритеты[],2,0)</f>
        <v>Значительное</v>
      </c>
      <c r="E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" t="s">
        <v>96</v>
      </c>
      <c r="G5" t="s">
        <v>97</v>
      </c>
      <c r="H5" t="str">
        <f>VLOOKUP(source[[#This Row],[Отвественный]],тОтветственные[],2,0)</f>
        <v>Отв1</v>
      </c>
      <c r="S5" s="1">
        <v>43657.574849537035</v>
      </c>
      <c r="T5" s="1">
        <v>43658.65384259259</v>
      </c>
      <c r="U5" s="1">
        <v>43658.684270833335</v>
      </c>
      <c r="W5" s="1">
        <v>43658.684293981481</v>
      </c>
      <c r="Z5" t="s">
        <v>98</v>
      </c>
      <c r="BF5" t="str">
        <f>HYPERLINK("https://d33htgqikc2pj4.cloudfront.net/a96d6e40-97f4-4b06-a214-9afe63404396.jpeg", "Владимир Чугунов: Ссылка на изображение")</f>
        <v>Владимир Чугунов: Ссылка на изображение</v>
      </c>
      <c r="BG5" t="str">
        <f>HYPERLINK("https://d33htgqikc2pj4.cloudfront.net/f50c3ddb-37c8-4c3a-960b-e4bb28e2a702.jpeg", "Владимир Чугунов: Ссылка на изображение")</f>
        <v>Владимир Чугунов: Ссылка на изображение</v>
      </c>
      <c r="BH5" t="str">
        <f>HYPERLINK("https://d33htgqikc2pj4.cloudfront.net/f3f14b76-a1b4-4c1f-a259-070d7343b396.jpeg", "Владимир Чугунов: Ссылка на изображение")</f>
        <v>Владимир Чугунов: Ссылка на изображение</v>
      </c>
      <c r="BI5" t="str">
        <f>HYPERLINK("https://d33htgqikc2pj4.cloudfront.net/906faeea-c825-4974-980c-92959fdc83da.jpeg", "Владимир Чугунов: Ссылка на изображение")</f>
        <v>Владимир Чугунов: Ссылка на изображение</v>
      </c>
      <c r="BJ5" t="s">
        <v>99</v>
      </c>
      <c r="BK5" t="s">
        <v>100</v>
      </c>
      <c r="BL5" t="s">
        <v>101</v>
      </c>
      <c r="BM5" t="s">
        <v>102</v>
      </c>
    </row>
    <row r="6" spans="1:96" ht="15" customHeight="1" x14ac:dyDescent="0.35">
      <c r="A6">
        <v>221</v>
      </c>
      <c r="B6" t="s">
        <v>103</v>
      </c>
      <c r="C6">
        <v>1</v>
      </c>
      <c r="D6" t="str">
        <f>VLOOKUP(source[[#This Row],[Приоритет]],тПриоритеты[],2,0)</f>
        <v>КРИТИЧЕСКОЕ</v>
      </c>
      <c r="E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" t="s">
        <v>96</v>
      </c>
      <c r="G6" t="s">
        <v>97</v>
      </c>
      <c r="H6" t="str">
        <f>VLOOKUP(source[[#This Row],[Отвественный]],тОтветственные[],2,0)</f>
        <v>Отв1</v>
      </c>
      <c r="I6" s="2">
        <v>43655</v>
      </c>
      <c r="J6" s="2">
        <v>43655</v>
      </c>
      <c r="K6" t="s">
        <v>104</v>
      </c>
      <c r="L6">
        <v>0</v>
      </c>
      <c r="M6">
        <v>0</v>
      </c>
      <c r="N6" t="s">
        <v>105</v>
      </c>
      <c r="Q6" t="s">
        <v>106</v>
      </c>
      <c r="R6" t="str">
        <f>HYPERLINK("https://d28ji4sm1vmprj.cloudfront.net/e7a526a7220c3bc5cfeeb407c455c0b3/580ffb055aff8ee0c88c6e676cfba776.jpeg", "Ссылка на план")</f>
        <v>Ссылка на план</v>
      </c>
      <c r="S6" s="1">
        <v>43655.686215277776</v>
      </c>
      <c r="T6" s="1">
        <v>43658.665509259263</v>
      </c>
      <c r="U6" s="1">
        <v>43658.722245370373</v>
      </c>
      <c r="W6" s="1">
        <v>43658.722256944442</v>
      </c>
      <c r="X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BF6" t="s">
        <v>114</v>
      </c>
      <c r="BG6" t="s">
        <v>115</v>
      </c>
      <c r="BH6" t="s">
        <v>116</v>
      </c>
      <c r="BI6" t="s">
        <v>117</v>
      </c>
      <c r="BJ6" t="s">
        <v>118</v>
      </c>
      <c r="BK6" t="str">
        <f>HYPERLINK("https://d33htgqikc2pj4.cloudfront.net/f8735f3c-4627-4ac9-a75c-937e8caac876.jpeg", "Владимир Чугунов: Ссылка на изображение")</f>
        <v>Владимир Чугунов: Ссылка на изображение</v>
      </c>
      <c r="BL6" t="str">
        <f>HYPERLINK("https://d33htgqikc2pj4.cloudfront.net/adae1569-ddf0-404e-9488-e237c4bb423a.jpeg", "Владимир Чугунов: Ссылка на изображение")</f>
        <v>Владимир Чугунов: Ссылка на изображение</v>
      </c>
      <c r="BM6" t="str">
        <f>HYPERLINK("https://d33htgqikc2pj4.cloudfront.net/a7cf59c2-a95b-4736-a343-c143a6abd924.jpeg", "Владимир Чугунов: Ссылка на изображение")</f>
        <v>Владимир Чугунов: Ссылка на изображение</v>
      </c>
      <c r="BN6" t="s">
        <v>119</v>
      </c>
      <c r="BO6" t="s">
        <v>99</v>
      </c>
      <c r="BP6" t="s">
        <v>120</v>
      </c>
      <c r="BQ6" t="s">
        <v>101</v>
      </c>
      <c r="BR6" t="s">
        <v>102</v>
      </c>
    </row>
    <row r="7" spans="1:96" ht="15" customHeight="1" x14ac:dyDescent="0.35">
      <c r="A7">
        <v>157</v>
      </c>
      <c r="B7" t="s">
        <v>121</v>
      </c>
      <c r="C7">
        <v>1</v>
      </c>
      <c r="D7" t="str">
        <f>VLOOKUP(source[[#This Row],[Приоритет]],тПриоритеты[],2,0)</f>
        <v>КРИТИЧЕСКОЕ</v>
      </c>
      <c r="E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" t="s">
        <v>96</v>
      </c>
      <c r="G7" t="s">
        <v>97</v>
      </c>
      <c r="H7" t="str">
        <f>VLOOKUP(source[[#This Row],[Отвественный]],тОтветственные[],2,0)</f>
        <v>Отв1</v>
      </c>
      <c r="I7" s="2">
        <v>43640</v>
      </c>
      <c r="J7" s="2">
        <v>43640</v>
      </c>
      <c r="K7" t="s">
        <v>122</v>
      </c>
      <c r="L7">
        <v>0</v>
      </c>
      <c r="M7">
        <v>0</v>
      </c>
      <c r="N7" t="s">
        <v>123</v>
      </c>
      <c r="Q7" t="s">
        <v>124</v>
      </c>
      <c r="R7" t="str">
        <f>HYPERLINK("https://d28ji4sm1vmprj.cloudfront.net/78b1fbd1c87eb90dac050448d7e72c8d/a7fb9bbb452cbb899c601a0b8b67fd7d.jpeg", "Ссылка на план")</f>
        <v>Ссылка на план</v>
      </c>
      <c r="S7" s="1">
        <v>43640.40357638889</v>
      </c>
      <c r="T7" s="1">
        <v>43640.641585648147</v>
      </c>
      <c r="U7" s="1">
        <v>43640.697268518517</v>
      </c>
      <c r="W7" s="1">
        <v>43640.697268518517</v>
      </c>
      <c r="BF7" t="s">
        <v>114</v>
      </c>
      <c r="BG7" t="s">
        <v>125</v>
      </c>
      <c r="BH7" t="s">
        <v>99</v>
      </c>
      <c r="BI7" t="s">
        <v>126</v>
      </c>
      <c r="BJ7" t="str">
        <f>HYPERLINK("https://d33htgqikc2pj4.cloudfront.net/cb70a2d5-8ba5-4a0e-b6ec-f3102d7e003a.jpeg", "Владимир Чугунов: Ссылка на изображение")</f>
        <v>Владимир Чугунов: Ссылка на изображение</v>
      </c>
      <c r="BK7" t="s">
        <v>127</v>
      </c>
      <c r="BL7" t="s">
        <v>127</v>
      </c>
      <c r="BM7" t="s">
        <v>128</v>
      </c>
      <c r="BN7" t="str">
        <f>HYPERLINK("https://d33htgqikc2pj4.cloudfront.net/37f96833-f927-46b9-a7e7-d5e367a2f37f.jpeg", "Владимир Чугунов: Ссылка на изображение")</f>
        <v>Владимир Чугунов: Ссылка на изображение</v>
      </c>
      <c r="BO7" t="s">
        <v>118</v>
      </c>
      <c r="BP7" t="s">
        <v>117</v>
      </c>
      <c r="BQ7" t="s">
        <v>118</v>
      </c>
      <c r="BR7" t="s">
        <v>129</v>
      </c>
      <c r="BS7" t="s">
        <v>101</v>
      </c>
      <c r="BT7" s="3" t="s">
        <v>130</v>
      </c>
      <c r="BU7" t="s">
        <v>102</v>
      </c>
    </row>
    <row r="8" spans="1:96" ht="15" customHeight="1" x14ac:dyDescent="0.35">
      <c r="A8">
        <v>695</v>
      </c>
      <c r="B8" t="s">
        <v>131</v>
      </c>
      <c r="C8">
        <v>2</v>
      </c>
      <c r="D8" t="str">
        <f>VLOOKUP(source[[#This Row],[Приоритет]],тПриоритеты[],2,0)</f>
        <v>Значительное</v>
      </c>
      <c r="E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" t="s">
        <v>96</v>
      </c>
      <c r="G8" t="s">
        <v>132</v>
      </c>
      <c r="H8" t="str">
        <f>VLOOKUP(source[[#This Row],[Отвественный]],тОтветственные[],2,0)</f>
        <v>Отв7</v>
      </c>
      <c r="I8" s="2">
        <v>43763</v>
      </c>
      <c r="J8" s="2">
        <v>43763</v>
      </c>
      <c r="S8" s="1">
        <v>43789.384641203702</v>
      </c>
      <c r="T8" s="1">
        <v>43789.385509259257</v>
      </c>
      <c r="U8" s="1">
        <v>43789.385509259257</v>
      </c>
      <c r="W8" s="1">
        <v>43789.409699074073</v>
      </c>
      <c r="X8" t="s">
        <v>133</v>
      </c>
      <c r="AA8" s="3" t="s">
        <v>134</v>
      </c>
      <c r="AB8" t="s">
        <v>135</v>
      </c>
      <c r="AC8" t="s">
        <v>136</v>
      </c>
      <c r="AD8" t="s">
        <v>137</v>
      </c>
      <c r="AE8" t="s">
        <v>138</v>
      </c>
      <c r="AF8" s="3" t="s">
        <v>139</v>
      </c>
      <c r="BF8" t="s">
        <v>140</v>
      </c>
      <c r="BG8" t="s">
        <v>141</v>
      </c>
      <c r="BH8" t="s">
        <v>142</v>
      </c>
      <c r="BI8" t="str">
        <f>HYPERLINK("https://d33htgqikc2pj4.cloudfront.net/qvHDimMUqxZcQnsj/0i2lI2pWSgyka8gi88Vf_Инф. письмо.pdf", "Александр Олуферов: Ссылка на файл")</f>
        <v>Александр Олуферов: Ссылка на файл</v>
      </c>
      <c r="BJ8" t="str">
        <f>HYPERLINK("https://d33htgqikc2pj4.cloudfront.net/qvHDimMUqxZcQnsj/0praIKR3SRySl0aUHpz4_паспорт качества.pdf", "Александр Олуферов: Ссылка на файл")</f>
        <v>Александр Олуферов: Ссылка на файл</v>
      </c>
      <c r="BK8" t="str">
        <f>HYPERLINK("https://d33htgqikc2pj4.cloudfront.net/qvHDimMUqxZcQnsj/UGExRs70Qzm1VQtlwJP5_серт. соотв.pdf", "Александр Олуферов: Ссылка на файл")</f>
        <v>Александр Олуферов: Ссылка на файл</v>
      </c>
      <c r="BL8" t="s">
        <v>143</v>
      </c>
    </row>
    <row r="9" spans="1:96" ht="15" customHeight="1" x14ac:dyDescent="0.35">
      <c r="A9">
        <v>704</v>
      </c>
      <c r="B9" t="s">
        <v>144</v>
      </c>
      <c r="C9">
        <v>2</v>
      </c>
      <c r="D9" t="str">
        <f>VLOOKUP(source[[#This Row],[Приоритет]],тПриоритеты[],2,0)</f>
        <v>Значительное</v>
      </c>
      <c r="E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" t="s">
        <v>96</v>
      </c>
      <c r="G9" t="s">
        <v>132</v>
      </c>
      <c r="H9" t="str">
        <f>VLOOKUP(source[[#This Row],[Отвественный]],тОтветственные[],2,0)</f>
        <v>Отв7</v>
      </c>
      <c r="I9" s="2">
        <v>43768</v>
      </c>
      <c r="J9" s="2">
        <v>43768</v>
      </c>
      <c r="S9" s="1">
        <v>43790.608831018515</v>
      </c>
      <c r="T9" s="1">
        <v>43790.609444444446</v>
      </c>
      <c r="U9" s="1">
        <v>43790.609444444446</v>
      </c>
      <c r="W9" s="1">
        <v>43790.611400462964</v>
      </c>
      <c r="X9" t="s">
        <v>145</v>
      </c>
      <c r="AA9" t="s">
        <v>146</v>
      </c>
      <c r="AB9" t="s">
        <v>147</v>
      </c>
      <c r="AC9" t="s">
        <v>148</v>
      </c>
      <c r="AD9" t="s">
        <v>149</v>
      </c>
      <c r="AE9" t="s">
        <v>150</v>
      </c>
      <c r="AF9" t="s">
        <v>151</v>
      </c>
      <c r="BF9" t="s">
        <v>140</v>
      </c>
      <c r="BG9" t="s">
        <v>152</v>
      </c>
      <c r="BH9" t="s">
        <v>153</v>
      </c>
      <c r="BI9" t="s">
        <v>154</v>
      </c>
      <c r="BJ9" t="s">
        <v>155</v>
      </c>
      <c r="BK9" t="str">
        <f>HYPERLINK("https://d33htgqikc2pj4.cloudfront.net/qvHDimMUqxZcQnsj/4Qp6BmJQ0K3EWhy7xE9r_Паспорт.pdf", "Александр Олуферов: Ссылка на файл")</f>
        <v>Александр Олуферов: Ссылка на файл</v>
      </c>
      <c r="BL9" t="str">
        <f>HYPERLINK("https://d33htgqikc2pj4.cloudfront.net/qvHDimMUqxZcQnsj/9pDER6DhT3mnZo233ZLw_Письмо.pdf", "Александр Олуферов: Ссылка на файл")</f>
        <v>Александр Олуферов: Ссылка на файл</v>
      </c>
      <c r="BM9" t="str">
        <f>HYPERLINK("https://d33htgqikc2pj4.cloudfront.net/qvHDimMUqxZcQnsj/Kp6p1PmaTMeqHDZK9zPm_Серт. соотв.pdf", "Александр Олуферов: Ссылка на файл")</f>
        <v>Александр Олуферов: Ссылка на файл</v>
      </c>
    </row>
    <row r="10" spans="1:96" ht="15" customHeight="1" x14ac:dyDescent="0.35">
      <c r="A10">
        <v>62</v>
      </c>
      <c r="B10" t="s">
        <v>156</v>
      </c>
      <c r="C10">
        <v>2</v>
      </c>
      <c r="D10" t="str">
        <f>VLOOKUP(source[[#This Row],[Приоритет]],тПриоритеты[],2,0)</f>
        <v>Значительное</v>
      </c>
      <c r="E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" t="s">
        <v>96</v>
      </c>
      <c r="G10" t="s">
        <v>157</v>
      </c>
      <c r="H10" t="str">
        <f>VLOOKUP(source[[#This Row],[Отвественный]],тОтветственные[],2,0)</f>
        <v>Отв13</v>
      </c>
      <c r="I10" s="2">
        <v>43587</v>
      </c>
      <c r="J10" s="2">
        <v>43588</v>
      </c>
      <c r="K10" t="s">
        <v>158</v>
      </c>
      <c r="L10">
        <v>0</v>
      </c>
      <c r="M10">
        <v>0</v>
      </c>
      <c r="N10" t="s">
        <v>159</v>
      </c>
      <c r="Q10" t="s">
        <v>124</v>
      </c>
      <c r="R10" t="str">
        <f t="shared" ref="R10:R22" si="0">HYPERLINK("https://d28ji4sm1vmprj.cloudfront.net/09622a2bb466dfd1cdfb85ce6a712a4c/080b534903fe5ecae6d56f3611cbeb01.jpeg", "Ссылка на план")</f>
        <v>Ссылка на план</v>
      </c>
      <c r="S10" s="1">
        <v>43588.454814814817</v>
      </c>
      <c r="T10" s="1">
        <v>43588.454861111109</v>
      </c>
      <c r="U10" s="1">
        <v>43588.454861111109</v>
      </c>
      <c r="W10" s="1">
        <v>43588.455312500002</v>
      </c>
      <c r="X10" t="s">
        <v>160</v>
      </c>
      <c r="AA10" s="3" t="s">
        <v>161</v>
      </c>
      <c r="AB10" t="s">
        <v>162</v>
      </c>
      <c r="AC10" t="s">
        <v>163</v>
      </c>
      <c r="AD10" t="s">
        <v>164</v>
      </c>
      <c r="AE10" t="s">
        <v>165</v>
      </c>
      <c r="AF10" s="3" t="s">
        <v>166</v>
      </c>
      <c r="BF10" t="s">
        <v>167</v>
      </c>
      <c r="BG10" t="s">
        <v>168</v>
      </c>
      <c r="BH10" t="s">
        <v>169</v>
      </c>
      <c r="BI10" t="s">
        <v>170</v>
      </c>
      <c r="BJ10" t="str">
        <f>HYPERLINK("https://cdn.filestackcontent.com/5uJhEhq8RhK93VNAWAke", "Андрей Денисов: Ссылка на файл")</f>
        <v>Андрей Денисов: Ссылка на файл</v>
      </c>
      <c r="BK10" t="str">
        <f>HYPERLINK("https://cdn.filestackcontent.com/Q1XSBT7QQqSvSkjp6qVk", "Андрей Денисов: Ссылка на файл")</f>
        <v>Андрей Денисов: Ссылка на файл</v>
      </c>
      <c r="BL10" t="str">
        <f>HYPERLINK("https://d33htgqikc2pj4.cloudfront.net/87e50e86-2c6e-4386-91c3-fcecd42ab263.jpeg", "Андрей Денисов: Ссылка на изображение")</f>
        <v>Андрей Денисов: Ссылка на изображение</v>
      </c>
      <c r="BM10" t="str">
        <f>HYPERLINK("https://d33htgqikc2pj4.cloudfront.net/7f4a58ad-bd11-461a-8459-7772353f3385.jpeg", "Андрей Денисов: Ссылка на изображение")</f>
        <v>Андрей Денисов: Ссылка на изображение</v>
      </c>
      <c r="BN10" t="str">
        <f>HYPERLINK("https://d33htgqikc2pj4.cloudfront.net/b91a43f2-a6b8-490d-8794-8bdeb874a27b.jpeg", "Андрей Денисов: Ссылка на изображение")</f>
        <v>Андрей Денисов: Ссылка на изображение</v>
      </c>
      <c r="BO10" t="s">
        <v>171</v>
      </c>
      <c r="BP10" t="s">
        <v>171</v>
      </c>
    </row>
    <row r="11" spans="1:96" ht="15" customHeight="1" x14ac:dyDescent="0.35">
      <c r="A11">
        <v>23</v>
      </c>
      <c r="B11" t="s">
        <v>172</v>
      </c>
      <c r="C11">
        <v>2</v>
      </c>
      <c r="D11" t="str">
        <f>VLOOKUP(source[[#This Row],[Приоритет]],тПриоритеты[],2,0)</f>
        <v>Значительное</v>
      </c>
      <c r="E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" t="s">
        <v>96</v>
      </c>
      <c r="G11" t="s">
        <v>157</v>
      </c>
      <c r="H11" t="str">
        <f>VLOOKUP(source[[#This Row],[Отвественный]],тОтветственные[],2,0)</f>
        <v>Отв13</v>
      </c>
      <c r="I11" s="2">
        <v>43558</v>
      </c>
      <c r="J11" s="2">
        <v>43558</v>
      </c>
      <c r="K11" t="s">
        <v>158</v>
      </c>
      <c r="L11">
        <v>0</v>
      </c>
      <c r="M11">
        <v>0</v>
      </c>
      <c r="N11" t="s">
        <v>159</v>
      </c>
      <c r="Q11" t="s">
        <v>124</v>
      </c>
      <c r="R11" t="str">
        <f t="shared" si="0"/>
        <v>Ссылка на план</v>
      </c>
      <c r="S11" s="1">
        <v>43560.389178240737</v>
      </c>
      <c r="T11" s="1">
        <v>43560.389201388891</v>
      </c>
      <c r="U11" s="1">
        <v>43560.389201388891</v>
      </c>
      <c r="W11" s="1">
        <v>43560.38989583333</v>
      </c>
      <c r="X11" t="s">
        <v>160</v>
      </c>
      <c r="AA11" s="3" t="s">
        <v>173</v>
      </c>
      <c r="AB11" t="s">
        <v>174</v>
      </c>
      <c r="AC11" t="s">
        <v>175</v>
      </c>
      <c r="AD11" t="s">
        <v>176</v>
      </c>
      <c r="AE11" t="s">
        <v>177</v>
      </c>
      <c r="AF11" s="3" t="s">
        <v>178</v>
      </c>
      <c r="BF11" t="s">
        <v>167</v>
      </c>
      <c r="BG11" t="s">
        <v>179</v>
      </c>
      <c r="BH11" t="s">
        <v>180</v>
      </c>
      <c r="BI11" t="s">
        <v>181</v>
      </c>
      <c r="BJ11" t="s">
        <v>182</v>
      </c>
      <c r="BK11" t="str">
        <f>HYPERLINK("https://d33htgqikc2pj4.cloudfront.net/fba6e32e-5681-4719-a4d7-b85f604bb69f.jpeg", "Андрей Денисов: Ссылка на изображение")</f>
        <v>Андрей Денисов: Ссылка на изображение</v>
      </c>
      <c r="BL11" t="str">
        <f>HYPERLINK("https://d33htgqikc2pj4.cloudfront.net/ce80a9d3-6eaa-45c3-8dd2-d6c148ee7d89.jpeg", "Андрей Денисов: Ссылка на изображение")</f>
        <v>Андрей Денисов: Ссылка на изображение</v>
      </c>
      <c r="BM11" t="str">
        <f>HYPERLINK("https://d33htgqikc2pj4.cloudfront.net/39e4a756-b347-4f5b-9c27-be764c01c70b.jpeg", "Андрей Денисов: Ссылка на изображение")</f>
        <v>Андрей Денисов: Ссылка на изображение</v>
      </c>
      <c r="BN11" t="str">
        <f>HYPERLINK("https://d33htgqikc2pj4.cloudfront.net/c026af5c-cba1-430d-a97d-165a516389dd.jpeg", "Андрей Денисов: Ссылка на изображение")</f>
        <v>Андрей Денисов: Ссылка на изображение</v>
      </c>
    </row>
    <row r="12" spans="1:96" ht="15" customHeight="1" x14ac:dyDescent="0.35">
      <c r="A12">
        <v>28</v>
      </c>
      <c r="B12" t="s">
        <v>183</v>
      </c>
      <c r="C12">
        <v>1</v>
      </c>
      <c r="D12" t="str">
        <f>VLOOKUP(source[[#This Row],[Приоритет]],тПриоритеты[],2,0)</f>
        <v>КРИТИЧЕСКОЕ</v>
      </c>
      <c r="E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2" t="s">
        <v>96</v>
      </c>
      <c r="G12" t="s">
        <v>157</v>
      </c>
      <c r="H12" t="str">
        <f>VLOOKUP(source[[#This Row],[Отвественный]],тОтветственные[],2,0)</f>
        <v>Отв13</v>
      </c>
      <c r="I12" s="2">
        <v>43564</v>
      </c>
      <c r="J12" s="2">
        <v>43564</v>
      </c>
      <c r="K12" t="s">
        <v>158</v>
      </c>
      <c r="L12">
        <v>0</v>
      </c>
      <c r="M12">
        <v>0</v>
      </c>
      <c r="N12" t="s">
        <v>159</v>
      </c>
      <c r="Q12" t="s">
        <v>124</v>
      </c>
      <c r="R12" t="str">
        <f t="shared" si="0"/>
        <v>Ссылка на план</v>
      </c>
      <c r="S12" s="1">
        <v>43564.414502314816</v>
      </c>
      <c r="T12" s="1">
        <v>43564.414976851855</v>
      </c>
      <c r="U12" s="1">
        <v>43564.414976851855</v>
      </c>
      <c r="W12" s="1">
        <v>43564.415185185186</v>
      </c>
      <c r="X12" t="s">
        <v>160</v>
      </c>
      <c r="Z12" t="s">
        <v>184</v>
      </c>
      <c r="AA12" s="3" t="s">
        <v>185</v>
      </c>
      <c r="AB12" t="s">
        <v>186</v>
      </c>
      <c r="AC12" t="s">
        <v>187</v>
      </c>
      <c r="AD12" t="s">
        <v>188</v>
      </c>
      <c r="AE12" t="s">
        <v>189</v>
      </c>
      <c r="AF12" s="3" t="s">
        <v>190</v>
      </c>
      <c r="BF12" t="s">
        <v>191</v>
      </c>
      <c r="BG12" t="s">
        <v>192</v>
      </c>
      <c r="BH12" t="s">
        <v>167</v>
      </c>
      <c r="BI12" t="s">
        <v>193</v>
      </c>
      <c r="BJ12" t="str">
        <f>HYPERLINK("https://d33htgqikc2pj4.cloudfront.net/70286b17-33ff-4bf3-8c55-a15fe888d506.jpeg", "Андрей Денисов: Ссылка на изображение")</f>
        <v>Андрей Денисов: Ссылка на изображение</v>
      </c>
      <c r="BK12" t="str">
        <f>HYPERLINK("https://d33htgqikc2pj4.cloudfront.net/5de1e6aa-7d26-4436-9816-b703246ad4e5.jpeg", "Андрей Денисов: Ссылка на изображение")</f>
        <v>Андрей Денисов: Ссылка на изображение</v>
      </c>
      <c r="BL12" t="str">
        <f>HYPERLINK("https://d33htgqikc2pj4.cloudfront.net/cac45095-5294-4510-981e-ab7686ff4159.jpeg", "Андрей Денисов: Ссылка на изображение")</f>
        <v>Андрей Денисов: Ссылка на изображение</v>
      </c>
      <c r="BM12" t="str">
        <f>HYPERLINK("https://d33htgqikc2pj4.cloudfront.net/f2e47d6a-1537-485d-9068-33bb25621f75.jpeg", "Андрей Денисов: Ссылка на изображение")</f>
        <v>Андрей Денисов: Ссылка на изображение</v>
      </c>
      <c r="BN12" t="str">
        <f>HYPERLINK("https://d33htgqikc2pj4.cloudfront.net/bf6f9569-56cc-403e-b3a2-a3e5b2ff5d6f.jpeg", "Андрей Денисов: Ссылка на изображение")</f>
        <v>Андрей Денисов: Ссылка на изображение</v>
      </c>
    </row>
    <row r="13" spans="1:96" ht="15" customHeight="1" x14ac:dyDescent="0.35">
      <c r="A13">
        <v>31</v>
      </c>
      <c r="B13" t="s">
        <v>194</v>
      </c>
      <c r="C13">
        <v>2</v>
      </c>
      <c r="D13" t="str">
        <f>VLOOKUP(source[[#This Row],[Приоритет]],тПриоритеты[],2,0)</f>
        <v>Значительное</v>
      </c>
      <c r="E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" t="s">
        <v>96</v>
      </c>
      <c r="G13" t="s">
        <v>157</v>
      </c>
      <c r="H13" t="str">
        <f>VLOOKUP(source[[#This Row],[Отвественный]],тОтветственные[],2,0)</f>
        <v>Отв13</v>
      </c>
      <c r="I13" s="2">
        <v>43564</v>
      </c>
      <c r="J13" s="2">
        <v>43564</v>
      </c>
      <c r="K13" t="s">
        <v>158</v>
      </c>
      <c r="L13">
        <v>0</v>
      </c>
      <c r="M13">
        <v>0</v>
      </c>
      <c r="N13" t="s">
        <v>195</v>
      </c>
      <c r="Q13" t="s">
        <v>124</v>
      </c>
      <c r="R13" t="str">
        <f t="shared" si="0"/>
        <v>Ссылка на план</v>
      </c>
      <c r="S13" s="1">
        <v>43564.456655092596</v>
      </c>
      <c r="T13" s="1">
        <v>43564.456724537034</v>
      </c>
      <c r="U13" s="1">
        <v>43564.456724537034</v>
      </c>
      <c r="W13" s="1">
        <v>43564.460011574076</v>
      </c>
      <c r="X13" t="s">
        <v>107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BF13" t="s">
        <v>167</v>
      </c>
      <c r="BG13" t="s">
        <v>202</v>
      </c>
      <c r="BH13" t="s">
        <v>193</v>
      </c>
      <c r="BI13" t="str">
        <f>HYPERLINK("https://d33htgqikc2pj4.cloudfront.net/9d092a61-3cf5-4fbe-9ceb-e3860509bdf5.jpeg", "Андрей Денисов: Ссылка на изображение")</f>
        <v>Андрей Денисов: Ссылка на изображение</v>
      </c>
      <c r="BJ13" t="str">
        <f>HYPERLINK("https://d33htgqikc2pj4.cloudfront.net/7ea90efc-8156-4dac-8eac-40bb5ed0c227.jpeg", "Андрей Денисов: Ссылка на изображение")</f>
        <v>Андрей Денисов: Ссылка на изображение</v>
      </c>
    </row>
    <row r="14" spans="1:96" ht="15" customHeight="1" x14ac:dyDescent="0.35">
      <c r="A14">
        <v>35</v>
      </c>
      <c r="B14" t="s">
        <v>203</v>
      </c>
      <c r="C14">
        <v>2</v>
      </c>
      <c r="D14" t="str">
        <f>VLOOKUP(source[[#This Row],[Приоритет]],тПриоритеты[],2,0)</f>
        <v>Значительное</v>
      </c>
      <c r="E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" t="s">
        <v>96</v>
      </c>
      <c r="G14" t="s">
        <v>157</v>
      </c>
      <c r="H14" t="str">
        <f>VLOOKUP(source[[#This Row],[Отвественный]],тОтветственные[],2,0)</f>
        <v>Отв13</v>
      </c>
      <c r="I14" s="2">
        <v>43567</v>
      </c>
      <c r="J14" s="2">
        <v>43567</v>
      </c>
      <c r="K14" t="s">
        <v>158</v>
      </c>
      <c r="L14">
        <v>0</v>
      </c>
      <c r="M14">
        <v>0</v>
      </c>
      <c r="N14" t="s">
        <v>159</v>
      </c>
      <c r="Q14" t="s">
        <v>124</v>
      </c>
      <c r="R14" t="str">
        <f t="shared" si="0"/>
        <v>Ссылка на план</v>
      </c>
      <c r="S14" s="1">
        <v>43567.680104166669</v>
      </c>
      <c r="T14" s="1">
        <v>43567.680138888885</v>
      </c>
      <c r="U14" s="1">
        <v>43567.680138888885</v>
      </c>
      <c r="W14" s="1">
        <v>43567.680601851855</v>
      </c>
      <c r="X14" t="s">
        <v>160</v>
      </c>
      <c r="AA14" s="3" t="s">
        <v>204</v>
      </c>
      <c r="AB14" t="s">
        <v>205</v>
      </c>
      <c r="AC14" t="s">
        <v>206</v>
      </c>
      <c r="AD14" t="s">
        <v>207</v>
      </c>
      <c r="AE14" t="s">
        <v>208</v>
      </c>
      <c r="AF14" s="3" t="s">
        <v>209</v>
      </c>
      <c r="BF14" t="s">
        <v>167</v>
      </c>
      <c r="BG14" t="s">
        <v>210</v>
      </c>
      <c r="BH14" t="s">
        <v>211</v>
      </c>
      <c r="BI14" t="str">
        <f>HYPERLINK("https://d33htgqikc2pj4.cloudfront.net/49430fd7-b27d-4b6c-baa7-7a31af59ecf8.jpeg", "Андрей Денисов: Ссылка на изображение")</f>
        <v>Андрей Денисов: Ссылка на изображение</v>
      </c>
      <c r="BJ14" t="str">
        <f>HYPERLINK("https://d33htgqikc2pj4.cloudfront.net/4a3cff73-300a-455f-ac50-c8e164779663.jpeg", "Андрей Денисов: Ссылка на изображение")</f>
        <v>Андрей Денисов: Ссылка на изображение</v>
      </c>
    </row>
    <row r="15" spans="1:96" ht="15" customHeight="1" x14ac:dyDescent="0.35">
      <c r="A15">
        <v>89</v>
      </c>
      <c r="B15" t="s">
        <v>212</v>
      </c>
      <c r="C15">
        <v>2</v>
      </c>
      <c r="D15" t="str">
        <f>VLOOKUP(source[[#This Row],[Приоритет]],тПриоритеты[],2,0)</f>
        <v>Значительное</v>
      </c>
      <c r="E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" t="s">
        <v>96</v>
      </c>
      <c r="G15" t="s">
        <v>157</v>
      </c>
      <c r="H15" t="str">
        <f>VLOOKUP(source[[#This Row],[Отвественный]],тОтветственные[],2,0)</f>
        <v>Отв13</v>
      </c>
      <c r="I15" s="2">
        <v>43601</v>
      </c>
      <c r="J15" s="2">
        <v>43602</v>
      </c>
      <c r="K15" t="s">
        <v>158</v>
      </c>
      <c r="L15">
        <v>0</v>
      </c>
      <c r="M15">
        <v>0</v>
      </c>
      <c r="N15" t="s">
        <v>213</v>
      </c>
      <c r="Q15" t="s">
        <v>124</v>
      </c>
      <c r="R15" t="str">
        <f t="shared" si="0"/>
        <v>Ссылка на план</v>
      </c>
      <c r="S15" s="1">
        <v>43602.676180555558</v>
      </c>
      <c r="T15" s="1">
        <v>43602.676354166666</v>
      </c>
      <c r="U15" s="1">
        <v>43602.676354166666</v>
      </c>
      <c r="W15" s="1">
        <v>43602.676539351851</v>
      </c>
      <c r="X15" t="s">
        <v>160</v>
      </c>
      <c r="AA15" s="3" t="s">
        <v>214</v>
      </c>
      <c r="AB15" t="s">
        <v>215</v>
      </c>
      <c r="AC15" t="s">
        <v>216</v>
      </c>
      <c r="AD15" t="s">
        <v>217</v>
      </c>
      <c r="AE15" t="s">
        <v>218</v>
      </c>
      <c r="AF15" s="3" t="s">
        <v>219</v>
      </c>
      <c r="BF15" t="s">
        <v>220</v>
      </c>
      <c r="BG15" t="s">
        <v>167</v>
      </c>
      <c r="BH15" t="s">
        <v>221</v>
      </c>
      <c r="BI15" t="s">
        <v>222</v>
      </c>
      <c r="BJ15" t="str">
        <f>HYPERLINK("https://d33htgqikc2pj4.cloudfront.net/369f563d-0b8c-4d74-b88e-4fe7ad543d99.jpeg", "Андрей Денисов: Ссылка на изображение")</f>
        <v>Андрей Денисов: Ссылка на изображение</v>
      </c>
      <c r="BK15" t="str">
        <f>HYPERLINK("https://d33htgqikc2pj4.cloudfront.net/f3961c78-402c-4052-8667-107a047fa121.jpeg", "Андрей Денисов: Ссылка на изображение")</f>
        <v>Андрей Денисов: Ссылка на изображение</v>
      </c>
      <c r="BL15" t="str">
        <f>HYPERLINK("https://d33htgqikc2pj4.cloudfront.net/33541463-ea12-4cf4-9a55-c858ab799f09.jpeg", "Андрей Денисов: Ссылка на изображение")</f>
        <v>Андрей Денисов: Ссылка на изображение</v>
      </c>
    </row>
    <row r="16" spans="1:96" ht="15" customHeight="1" x14ac:dyDescent="0.35">
      <c r="A16">
        <v>39</v>
      </c>
      <c r="B16" t="s">
        <v>223</v>
      </c>
      <c r="C16">
        <v>2</v>
      </c>
      <c r="D16" t="str">
        <f>VLOOKUP(source[[#This Row],[Приоритет]],тПриоритеты[],2,0)</f>
        <v>Значительное</v>
      </c>
      <c r="E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" t="s">
        <v>96</v>
      </c>
      <c r="G16" t="s">
        <v>157</v>
      </c>
      <c r="H16" t="str">
        <f>VLOOKUP(source[[#This Row],[Отвественный]],тОтветственные[],2,0)</f>
        <v>Отв13</v>
      </c>
      <c r="I16" s="2">
        <v>43572</v>
      </c>
      <c r="J16" s="2">
        <v>43572</v>
      </c>
      <c r="K16" t="s">
        <v>158</v>
      </c>
      <c r="L16">
        <v>0</v>
      </c>
      <c r="M16">
        <v>0</v>
      </c>
      <c r="N16" t="s">
        <v>213</v>
      </c>
      <c r="Q16" t="s">
        <v>124</v>
      </c>
      <c r="R16" t="str">
        <f t="shared" si="0"/>
        <v>Ссылка на план</v>
      </c>
      <c r="S16" s="1">
        <v>43572.598240740743</v>
      </c>
      <c r="T16" s="1">
        <v>43572.601909722223</v>
      </c>
      <c r="U16" s="1">
        <v>43572.601909722223</v>
      </c>
      <c r="W16" s="1">
        <v>43572.601909722223</v>
      </c>
      <c r="X16" t="s">
        <v>224</v>
      </c>
      <c r="AA16" t="s">
        <v>225</v>
      </c>
      <c r="AB16" t="s">
        <v>226</v>
      </c>
      <c r="AC16" t="s">
        <v>227</v>
      </c>
      <c r="AD16" t="s">
        <v>228</v>
      </c>
      <c r="BF16" t="str">
        <f>HYPERLINK("https://d33htgqikc2pj4.cloudfront.net/c0297528-264c-431e-92be-a1bc103d0899.jpeg", "Андрей Денисов: Ссылка на изображение")</f>
        <v>Андрей Денисов: Ссылка на изображение</v>
      </c>
      <c r="BG16" t="str">
        <f>HYPERLINK("https://d33htgqikc2pj4.cloudfront.net/7c9b9e68-74d5-450d-9513-4a8178ba904a.jpeg", "Андрей Денисов: Ссылка на изображение")</f>
        <v>Андрей Денисов: Ссылка на изображение</v>
      </c>
      <c r="BH16" t="str">
        <f>HYPERLINK("https://d33htgqikc2pj4.cloudfront.net/5d5d81e8-eb73-47d5-b0b7-9b7cf35830eb.jpeg", "Андрей Денисов: Ссылка на изображение")</f>
        <v>Андрей Денисов: Ссылка на изображение</v>
      </c>
      <c r="BI16" t="str">
        <f>HYPERLINK("https://d33htgqikc2pj4.cloudfront.net/f6492dff-aa4c-47e9-adda-afe39f132534.jpeg", "Андрей Денисов: Ссылка на изображение")</f>
        <v>Андрей Денисов: Ссылка на изображение</v>
      </c>
      <c r="BJ16" t="str">
        <f>HYPERLINK("https://d33htgqikc2pj4.cloudfront.net/b8e82e7d-b037-457c-a820-ca11f78d52cd.jpeg", "Андрей Денисов: Ссылка на изображение")</f>
        <v>Андрей Денисов: Ссылка на изображение</v>
      </c>
      <c r="BK16" t="str">
        <f>HYPERLINK("https://d33htgqikc2pj4.cloudfront.net/449e7348-0834-427f-988e-961e1b6ab539.jpeg", "Андрей Денисов: Ссылка на изображение")</f>
        <v>Андрей Денисов: Ссылка на изображение</v>
      </c>
      <c r="BL16" t="str">
        <f>HYPERLINK("https://d33htgqikc2pj4.cloudfront.net/ed34b9a1-5769-41fb-ace7-e4f9def31356.jpeg", "Андрей Денисов: Ссылка на изображение")</f>
        <v>Андрей Денисов: Ссылка на изображение</v>
      </c>
      <c r="BM16" t="str">
        <f>HYPERLINK("https://d33htgqikc2pj4.cloudfront.net/c8277c79-2dd5-4f03-b57b-49d124fcf433.jpeg", "Андрей Денисов: Ссылка на изображение")</f>
        <v>Андрей Денисов: Ссылка на изображение</v>
      </c>
      <c r="BN16" t="s">
        <v>229</v>
      </c>
      <c r="BO16" t="s">
        <v>230</v>
      </c>
      <c r="BP16" t="s">
        <v>231</v>
      </c>
      <c r="BQ16" t="s">
        <v>167</v>
      </c>
    </row>
    <row r="17" spans="1:67" ht="15" customHeight="1" x14ac:dyDescent="0.35">
      <c r="A17">
        <v>40</v>
      </c>
      <c r="B17" t="s">
        <v>232</v>
      </c>
      <c r="C17">
        <v>2</v>
      </c>
      <c r="D17" t="str">
        <f>VLOOKUP(source[[#This Row],[Приоритет]],тПриоритеты[],2,0)</f>
        <v>Значительное</v>
      </c>
      <c r="E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" t="s">
        <v>96</v>
      </c>
      <c r="G17" t="s">
        <v>157</v>
      </c>
      <c r="H17" t="str">
        <f>VLOOKUP(source[[#This Row],[Отвественный]],тОтветственные[],2,0)</f>
        <v>Отв13</v>
      </c>
      <c r="I17" s="2">
        <v>43573</v>
      </c>
      <c r="J17" s="2">
        <v>43573</v>
      </c>
      <c r="K17" t="s">
        <v>158</v>
      </c>
      <c r="L17">
        <v>0</v>
      </c>
      <c r="M17">
        <v>0</v>
      </c>
      <c r="N17" t="s">
        <v>159</v>
      </c>
      <c r="Q17" t="s">
        <v>124</v>
      </c>
      <c r="R17" t="str">
        <f t="shared" si="0"/>
        <v>Ссылка на план</v>
      </c>
      <c r="S17" s="1">
        <v>43573.514456018522</v>
      </c>
      <c r="T17" s="1">
        <v>43573.514502314814</v>
      </c>
      <c r="U17" s="1">
        <v>43573.514502314814</v>
      </c>
      <c r="W17" s="1">
        <v>43573.514884259261</v>
      </c>
      <c r="X17" t="s">
        <v>160</v>
      </c>
      <c r="AA17" s="3" t="s">
        <v>233</v>
      </c>
      <c r="AB17" t="s">
        <v>234</v>
      </c>
      <c r="AC17" t="s">
        <v>235</v>
      </c>
      <c r="AD17" t="s">
        <v>236</v>
      </c>
      <c r="AE17" t="s">
        <v>237</v>
      </c>
      <c r="AF17" s="3" t="s">
        <v>238</v>
      </c>
      <c r="BF17" t="s">
        <v>167</v>
      </c>
      <c r="BG17" t="s">
        <v>239</v>
      </c>
      <c r="BH17" t="s">
        <v>240</v>
      </c>
      <c r="BI17" t="str">
        <f>HYPERLINK("https://d33htgqikc2pj4.cloudfront.net/ad884e56-ecaf-4456-9881-7f40eb963c64.jpeg", "Андрей Денисов: Ссылка на изображение")</f>
        <v>Андрей Денисов: Ссылка на изображение</v>
      </c>
      <c r="BJ17" t="str">
        <f>HYPERLINK("https://d33htgqikc2pj4.cloudfront.net/0f14f7b3-c092-4cc2-808b-67eb4c34ceb7.jpeg", "Андрей Денисов: Ссылка на изображение")</f>
        <v>Андрей Денисов: Ссылка на изображение</v>
      </c>
      <c r="BK17" t="str">
        <f>HYPERLINK("https://d33htgqikc2pj4.cloudfront.net/ffc17932-96d1-45a1-b4a2-c67de28e864f.jpeg", "Андрей Денисов: Ссылка на изображение")</f>
        <v>Андрей Денисов: Ссылка на изображение</v>
      </c>
    </row>
    <row r="18" spans="1:67" ht="15" customHeight="1" x14ac:dyDescent="0.35">
      <c r="A18">
        <v>43</v>
      </c>
      <c r="B18" t="s">
        <v>223</v>
      </c>
      <c r="C18">
        <v>2</v>
      </c>
      <c r="D18" t="str">
        <f>VLOOKUP(source[[#This Row],[Приоритет]],тПриоритеты[],2,0)</f>
        <v>Значительное</v>
      </c>
      <c r="E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" t="s">
        <v>96</v>
      </c>
      <c r="G18" t="s">
        <v>157</v>
      </c>
      <c r="H18" t="str">
        <f>VLOOKUP(source[[#This Row],[Отвественный]],тОтветственные[],2,0)</f>
        <v>Отв13</v>
      </c>
      <c r="I18" s="2">
        <v>43574</v>
      </c>
      <c r="J18" s="2">
        <v>43574</v>
      </c>
      <c r="K18" t="s">
        <v>158</v>
      </c>
      <c r="L18">
        <v>0</v>
      </c>
      <c r="M18">
        <v>0</v>
      </c>
      <c r="N18" t="s">
        <v>213</v>
      </c>
      <c r="Q18" t="s">
        <v>124</v>
      </c>
      <c r="R18" t="str">
        <f t="shared" si="0"/>
        <v>Ссылка на план</v>
      </c>
      <c r="S18" s="1">
        <v>43574.640694444446</v>
      </c>
      <c r="T18" s="1">
        <v>43574.640706018516</v>
      </c>
      <c r="U18" s="1">
        <v>43574.640706018516</v>
      </c>
      <c r="W18" s="1">
        <v>43574.641504629632</v>
      </c>
      <c r="X18" t="s">
        <v>224</v>
      </c>
      <c r="AA18" t="s">
        <v>241</v>
      </c>
      <c r="AB18" t="s">
        <v>242</v>
      </c>
      <c r="AC18" t="s">
        <v>243</v>
      </c>
      <c r="AD18" t="s">
        <v>244</v>
      </c>
      <c r="BF18" t="s">
        <v>167</v>
      </c>
      <c r="BG18" t="s">
        <v>229</v>
      </c>
      <c r="BH18" t="s">
        <v>230</v>
      </c>
      <c r="BI18" t="s">
        <v>245</v>
      </c>
      <c r="BJ18" t="str">
        <f>HYPERLINK("https://d33htgqikc2pj4.cloudfront.net/c6707bcf-57ac-4f71-99b8-a896990d55df.jpeg", "Андрей Денисов: Ссылка на изображение")</f>
        <v>Андрей Денисов: Ссылка на изображение</v>
      </c>
      <c r="BK18" t="str">
        <f>HYPERLINK("https://d33htgqikc2pj4.cloudfront.net/b68c4d35-7396-4507-9239-49f097f18131.jpeg", "Андрей Денисов: Ссылка на изображение")</f>
        <v>Андрей Денисов: Ссылка на изображение</v>
      </c>
      <c r="BL18" t="str">
        <f>HYPERLINK("https://d33htgqikc2pj4.cloudfront.net/9a3e4da9-61ae-45f9-b236-1c3e7967f651.jpeg", "Андрей Денисов: Ссылка на изображение")</f>
        <v>Андрей Денисов: Ссылка на изображение</v>
      </c>
    </row>
    <row r="19" spans="1:67" ht="15" customHeight="1" x14ac:dyDescent="0.35">
      <c r="A19">
        <v>42</v>
      </c>
      <c r="B19" t="s">
        <v>232</v>
      </c>
      <c r="C19">
        <v>2</v>
      </c>
      <c r="D19" t="str">
        <f>VLOOKUP(source[[#This Row],[Приоритет]],тПриоритеты[],2,0)</f>
        <v>Значительное</v>
      </c>
      <c r="E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" t="s">
        <v>96</v>
      </c>
      <c r="G19" t="s">
        <v>157</v>
      </c>
      <c r="H19" t="str">
        <f>VLOOKUP(source[[#This Row],[Отвественный]],тОтветственные[],2,0)</f>
        <v>Отв13</v>
      </c>
      <c r="I19" s="2">
        <v>43574</v>
      </c>
      <c r="J19" s="2">
        <v>43574</v>
      </c>
      <c r="K19" t="s">
        <v>158</v>
      </c>
      <c r="L19">
        <v>0</v>
      </c>
      <c r="M19">
        <v>0</v>
      </c>
      <c r="N19" t="s">
        <v>159</v>
      </c>
      <c r="Q19" t="s">
        <v>124</v>
      </c>
      <c r="R19" t="str">
        <f t="shared" si="0"/>
        <v>Ссылка на план</v>
      </c>
      <c r="S19" s="1">
        <v>43574.63894675926</v>
      </c>
      <c r="T19" s="1">
        <v>43574.638969907406</v>
      </c>
      <c r="U19" s="1">
        <v>43574.638969907406</v>
      </c>
      <c r="W19" s="1">
        <v>43574.63958333333</v>
      </c>
      <c r="X19" t="s">
        <v>160</v>
      </c>
      <c r="AA19" s="3" t="s">
        <v>246</v>
      </c>
      <c r="AB19" t="s">
        <v>247</v>
      </c>
      <c r="AC19" t="s">
        <v>248</v>
      </c>
      <c r="AD19" t="s">
        <v>249</v>
      </c>
      <c r="AE19" t="s">
        <v>250</v>
      </c>
      <c r="AF19" s="3" t="s">
        <v>251</v>
      </c>
      <c r="BF19" t="s">
        <v>167</v>
      </c>
      <c r="BG19" t="s">
        <v>239</v>
      </c>
      <c r="BH19" t="s">
        <v>230</v>
      </c>
      <c r="BI19" t="s">
        <v>245</v>
      </c>
      <c r="BJ19" t="str">
        <f>HYPERLINK("https://d33htgqikc2pj4.cloudfront.net/42e76892-c5fc-4d54-9184-89c2c5b6509c.jpeg", "Андрей Денисов: Ссылка на изображение")</f>
        <v>Андрей Денисов: Ссылка на изображение</v>
      </c>
      <c r="BK19" t="str">
        <f>HYPERLINK("https://d33htgqikc2pj4.cloudfront.net/c35b2803-9a4d-408a-a7dd-0656ec5d19b0.jpeg", "Андрей Денисов: Ссылка на изображение")</f>
        <v>Андрей Денисов: Ссылка на изображение</v>
      </c>
      <c r="BL19" t="str">
        <f>HYPERLINK("https://d33htgqikc2pj4.cloudfront.net/7692b3f7-ec0b-4c99-a47b-a947255e793b.jpeg", "Андрей Денисов: Ссылка на изображение")</f>
        <v>Андрей Денисов: Ссылка на изображение</v>
      </c>
    </row>
    <row r="20" spans="1:67" ht="15" customHeight="1" x14ac:dyDescent="0.35">
      <c r="A20">
        <v>48</v>
      </c>
      <c r="B20" t="s">
        <v>252</v>
      </c>
      <c r="C20">
        <v>2</v>
      </c>
      <c r="D20" t="str">
        <f>VLOOKUP(source[[#This Row],[Приоритет]],тПриоритеты[],2,0)</f>
        <v>Значительное</v>
      </c>
      <c r="E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" t="s">
        <v>96</v>
      </c>
      <c r="G20" t="s">
        <v>157</v>
      </c>
      <c r="H20" t="str">
        <f>VLOOKUP(source[[#This Row],[Отвественный]],тОтветственные[],2,0)</f>
        <v>Отв13</v>
      </c>
      <c r="K20" t="s">
        <v>158</v>
      </c>
      <c r="L20">
        <v>0</v>
      </c>
      <c r="M20">
        <v>0</v>
      </c>
      <c r="N20" t="s">
        <v>213</v>
      </c>
      <c r="Q20" t="s">
        <v>124</v>
      </c>
      <c r="R20" t="str">
        <f t="shared" si="0"/>
        <v>Ссылка на план</v>
      </c>
      <c r="S20" s="1">
        <v>43579.696481481478</v>
      </c>
      <c r="T20" s="1">
        <v>43579.696192129632</v>
      </c>
      <c r="U20" s="1">
        <v>43579.696192129632</v>
      </c>
      <c r="W20" s="1">
        <v>43579.698587962965</v>
      </c>
      <c r="X20" t="s">
        <v>224</v>
      </c>
      <c r="AA20" t="s">
        <v>253</v>
      </c>
      <c r="AB20" t="s">
        <v>254</v>
      </c>
      <c r="AC20" t="s">
        <v>255</v>
      </c>
      <c r="AD20" t="s">
        <v>256</v>
      </c>
      <c r="BF20" t="s">
        <v>167</v>
      </c>
      <c r="BG20" t="s">
        <v>257</v>
      </c>
      <c r="BH20" t="str">
        <f>HYPERLINK("https://cdn.filestackcontent.com/pZb1Ur2xRW63htAUn7PB", "Андрей Денисов: Ссылка на файл")</f>
        <v>Андрей Денисов: Ссылка на файл</v>
      </c>
      <c r="BI20" t="str">
        <f>HYPERLINK("https://cdn.filestackcontent.com/ApbrYHErS3m7SrBk5Dye", "Андрей Денисов: Ссылка на файл")</f>
        <v>Андрей Денисов: Ссылка на файл</v>
      </c>
      <c r="BJ20" t="s">
        <v>171</v>
      </c>
      <c r="BK20" t="s">
        <v>171</v>
      </c>
    </row>
    <row r="21" spans="1:67" ht="15" customHeight="1" x14ac:dyDescent="0.35">
      <c r="A21">
        <v>47</v>
      </c>
      <c r="B21" t="s">
        <v>203</v>
      </c>
      <c r="C21">
        <v>2</v>
      </c>
      <c r="D21" t="str">
        <f>VLOOKUP(source[[#This Row],[Приоритет]],тПриоритеты[],2,0)</f>
        <v>Значительное</v>
      </c>
      <c r="E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" t="s">
        <v>96</v>
      </c>
      <c r="G21" t="s">
        <v>157</v>
      </c>
      <c r="H21" t="str">
        <f>VLOOKUP(source[[#This Row],[Отвественный]],тОтветственные[],2,0)</f>
        <v>Отв13</v>
      </c>
      <c r="K21" t="s">
        <v>158</v>
      </c>
      <c r="L21">
        <v>0</v>
      </c>
      <c r="M21">
        <v>0</v>
      </c>
      <c r="N21" t="s">
        <v>159</v>
      </c>
      <c r="Q21" t="s">
        <v>124</v>
      </c>
      <c r="R21" t="str">
        <f t="shared" si="0"/>
        <v>Ссылка на план</v>
      </c>
      <c r="S21" s="1">
        <v>43579.695277777777</v>
      </c>
      <c r="T21" s="1">
        <v>43579.695115740738</v>
      </c>
      <c r="U21" s="1">
        <v>43579.695115740738</v>
      </c>
      <c r="W21" s="1">
        <v>43579.696469907409</v>
      </c>
      <c r="X21" t="s">
        <v>160</v>
      </c>
      <c r="AA21" s="3" t="s">
        <v>258</v>
      </c>
      <c r="AB21" t="s">
        <v>259</v>
      </c>
      <c r="AC21" t="s">
        <v>260</v>
      </c>
      <c r="AD21" t="s">
        <v>261</v>
      </c>
      <c r="AE21" t="s">
        <v>262</v>
      </c>
      <c r="AF21" s="3" t="s">
        <v>263</v>
      </c>
      <c r="BF21" t="s">
        <v>167</v>
      </c>
      <c r="BG21" t="s">
        <v>210</v>
      </c>
      <c r="BH21" t="str">
        <f>HYPERLINK("https://d33htgqikc2pj4.cloudfront.net/b91827a6-356c-4a07-aa47-f5276e77b5c2.jpeg", "Андрей Денисов: Ссылка на изображение")</f>
        <v>Андрей Денисов: Ссылка на изображение</v>
      </c>
      <c r="BI21" t="s">
        <v>171</v>
      </c>
      <c r="BJ21" t="str">
        <f>HYPERLINK("https://cdn.filestackcontent.com/Z5EAr7bxSRKNomWpzcQy", "Андрей Денисов: Ссылка на файл")</f>
        <v>Андрей Денисов: Ссылка на файл</v>
      </c>
    </row>
    <row r="22" spans="1:67" ht="15" customHeight="1" x14ac:dyDescent="0.35">
      <c r="A22">
        <v>142</v>
      </c>
      <c r="B22" t="s">
        <v>264</v>
      </c>
      <c r="C22">
        <v>2</v>
      </c>
      <c r="D22" t="str">
        <f>VLOOKUP(source[[#This Row],[Приоритет]],тПриоритеты[],2,0)</f>
        <v>Значительное</v>
      </c>
      <c r="E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" t="s">
        <v>96</v>
      </c>
      <c r="G22" t="s">
        <v>157</v>
      </c>
      <c r="H22" t="str">
        <f>VLOOKUP(source[[#This Row],[Отвественный]],тОтветственные[],2,0)</f>
        <v>Отв13</v>
      </c>
      <c r="I22" s="2">
        <v>43633</v>
      </c>
      <c r="J22" s="2">
        <v>43633</v>
      </c>
      <c r="K22" t="s">
        <v>158</v>
      </c>
      <c r="L22">
        <v>0</v>
      </c>
      <c r="M22">
        <v>0</v>
      </c>
      <c r="Q22" t="s">
        <v>124</v>
      </c>
      <c r="R22" t="str">
        <f t="shared" si="0"/>
        <v>Ссылка на план</v>
      </c>
      <c r="S22" s="1">
        <v>43633.703483796293</v>
      </c>
      <c r="T22" s="1">
        <v>43633.703518518516</v>
      </c>
      <c r="U22" s="1">
        <v>43633.703518518516</v>
      </c>
      <c r="W22" s="1">
        <v>43634.733101851853</v>
      </c>
      <c r="X22" t="s">
        <v>160</v>
      </c>
      <c r="AA22" s="3" t="s">
        <v>265</v>
      </c>
      <c r="AB22" t="s">
        <v>266</v>
      </c>
      <c r="AC22" t="s">
        <v>267</v>
      </c>
      <c r="AD22" t="s">
        <v>268</v>
      </c>
      <c r="AE22" t="s">
        <v>269</v>
      </c>
      <c r="AF22" s="3" t="s">
        <v>270</v>
      </c>
      <c r="BF22" t="s">
        <v>167</v>
      </c>
      <c r="BG22" t="s">
        <v>271</v>
      </c>
      <c r="BH22" t="s">
        <v>272</v>
      </c>
      <c r="BI22" t="s">
        <v>273</v>
      </c>
      <c r="BJ22" t="str">
        <f>HYPERLINK("https://d33htgqikc2pj4.cloudfront.net/4d525f29-b674-49be-8b9d-f3e43c341957.jpeg", "Андрей Денисов: Ссылка на изображение")</f>
        <v>Андрей Денисов: Ссылка на изображение</v>
      </c>
      <c r="BK22" t="str">
        <f>HYPERLINK("https://d33htgqikc2pj4.cloudfront.net/0fbce931-211e-46df-be13-551f911560ab.jpeg", "Андрей Денисов: Ссылка на изображение")</f>
        <v>Андрей Денисов: Ссылка на изображение</v>
      </c>
      <c r="BL22" t="str">
        <f>HYPERLINK("https://d33htgqikc2pj4.cloudfront.net/6d8e4e71-806b-4532-a817-2ade50389d88.jpeg", "Андрей Денисов: Ссылка на изображение")</f>
        <v>Андрей Денисов: Ссылка на изображение</v>
      </c>
    </row>
    <row r="23" spans="1:67" ht="15" customHeight="1" x14ac:dyDescent="0.35">
      <c r="A23">
        <v>121</v>
      </c>
      <c r="B23" t="s">
        <v>212</v>
      </c>
      <c r="C23">
        <v>2</v>
      </c>
      <c r="D23" t="str">
        <f>VLOOKUP(source[[#This Row],[Приоритет]],тПриоритеты[],2,0)</f>
        <v>Значительное</v>
      </c>
      <c r="E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" t="s">
        <v>96</v>
      </c>
      <c r="G23" t="s">
        <v>157</v>
      </c>
      <c r="H23" t="str">
        <f>VLOOKUP(source[[#This Row],[Отвественный]],тОтветственные[],2,0)</f>
        <v>Отв13</v>
      </c>
      <c r="I23" s="2">
        <v>43621</v>
      </c>
      <c r="J23" s="2">
        <v>43621</v>
      </c>
      <c r="K23" t="s">
        <v>274</v>
      </c>
      <c r="L23">
        <v>0</v>
      </c>
      <c r="M23">
        <v>0</v>
      </c>
      <c r="Q23" t="s">
        <v>124</v>
      </c>
      <c r="R23" t="str">
        <f>HYPERLINK("https://d28ji4sm1vmprj.cloudfront.net/355a08c081c3838ab5b858f428b86049/8945c7522deb0c15488ad801990cffed.jpeg", "Ссылка на план")</f>
        <v>Ссылка на план</v>
      </c>
      <c r="S23" s="1">
        <v>43621.644108796296</v>
      </c>
      <c r="T23" s="1">
        <v>43621.644143518519</v>
      </c>
      <c r="U23" s="1">
        <v>43621.644143518519</v>
      </c>
      <c r="W23" s="1">
        <v>43621.64434027778</v>
      </c>
      <c r="X23" t="s">
        <v>160</v>
      </c>
      <c r="AA23" s="3" t="s">
        <v>275</v>
      </c>
      <c r="AB23" t="s">
        <v>276</v>
      </c>
      <c r="AC23" t="s">
        <v>277</v>
      </c>
      <c r="AD23" t="s">
        <v>278</v>
      </c>
      <c r="AE23" t="s">
        <v>279</v>
      </c>
      <c r="AF23" s="3" t="s">
        <v>280</v>
      </c>
      <c r="BF23" t="s">
        <v>167</v>
      </c>
      <c r="BG23" t="s">
        <v>220</v>
      </c>
      <c r="BH23" t="s">
        <v>281</v>
      </c>
      <c r="BI23" t="str">
        <f>HYPERLINK("https://d33htgqikc2pj4.cloudfront.net/8981d287-17c7-42e9-80ac-a9d078541976.jpeg", "Андрей Денисов: Ссылка на изображение")</f>
        <v>Андрей Денисов: Ссылка на изображение</v>
      </c>
      <c r="BJ23" t="str">
        <f>HYPERLINK("https://d33htgqikc2pj4.cloudfront.net/f7834140-234b-4ee9-9a9e-6a514202e5b3.jpeg", "Андрей Денисов: Ссылка на изображение")</f>
        <v>Андрей Денисов: Ссылка на изображение</v>
      </c>
    </row>
    <row r="24" spans="1:67" ht="15" customHeight="1" x14ac:dyDescent="0.35">
      <c r="A24">
        <v>273</v>
      </c>
      <c r="B24" t="s">
        <v>282</v>
      </c>
      <c r="C24">
        <v>2</v>
      </c>
      <c r="D24" t="str">
        <f>VLOOKUP(source[[#This Row],[Приоритет]],тПриоритеты[],2,0)</f>
        <v>Значительное</v>
      </c>
      <c r="E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" t="s">
        <v>96</v>
      </c>
      <c r="G24" t="s">
        <v>157</v>
      </c>
      <c r="H24" t="str">
        <f>VLOOKUP(source[[#This Row],[Отвественный]],тОтветственные[],2,0)</f>
        <v>Отв13</v>
      </c>
      <c r="I24" s="2">
        <v>43664</v>
      </c>
      <c r="J24" s="2">
        <v>43664</v>
      </c>
      <c r="K24" t="s">
        <v>104</v>
      </c>
      <c r="L24">
        <v>0</v>
      </c>
      <c r="M24">
        <v>0</v>
      </c>
      <c r="N24" t="s">
        <v>105</v>
      </c>
      <c r="Q24" t="s">
        <v>106</v>
      </c>
      <c r="R24" t="str">
        <f>HYPERLINK("https://d28ji4sm1vmprj.cloudfront.net/e7a526a7220c3bc5cfeeb407c455c0b3/580ffb055aff8ee0c88c6e676cfba776.jpeg", "Ссылка на план")</f>
        <v>Ссылка на план</v>
      </c>
      <c r="S24" s="1">
        <v>43665.359502314815</v>
      </c>
      <c r="T24" s="1">
        <v>43665.359548611108</v>
      </c>
      <c r="U24" s="1">
        <v>43665.359548611108</v>
      </c>
      <c r="W24" s="1">
        <v>43665.36142361111</v>
      </c>
      <c r="X24" t="s">
        <v>107</v>
      </c>
      <c r="AA24" t="s">
        <v>283</v>
      </c>
      <c r="AB24" t="s">
        <v>284</v>
      </c>
      <c r="AC24" t="s">
        <v>285</v>
      </c>
      <c r="AD24" t="s">
        <v>286</v>
      </c>
      <c r="AE24" t="s">
        <v>287</v>
      </c>
      <c r="AF24" t="s">
        <v>288</v>
      </c>
      <c r="BF24" t="s">
        <v>167</v>
      </c>
      <c r="BG24" t="s">
        <v>289</v>
      </c>
      <c r="BH24" t="s">
        <v>290</v>
      </c>
      <c r="BI24" t="str">
        <f>HYPERLINK("https://d33htgqikc2pj4.cloudfront.net/80e70bc0-b59f-49db-8e2a-0e35dee4bb4b.jpeg", "Андрей Денисов: Ссылка на изображение")</f>
        <v>Андрей Денисов: Ссылка на изображение</v>
      </c>
      <c r="BJ24" t="str">
        <f>HYPERLINK("https://d33htgqikc2pj4.cloudfront.net/954ece97-98af-4be1-861c-d31bb33dc1b3.jpeg", "Андрей Денисов: Ссылка на изображение")</f>
        <v>Андрей Денисов: Ссылка на изображение</v>
      </c>
    </row>
    <row r="25" spans="1:67" ht="15" customHeight="1" x14ac:dyDescent="0.35">
      <c r="A25">
        <v>476</v>
      </c>
      <c r="B25" t="s">
        <v>291</v>
      </c>
      <c r="C25">
        <v>2</v>
      </c>
      <c r="D25" t="str">
        <f>VLOOKUP(source[[#This Row],[Приоритет]],тПриоритеты[],2,0)</f>
        <v>Значительное</v>
      </c>
      <c r="E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" t="s">
        <v>96</v>
      </c>
      <c r="G25" t="s">
        <v>157</v>
      </c>
      <c r="H25" t="str">
        <f>VLOOKUP(source[[#This Row],[Отвественный]],тОтветственные[],2,0)</f>
        <v>Отв13</v>
      </c>
      <c r="I25" s="2">
        <v>43722</v>
      </c>
      <c r="J25" s="2">
        <v>43722</v>
      </c>
      <c r="K25" t="s">
        <v>104</v>
      </c>
      <c r="L25">
        <v>0</v>
      </c>
      <c r="M25">
        <v>0</v>
      </c>
      <c r="N25" t="s">
        <v>105</v>
      </c>
      <c r="Q25" t="s">
        <v>106</v>
      </c>
      <c r="R25" t="str">
        <f>HYPERLINK("https://d28ji4sm1vmprj.cloudfront.net/e7a526a7220c3bc5cfeeb407c455c0b3/580ffb055aff8ee0c88c6e676cfba776.jpeg", "Ссылка на план")</f>
        <v>Ссылка на план</v>
      </c>
      <c r="S25" s="1">
        <v>43723.976435185185</v>
      </c>
      <c r="T25" s="1">
        <v>43723.976469907408</v>
      </c>
      <c r="U25" s="1">
        <v>43723.976469907408</v>
      </c>
      <c r="W25" s="1">
        <v>43723.976875</v>
      </c>
      <c r="X25" t="s">
        <v>292</v>
      </c>
      <c r="AA25" t="s">
        <v>293</v>
      </c>
      <c r="AB25" t="s">
        <v>294</v>
      </c>
      <c r="AC25" t="s">
        <v>295</v>
      </c>
      <c r="AD25" t="s">
        <v>296</v>
      </c>
      <c r="AE25" t="s">
        <v>297</v>
      </c>
      <c r="BF25" t="s">
        <v>167</v>
      </c>
      <c r="BG25" t="s">
        <v>298</v>
      </c>
      <c r="BH25" t="s">
        <v>230</v>
      </c>
      <c r="BI25" t="s">
        <v>299</v>
      </c>
      <c r="BJ25" t="s">
        <v>300</v>
      </c>
      <c r="BK25" t="str">
        <f>HYPERLINK("https://d33htgqikc2pj4.cloudfront.net/4901970c-26f0-4048-b0a3-e9d0fe85c362.jpeg", "Андрей Денисов: Ссылка на изображение")</f>
        <v>Андрей Денисов: Ссылка на изображение</v>
      </c>
      <c r="BL25" t="str">
        <f>HYPERLINK("https://d33htgqikc2pj4.cloudfront.net/f3f23458-6117-4fab-b0f2-323934d5a0f4.jpeg", "Андрей Денисов: Ссылка на изображение")</f>
        <v>Андрей Денисов: Ссылка на изображение</v>
      </c>
      <c r="BM25" t="str">
        <f>HYPERLINK("https://d33htgqikc2pj4.cloudfront.net/4639023d-ae5a-41f2-afc0-52c50b26b38d.jpeg", "Андрей Денисов: Ссылка на изображение")</f>
        <v>Андрей Денисов: Ссылка на изображение</v>
      </c>
    </row>
    <row r="26" spans="1:67" ht="15" customHeight="1" x14ac:dyDescent="0.35">
      <c r="A26">
        <v>280</v>
      </c>
      <c r="B26" t="s">
        <v>301</v>
      </c>
      <c r="C26">
        <v>2</v>
      </c>
      <c r="D26" t="str">
        <f>VLOOKUP(source[[#This Row],[Приоритет]],тПриоритеты[],2,0)</f>
        <v>Значительное</v>
      </c>
      <c r="E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" t="s">
        <v>96</v>
      </c>
      <c r="G26" t="s">
        <v>157</v>
      </c>
      <c r="H26" t="str">
        <f>VLOOKUP(source[[#This Row],[Отвественный]],тОтветственные[],2,0)</f>
        <v>Отв13</v>
      </c>
      <c r="I26" s="2">
        <v>43666</v>
      </c>
      <c r="J26" s="2">
        <v>43666</v>
      </c>
      <c r="K26" t="s">
        <v>104</v>
      </c>
      <c r="L26">
        <v>0</v>
      </c>
      <c r="M26">
        <v>0</v>
      </c>
      <c r="N26" t="s">
        <v>123</v>
      </c>
      <c r="Q26" t="s">
        <v>106</v>
      </c>
      <c r="R26" t="str">
        <f>HYPERLINK("https://d28ji4sm1vmprj.cloudfront.net/e7a526a7220c3bc5cfeeb407c455c0b3/580ffb055aff8ee0c88c6e676cfba776.jpeg", "Ссылка на план")</f>
        <v>Ссылка на план</v>
      </c>
      <c r="S26" s="1">
        <v>43666.667696759258</v>
      </c>
      <c r="T26" s="1">
        <v>43666.668229166666</v>
      </c>
      <c r="U26" s="1">
        <v>43666.668229166666</v>
      </c>
      <c r="W26" s="1">
        <v>43666.668240740742</v>
      </c>
      <c r="X26" t="s">
        <v>302</v>
      </c>
      <c r="AA26" t="s">
        <v>303</v>
      </c>
      <c r="AB26" t="s">
        <v>304</v>
      </c>
      <c r="AC26" t="s">
        <v>305</v>
      </c>
      <c r="AD26" t="s">
        <v>306</v>
      </c>
      <c r="AE26" t="s">
        <v>307</v>
      </c>
      <c r="AF26" t="s">
        <v>308</v>
      </c>
      <c r="BF26" t="s">
        <v>309</v>
      </c>
      <c r="BG26" t="s">
        <v>310</v>
      </c>
      <c r="BH26" t="s">
        <v>230</v>
      </c>
      <c r="BI26" t="s">
        <v>311</v>
      </c>
      <c r="BJ26" t="s">
        <v>167</v>
      </c>
      <c r="BK26" t="str">
        <f>HYPERLINK("https://d33htgqikc2pj4.cloudfront.net/4c1e6963-92d5-4e4e-80de-24d9c53e2d73.jpeg", "Андрей Денисов: Ссылка на изображение")</f>
        <v>Андрей Денисов: Ссылка на изображение</v>
      </c>
      <c r="BL26" t="str">
        <f>HYPERLINK("https://d33htgqikc2pj4.cloudfront.net/b6994016-5a00-4c8c-8da8-51278422766c.jpeg", "Андрей Денисов: Ссылка на изображение")</f>
        <v>Андрей Денисов: Ссылка на изображение</v>
      </c>
    </row>
    <row r="27" spans="1:67" ht="15" customHeight="1" x14ac:dyDescent="0.35">
      <c r="A27">
        <v>538</v>
      </c>
      <c r="B27" t="s">
        <v>312</v>
      </c>
      <c r="C27">
        <v>2</v>
      </c>
      <c r="D27" t="str">
        <f>VLOOKUP(source[[#This Row],[Приоритет]],тПриоритеты[],2,0)</f>
        <v>Значительное</v>
      </c>
      <c r="E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" t="s">
        <v>96</v>
      </c>
      <c r="G27" t="s">
        <v>157</v>
      </c>
      <c r="H27" t="str">
        <f>VLOOKUP(source[[#This Row],[Отвественный]],тОтветственные[],2,0)</f>
        <v>Отв13</v>
      </c>
      <c r="I27" s="2">
        <v>43734</v>
      </c>
      <c r="J27" s="2">
        <v>43734</v>
      </c>
      <c r="K27" t="s">
        <v>313</v>
      </c>
      <c r="L27">
        <v>0</v>
      </c>
      <c r="M27">
        <v>0</v>
      </c>
      <c r="N27" t="s">
        <v>159</v>
      </c>
      <c r="Q27" t="s">
        <v>106</v>
      </c>
      <c r="R27" t="str">
        <f>HYPERLINK("https://d28ji4sm1vmprj.cloudfront.net/464215be55b88773f54b8cd83354babd/02eaaeba9564da889c4ba5d284544147.jpeg", "Ссылка на план")</f>
        <v>Ссылка на план</v>
      </c>
      <c r="S27" s="1">
        <v>43734.552303240744</v>
      </c>
      <c r="T27" s="1">
        <v>43734.55232638889</v>
      </c>
      <c r="U27" s="1">
        <v>43734.55232638889</v>
      </c>
      <c r="W27" s="1">
        <v>43734.553148148145</v>
      </c>
      <c r="X27" t="s">
        <v>160</v>
      </c>
      <c r="AA27" s="3" t="s">
        <v>314</v>
      </c>
      <c r="AB27" t="s">
        <v>315</v>
      </c>
      <c r="AC27" t="s">
        <v>316</v>
      </c>
      <c r="AD27" t="s">
        <v>317</v>
      </c>
      <c r="AE27" t="s">
        <v>318</v>
      </c>
      <c r="AF27" s="3" t="s">
        <v>319</v>
      </c>
      <c r="BF27" t="s">
        <v>167</v>
      </c>
      <c r="BG27" t="s">
        <v>320</v>
      </c>
      <c r="BH27" t="s">
        <v>230</v>
      </c>
      <c r="BI27" t="s">
        <v>321</v>
      </c>
      <c r="BJ27" t="str">
        <f>HYPERLINK("https://d33htgqikc2pj4.cloudfront.net/561ded34-9d3d-46f8-836d-24e9d1fb4b99.jpeg", "Андрей Денисов: Ссылка на изображение")</f>
        <v>Андрей Денисов: Ссылка на изображение</v>
      </c>
      <c r="BK27" t="str">
        <f>HYPERLINK("https://d33htgqikc2pj4.cloudfront.net/f24f025d-8248-4724-a8ff-c3d4ee7b8189.jpeg", "Андрей Денисов: Ссылка на изображение")</f>
        <v>Андрей Денисов: Ссылка на изображение</v>
      </c>
      <c r="BL27" t="str">
        <f>HYPERLINK("https://d33htgqikc2pj4.cloudfront.net/3f1d3d1e-1fd0-4f94-bfdb-55db537e789b.jpeg", "Андрей Денисов: Ссылка на изображение")</f>
        <v>Андрей Денисов: Ссылка на изображение</v>
      </c>
      <c r="BM27" t="str">
        <f>HYPERLINK("https://d33htgqikc2pj4.cloudfront.net/b0491f9a-ead1-40ff-ac71-824edcc30c28.jpeg", "Андрей Денисов: Ссылка на изображение")</f>
        <v>Андрей Денисов: Ссылка на изображение</v>
      </c>
      <c r="BN27" t="str">
        <f>HYPERLINK("https://d33htgqikc2pj4.cloudfront.net/55838f7c-d51f-490c-a1c2-9708775a3129.jpeg", "Андрей Денисов: Ссылка на изображение")</f>
        <v>Андрей Денисов: Ссылка на изображение</v>
      </c>
      <c r="BO27" t="str">
        <f>HYPERLINK("https://d33htgqikc2pj4.cloudfront.net/b648b9ed-a136-44aa-95be-cb86fab8e59a.jpeg", "Андрей Денисов: Ссылка на изображение")</f>
        <v>Андрей Денисов: Ссылка на изображение</v>
      </c>
    </row>
    <row r="28" spans="1:67" ht="15" customHeight="1" x14ac:dyDescent="0.35">
      <c r="A28">
        <v>795</v>
      </c>
      <c r="B28" t="s">
        <v>322</v>
      </c>
      <c r="C28">
        <v>2</v>
      </c>
      <c r="D28" t="str">
        <f>VLOOKUP(source[[#This Row],[Приоритет]],тПриоритеты[],2,0)</f>
        <v>Значительное</v>
      </c>
      <c r="E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" t="s">
        <v>96</v>
      </c>
      <c r="G28" t="s">
        <v>157</v>
      </c>
      <c r="H28" t="str">
        <f>VLOOKUP(source[[#This Row],[Отвественный]],тОтветственные[],2,0)</f>
        <v>Отв13</v>
      </c>
      <c r="I28" s="2">
        <v>43819</v>
      </c>
      <c r="J28" s="2">
        <v>43819</v>
      </c>
      <c r="K28" t="s">
        <v>323</v>
      </c>
      <c r="L28">
        <v>0</v>
      </c>
      <c r="M28">
        <v>0</v>
      </c>
      <c r="N28" t="s">
        <v>324</v>
      </c>
      <c r="O28">
        <v>0</v>
      </c>
      <c r="Q28" t="s">
        <v>106</v>
      </c>
      <c r="R28" t="str">
        <f>HYPERLINK("https://d28ji4sm1vmprj.cloudfront.net/b9f0a3730bff318b29d61a045df19870/45ac0b590edfdc108d4a2e6d8918b5e0.jpeg", "Ссылка на план")</f>
        <v>Ссылка на план</v>
      </c>
      <c r="S28" s="1">
        <v>43819.726631944446</v>
      </c>
      <c r="T28" s="1">
        <v>43819.726678240739</v>
      </c>
      <c r="U28" s="1">
        <v>43819.726678240739</v>
      </c>
      <c r="W28" s="1">
        <v>43820.695127314815</v>
      </c>
      <c r="X28" t="s">
        <v>133</v>
      </c>
      <c r="AA28" s="3" t="s">
        <v>325</v>
      </c>
      <c r="AB28" t="s">
        <v>326</v>
      </c>
      <c r="AC28" t="s">
        <v>327</v>
      </c>
      <c r="AD28" t="s">
        <v>328</v>
      </c>
      <c r="AE28" t="s">
        <v>329</v>
      </c>
      <c r="AF28" s="3" t="s">
        <v>330</v>
      </c>
      <c r="BF28" t="s">
        <v>167</v>
      </c>
      <c r="BG28" t="s">
        <v>230</v>
      </c>
      <c r="BH28" t="s">
        <v>331</v>
      </c>
      <c r="BI28" t="s">
        <v>332</v>
      </c>
      <c r="BJ28" t="s">
        <v>333</v>
      </c>
      <c r="BK28" t="s">
        <v>334</v>
      </c>
      <c r="BL28" t="str">
        <f>HYPERLINK("https://d33htgqikc2pj4.cloudfront.net/3e2c5765de2783a29db80941a6be7d45/18ea9415307a0f0fa051bcfef63a239b-file.jpeg", "Андрей Денисов: Ссылка на изображение")</f>
        <v>Андрей Денисов: Ссылка на изображение</v>
      </c>
      <c r="BM28" t="str">
        <f>HYPERLINK("https://d33htgqikc2pj4.cloudfront.net/f38de49eaef297bd3191913b91fbf2c2/66eb051f4428b2e6413ccacf99eba0c3-file.jpeg", "Андрей Денисов: Ссылка на изображение")</f>
        <v>Андрей Денисов: Ссылка на изображение</v>
      </c>
      <c r="BN28" t="s">
        <v>335</v>
      </c>
    </row>
    <row r="29" spans="1:67" ht="15" customHeight="1" x14ac:dyDescent="0.35">
      <c r="A29">
        <v>803</v>
      </c>
      <c r="B29" t="s">
        <v>336</v>
      </c>
      <c r="C29">
        <v>2</v>
      </c>
      <c r="D29" t="str">
        <f>VLOOKUP(source[[#This Row],[Приоритет]],тПриоритеты[],2,0)</f>
        <v>Значительное</v>
      </c>
      <c r="E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" t="s">
        <v>96</v>
      </c>
      <c r="G29" t="s">
        <v>157</v>
      </c>
      <c r="H29" t="str">
        <f>VLOOKUP(source[[#This Row],[Отвественный]],тОтветственные[],2,0)</f>
        <v>Отв13</v>
      </c>
      <c r="I29" s="2">
        <v>43820</v>
      </c>
      <c r="J29" s="2">
        <v>43820</v>
      </c>
      <c r="K29" t="s">
        <v>337</v>
      </c>
      <c r="L29">
        <v>0</v>
      </c>
      <c r="M29">
        <v>0</v>
      </c>
      <c r="N29" t="s">
        <v>338</v>
      </c>
      <c r="Q29" t="s">
        <v>339</v>
      </c>
      <c r="R29" t="str">
        <f>HYPERLINK("https://d28ji4sm1vmprj.cloudfront.net/19dc4a1afc4fcc7f30fd79820762e797/bb9fe60bbdb1c123800b0cd50ec150cc.jpeg", "Ссылка на план")</f>
        <v>Ссылка на план</v>
      </c>
      <c r="S29" s="1">
        <v>43820.69699074074</v>
      </c>
      <c r="T29" s="1">
        <v>43820.697013888886</v>
      </c>
      <c r="U29" s="1">
        <v>43820.697013888886</v>
      </c>
      <c r="W29" s="1">
        <v>43820.698275462964</v>
      </c>
      <c r="X29" t="s">
        <v>340</v>
      </c>
      <c r="AA29" t="s">
        <v>341</v>
      </c>
      <c r="AB29" t="s">
        <v>342</v>
      </c>
      <c r="AC29" t="s">
        <v>343</v>
      </c>
      <c r="AD29" t="s">
        <v>344</v>
      </c>
      <c r="AE29" t="s">
        <v>345</v>
      </c>
      <c r="AF29" t="s">
        <v>346</v>
      </c>
      <c r="AG29" t="s">
        <v>347</v>
      </c>
      <c r="AH29" t="s">
        <v>348</v>
      </c>
      <c r="AI29" t="s">
        <v>349</v>
      </c>
      <c r="AJ29" t="s">
        <v>350</v>
      </c>
      <c r="AK29" t="s">
        <v>351</v>
      </c>
      <c r="AL29" t="s">
        <v>352</v>
      </c>
      <c r="AM29" t="s">
        <v>353</v>
      </c>
      <c r="AN29" t="s">
        <v>354</v>
      </c>
      <c r="BF29" t="s">
        <v>167</v>
      </c>
      <c r="BG29" t="s">
        <v>355</v>
      </c>
      <c r="BH29" t="s">
        <v>230</v>
      </c>
      <c r="BI29" t="s">
        <v>356</v>
      </c>
    </row>
    <row r="30" spans="1:67" ht="15" customHeight="1" x14ac:dyDescent="0.35">
      <c r="A30">
        <v>551</v>
      </c>
      <c r="B30" t="s">
        <v>357</v>
      </c>
      <c r="C30">
        <v>2</v>
      </c>
      <c r="D30" t="str">
        <f>VLOOKUP(source[[#This Row],[Приоритет]],тПриоритеты[],2,0)</f>
        <v>Значительное</v>
      </c>
      <c r="E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" t="s">
        <v>96</v>
      </c>
      <c r="G30" t="s">
        <v>157</v>
      </c>
      <c r="H30" t="str">
        <f>VLOOKUP(source[[#This Row],[Отвественный]],тОтветственные[],2,0)</f>
        <v>Отв13</v>
      </c>
      <c r="I30" s="2">
        <v>43736</v>
      </c>
      <c r="J30" s="2">
        <v>43736</v>
      </c>
      <c r="K30" t="s">
        <v>104</v>
      </c>
      <c r="L30">
        <v>0</v>
      </c>
      <c r="M30">
        <v>0</v>
      </c>
      <c r="N30" t="s">
        <v>105</v>
      </c>
      <c r="Q30" t="s">
        <v>106</v>
      </c>
      <c r="R30" t="str">
        <f>HYPERLINK("https://d28ji4sm1vmprj.cloudfront.net/e7a526a7220c3bc5cfeeb407c455c0b3/580ffb055aff8ee0c88c6e676cfba776.jpeg", "Ссылка на план")</f>
        <v>Ссылка на план</v>
      </c>
      <c r="S30" s="1">
        <v>43736.915381944447</v>
      </c>
      <c r="T30" s="1">
        <v>43736.915416666663</v>
      </c>
      <c r="U30" s="1">
        <v>43736.915416666663</v>
      </c>
      <c r="W30" s="1">
        <v>43736.916006944448</v>
      </c>
      <c r="X30" t="s">
        <v>107</v>
      </c>
      <c r="AA30" t="s">
        <v>358</v>
      </c>
      <c r="AB30" t="s">
        <v>359</v>
      </c>
      <c r="AC30" t="s">
        <v>360</v>
      </c>
      <c r="AD30" t="s">
        <v>361</v>
      </c>
      <c r="AE30" t="s">
        <v>362</v>
      </c>
      <c r="AF30" t="s">
        <v>363</v>
      </c>
      <c r="BF30" t="s">
        <v>167</v>
      </c>
      <c r="BG30" t="s">
        <v>364</v>
      </c>
      <c r="BH30" t="s">
        <v>310</v>
      </c>
      <c r="BI30" t="s">
        <v>230</v>
      </c>
      <c r="BJ30" t="s">
        <v>365</v>
      </c>
      <c r="BK30" t="str">
        <f>HYPERLINK("https://d33htgqikc2pj4.cloudfront.net/61d98879-8e1a-47d0-b833-6297013f7970.jpeg", "Андрей Денисов: Ссылка на изображение")</f>
        <v>Андрей Денисов: Ссылка на изображение</v>
      </c>
      <c r="BL30" t="str">
        <f>HYPERLINK("https://d33htgqikc2pj4.cloudfront.net/d255b0a7-ecb0-49a4-9b3b-333def3a400e.jpeg", "Андрей Денисов: Ссылка на изображение")</f>
        <v>Андрей Денисов: Ссылка на изображение</v>
      </c>
      <c r="BM30" t="str">
        <f>HYPERLINK("https://d33htgqikc2pj4.cloudfront.net/47b69e17-b764-43f9-b728-7e63b37e310b.jpeg", "Андрей Денисов: Ссылка на изображение")</f>
        <v>Андрей Денисов: Ссылка на изображение</v>
      </c>
    </row>
    <row r="31" spans="1:67" ht="15" customHeight="1" x14ac:dyDescent="0.35">
      <c r="A31">
        <v>729</v>
      </c>
      <c r="B31" t="s">
        <v>366</v>
      </c>
      <c r="C31">
        <v>2</v>
      </c>
      <c r="D31" t="str">
        <f>VLOOKUP(source[[#This Row],[Приоритет]],тПриоритеты[],2,0)</f>
        <v>Значительное</v>
      </c>
      <c r="E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" t="s">
        <v>96</v>
      </c>
      <c r="G31" t="s">
        <v>157</v>
      </c>
      <c r="H31" t="str">
        <f>VLOOKUP(source[[#This Row],[Отвественный]],тОтветственные[],2,0)</f>
        <v>Отв13</v>
      </c>
      <c r="I31" s="2">
        <v>43797</v>
      </c>
      <c r="J31" s="2">
        <v>43797</v>
      </c>
      <c r="K31" t="s">
        <v>323</v>
      </c>
      <c r="L31">
        <v>0</v>
      </c>
      <c r="M31">
        <v>0</v>
      </c>
      <c r="N31" t="s">
        <v>324</v>
      </c>
      <c r="Q31" t="s">
        <v>106</v>
      </c>
      <c r="R31" t="str">
        <f>HYPERLINK("https://d28ji4sm1vmprj.cloudfront.net/b9f0a3730bff318b29d61a045df19870/45ac0b590edfdc108d4a2e6d8918b5e0.jpeg", "Ссылка на план")</f>
        <v>Ссылка на план</v>
      </c>
      <c r="S31" s="1">
        <v>43797.80568287037</v>
      </c>
      <c r="T31" s="1">
        <v>43797.805694444447</v>
      </c>
      <c r="U31" s="1">
        <v>43797.805694444447</v>
      </c>
      <c r="W31" s="1">
        <v>43797.80641203704</v>
      </c>
      <c r="X31" t="s">
        <v>160</v>
      </c>
      <c r="AA31" s="3" t="s">
        <v>367</v>
      </c>
      <c r="AB31" t="s">
        <v>368</v>
      </c>
      <c r="AC31" t="s">
        <v>369</v>
      </c>
      <c r="AD31" t="s">
        <v>370</v>
      </c>
      <c r="AE31" t="s">
        <v>371</v>
      </c>
      <c r="AF31" s="3" t="s">
        <v>372</v>
      </c>
      <c r="BF31" t="s">
        <v>167</v>
      </c>
      <c r="BG31" t="s">
        <v>373</v>
      </c>
      <c r="BH31" t="s">
        <v>374</v>
      </c>
      <c r="BI31" t="str">
        <f>HYPERLINK("https://d33htgqikc2pj4.cloudfront.net/20a9a965-5546-423b-b33a-1c552906881b.jpeg", "Андрей Денисов: Ссылка на изображение")</f>
        <v>Андрей Денисов: Ссылка на изображение</v>
      </c>
      <c r="BJ31" t="str">
        <f>HYPERLINK("https://d33htgqikc2pj4.cloudfront.net/1aadf146-90d3-4275-8e97-be00992fa750.jpeg", "Андрей Денисов: Ссылка на изображение")</f>
        <v>Андрей Денисов: Ссылка на изображение</v>
      </c>
      <c r="BK31" t="str">
        <f>HYPERLINK("https://d33htgqikc2pj4.cloudfront.net/fa531297-83b3-441f-84b2-dbdeb84c5535.jpeg", "Андрей Денисов: Ссылка на изображение")</f>
        <v>Андрей Денисов: Ссылка на изображение</v>
      </c>
      <c r="BL31" t="str">
        <f>HYPERLINK("https://d33htgqikc2pj4.cloudfront.net/bb58daef-e442-4f0b-b14b-d6062028ea58.jpeg", "Андрей Денисов: Ссылка на изображение")</f>
        <v>Андрей Денисов: Ссылка на изображение</v>
      </c>
    </row>
    <row r="32" spans="1:67" ht="15" customHeight="1" x14ac:dyDescent="0.35">
      <c r="A32">
        <v>757</v>
      </c>
      <c r="B32" t="s">
        <v>366</v>
      </c>
      <c r="C32">
        <v>2</v>
      </c>
      <c r="D32" t="str">
        <f>VLOOKUP(source[[#This Row],[Приоритет]],тПриоритеты[],2,0)</f>
        <v>Значительное</v>
      </c>
      <c r="E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" t="s">
        <v>96</v>
      </c>
      <c r="G32" t="s">
        <v>157</v>
      </c>
      <c r="H32" t="str">
        <f>VLOOKUP(source[[#This Row],[Отвественный]],тОтветственные[],2,0)</f>
        <v>Отв13</v>
      </c>
      <c r="I32" s="2">
        <v>43805</v>
      </c>
      <c r="J32" s="2">
        <v>43805</v>
      </c>
      <c r="K32" t="s">
        <v>375</v>
      </c>
      <c r="L32">
        <v>0</v>
      </c>
      <c r="M32">
        <v>0</v>
      </c>
      <c r="N32" t="s">
        <v>213</v>
      </c>
      <c r="Q32" t="s">
        <v>106</v>
      </c>
      <c r="R32" t="str">
        <f>HYPERLINK("https://d28ji4sm1vmprj.cloudfront.net/3e7bd1b1c8123e07928556a95537ec96/b6f4ea1a4c385def2ded1a2b1779c1a4.jpeg", "Ссылка на план")</f>
        <v>Ссылка на план</v>
      </c>
      <c r="S32" s="1">
        <v>43805.733449074076</v>
      </c>
      <c r="T32" s="1">
        <v>43805.733472222222</v>
      </c>
      <c r="U32" s="1">
        <v>43805.733472222222</v>
      </c>
      <c r="W32" s="1">
        <v>43805.733726851853</v>
      </c>
      <c r="X32" t="s">
        <v>160</v>
      </c>
      <c r="AA32" s="3" t="s">
        <v>376</v>
      </c>
      <c r="AB32" t="s">
        <v>377</v>
      </c>
      <c r="AC32" t="s">
        <v>378</v>
      </c>
      <c r="AD32" t="s">
        <v>379</v>
      </c>
      <c r="AE32" t="s">
        <v>380</v>
      </c>
      <c r="AF32" s="3" t="s">
        <v>381</v>
      </c>
      <c r="BF32" t="s">
        <v>167</v>
      </c>
      <c r="BG32" t="s">
        <v>373</v>
      </c>
      <c r="BH32" t="s">
        <v>382</v>
      </c>
      <c r="BI32" t="str">
        <f>HYPERLINK("https://d33htgqikc2pj4.cloudfront.net/80720ac8-7871-45ce-8cf6-b79772db1063.jpeg", "Андрей Денисов: Ссылка на изображение")</f>
        <v>Андрей Денисов: Ссылка на изображение</v>
      </c>
      <c r="BJ32" t="str">
        <f>HYPERLINK("https://d33htgqikc2pj4.cloudfront.net/7bc91382-1488-4cad-9cf4-662951e4ffe4.jpeg", "Андрей Денисов: Ссылка на изображение")</f>
        <v>Андрей Денисов: Ссылка на изображение</v>
      </c>
      <c r="BK32" t="str">
        <f>HYPERLINK("https://d33htgqikc2pj4.cloudfront.net/7c664bf0-54f4-4d06-870a-c58e0b51c138.jpeg", "Андрей Денисов: Ссылка на изображение")</f>
        <v>Андрей Денисов: Ссылка на изображение</v>
      </c>
      <c r="BL32" t="str">
        <f>HYPERLINK("https://d33htgqikc2pj4.cloudfront.net/6ea7a252-e651-42d0-8dde-cfb005c1488e.jpeg", "Андрей Денисов: Ссылка на изображение")</f>
        <v>Андрей Денисов: Ссылка на изображение</v>
      </c>
      <c r="BM32" t="str">
        <f>HYPERLINK("https://d33htgqikc2pj4.cloudfront.net/79205e58-86c9-4a7c-a41b-a355ded6d803.jpeg", "Андрей Денисов: Ссылка на изображение")</f>
        <v>Андрей Денисов: Ссылка на изображение</v>
      </c>
      <c r="BN32" t="str">
        <f>HYPERLINK("https://d33htgqikc2pj4.cloudfront.net/1b7882a0-ec00-4b48-af70-5ca9504b3c4e.jpeg", "Андрей Денисов: Ссылка на изображение")</f>
        <v>Андрей Денисов: Ссылка на изображение</v>
      </c>
    </row>
    <row r="33" spans="1:68" ht="15" customHeight="1" x14ac:dyDescent="0.35">
      <c r="A33">
        <v>693</v>
      </c>
      <c r="B33" t="s">
        <v>383</v>
      </c>
      <c r="C33">
        <v>2</v>
      </c>
      <c r="D33" t="str">
        <f>VLOOKUP(source[[#This Row],[Приоритет]],тПриоритеты[],2,0)</f>
        <v>Значительное</v>
      </c>
      <c r="E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" t="s">
        <v>96</v>
      </c>
      <c r="G33" t="s">
        <v>157</v>
      </c>
      <c r="H33" t="str">
        <f>VLOOKUP(source[[#This Row],[Отвественный]],тОтветственные[],2,0)</f>
        <v>Отв13</v>
      </c>
      <c r="I33" s="2">
        <v>43785</v>
      </c>
      <c r="J33" s="2">
        <v>43785</v>
      </c>
      <c r="K33" t="s">
        <v>323</v>
      </c>
      <c r="L33">
        <v>0</v>
      </c>
      <c r="M33">
        <v>0</v>
      </c>
      <c r="N33" t="s">
        <v>213</v>
      </c>
      <c r="Q33" t="s">
        <v>106</v>
      </c>
      <c r="R33" t="str">
        <f>HYPERLINK("https://d28ji4sm1vmprj.cloudfront.net/b9f0a3730bff318b29d61a045df19870/45ac0b590edfdc108d4a2e6d8918b5e0.jpeg", "Ссылка на план")</f>
        <v>Ссылка на план</v>
      </c>
      <c r="S33" s="1">
        <v>43788.546932870369</v>
      </c>
      <c r="T33" s="1">
        <v>43788.546967592592</v>
      </c>
      <c r="U33" s="1">
        <v>43788.546967592592</v>
      </c>
      <c r="W33" s="1">
        <v>43797.804930555554</v>
      </c>
      <c r="X33" t="s">
        <v>160</v>
      </c>
      <c r="AA33" s="3" t="s">
        <v>384</v>
      </c>
      <c r="AB33" t="s">
        <v>385</v>
      </c>
      <c r="AC33" t="s">
        <v>386</v>
      </c>
      <c r="AD33" t="s">
        <v>387</v>
      </c>
      <c r="AE33" t="s">
        <v>388</v>
      </c>
      <c r="AF33" s="3" t="s">
        <v>389</v>
      </c>
      <c r="BF33" t="s">
        <v>167</v>
      </c>
      <c r="BG33" t="s">
        <v>390</v>
      </c>
      <c r="BH33" t="s">
        <v>391</v>
      </c>
      <c r="BI33" t="s">
        <v>392</v>
      </c>
      <c r="BJ33" t="s">
        <v>393</v>
      </c>
      <c r="BK33" t="str">
        <f>HYPERLINK("https://d33htgqikc2pj4.cloudfront.net/518228b0-b282-4202-addb-f24286c24eff.jpeg", "Андрей Денисов: Ссылка на изображение")</f>
        <v>Андрей Денисов: Ссылка на изображение</v>
      </c>
      <c r="BL33" t="str">
        <f>HYPERLINK("https://d33htgqikc2pj4.cloudfront.net/d79f9f11-4398-4ca9-bed0-0386a1ad4d9e.jpeg", "Андрей Денисов: Ссылка на изображение")</f>
        <v>Андрей Денисов: Ссылка на изображение</v>
      </c>
    </row>
    <row r="34" spans="1:68" ht="15" customHeight="1" x14ac:dyDescent="0.35">
      <c r="A34">
        <v>837</v>
      </c>
      <c r="B34" t="s">
        <v>394</v>
      </c>
      <c r="C34">
        <v>2</v>
      </c>
      <c r="D34" t="str">
        <f>VLOOKUP(source[[#This Row],[Приоритет]],тПриоритеты[],2,0)</f>
        <v>Значительное</v>
      </c>
      <c r="E34" t="str">
        <f>IF(ISBLANK(source[[#This Row],[Проверенные]]),IF(ISBLANK(source[[#This Row],[Завершенные]]),source[[#This Row],[Приоритет_]],"Завершено"),"Проверено")</f>
        <v>Значительное</v>
      </c>
      <c r="F34" t="s">
        <v>96</v>
      </c>
      <c r="G34" t="s">
        <v>395</v>
      </c>
      <c r="H34" t="str">
        <f>VLOOKUP(source[[#This Row],[Отвественный]],тОтветственные[],2,0)</f>
        <v>Отв19</v>
      </c>
      <c r="I34" s="2">
        <v>43823</v>
      </c>
      <c r="J34" s="2">
        <v>43823</v>
      </c>
      <c r="K34" t="s">
        <v>104</v>
      </c>
      <c r="L34">
        <v>0</v>
      </c>
      <c r="M34">
        <v>0</v>
      </c>
      <c r="N34" t="s">
        <v>396</v>
      </c>
      <c r="Q34" t="s">
        <v>106</v>
      </c>
      <c r="R34" t="str">
        <f t="shared" ref="R34:R39" si="1">HYPERLINK("https://d28ji4sm1vmprj.cloudfront.net/e7a526a7220c3bc5cfeeb407c455c0b3/580ffb055aff8ee0c88c6e676cfba776.jpeg", "Ссылка на план")</f>
        <v>Ссылка на план</v>
      </c>
      <c r="S34" s="1">
        <v>43824.548148148147</v>
      </c>
      <c r="W34" s="1">
        <v>43824.548171296294</v>
      </c>
      <c r="BF34" t="s">
        <v>397</v>
      </c>
      <c r="BG34" t="s">
        <v>398</v>
      </c>
      <c r="BH34" t="str">
        <f>HYPERLINK("https://d33htgqikc2pj4.cloudfront.net/2be5663b-b9c1-4b63-9adf-ae574ee3a22c.jpeg", "Владимир Чугунов: Ссылка на изображение")</f>
        <v>Владимир Чугунов: Ссылка на изображение</v>
      </c>
      <c r="BI34" t="str">
        <f>HYPERLINK("https://d33htgqikc2pj4.cloudfront.net/fd530eef-489f-40c2-a374-5eda1e2ba70d.jpeg", "Владимир Чугунов: Ссылка на изображение")</f>
        <v>Владимир Чугунов: Ссылка на изображение</v>
      </c>
      <c r="BJ34" t="s">
        <v>127</v>
      </c>
      <c r="BK34" t="str">
        <f>HYPERLINK("https://d33htgqikc2pj4.cloudfront.net/ceb41ce0-d089-427a-a56c-bbe2129c4715.jpeg", "Владимир Чугунов: Ссылка на изображение")</f>
        <v>Владимир Чугунов: Ссылка на изображение</v>
      </c>
    </row>
    <row r="35" spans="1:68" ht="15" customHeight="1" x14ac:dyDescent="0.35">
      <c r="A35">
        <v>217</v>
      </c>
      <c r="B35" t="s">
        <v>399</v>
      </c>
      <c r="C35">
        <v>2</v>
      </c>
      <c r="D35" t="str">
        <f>VLOOKUP(source[[#This Row],[Приоритет]],тПриоритеты[],2,0)</f>
        <v>Значительное</v>
      </c>
      <c r="E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" t="s">
        <v>96</v>
      </c>
      <c r="G35" t="s">
        <v>395</v>
      </c>
      <c r="H35" t="str">
        <f>VLOOKUP(source[[#This Row],[Отвественный]],тОтветственные[],2,0)</f>
        <v>Отв19</v>
      </c>
      <c r="I35" s="2">
        <v>43655</v>
      </c>
      <c r="J35" s="2">
        <v>43655</v>
      </c>
      <c r="K35" t="s">
        <v>104</v>
      </c>
      <c r="L35">
        <v>0</v>
      </c>
      <c r="M35">
        <v>0</v>
      </c>
      <c r="N35" t="s">
        <v>105</v>
      </c>
      <c r="Q35" t="s">
        <v>106</v>
      </c>
      <c r="R35" t="str">
        <f t="shared" si="1"/>
        <v>Ссылка на план</v>
      </c>
      <c r="S35" s="1">
        <v>43655.517256944448</v>
      </c>
      <c r="T35" s="1">
        <v>43655.519780092596</v>
      </c>
      <c r="U35" s="1">
        <v>43655.519861111112</v>
      </c>
      <c r="W35" s="1">
        <v>43655.519872685189</v>
      </c>
      <c r="X35" t="s">
        <v>302</v>
      </c>
      <c r="AA35" t="s">
        <v>108</v>
      </c>
      <c r="AB35" t="s">
        <v>109</v>
      </c>
      <c r="AC35" t="s">
        <v>400</v>
      </c>
      <c r="AD35" t="s">
        <v>401</v>
      </c>
      <c r="AE35" t="s">
        <v>402</v>
      </c>
      <c r="AF35" t="s">
        <v>403</v>
      </c>
      <c r="BF35" t="s">
        <v>404</v>
      </c>
      <c r="BG35" t="s">
        <v>116</v>
      </c>
      <c r="BH35" t="s">
        <v>114</v>
      </c>
      <c r="BI35" t="str">
        <f>HYPERLINK("https://d33htgqikc2pj4.cloudfront.net/7824dcae-e5a9-441a-bec9-a342a7544712.jpeg", "Владимир Чугунов: Ссылка на изображение")</f>
        <v>Владимир Чугунов: Ссылка на изображение</v>
      </c>
      <c r="BJ35" t="str">
        <f>HYPERLINK("https://d33htgqikc2pj4.cloudfront.net/987d8cc8-b9cf-4afd-84d2-c7a9d4eecb5c.jpeg", "Владимир Чугунов: Ссылка на изображение")</f>
        <v>Владимир Чугунов: Ссылка на изображение</v>
      </c>
      <c r="BK35" t="str">
        <f>HYPERLINK("https://d33htgqikc2pj4.cloudfront.net/67016f52-f869-47f2-90f1-477a2c09b49a.jpeg", "Владимир Чугунов: Ссылка на изображение")</f>
        <v>Владимир Чугунов: Ссылка на изображение</v>
      </c>
      <c r="BL35" t="s">
        <v>102</v>
      </c>
      <c r="BM35" t="s">
        <v>114</v>
      </c>
      <c r="BN35" t="s">
        <v>102</v>
      </c>
    </row>
    <row r="36" spans="1:68" ht="15" customHeight="1" x14ac:dyDescent="0.35">
      <c r="A36">
        <v>219</v>
      </c>
      <c r="B36" t="s">
        <v>405</v>
      </c>
      <c r="C36">
        <v>2</v>
      </c>
      <c r="D36" t="str">
        <f>VLOOKUP(source[[#This Row],[Приоритет]],тПриоритеты[],2,0)</f>
        <v>Значительное</v>
      </c>
      <c r="E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" t="s">
        <v>96</v>
      </c>
      <c r="G36" t="s">
        <v>395</v>
      </c>
      <c r="H36" t="str">
        <f>VLOOKUP(source[[#This Row],[Отвественный]],тОтветственные[],2,0)</f>
        <v>Отв19</v>
      </c>
      <c r="I36" s="2">
        <v>43655</v>
      </c>
      <c r="J36" s="2">
        <v>43655</v>
      </c>
      <c r="K36" t="s">
        <v>104</v>
      </c>
      <c r="L36">
        <v>0</v>
      </c>
      <c r="M36">
        <v>0</v>
      </c>
      <c r="N36" t="s">
        <v>105</v>
      </c>
      <c r="Q36" t="s">
        <v>106</v>
      </c>
      <c r="R36" t="str">
        <f t="shared" si="1"/>
        <v>Ссылка на план</v>
      </c>
      <c r="S36" s="1">
        <v>43655.682743055557</v>
      </c>
      <c r="T36" s="1">
        <v>43655.683622685188</v>
      </c>
      <c r="U36" s="1">
        <v>43655.685648148145</v>
      </c>
      <c r="W36" s="1">
        <v>43655.685659722221</v>
      </c>
      <c r="X36" t="s">
        <v>406</v>
      </c>
      <c r="AA36" t="s">
        <v>407</v>
      </c>
      <c r="AB36" t="s">
        <v>408</v>
      </c>
      <c r="AC36" t="s">
        <v>409</v>
      </c>
      <c r="AD36" t="s">
        <v>410</v>
      </c>
      <c r="AE36" t="s">
        <v>411</v>
      </c>
      <c r="AF36" t="s">
        <v>412</v>
      </c>
      <c r="AG36" t="s">
        <v>413</v>
      </c>
      <c r="BF36" t="s">
        <v>414</v>
      </c>
      <c r="BG36" t="s">
        <v>116</v>
      </c>
      <c r="BH36" t="s">
        <v>114</v>
      </c>
      <c r="BI36" t="str">
        <f>HYPERLINK("https://d33htgqikc2pj4.cloudfront.net/0f1350d7-3e1a-4ea8-ba97-edf589e96ba4.jpeg", "Владимир Чугунов: Ссылка на изображение")</f>
        <v>Владимир Чугунов: Ссылка на изображение</v>
      </c>
      <c r="BJ36" t="str">
        <f>HYPERLINK("https://d33htgqikc2pj4.cloudfront.net/d05c06c5-3796-4ff8-96d3-606ed1502d0c.jpeg", "Владимир Чугунов: Ссылка на изображение")</f>
        <v>Владимир Чугунов: Ссылка на изображение</v>
      </c>
      <c r="BK36" t="str">
        <f>HYPERLINK("https://d33htgqikc2pj4.cloudfront.net/4f55a06f-cc43-4ecc-b8ac-eb6d7cf96603.jpeg", "Владимир Чугунов: Ссылка на изображение")</f>
        <v>Владимир Чугунов: Ссылка на изображение</v>
      </c>
      <c r="BL36" t="str">
        <f>HYPERLINK("https://d33htgqikc2pj4.cloudfront.net/548f9c16-6132-4c1e-8da2-6ac6d66ea5d0.jpeg", "Владимир Чугунов: Ссылка на изображение")</f>
        <v>Владимир Чугунов: Ссылка на изображение</v>
      </c>
      <c r="BM36" t="str">
        <f>HYPERLINK("https://d33htgqikc2pj4.cloudfront.net/da3b0421-5d3a-46c9-abe5-c53024f03969.jpeg", "Владимир Чугунов: Ссылка на изображение")</f>
        <v>Владимир Чугунов: Ссылка на изображение</v>
      </c>
      <c r="BN36" t="s">
        <v>102</v>
      </c>
    </row>
    <row r="37" spans="1:68" ht="15" customHeight="1" x14ac:dyDescent="0.35">
      <c r="A37">
        <v>223</v>
      </c>
      <c r="B37" t="s">
        <v>415</v>
      </c>
      <c r="C37">
        <v>2</v>
      </c>
      <c r="D37" t="str">
        <f>VLOOKUP(source[[#This Row],[Приоритет]],тПриоритеты[],2,0)</f>
        <v>Значительное</v>
      </c>
      <c r="E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" t="s">
        <v>96</v>
      </c>
      <c r="G37" t="s">
        <v>395</v>
      </c>
      <c r="H37" t="str">
        <f>VLOOKUP(source[[#This Row],[Отвественный]],тОтветственные[],2,0)</f>
        <v>Отв19</v>
      </c>
      <c r="I37" s="2">
        <v>43655</v>
      </c>
      <c r="J37" s="2">
        <v>43655</v>
      </c>
      <c r="K37" t="s">
        <v>104</v>
      </c>
      <c r="L37">
        <v>0</v>
      </c>
      <c r="M37">
        <v>0</v>
      </c>
      <c r="N37" t="s">
        <v>105</v>
      </c>
      <c r="Q37" t="s">
        <v>106</v>
      </c>
      <c r="R37" t="str">
        <f t="shared" si="1"/>
        <v>Ссылка на план</v>
      </c>
      <c r="S37" s="1">
        <v>43655.739687499998</v>
      </c>
      <c r="T37" s="1">
        <v>43655.740115740744</v>
      </c>
      <c r="U37" s="1">
        <v>43655.74145833333</v>
      </c>
      <c r="W37" s="1">
        <v>43655.743275462963</v>
      </c>
      <c r="X37" t="s">
        <v>406</v>
      </c>
      <c r="AA37" t="s">
        <v>407</v>
      </c>
      <c r="AB37" t="s">
        <v>408</v>
      </c>
      <c r="AC37" t="s">
        <v>409</v>
      </c>
      <c r="AD37" t="s">
        <v>410</v>
      </c>
      <c r="AE37" t="s">
        <v>411</v>
      </c>
      <c r="AF37" t="s">
        <v>412</v>
      </c>
      <c r="AG37" t="s">
        <v>413</v>
      </c>
      <c r="BF37" t="s">
        <v>416</v>
      </c>
      <c r="BG37" t="s">
        <v>114</v>
      </c>
      <c r="BH37" t="s">
        <v>116</v>
      </c>
      <c r="BI37" t="str">
        <f>HYPERLINK("https://d33htgqikc2pj4.cloudfront.net/ddbfc04d-0f1a-43a7-81d1-f259abe2b735.jpeg", "Владимир Чугунов: Ссылка на изображение")</f>
        <v>Владимир Чугунов: Ссылка на изображение</v>
      </c>
      <c r="BJ37" t="str">
        <f>HYPERLINK("https://d33htgqikc2pj4.cloudfront.net/239a1b75-6ac0-4f63-885d-45e55098f486.jpeg", "Владимир Чугунов: Ссылка на изображение")</f>
        <v>Владимир Чугунов: Ссылка на изображение</v>
      </c>
      <c r="BK37" t="str">
        <f>HYPERLINK("https://d33htgqikc2pj4.cloudfront.net/194d4793-6caf-4384-9441-ec23eb63e8ac.jpeg", "Владимир Чугунов: Ссылка на изображение")</f>
        <v>Владимир Чугунов: Ссылка на изображение</v>
      </c>
      <c r="BL37" t="str">
        <f>HYPERLINK("https://d33htgqikc2pj4.cloudfront.net/298f4f2f-334d-48ac-a9ea-aebfabc71660.jpeg", "Владимир Чугунов: Ссылка на изображение")</f>
        <v>Владимир Чугунов: Ссылка на изображение</v>
      </c>
      <c r="BM37" t="s">
        <v>102</v>
      </c>
      <c r="BN37" t="s">
        <v>417</v>
      </c>
      <c r="BO37" t="str">
        <f>HYPERLINK("https://d33htgqikc2pj4.cloudfront.net/fbbc993e-b8d6-44dc-bbf8-5634729921be.jpeg", "Владимир Чугунов: Ссылка на изображение")</f>
        <v>Владимир Чугунов: Ссылка на изображение</v>
      </c>
      <c r="BP37" t="str">
        <f>HYPERLINK("https://d33htgqikc2pj4.cloudfront.net/488c6838-3a0e-4e69-bdc1-c2cd2b0e88c3.jpeg", "Владимир Чугунов: Ссылка на изображение")</f>
        <v>Владимир Чугунов: Ссылка на изображение</v>
      </c>
    </row>
    <row r="38" spans="1:68" ht="15" customHeight="1" x14ac:dyDescent="0.35">
      <c r="A38">
        <v>784</v>
      </c>
      <c r="B38" t="s">
        <v>418</v>
      </c>
      <c r="C38">
        <v>2</v>
      </c>
      <c r="D38" t="str">
        <f>VLOOKUP(source[[#This Row],[Приоритет]],тПриоритеты[],2,0)</f>
        <v>Значительное</v>
      </c>
      <c r="E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" t="s">
        <v>96</v>
      </c>
      <c r="G38" t="s">
        <v>395</v>
      </c>
      <c r="H38" t="str">
        <f>VLOOKUP(source[[#This Row],[Отвественный]],тОтветственные[],2,0)</f>
        <v>Отв19</v>
      </c>
      <c r="I38" s="2">
        <v>43816</v>
      </c>
      <c r="J38" s="2">
        <v>43816</v>
      </c>
      <c r="K38" t="s">
        <v>104</v>
      </c>
      <c r="L38">
        <v>0</v>
      </c>
      <c r="M38">
        <v>0</v>
      </c>
      <c r="N38" t="s">
        <v>419</v>
      </c>
      <c r="Q38" t="s">
        <v>106</v>
      </c>
      <c r="R38" t="str">
        <f t="shared" si="1"/>
        <v>Ссылка на план</v>
      </c>
      <c r="S38" s="1">
        <v>43816.507164351853</v>
      </c>
      <c r="T38" s="1">
        <v>43816.507962962962</v>
      </c>
      <c r="U38" s="1">
        <v>43816.508703703701</v>
      </c>
      <c r="W38" s="1">
        <v>43816.508715277778</v>
      </c>
      <c r="X38" t="s">
        <v>160</v>
      </c>
      <c r="AA38" s="3" t="s">
        <v>420</v>
      </c>
      <c r="AB38" t="s">
        <v>421</v>
      </c>
      <c r="AC38" t="s">
        <v>422</v>
      </c>
      <c r="AD38" t="s">
        <v>423</v>
      </c>
      <c r="AE38" t="s">
        <v>424</v>
      </c>
      <c r="AF38" s="3" t="s">
        <v>425</v>
      </c>
      <c r="BF38" t="s">
        <v>426</v>
      </c>
      <c r="BG38" t="s">
        <v>427</v>
      </c>
      <c r="BH38" t="s">
        <v>114</v>
      </c>
      <c r="BI38" t="str">
        <f>HYPERLINK("https://d33htgqikc2pj4.cloudfront.net/8dde93fa-0f55-48f8-8c10-3bfd6762515e.jpeg", "Владимир Чугунов: Ссылка на изображение")</f>
        <v>Владимир Чугунов: Ссылка на изображение</v>
      </c>
      <c r="BJ38" t="s">
        <v>102</v>
      </c>
    </row>
    <row r="39" spans="1:68" ht="15" customHeight="1" x14ac:dyDescent="0.35">
      <c r="A39">
        <v>789</v>
      </c>
      <c r="B39" t="s">
        <v>428</v>
      </c>
      <c r="C39">
        <v>2</v>
      </c>
      <c r="D39" t="str">
        <f>VLOOKUP(source[[#This Row],[Приоритет]],тПриоритеты[],2,0)</f>
        <v>Значительное</v>
      </c>
      <c r="E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" t="s">
        <v>96</v>
      </c>
      <c r="G39" t="s">
        <v>395</v>
      </c>
      <c r="H39" t="str">
        <f>VLOOKUP(source[[#This Row],[Отвественный]],тОтветственные[],2,0)</f>
        <v>Отв19</v>
      </c>
      <c r="I39" s="2">
        <v>43816</v>
      </c>
      <c r="J39" s="2">
        <v>43816</v>
      </c>
      <c r="K39" t="s">
        <v>104</v>
      </c>
      <c r="L39">
        <v>0</v>
      </c>
      <c r="M39">
        <v>0</v>
      </c>
      <c r="N39" t="s">
        <v>396</v>
      </c>
      <c r="Q39" t="s">
        <v>106</v>
      </c>
      <c r="R39" t="str">
        <f t="shared" si="1"/>
        <v>Ссылка на план</v>
      </c>
      <c r="S39" s="1">
        <v>43816.656215277777</v>
      </c>
      <c r="T39" s="1">
        <v>43816.656782407408</v>
      </c>
      <c r="U39" s="1">
        <v>43816.657777777778</v>
      </c>
      <c r="W39" s="1">
        <v>43816.657789351855</v>
      </c>
      <c r="X39" t="s">
        <v>107</v>
      </c>
      <c r="AA39" t="s">
        <v>429</v>
      </c>
      <c r="AB39" t="s">
        <v>430</v>
      </c>
      <c r="AC39" t="s">
        <v>431</v>
      </c>
      <c r="AD39" t="s">
        <v>432</v>
      </c>
      <c r="AE39" t="s">
        <v>433</v>
      </c>
      <c r="AF39" t="s">
        <v>434</v>
      </c>
      <c r="BF39" t="s">
        <v>435</v>
      </c>
      <c r="BG39" t="s">
        <v>436</v>
      </c>
      <c r="BH39" t="s">
        <v>114</v>
      </c>
      <c r="BI39" t="s">
        <v>427</v>
      </c>
      <c r="BJ39" t="str">
        <f>HYPERLINK("https://d33htgqikc2pj4.cloudfront.net/6c65c3f6-e8b6-4f7f-94d6-fdcacd75fa4a.jpeg", "Владимир Чугунов: Ссылка на изображение")</f>
        <v>Владимир Чугунов: Ссылка на изображение</v>
      </c>
      <c r="BK39" t="str">
        <f>HYPERLINK("https://d33htgqikc2pj4.cloudfront.net/dfc92b03-a3b0-417d-a718-5de57067d5b7.jpeg", "Владимир Чугунов: Ссылка на изображение")</f>
        <v>Владимир Чугунов: Ссылка на изображение</v>
      </c>
      <c r="BL39" t="str">
        <f>HYPERLINK("https://d33htgqikc2pj4.cloudfront.net/246cada2-acb6-4a98-9685-552381cfdd09.jpeg", "Владимир Чугунов: Ссылка на изображение")</f>
        <v>Владимир Чугунов: Ссылка на изображение</v>
      </c>
      <c r="BM39" t="s">
        <v>102</v>
      </c>
    </row>
    <row r="40" spans="1:68" ht="15" customHeight="1" x14ac:dyDescent="0.35">
      <c r="A40">
        <v>10</v>
      </c>
      <c r="B40" t="s">
        <v>437</v>
      </c>
      <c r="C40">
        <v>2</v>
      </c>
      <c r="D40" t="str">
        <f>VLOOKUP(source[[#This Row],[Приоритет]],тПриоритеты[],2,0)</f>
        <v>Значительное</v>
      </c>
      <c r="E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" t="s">
        <v>96</v>
      </c>
      <c r="G40" t="s">
        <v>395</v>
      </c>
      <c r="H40" t="str">
        <f>VLOOKUP(source[[#This Row],[Отвественный]],тОтветственные[],2,0)</f>
        <v>Отв19</v>
      </c>
      <c r="I40" s="2">
        <v>43551</v>
      </c>
      <c r="J40" s="2">
        <v>43551</v>
      </c>
      <c r="K40" t="s">
        <v>438</v>
      </c>
      <c r="L40">
        <v>0</v>
      </c>
      <c r="M40">
        <v>0</v>
      </c>
      <c r="N40" t="s">
        <v>439</v>
      </c>
      <c r="Q40" t="s">
        <v>124</v>
      </c>
      <c r="R40" t="str">
        <f>HYPERLINK("https://d28ji4sm1vmprj.cloudfront.net/acfc9aa0097603f62cea0f398f3db1cc/12b88cc06de177b1006ee0f4fecb634c.jpeg", "Ссылка на план")</f>
        <v>Ссылка на план</v>
      </c>
      <c r="S40" s="1">
        <v>43551.502824074072</v>
      </c>
      <c r="T40" s="1">
        <v>43551.503055555557</v>
      </c>
      <c r="U40" s="1">
        <v>43551.503055555557</v>
      </c>
      <c r="W40" s="1">
        <v>43551.504895833335</v>
      </c>
      <c r="BF40" t="s">
        <v>102</v>
      </c>
      <c r="BG40" t="s">
        <v>440</v>
      </c>
      <c r="BH40" t="s">
        <v>441</v>
      </c>
      <c r="BI40" t="s">
        <v>442</v>
      </c>
      <c r="BJ40" t="str">
        <f>HYPERLINK("https://d33htgqikc2pj4.cloudfront.net/e78f8bf4-90c1-4f0e-b1b8-ec61d0536ba3.jpeg", "Владимир Чугунов: Ссылка на изображение")</f>
        <v>Владимир Чугунов: Ссылка на изображение</v>
      </c>
      <c r="BK40" t="str">
        <f>HYPERLINK("https://d33htgqikc2pj4.cloudfront.net/bc064234-a941-46a8-a4f7-aad0062815c0.jpeg", "Владимир Чугунов: Ссылка на изображение")</f>
        <v>Владимир Чугунов: Ссылка на изображение</v>
      </c>
    </row>
    <row r="41" spans="1:68" ht="15" customHeight="1" x14ac:dyDescent="0.35">
      <c r="A41">
        <v>230</v>
      </c>
      <c r="B41" t="s">
        <v>443</v>
      </c>
      <c r="C41">
        <v>2</v>
      </c>
      <c r="D41" t="str">
        <f>VLOOKUP(source[[#This Row],[Приоритет]],тПриоритеты[],2,0)</f>
        <v>Значительное</v>
      </c>
      <c r="E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" t="s">
        <v>96</v>
      </c>
      <c r="G41" t="s">
        <v>395</v>
      </c>
      <c r="H41" t="str">
        <f>VLOOKUP(source[[#This Row],[Отвественный]],тОтветственные[],2,0)</f>
        <v>Отв19</v>
      </c>
      <c r="I41" s="2">
        <v>43656</v>
      </c>
      <c r="J41" s="2">
        <v>43656</v>
      </c>
      <c r="K41" t="s">
        <v>104</v>
      </c>
      <c r="L41">
        <v>0</v>
      </c>
      <c r="M41">
        <v>0</v>
      </c>
      <c r="N41" t="s">
        <v>105</v>
      </c>
      <c r="Q41" t="s">
        <v>106</v>
      </c>
      <c r="R41" t="str">
        <f>HYPERLINK("https://d28ji4sm1vmprj.cloudfront.net/e7a526a7220c3bc5cfeeb407c455c0b3/580ffb055aff8ee0c88c6e676cfba776.jpeg", "Ссылка на план")</f>
        <v>Ссылка на план</v>
      </c>
      <c r="S41" s="1">
        <v>43656.818356481483</v>
      </c>
      <c r="T41" s="1">
        <v>43656.818749999999</v>
      </c>
      <c r="U41" s="1">
        <v>43656.819201388891</v>
      </c>
      <c r="W41" s="1">
        <v>43656.819212962961</v>
      </c>
      <c r="X41" t="s">
        <v>107</v>
      </c>
      <c r="AA41" t="s">
        <v>444</v>
      </c>
      <c r="AB41" t="s">
        <v>445</v>
      </c>
      <c r="AC41" t="s">
        <v>446</v>
      </c>
      <c r="AD41" t="s">
        <v>447</v>
      </c>
      <c r="AE41" t="s">
        <v>448</v>
      </c>
      <c r="AF41" t="s">
        <v>449</v>
      </c>
      <c r="BF41" t="s">
        <v>450</v>
      </c>
      <c r="BG41" t="s">
        <v>451</v>
      </c>
      <c r="BH41" t="s">
        <v>114</v>
      </c>
      <c r="BI41" t="str">
        <f>HYPERLINK("https://d33htgqikc2pj4.cloudfront.net/11e17250-730a-4ed4-9d5d-e1890da298f6.jpeg", "Владимир Чугунов: Ссылка на изображение")</f>
        <v>Владимир Чугунов: Ссылка на изображение</v>
      </c>
      <c r="BJ41" t="str">
        <f>HYPERLINK("https://d33htgqikc2pj4.cloudfront.net/5921fb8d-deb5-485f-a4da-2985050e890b.jpeg", "Владимир Чугунов: Ссылка на изображение")</f>
        <v>Владимир Чугунов: Ссылка на изображение</v>
      </c>
      <c r="BK41" t="s">
        <v>102</v>
      </c>
    </row>
    <row r="42" spans="1:68" ht="15" customHeight="1" x14ac:dyDescent="0.35">
      <c r="A42">
        <v>68</v>
      </c>
      <c r="B42" t="s">
        <v>452</v>
      </c>
      <c r="C42">
        <v>2</v>
      </c>
      <c r="D42" t="str">
        <f>VLOOKUP(source[[#This Row],[Приоритет]],тПриоритеты[],2,0)</f>
        <v>Значительное</v>
      </c>
      <c r="E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" t="s">
        <v>96</v>
      </c>
      <c r="G42" t="s">
        <v>395</v>
      </c>
      <c r="H42" t="str">
        <f>VLOOKUP(source[[#This Row],[Отвественный]],тОтветственные[],2,0)</f>
        <v>Отв19</v>
      </c>
      <c r="I42" s="2">
        <v>43593</v>
      </c>
      <c r="J42" s="2">
        <v>43593</v>
      </c>
      <c r="K42" t="s">
        <v>158</v>
      </c>
      <c r="L42">
        <v>0</v>
      </c>
      <c r="M42">
        <v>0</v>
      </c>
      <c r="N42" t="s">
        <v>159</v>
      </c>
      <c r="Q42" t="s">
        <v>124</v>
      </c>
      <c r="R42" t="str">
        <f>HYPERLINK("https://d28ji4sm1vmprj.cloudfront.net/09622a2bb466dfd1cdfb85ce6a712a4c/080b534903fe5ecae6d56f3611cbeb01.jpeg", "Ссылка на план")</f>
        <v>Ссылка на план</v>
      </c>
      <c r="S42" s="1">
        <v>43593.497997685183</v>
      </c>
      <c r="T42" s="1">
        <v>43593.497650462959</v>
      </c>
      <c r="U42" s="1">
        <v>43593.497650462959</v>
      </c>
      <c r="W42" s="1">
        <v>43593.499131944445</v>
      </c>
      <c r="X42" t="s">
        <v>160</v>
      </c>
      <c r="AA42" s="3" t="s">
        <v>453</v>
      </c>
      <c r="AB42" t="s">
        <v>454</v>
      </c>
      <c r="AC42" t="s">
        <v>455</v>
      </c>
      <c r="AD42" t="s">
        <v>456</v>
      </c>
      <c r="AE42" t="s">
        <v>457</v>
      </c>
      <c r="AF42" s="3" t="s">
        <v>458</v>
      </c>
      <c r="BF42" t="s">
        <v>102</v>
      </c>
      <c r="BG42" t="s">
        <v>459</v>
      </c>
      <c r="BH42" t="s">
        <v>460</v>
      </c>
      <c r="BI42" t="str">
        <f>HYPERLINK("https://d33htgqikc2pj4.cloudfront.net/c509920b-59d4-47bb-b1c4-e5d5a40bec82.jpeg", "Владимир Чугунов: Ссылка на изображение")</f>
        <v>Владимир Чугунов: Ссылка на изображение</v>
      </c>
      <c r="BJ42" t="str">
        <f>HYPERLINK("https://d33htgqikc2pj4.cloudfront.net/0de38ca2-5958-4822-960e-f39d9398812c.jpeg", "Владимир Чугунов: Ссылка на изображение")</f>
        <v>Владимир Чугунов: Ссылка на изображение</v>
      </c>
      <c r="BK42" t="str">
        <f>HYPERLINK("https://d33htgqikc2pj4.cloudfront.net/227d4b14-48ed-467b-a591-01e45731e3b7.jpeg", "Владимир Чугунов: Ссылка на изображение")</f>
        <v>Владимир Чугунов: Ссылка на изображение</v>
      </c>
      <c r="BL42" t="str">
        <f>HYPERLINK("https://d33htgqikc2pj4.cloudfront.net/74a6c8df-1b67-4d83-9d5b-4e6adf9e1e6d.jpeg", "Владимир Чугунов: Ссылка на изображение")</f>
        <v>Владимир Чугунов: Ссылка на изображение</v>
      </c>
    </row>
    <row r="43" spans="1:68" ht="15" customHeight="1" x14ac:dyDescent="0.35">
      <c r="A43">
        <v>233</v>
      </c>
      <c r="B43" t="s">
        <v>461</v>
      </c>
      <c r="C43">
        <v>2</v>
      </c>
      <c r="D43" t="str">
        <f>VLOOKUP(source[[#This Row],[Приоритет]],тПриоритеты[],2,0)</f>
        <v>Значительное</v>
      </c>
      <c r="E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" t="s">
        <v>96</v>
      </c>
      <c r="G43" t="s">
        <v>395</v>
      </c>
      <c r="H43" t="str">
        <f>VLOOKUP(source[[#This Row],[Отвественный]],тОтветственные[],2,0)</f>
        <v>Отв19</v>
      </c>
      <c r="I43" s="2">
        <v>43657</v>
      </c>
      <c r="J43" s="2">
        <v>43657</v>
      </c>
      <c r="K43" t="s">
        <v>104</v>
      </c>
      <c r="L43">
        <v>0</v>
      </c>
      <c r="M43">
        <v>0</v>
      </c>
      <c r="N43" t="s">
        <v>105</v>
      </c>
      <c r="Q43" t="s">
        <v>106</v>
      </c>
      <c r="R43" t="str">
        <f>HYPERLINK("https://d28ji4sm1vmprj.cloudfront.net/e7a526a7220c3bc5cfeeb407c455c0b3/580ffb055aff8ee0c88c6e676cfba776.jpeg", "Ссылка на план")</f>
        <v>Ссылка на план</v>
      </c>
      <c r="S43" s="1">
        <v>43657.566145833334</v>
      </c>
      <c r="T43" s="1">
        <v>43657.567743055559</v>
      </c>
      <c r="U43" s="1">
        <v>43657.567743055559</v>
      </c>
      <c r="W43" s="1">
        <v>43657.567858796298</v>
      </c>
      <c r="X43" t="s">
        <v>107</v>
      </c>
      <c r="AA43" t="s">
        <v>462</v>
      </c>
      <c r="AB43" t="s">
        <v>463</v>
      </c>
      <c r="AC43" t="s">
        <v>464</v>
      </c>
      <c r="AD43" t="s">
        <v>465</v>
      </c>
      <c r="AE43" t="s">
        <v>466</v>
      </c>
      <c r="AF43" t="s">
        <v>467</v>
      </c>
      <c r="BF43" t="s">
        <v>468</v>
      </c>
      <c r="BG43" t="s">
        <v>469</v>
      </c>
      <c r="BH43" t="str">
        <f>HYPERLINK("https://d33htgqikc2pj4.cloudfront.net/6b3638f2-9578-4b5d-8342-e5d14e053748.jpeg", "Владимир Чугунов: Ссылка на изображение")</f>
        <v>Владимир Чугунов: Ссылка на изображение</v>
      </c>
      <c r="BI43" t="str">
        <f>HYPERLINK("https://d33htgqikc2pj4.cloudfront.net/bcf13a0c-1d24-4204-9f78-33dbcfcccd73.jpeg", "Владимир Чугунов: Ссылка на изображение")</f>
        <v>Владимир Чугунов: Ссылка на изображение</v>
      </c>
      <c r="BJ43" t="str">
        <f>HYPERLINK("https://d33htgqikc2pj4.cloudfront.net/3dd98849-0653-4e92-b6b1-331cdcfb8688.jpeg", "Владимир Чугунов: Ссылка на изображение")</f>
        <v>Владимир Чугунов: Ссылка на изображение</v>
      </c>
      <c r="BK43" t="s">
        <v>102</v>
      </c>
    </row>
    <row r="44" spans="1:68" ht="15" customHeight="1" x14ac:dyDescent="0.35">
      <c r="A44">
        <v>136</v>
      </c>
      <c r="B44" t="s">
        <v>470</v>
      </c>
      <c r="C44">
        <v>2</v>
      </c>
      <c r="D44" t="str">
        <f>VLOOKUP(source[[#This Row],[Приоритет]],тПриоритеты[],2,0)</f>
        <v>Значительное</v>
      </c>
      <c r="E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" t="s">
        <v>96</v>
      </c>
      <c r="G44" t="s">
        <v>395</v>
      </c>
      <c r="H44" t="str">
        <f>VLOOKUP(source[[#This Row],[Отвественный]],тОтветственные[],2,0)</f>
        <v>Отв19</v>
      </c>
      <c r="I44" s="2">
        <v>43630</v>
      </c>
      <c r="J44" s="2">
        <v>43630</v>
      </c>
      <c r="K44" t="s">
        <v>471</v>
      </c>
      <c r="L44">
        <v>0</v>
      </c>
      <c r="M44">
        <v>0</v>
      </c>
      <c r="N44" t="s">
        <v>472</v>
      </c>
      <c r="Q44" t="s">
        <v>124</v>
      </c>
      <c r="R44" t="str">
        <f>HYPERLINK("https://d28ji4sm1vmprj.cloudfront.net/06203b9cd12b558b7cdbe39adaea960d/07868826f36275e270f56d723368aba7.jpeg", "Ссылка на план")</f>
        <v>Ссылка на план</v>
      </c>
      <c r="S44" s="1">
        <v>43630.685231481482</v>
      </c>
      <c r="T44" s="1">
        <v>43630.685439814813</v>
      </c>
      <c r="U44" s="1">
        <v>43630.68787037037</v>
      </c>
      <c r="W44" s="1">
        <v>43630.68787037037</v>
      </c>
      <c r="BF44" t="s">
        <v>114</v>
      </c>
      <c r="BG44" t="s">
        <v>473</v>
      </c>
      <c r="BH44" t="s">
        <v>474</v>
      </c>
      <c r="BI44" t="str">
        <f>HYPERLINK("https://d33htgqikc2pj4.cloudfront.net/4aa6687a-4fc5-4dd7-a14c-ffdacfb18e1b.jpeg", "Владимир Чугунов: Ссылка на изображение")</f>
        <v>Владимир Чугунов: Ссылка на изображение</v>
      </c>
      <c r="BJ44" t="str">
        <f>HYPERLINK("https://d33htgqikc2pj4.cloudfront.net/d8946be4-e895-4c39-af1a-ae1e21d22e39.jpeg", "Владимир Чугунов: Ссылка на изображение")</f>
        <v>Владимир Чугунов: Ссылка на изображение</v>
      </c>
      <c r="BK44" t="str">
        <f>HYPERLINK("https://d33htgqikc2pj4.cloudfront.net/58797670-f14b-4a17-9510-f929087e57a2.jpeg", "Владимир Чугунов: Ссылка на изображение")</f>
        <v>Владимир Чугунов: Ссылка на изображение</v>
      </c>
      <c r="BL44" t="str">
        <f>HYPERLINK("https://d33htgqikc2pj4.cloudfront.net/5c46c8c7-a0ef-4916-ac9f-9094cda3626b.jpeg", "Владимир Чугунов: Ссылка на изображение")</f>
        <v>Владимир Чугунов: Ссылка на изображение</v>
      </c>
      <c r="BM44" t="s">
        <v>102</v>
      </c>
    </row>
    <row r="45" spans="1:68" ht="15" customHeight="1" x14ac:dyDescent="0.35">
      <c r="A45">
        <v>699</v>
      </c>
      <c r="B45" t="s">
        <v>475</v>
      </c>
      <c r="C45">
        <v>2</v>
      </c>
      <c r="D45" t="str">
        <f>VLOOKUP(source[[#This Row],[Приоритет]],тПриоритеты[],2,0)</f>
        <v>Значительное</v>
      </c>
      <c r="E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" t="s">
        <v>96</v>
      </c>
      <c r="G45" t="s">
        <v>395</v>
      </c>
      <c r="H45" t="str">
        <f>VLOOKUP(source[[#This Row],[Отвественный]],тОтветственные[],2,0)</f>
        <v>Отв19</v>
      </c>
      <c r="I45" s="2">
        <v>43790</v>
      </c>
      <c r="J45" s="2">
        <v>43790</v>
      </c>
      <c r="K45" t="s">
        <v>104</v>
      </c>
      <c r="L45">
        <v>0</v>
      </c>
      <c r="M45">
        <v>0</v>
      </c>
      <c r="N45" t="s">
        <v>105</v>
      </c>
      <c r="Q45" t="s">
        <v>106</v>
      </c>
      <c r="R45" t="str">
        <f>HYPERLINK("https://d28ji4sm1vmprj.cloudfront.net/e7a526a7220c3bc5cfeeb407c455c0b3/580ffb055aff8ee0c88c6e676cfba776.jpeg", "Ссылка на план")</f>
        <v>Ссылка на план</v>
      </c>
      <c r="S45" s="1">
        <v>43790.337719907409</v>
      </c>
      <c r="T45" s="1">
        <v>43790.337743055556</v>
      </c>
      <c r="U45" s="1">
        <v>43790.339050925926</v>
      </c>
      <c r="W45" s="1">
        <v>43790.339050925926</v>
      </c>
      <c r="X45" t="s">
        <v>107</v>
      </c>
      <c r="AA45" t="s">
        <v>476</v>
      </c>
      <c r="AB45" t="s">
        <v>477</v>
      </c>
      <c r="AC45" t="s">
        <v>478</v>
      </c>
      <c r="AD45" t="s">
        <v>479</v>
      </c>
      <c r="AE45" t="s">
        <v>480</v>
      </c>
      <c r="AF45" t="s">
        <v>481</v>
      </c>
      <c r="BF45" t="s">
        <v>114</v>
      </c>
      <c r="BG45" t="s">
        <v>482</v>
      </c>
      <c r="BH45" t="s">
        <v>483</v>
      </c>
      <c r="BI45" t="str">
        <f>HYPERLINK("https://d33htgqikc2pj4.cloudfront.net/a2c0a523-a555-4eb3-a496-0030a0c9f9d7.jpeg", "Владимир Чугунов: Ссылка на изображение")</f>
        <v>Владимир Чугунов: Ссылка на изображение</v>
      </c>
      <c r="BJ45" t="str">
        <f>HYPERLINK("https://d33htgqikc2pj4.cloudfront.net/6a679e05-09d3-4800-a438-5c280d3d57c7.jpeg", "Владимир Чугунов: Ссылка на изображение")</f>
        <v>Владимир Чугунов: Ссылка на изображение</v>
      </c>
      <c r="BK45" t="s">
        <v>102</v>
      </c>
    </row>
    <row r="46" spans="1:68" ht="15" customHeight="1" x14ac:dyDescent="0.35">
      <c r="A46">
        <v>250</v>
      </c>
      <c r="B46" t="s">
        <v>484</v>
      </c>
      <c r="C46">
        <v>2</v>
      </c>
      <c r="D46" t="str">
        <f>VLOOKUP(source[[#This Row],[Приоритет]],тПриоритеты[],2,0)</f>
        <v>Значительное</v>
      </c>
      <c r="E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" t="s">
        <v>96</v>
      </c>
      <c r="G46" t="s">
        <v>395</v>
      </c>
      <c r="H46" t="str">
        <f>VLOOKUP(source[[#This Row],[Отвественный]],тОтветственные[],2,0)</f>
        <v>Отв19</v>
      </c>
      <c r="I46" s="2">
        <v>43658</v>
      </c>
      <c r="J46" s="2">
        <v>43658</v>
      </c>
      <c r="K46" t="s">
        <v>104</v>
      </c>
      <c r="L46">
        <v>0</v>
      </c>
      <c r="M46">
        <v>0</v>
      </c>
      <c r="N46" t="s">
        <v>105</v>
      </c>
      <c r="Q46" t="s">
        <v>106</v>
      </c>
      <c r="R46" t="str">
        <f>HYPERLINK("https://d28ji4sm1vmprj.cloudfront.net/e7a526a7220c3bc5cfeeb407c455c0b3/580ffb055aff8ee0c88c6e676cfba776.jpeg", "Ссылка на план")</f>
        <v>Ссылка на план</v>
      </c>
      <c r="S46" s="1">
        <v>43658.720462962963</v>
      </c>
      <c r="T46" s="1">
        <v>43658.720868055556</v>
      </c>
      <c r="U46" s="1">
        <v>43658.721689814818</v>
      </c>
      <c r="W46" s="1">
        <v>43658.721701388888</v>
      </c>
      <c r="X46" t="s">
        <v>107</v>
      </c>
      <c r="AA46" t="s">
        <v>485</v>
      </c>
      <c r="AB46" t="s">
        <v>486</v>
      </c>
      <c r="AC46" t="s">
        <v>487</v>
      </c>
      <c r="AD46" t="s">
        <v>488</v>
      </c>
      <c r="AE46" t="s">
        <v>489</v>
      </c>
      <c r="AF46" t="s">
        <v>490</v>
      </c>
      <c r="BF46" t="s">
        <v>491</v>
      </c>
      <c r="BG46" t="s">
        <v>492</v>
      </c>
      <c r="BH46" t="s">
        <v>114</v>
      </c>
      <c r="BI46" t="str">
        <f>HYPERLINK("https://d33htgqikc2pj4.cloudfront.net/893ac892-fec4-430b-a56d-cfd28ee1d59f.jpeg", "Владимир Чугунов: Ссылка на изображение")</f>
        <v>Владимир Чугунов: Ссылка на изображение</v>
      </c>
      <c r="BJ46" t="str">
        <f>HYPERLINK("https://d33htgqikc2pj4.cloudfront.net/c37d4816-2a80-4f30-b7bf-5d3a28642789.jpeg", "Владимир Чугунов: Ссылка на изображение")</f>
        <v>Владимир Чугунов: Ссылка на изображение</v>
      </c>
      <c r="BK46" t="s">
        <v>102</v>
      </c>
    </row>
    <row r="47" spans="1:68" ht="15" customHeight="1" x14ac:dyDescent="0.35">
      <c r="A47">
        <v>248</v>
      </c>
      <c r="B47" t="s">
        <v>493</v>
      </c>
      <c r="C47">
        <v>2</v>
      </c>
      <c r="D47" t="str">
        <f>VLOOKUP(source[[#This Row],[Приоритет]],тПриоритеты[],2,0)</f>
        <v>Значительное</v>
      </c>
      <c r="E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" t="s">
        <v>96</v>
      </c>
      <c r="G47" t="s">
        <v>395</v>
      </c>
      <c r="H47" t="str">
        <f>VLOOKUP(source[[#This Row],[Отвественный]],тОтветственные[],2,0)</f>
        <v>Отв19</v>
      </c>
      <c r="I47" s="2">
        <v>43658</v>
      </c>
      <c r="J47" s="2">
        <v>43658</v>
      </c>
      <c r="K47" t="s">
        <v>122</v>
      </c>
      <c r="L47">
        <v>0</v>
      </c>
      <c r="M47">
        <v>0</v>
      </c>
      <c r="N47" t="s">
        <v>123</v>
      </c>
      <c r="Q47" t="s">
        <v>124</v>
      </c>
      <c r="R47" t="str">
        <f>HYPERLINK("https://d28ji4sm1vmprj.cloudfront.net/78b1fbd1c87eb90dac050448d7e72c8d/a7fb9bbb452cbb899c601a0b8b67fd7d.jpeg", "Ссылка на план")</f>
        <v>Ссылка на план</v>
      </c>
      <c r="S47" s="1">
        <v>43658.64303240741</v>
      </c>
      <c r="T47" s="1">
        <v>43658.644525462965</v>
      </c>
      <c r="U47" s="1">
        <v>43658.644525462965</v>
      </c>
      <c r="W47" s="1">
        <v>43658.644525462965</v>
      </c>
      <c r="X47" t="s">
        <v>107</v>
      </c>
      <c r="AA47" t="s">
        <v>485</v>
      </c>
      <c r="AB47" t="s">
        <v>486</v>
      </c>
      <c r="AC47" t="s">
        <v>487</v>
      </c>
      <c r="AD47" t="s">
        <v>488</v>
      </c>
      <c r="AE47" t="s">
        <v>489</v>
      </c>
      <c r="AF47" t="s">
        <v>490</v>
      </c>
      <c r="BF47" t="s">
        <v>494</v>
      </c>
      <c r="BG47" t="s">
        <v>492</v>
      </c>
      <c r="BH47" t="str">
        <f>HYPERLINK("https://d33htgqikc2pj4.cloudfront.net/26c0c9ab-bfd6-43cd-aba3-b06269156b94.jpeg", "Владимир Чугунов: Ссылка на изображение")</f>
        <v>Владимир Чугунов: Ссылка на изображение</v>
      </c>
      <c r="BI47" t="str">
        <f>HYPERLINK("https://d33htgqikc2pj4.cloudfront.net/1672189f-fa09-410f-8a9c-74a71e382012.jpeg", "Владимир Чугунов: Ссылка на изображение")</f>
        <v>Владимир Чугунов: Ссылка на изображение</v>
      </c>
      <c r="BJ47" t="s">
        <v>102</v>
      </c>
    </row>
    <row r="48" spans="1:68" ht="15" customHeight="1" x14ac:dyDescent="0.35">
      <c r="A48">
        <v>234</v>
      </c>
      <c r="B48" t="s">
        <v>98</v>
      </c>
      <c r="C48">
        <v>3</v>
      </c>
      <c r="D48" t="str">
        <f>VLOOKUP(source[[#This Row],[Приоритет]],тПриоритеты[],2,0)</f>
        <v>Малозначительное</v>
      </c>
      <c r="E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" t="s">
        <v>96</v>
      </c>
      <c r="G48" t="s">
        <v>395</v>
      </c>
      <c r="H48" t="str">
        <f>VLOOKUP(source[[#This Row],[Отвественный]],тОтветственные[],2,0)</f>
        <v>Отв19</v>
      </c>
      <c r="I48" s="2">
        <v>43657</v>
      </c>
      <c r="J48" s="2">
        <v>43657</v>
      </c>
      <c r="K48" t="s">
        <v>104</v>
      </c>
      <c r="L48">
        <v>0</v>
      </c>
      <c r="M48">
        <v>0</v>
      </c>
      <c r="N48" t="s">
        <v>105</v>
      </c>
      <c r="Q48" t="s">
        <v>106</v>
      </c>
      <c r="R48" t="str">
        <f>HYPERLINK("https://d28ji4sm1vmprj.cloudfront.net/e7a526a7220c3bc5cfeeb407c455c0b3/580ffb055aff8ee0c88c6e676cfba776.jpeg", "Ссылка на план")</f>
        <v>Ссылка на план</v>
      </c>
      <c r="S48" s="1">
        <v>43657.568020833336</v>
      </c>
      <c r="T48" s="1">
        <v>43658.722094907411</v>
      </c>
      <c r="U48" s="1">
        <v>43658.722094907411</v>
      </c>
      <c r="W48" s="1">
        <v>43658.72210648148</v>
      </c>
      <c r="X48" t="s">
        <v>495</v>
      </c>
      <c r="Z48" t="s">
        <v>95</v>
      </c>
      <c r="AA48" s="3" t="s">
        <v>496</v>
      </c>
      <c r="AB48" t="s">
        <v>497</v>
      </c>
      <c r="AC48" t="s">
        <v>498</v>
      </c>
      <c r="AD48" t="s">
        <v>499</v>
      </c>
      <c r="AE48" t="s">
        <v>500</v>
      </c>
      <c r="BF48" t="s">
        <v>501</v>
      </c>
      <c r="BG48" t="s">
        <v>114</v>
      </c>
      <c r="BH48" t="s">
        <v>469</v>
      </c>
      <c r="BI48" t="s">
        <v>502</v>
      </c>
      <c r="BJ48" t="s">
        <v>102</v>
      </c>
    </row>
    <row r="49" spans="1:71" ht="15" customHeight="1" x14ac:dyDescent="0.35">
      <c r="A49">
        <v>470</v>
      </c>
      <c r="B49" t="s">
        <v>503</v>
      </c>
      <c r="C49">
        <v>2</v>
      </c>
      <c r="D49" t="str">
        <f>VLOOKUP(source[[#This Row],[Приоритет]],тПриоритеты[],2,0)</f>
        <v>Значительное</v>
      </c>
      <c r="E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" t="s">
        <v>96</v>
      </c>
      <c r="G49" t="s">
        <v>395</v>
      </c>
      <c r="H49" t="str">
        <f>VLOOKUP(source[[#This Row],[Отвественный]],тОтветственные[],2,0)</f>
        <v>Отв19</v>
      </c>
      <c r="I49" s="2">
        <v>43720</v>
      </c>
      <c r="J49" s="2">
        <v>43720</v>
      </c>
      <c r="K49" t="s">
        <v>104</v>
      </c>
      <c r="L49">
        <v>0</v>
      </c>
      <c r="M49">
        <v>0</v>
      </c>
      <c r="N49" t="s">
        <v>105</v>
      </c>
      <c r="Q49" t="s">
        <v>106</v>
      </c>
      <c r="R49" t="str">
        <f>HYPERLINK("https://d28ji4sm1vmprj.cloudfront.net/e7a526a7220c3bc5cfeeb407c455c0b3/580ffb055aff8ee0c88c6e676cfba776.jpeg", "Ссылка на план")</f>
        <v>Ссылка на план</v>
      </c>
      <c r="S49" s="1">
        <v>43720.872476851851</v>
      </c>
      <c r="T49" s="1">
        <v>43720.872511574074</v>
      </c>
      <c r="U49" s="1">
        <v>43720.87332175926</v>
      </c>
      <c r="W49" s="1">
        <v>43720.873333333337</v>
      </c>
      <c r="X49" t="s">
        <v>107</v>
      </c>
      <c r="AA49" t="s">
        <v>504</v>
      </c>
      <c r="AB49" t="s">
        <v>505</v>
      </c>
      <c r="AC49" t="s">
        <v>506</v>
      </c>
      <c r="AD49" t="s">
        <v>507</v>
      </c>
      <c r="AE49" t="s">
        <v>508</v>
      </c>
      <c r="AF49" t="s">
        <v>509</v>
      </c>
      <c r="BF49" t="s">
        <v>114</v>
      </c>
      <c r="BG49" t="s">
        <v>510</v>
      </c>
      <c r="BH49" t="s">
        <v>511</v>
      </c>
      <c r="BI49" t="str">
        <f>HYPERLINK("https://d33htgqikc2pj4.cloudfront.net/96a08ece-5806-4f7c-88f9-59d9e454de02.jpeg", "Владимир Чугунов: Ссылка на изображение")</f>
        <v>Владимир Чугунов: Ссылка на изображение</v>
      </c>
      <c r="BJ49" t="str">
        <f>HYPERLINK("https://d33htgqikc2pj4.cloudfront.net/0edfb933-c3be-4e5a-921d-64e226d16b0f.jpeg", "Владимир Чугунов: Ссылка на изображение")</f>
        <v>Владимир Чугунов: Ссылка на изображение</v>
      </c>
      <c r="BK49" t="s">
        <v>102</v>
      </c>
    </row>
    <row r="50" spans="1:71" ht="15" customHeight="1" x14ac:dyDescent="0.35">
      <c r="A50">
        <v>151</v>
      </c>
      <c r="B50" t="s">
        <v>512</v>
      </c>
      <c r="C50">
        <v>2</v>
      </c>
      <c r="D50" t="str">
        <f>VLOOKUP(source[[#This Row],[Приоритет]],тПриоритеты[],2,0)</f>
        <v>Значительное</v>
      </c>
      <c r="E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" t="s">
        <v>96</v>
      </c>
      <c r="G50" t="s">
        <v>395</v>
      </c>
      <c r="H50" t="str">
        <f>VLOOKUP(source[[#This Row],[Отвественный]],тОтветственные[],2,0)</f>
        <v>Отв19</v>
      </c>
      <c r="I50" s="2">
        <v>43634</v>
      </c>
      <c r="J50" s="2">
        <v>43634</v>
      </c>
      <c r="K50" t="s">
        <v>122</v>
      </c>
      <c r="L50">
        <v>0</v>
      </c>
      <c r="M50">
        <v>0</v>
      </c>
      <c r="N50" t="s">
        <v>123</v>
      </c>
      <c r="Q50" t="s">
        <v>124</v>
      </c>
      <c r="R50" t="str">
        <f>HYPERLINK("https://d28ji4sm1vmprj.cloudfront.net/78b1fbd1c87eb90dac050448d7e72c8d/a7fb9bbb452cbb899c601a0b8b67fd7d.jpeg", "Ссылка на план")</f>
        <v>Ссылка на план</v>
      </c>
      <c r="S50" s="1">
        <v>43634.676099537035</v>
      </c>
      <c r="T50" s="1">
        <v>43634.678680555553</v>
      </c>
      <c r="U50" s="1">
        <v>43634.682569444441</v>
      </c>
      <c r="W50" s="1">
        <v>43634.682627314818</v>
      </c>
      <c r="X50" t="s">
        <v>107</v>
      </c>
      <c r="AA50" t="s">
        <v>513</v>
      </c>
      <c r="AB50" t="s">
        <v>514</v>
      </c>
      <c r="AC50" t="s">
        <v>515</v>
      </c>
      <c r="AD50" t="s">
        <v>516</v>
      </c>
      <c r="AE50" t="s">
        <v>517</v>
      </c>
      <c r="AF50" t="s">
        <v>518</v>
      </c>
      <c r="BF50" t="s">
        <v>519</v>
      </c>
      <c r="BG50" t="s">
        <v>520</v>
      </c>
      <c r="BH50" t="s">
        <v>114</v>
      </c>
      <c r="BI50" t="str">
        <f>HYPERLINK("https://d33htgqikc2pj4.cloudfront.net/5ee17f26-2d12-45cc-bc0a-01f200069b64.jpeg", "Владимир Чугунов: Ссылка на изображение")</f>
        <v>Владимир Чугунов: Ссылка на изображение</v>
      </c>
      <c r="BJ50" t="str">
        <f>HYPERLINK("https://d33htgqikc2pj4.cloudfront.net/a93d89ea-2401-4f10-a652-4c888c63ddcf.jpeg", "Владимир Чугунов: Ссылка на изображение")</f>
        <v>Владимир Чугунов: Ссылка на изображение</v>
      </c>
      <c r="BK50" t="str">
        <f>HYPERLINK("https://d33htgqikc2pj4.cloudfront.net/77f15b27-83f8-48cb-b9a4-f29b0da54d82.jpeg", "Владимир Чугунов: Ссылка на изображение")</f>
        <v>Владимир Чугунов: Ссылка на изображение</v>
      </c>
      <c r="BL50" t="s">
        <v>102</v>
      </c>
    </row>
    <row r="51" spans="1:71" ht="15" customHeight="1" x14ac:dyDescent="0.35">
      <c r="A51">
        <v>472</v>
      </c>
      <c r="B51" t="s">
        <v>521</v>
      </c>
      <c r="C51">
        <v>2</v>
      </c>
      <c r="D51" t="str">
        <f>VLOOKUP(source[[#This Row],[Приоритет]],тПриоритеты[],2,0)</f>
        <v>Значительное</v>
      </c>
      <c r="E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" t="s">
        <v>96</v>
      </c>
      <c r="G51" t="s">
        <v>395</v>
      </c>
      <c r="H51" t="str">
        <f>VLOOKUP(source[[#This Row],[Отвественный]],тОтветственные[],2,0)</f>
        <v>Отв19</v>
      </c>
      <c r="I51" s="2">
        <v>43721</v>
      </c>
      <c r="J51" s="2">
        <v>43721</v>
      </c>
      <c r="K51" t="s">
        <v>104</v>
      </c>
      <c r="L51">
        <v>0</v>
      </c>
      <c r="M51">
        <v>0</v>
      </c>
      <c r="N51" t="s">
        <v>105</v>
      </c>
      <c r="Q51" t="s">
        <v>106</v>
      </c>
      <c r="R51" t="str">
        <f>HYPERLINK("https://d28ji4sm1vmprj.cloudfront.net/e7a526a7220c3bc5cfeeb407c455c0b3/580ffb055aff8ee0c88c6e676cfba776.jpeg", "Ссылка на план")</f>
        <v>Ссылка на план</v>
      </c>
      <c r="S51" s="1">
        <v>43721.686226851853</v>
      </c>
      <c r="T51" s="1">
        <v>43721.686400462961</v>
      </c>
      <c r="U51" s="1">
        <v>43721.687731481485</v>
      </c>
      <c r="W51" s="1">
        <v>43721.687743055554</v>
      </c>
      <c r="X51" t="s">
        <v>107</v>
      </c>
      <c r="AA51" t="s">
        <v>522</v>
      </c>
      <c r="AB51" t="s">
        <v>523</v>
      </c>
      <c r="AC51" t="s">
        <v>524</v>
      </c>
      <c r="AD51" t="s">
        <v>525</v>
      </c>
      <c r="AE51" t="s">
        <v>526</v>
      </c>
      <c r="AF51" t="s">
        <v>527</v>
      </c>
      <c r="BF51" t="s">
        <v>114</v>
      </c>
      <c r="BG51" t="s">
        <v>528</v>
      </c>
      <c r="BH51" t="s">
        <v>529</v>
      </c>
      <c r="BI51" t="str">
        <f>HYPERLINK("https://d33htgqikc2pj4.cloudfront.net/21582af9-d12a-46ad-a825-9549441ad640.jpeg", "Владимир Чугунов: Ссылка на изображение")</f>
        <v>Владимир Чугунов: Ссылка на изображение</v>
      </c>
      <c r="BJ51" t="str">
        <f>HYPERLINK("https://d33htgqikc2pj4.cloudfront.net/9bf186ca-c921-4979-8d26-66ff98491460.jpeg", "Владимир Чугунов: Ссылка на изображение")</f>
        <v>Владимир Чугунов: Ссылка на изображение</v>
      </c>
      <c r="BK51" t="str">
        <f>HYPERLINK("https://d33htgqikc2pj4.cloudfront.net/292ca47e-6f8f-45e0-9bf7-c6265dbef779.jpeg", "Владимир Чугунов: Ссылка на изображение")</f>
        <v>Владимир Чугунов: Ссылка на изображение</v>
      </c>
      <c r="BL51" t="s">
        <v>102</v>
      </c>
    </row>
    <row r="52" spans="1:71" ht="15" customHeight="1" x14ac:dyDescent="0.35">
      <c r="A52">
        <v>109</v>
      </c>
      <c r="B52" t="s">
        <v>530</v>
      </c>
      <c r="C52">
        <v>2</v>
      </c>
      <c r="D52" t="str">
        <f>VLOOKUP(source[[#This Row],[Приоритет]],тПриоритеты[],2,0)</f>
        <v>Значительное</v>
      </c>
      <c r="E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" t="s">
        <v>96</v>
      </c>
      <c r="G52" t="s">
        <v>395</v>
      </c>
      <c r="H52" t="str">
        <f>VLOOKUP(source[[#This Row],[Отвественный]],тОтветственные[],2,0)</f>
        <v>Отв19</v>
      </c>
      <c r="I52" s="2">
        <v>43614</v>
      </c>
      <c r="J52" s="2">
        <v>43614</v>
      </c>
      <c r="K52" t="s">
        <v>274</v>
      </c>
      <c r="L52">
        <v>0</v>
      </c>
      <c r="M52">
        <v>0</v>
      </c>
      <c r="N52" t="s">
        <v>531</v>
      </c>
      <c r="Q52" t="s">
        <v>124</v>
      </c>
      <c r="R52" t="str">
        <f>HYPERLINK("https://d28ji4sm1vmprj.cloudfront.net/355a08c081c3838ab5b858f428b86049/8945c7522deb0c15488ad801990cffed.jpeg", "Ссылка на план")</f>
        <v>Ссылка на план</v>
      </c>
      <c r="S52" s="1">
        <v>43614.507384259261</v>
      </c>
      <c r="T52" s="1">
        <v>43614.507754629631</v>
      </c>
      <c r="U52" s="1">
        <v>43614.508125</v>
      </c>
      <c r="W52" s="1">
        <v>43614.508125</v>
      </c>
      <c r="X52" t="s">
        <v>160</v>
      </c>
      <c r="AA52" s="3" t="s">
        <v>532</v>
      </c>
      <c r="AB52" t="s">
        <v>533</v>
      </c>
      <c r="AC52" t="s">
        <v>534</v>
      </c>
      <c r="AD52" t="s">
        <v>535</v>
      </c>
      <c r="AE52" t="s">
        <v>536</v>
      </c>
      <c r="AF52" s="3" t="s">
        <v>537</v>
      </c>
      <c r="BF52" t="s">
        <v>538</v>
      </c>
      <c r="BG52" t="s">
        <v>114</v>
      </c>
      <c r="BH52" t="s">
        <v>539</v>
      </c>
      <c r="BI52" t="s">
        <v>102</v>
      </c>
      <c r="BJ52" t="str">
        <f>HYPERLINK("https://d33htgqikc2pj4.cloudfront.net/74e48e6f-cf33-4ddc-989a-980515b25535.jpeg", "Владимир Чугунов: Ссылка на изображение")</f>
        <v>Владимир Чугунов: Ссылка на изображение</v>
      </c>
    </row>
    <row r="53" spans="1:71" ht="15" customHeight="1" x14ac:dyDescent="0.35">
      <c r="A53">
        <v>264</v>
      </c>
      <c r="B53" t="s">
        <v>540</v>
      </c>
      <c r="C53">
        <v>2</v>
      </c>
      <c r="D53" t="str">
        <f>VLOOKUP(source[[#This Row],[Приоритет]],тПриоритеты[],2,0)</f>
        <v>Значительное</v>
      </c>
      <c r="E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" t="s">
        <v>96</v>
      </c>
      <c r="G53" t="s">
        <v>395</v>
      </c>
      <c r="H53" t="str">
        <f>VLOOKUP(source[[#This Row],[Отвественный]],тОтветственные[],2,0)</f>
        <v>Отв19</v>
      </c>
      <c r="I53" s="2">
        <v>43663</v>
      </c>
      <c r="J53" s="2">
        <v>43663</v>
      </c>
      <c r="K53" t="s">
        <v>104</v>
      </c>
      <c r="L53">
        <v>0</v>
      </c>
      <c r="M53">
        <v>0</v>
      </c>
      <c r="N53" t="s">
        <v>105</v>
      </c>
      <c r="Q53" t="s">
        <v>106</v>
      </c>
      <c r="R53" t="str">
        <f>HYPERLINK("https://d28ji4sm1vmprj.cloudfront.net/e7a526a7220c3bc5cfeeb407c455c0b3/580ffb055aff8ee0c88c6e676cfba776.jpeg", "Ссылка на план")</f>
        <v>Ссылка на план</v>
      </c>
      <c r="S53" s="1">
        <v>43663.463379629633</v>
      </c>
      <c r="T53" s="1">
        <v>43663.387199074074</v>
      </c>
      <c r="U53" s="1">
        <v>43663.390601851854</v>
      </c>
      <c r="W53" s="1">
        <v>43663.464444444442</v>
      </c>
      <c r="X53" t="s">
        <v>302</v>
      </c>
      <c r="AA53" t="s">
        <v>541</v>
      </c>
      <c r="AB53" t="s">
        <v>542</v>
      </c>
      <c r="AC53" t="s">
        <v>543</v>
      </c>
      <c r="AD53" t="s">
        <v>544</v>
      </c>
      <c r="AE53" t="s">
        <v>545</v>
      </c>
      <c r="AF53" t="s">
        <v>546</v>
      </c>
      <c r="BF53" t="s">
        <v>547</v>
      </c>
      <c r="BG53" t="s">
        <v>548</v>
      </c>
      <c r="BH53" t="s">
        <v>114</v>
      </c>
      <c r="BI53" t="str">
        <f>HYPERLINK("https://d33htgqikc2pj4.cloudfront.net/8d96e64e-e81c-492b-a23b-641439195486.jpeg", "Владимир Чугунов: Ссылка на изображение")</f>
        <v>Владимир Чугунов: Ссылка на изображение</v>
      </c>
      <c r="BJ53" t="str">
        <f>HYPERLINK("https://d33htgqikc2pj4.cloudfront.net/0c7bd288-ba89-48fc-b62b-1e08199d250c.jpeg", "Владимир Чугунов: Ссылка на изображение")</f>
        <v>Владимир Чугунов: Ссылка на изображение</v>
      </c>
      <c r="BK53" t="s">
        <v>549</v>
      </c>
      <c r="BL53" t="s">
        <v>102</v>
      </c>
    </row>
    <row r="54" spans="1:71" ht="15" customHeight="1" x14ac:dyDescent="0.35">
      <c r="A54">
        <v>171</v>
      </c>
      <c r="B54" t="s">
        <v>550</v>
      </c>
      <c r="C54">
        <v>2</v>
      </c>
      <c r="D54" t="str">
        <f>VLOOKUP(source[[#This Row],[Приоритет]],тПриоритеты[],2,0)</f>
        <v>Значительное</v>
      </c>
      <c r="E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" t="s">
        <v>96</v>
      </c>
      <c r="G54" t="s">
        <v>395</v>
      </c>
      <c r="H54" t="str">
        <f>VLOOKUP(source[[#This Row],[Отвественный]],тОтветственные[],2,0)</f>
        <v>Отв19</v>
      </c>
      <c r="I54" s="2">
        <v>43641</v>
      </c>
      <c r="J54" s="2">
        <v>43641</v>
      </c>
      <c r="K54" t="s">
        <v>122</v>
      </c>
      <c r="L54">
        <v>0</v>
      </c>
      <c r="M54">
        <v>0</v>
      </c>
      <c r="N54" t="s">
        <v>123</v>
      </c>
      <c r="Q54" t="s">
        <v>124</v>
      </c>
      <c r="R54" t="str">
        <f>HYPERLINK("https://d28ji4sm1vmprj.cloudfront.net/78b1fbd1c87eb90dac050448d7e72c8d/a7fb9bbb452cbb899c601a0b8b67fd7d.jpeg", "Ссылка на план")</f>
        <v>Ссылка на план</v>
      </c>
      <c r="S54" s="1">
        <v>43641.552777777775</v>
      </c>
      <c r="T54" s="1">
        <v>43641.559849537036</v>
      </c>
      <c r="U54" s="1">
        <v>43641.559918981482</v>
      </c>
      <c r="W54" s="1">
        <v>43641.559930555559</v>
      </c>
      <c r="X54" t="s">
        <v>107</v>
      </c>
      <c r="AA54" t="s">
        <v>551</v>
      </c>
      <c r="AB54" t="s">
        <v>552</v>
      </c>
      <c r="AC54" t="s">
        <v>553</v>
      </c>
      <c r="AD54" t="s">
        <v>554</v>
      </c>
      <c r="AE54" t="s">
        <v>555</v>
      </c>
      <c r="AF54" t="s">
        <v>556</v>
      </c>
      <c r="BF54" t="s">
        <v>557</v>
      </c>
      <c r="BG54" t="s">
        <v>558</v>
      </c>
      <c r="BH54" t="str">
        <f>HYPERLINK("https://d33htgqikc2pj4.cloudfront.net/92b2e8a0-cfcb-4481-b978-324f5ac2cf27.jpeg", "Владимир Чугунов: Ссылка на изображение")</f>
        <v>Владимир Чугунов: Ссылка на изображение</v>
      </c>
      <c r="BI54" t="str">
        <f>HYPERLINK("https://d33htgqikc2pj4.cloudfront.net/63b64646-db89-4bfe-bc94-738b371a5f73.jpeg", "Владимир Чугунов: Ссылка на изображение")</f>
        <v>Владимир Чугунов: Ссылка на изображение</v>
      </c>
      <c r="BJ54" t="str">
        <f>HYPERLINK("https://d33htgqikc2pj4.cloudfront.net/ab3ff902-b0fd-4b9f-b754-5319c9dbac9a.jpeg", "Владимир Чугунов: Ссылка на изображение")</f>
        <v>Владимир Чугунов: Ссылка на изображение</v>
      </c>
      <c r="BK54" t="str">
        <f>HYPERLINK("https://d33htgqikc2pj4.cloudfront.net/c0ef8641-0942-4bc4-8854-b435a0ab42ac.jpeg", "Владимир Чугунов: Ссылка на изображение")</f>
        <v>Владимир Чугунов: Ссылка на изображение</v>
      </c>
      <c r="BL54" t="str">
        <f>HYPERLINK("https://d33htgqikc2pj4.cloudfront.net/8056d4b8-dbcf-4502-9d76-a171eef0fb59.jpeg", "Владимир Чугунов: Ссылка на изображение")</f>
        <v>Владимир Чугунов: Ссылка на изображение</v>
      </c>
      <c r="BM54" t="str">
        <f>HYPERLINK("https://d33htgqikc2pj4.cloudfront.net/eb96cdfa-5664-4732-9ccb-38ddbabc247d.jpeg", "Владимир Чугунов: Ссылка на изображение")</f>
        <v>Владимир Чугунов: Ссылка на изображение</v>
      </c>
      <c r="BN54" t="str">
        <f>HYPERLINK("https://d33htgqikc2pj4.cloudfront.net/a2551fe0-fd95-41f3-8def-c24604168dd8.jpeg", "Владимир Чугунов: Ссылка на изображение")</f>
        <v>Владимир Чугунов: Ссылка на изображение</v>
      </c>
      <c r="BO54" t="str">
        <f>HYPERLINK("https://d33htgqikc2pj4.cloudfront.net/489bcd61-dd84-4b2b-b4a7-1d46c458a911.jpeg", "Владимир Чугунов: Ссылка на изображение")</f>
        <v>Владимир Чугунов: Ссылка на изображение</v>
      </c>
      <c r="BP54" t="str">
        <f>HYPERLINK("https://d33htgqikc2pj4.cloudfront.net/92e8462c-8e9d-4807-a988-5ec17a0cdc2f.jpeg", "Владимир Чугунов: Ссылка на изображение")</f>
        <v>Владимир Чугунов: Ссылка на изображение</v>
      </c>
      <c r="BQ54" t="str">
        <f>HYPERLINK("https://d33htgqikc2pj4.cloudfront.net/1f404c28-776d-4d5c-ab5f-6af85882f168.jpeg", "Владимир Чугунов: Ссылка на изображение")</f>
        <v>Владимир Чугунов: Ссылка на изображение</v>
      </c>
      <c r="BR54" t="s">
        <v>114</v>
      </c>
      <c r="BS54" t="s">
        <v>102</v>
      </c>
    </row>
    <row r="55" spans="1:71" ht="15" customHeight="1" x14ac:dyDescent="0.35">
      <c r="A55">
        <v>361</v>
      </c>
      <c r="B55" t="s">
        <v>559</v>
      </c>
      <c r="C55">
        <v>2</v>
      </c>
      <c r="D55" t="str">
        <f>VLOOKUP(source[[#This Row],[Приоритет]],тПриоритеты[],2,0)</f>
        <v>Значительное</v>
      </c>
      <c r="E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" t="s">
        <v>96</v>
      </c>
      <c r="G55" t="s">
        <v>395</v>
      </c>
      <c r="H55" t="str">
        <f>VLOOKUP(source[[#This Row],[Отвественный]],тОтветственные[],2,0)</f>
        <v>Отв19</v>
      </c>
      <c r="I55" s="2">
        <v>43691</v>
      </c>
      <c r="J55" s="2">
        <v>43691</v>
      </c>
      <c r="K55" t="s">
        <v>104</v>
      </c>
      <c r="L55">
        <v>0</v>
      </c>
      <c r="M55">
        <v>0</v>
      </c>
      <c r="N55" t="s">
        <v>105</v>
      </c>
      <c r="Q55" t="s">
        <v>106</v>
      </c>
      <c r="R55" t="str">
        <f t="shared" ref="R55:R69" si="2">HYPERLINK("https://d28ji4sm1vmprj.cloudfront.net/e7a526a7220c3bc5cfeeb407c455c0b3/580ffb055aff8ee0c88c6e676cfba776.jpeg", "Ссылка на план")</f>
        <v>Ссылка на план</v>
      </c>
      <c r="S55" s="1">
        <v>43691.776423611111</v>
      </c>
      <c r="T55" s="1">
        <v>43691.776458333334</v>
      </c>
      <c r="U55" s="1">
        <v>43691.77721064815</v>
      </c>
      <c r="W55" s="1">
        <v>43691.777245370373</v>
      </c>
      <c r="X55" t="s">
        <v>302</v>
      </c>
      <c r="AA55" t="s">
        <v>560</v>
      </c>
      <c r="AB55" t="s">
        <v>561</v>
      </c>
      <c r="AC55" t="s">
        <v>562</v>
      </c>
      <c r="AD55" t="s">
        <v>563</v>
      </c>
      <c r="AE55" t="s">
        <v>564</v>
      </c>
      <c r="AF55" t="s">
        <v>565</v>
      </c>
      <c r="BF55" t="s">
        <v>114</v>
      </c>
      <c r="BG55" t="s">
        <v>566</v>
      </c>
      <c r="BH55" t="s">
        <v>567</v>
      </c>
      <c r="BI55" t="str">
        <f>HYPERLINK("https://d33htgqikc2pj4.cloudfront.net/7a685d98-eb11-408a-a1b3-b2f4eb0fb392.jpeg", "Владимир Чугунов: Ссылка на изображение")</f>
        <v>Владимир Чугунов: Ссылка на изображение</v>
      </c>
      <c r="BJ55" t="str">
        <f>HYPERLINK("https://d33htgqikc2pj4.cloudfront.net/830385d8-3d80-4ad9-8406-229930c4d87e.jpeg", "Владимир Чугунов: Ссылка на изображение")</f>
        <v>Владимир Чугунов: Ссылка на изображение</v>
      </c>
      <c r="BK55" t="s">
        <v>102</v>
      </c>
    </row>
    <row r="56" spans="1:71" ht="15" customHeight="1" x14ac:dyDescent="0.35">
      <c r="A56">
        <v>180</v>
      </c>
      <c r="B56" t="s">
        <v>568</v>
      </c>
      <c r="C56">
        <v>2</v>
      </c>
      <c r="D56" t="str">
        <f>VLOOKUP(source[[#This Row],[Приоритет]],тПриоритеты[],2,0)</f>
        <v>Значительное</v>
      </c>
      <c r="E5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" t="s">
        <v>96</v>
      </c>
      <c r="G56" t="s">
        <v>395</v>
      </c>
      <c r="H56" t="str">
        <f>VLOOKUP(source[[#This Row],[Отвественный]],тОтветственные[],2,0)</f>
        <v>Отв19</v>
      </c>
      <c r="I56" s="2">
        <v>43644</v>
      </c>
      <c r="J56" s="2">
        <v>43644</v>
      </c>
      <c r="K56" t="s">
        <v>104</v>
      </c>
      <c r="L56">
        <v>0</v>
      </c>
      <c r="M56">
        <v>0</v>
      </c>
      <c r="N56" t="s">
        <v>123</v>
      </c>
      <c r="Q56" t="s">
        <v>106</v>
      </c>
      <c r="R56" t="str">
        <f t="shared" si="2"/>
        <v>Ссылка на план</v>
      </c>
      <c r="S56" s="1">
        <v>43644.596608796295</v>
      </c>
      <c r="T56" s="1">
        <v>43644.596631944441</v>
      </c>
      <c r="U56" s="1">
        <v>43644.73777777778</v>
      </c>
      <c r="W56" s="1">
        <v>43649.457233796296</v>
      </c>
      <c r="X56" t="s">
        <v>107</v>
      </c>
      <c r="AA56" t="s">
        <v>569</v>
      </c>
      <c r="AB56" t="s">
        <v>570</v>
      </c>
      <c r="AC56" t="s">
        <v>571</v>
      </c>
      <c r="AD56" t="s">
        <v>572</v>
      </c>
      <c r="AE56" t="s">
        <v>573</v>
      </c>
      <c r="AF56" t="s">
        <v>574</v>
      </c>
      <c r="BF56" t="s">
        <v>114</v>
      </c>
      <c r="BG56" t="s">
        <v>575</v>
      </c>
      <c r="BH56" t="s">
        <v>576</v>
      </c>
      <c r="BI56" t="str">
        <f>HYPERLINK("https://d33htgqikc2pj4.cloudfront.net/879ba6e9-f509-481a-bebe-eeb960586d28.jpeg", "Владимир Чугунов: Ссылка на изображение")</f>
        <v>Владимир Чугунов: Ссылка на изображение</v>
      </c>
      <c r="BJ56" t="s">
        <v>127</v>
      </c>
      <c r="BK56" t="str">
        <f>HYPERLINK("https://d33htgqikc2pj4.cloudfront.net/2a76e5c3-9524-4cec-91a6-5c6c684530c8.jpeg", "Владимир Чугунов: Ссылка на изображение")</f>
        <v>Владимир Чугунов: Ссылка на изображение</v>
      </c>
      <c r="BL56" t="str">
        <f>HYPERLINK("https://d33htgqikc2pj4.cloudfront.net/2c86691f-ac3e-4112-a2e3-11b7d4fb6e99.jpeg", "Владимир Чугунов: Ссылка на изображение")</f>
        <v>Владимир Чугунов: Ссылка на изображение</v>
      </c>
      <c r="BM56" t="s">
        <v>127</v>
      </c>
      <c r="BN56" t="s">
        <v>127</v>
      </c>
      <c r="BO56" t="s">
        <v>102</v>
      </c>
    </row>
    <row r="57" spans="1:71" ht="15" customHeight="1" x14ac:dyDescent="0.35">
      <c r="A57">
        <v>275</v>
      </c>
      <c r="B57" t="s">
        <v>577</v>
      </c>
      <c r="C57">
        <v>2</v>
      </c>
      <c r="D57" t="str">
        <f>VLOOKUP(source[[#This Row],[Приоритет]],тПриоритеты[],2,0)</f>
        <v>Значительное</v>
      </c>
      <c r="E5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" t="s">
        <v>96</v>
      </c>
      <c r="G57" t="s">
        <v>395</v>
      </c>
      <c r="H57" t="str">
        <f>VLOOKUP(source[[#This Row],[Отвественный]],тОтветственные[],2,0)</f>
        <v>Отв19</v>
      </c>
      <c r="I57" s="2">
        <v>43665</v>
      </c>
      <c r="J57" s="2">
        <v>43665</v>
      </c>
      <c r="K57" t="s">
        <v>104</v>
      </c>
      <c r="L57">
        <v>0</v>
      </c>
      <c r="M57">
        <v>0</v>
      </c>
      <c r="N57" t="s">
        <v>105</v>
      </c>
      <c r="Q57" t="s">
        <v>106</v>
      </c>
      <c r="R57" t="str">
        <f t="shared" si="2"/>
        <v>Ссылка на план</v>
      </c>
      <c r="S57" s="1">
        <v>43665.641469907408</v>
      </c>
      <c r="T57" s="1">
        <v>43665.641655092593</v>
      </c>
      <c r="U57" s="1">
        <v>43665.642650462964</v>
      </c>
      <c r="W57" s="1">
        <v>43665.64266203704</v>
      </c>
      <c r="X57" t="s">
        <v>107</v>
      </c>
      <c r="AA57" t="s">
        <v>578</v>
      </c>
      <c r="AB57" t="s">
        <v>579</v>
      </c>
      <c r="AC57" t="s">
        <v>580</v>
      </c>
      <c r="AD57" t="s">
        <v>581</v>
      </c>
      <c r="AE57" t="s">
        <v>582</v>
      </c>
      <c r="AF57" t="s">
        <v>583</v>
      </c>
      <c r="BF57" t="s">
        <v>114</v>
      </c>
      <c r="BG57" t="s">
        <v>584</v>
      </c>
      <c r="BH57" t="s">
        <v>585</v>
      </c>
      <c r="BI57" t="str">
        <f>HYPERLINK("https://d33htgqikc2pj4.cloudfront.net/a0d32ae5-8c0c-4447-9f75-3d4f53e706db.jpeg", "Владимир Чугунов: Ссылка на изображение")</f>
        <v>Владимир Чугунов: Ссылка на изображение</v>
      </c>
      <c r="BJ57" t="str">
        <f>HYPERLINK("https://d33htgqikc2pj4.cloudfront.net/726b4aa5-7624-4932-a963-078b2595c22d.jpeg", "Владимир Чугунов: Ссылка на изображение")</f>
        <v>Владимир Чугунов: Ссылка на изображение</v>
      </c>
      <c r="BK57" t="s">
        <v>102</v>
      </c>
    </row>
    <row r="58" spans="1:71" ht="15" customHeight="1" x14ac:dyDescent="0.35">
      <c r="A58">
        <v>365</v>
      </c>
      <c r="B58" t="s">
        <v>586</v>
      </c>
      <c r="C58">
        <v>2</v>
      </c>
      <c r="D58" t="str">
        <f>VLOOKUP(source[[#This Row],[Приоритет]],тПриоритеты[],2,0)</f>
        <v>Значительное</v>
      </c>
      <c r="E5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" t="s">
        <v>96</v>
      </c>
      <c r="G58" t="s">
        <v>395</v>
      </c>
      <c r="H58" t="str">
        <f>VLOOKUP(source[[#This Row],[Отвественный]],тОтветственные[],2,0)</f>
        <v>Отв19</v>
      </c>
      <c r="I58" s="2">
        <v>43693</v>
      </c>
      <c r="J58" s="2">
        <v>43693</v>
      </c>
      <c r="K58" t="s">
        <v>104</v>
      </c>
      <c r="L58">
        <v>0</v>
      </c>
      <c r="M58">
        <v>0</v>
      </c>
      <c r="N58" t="s">
        <v>105</v>
      </c>
      <c r="Q58" t="s">
        <v>106</v>
      </c>
      <c r="R58" t="str">
        <f t="shared" si="2"/>
        <v>Ссылка на план</v>
      </c>
      <c r="S58" s="1">
        <v>43693.687754629631</v>
      </c>
      <c r="T58" s="1">
        <v>43693.687777777777</v>
      </c>
      <c r="U58" s="1">
        <v>43693.689259259256</v>
      </c>
      <c r="W58" s="1">
        <v>43693.689270833333</v>
      </c>
      <c r="X58" t="s">
        <v>107</v>
      </c>
      <c r="AA58" t="s">
        <v>587</v>
      </c>
      <c r="AB58" t="s">
        <v>588</v>
      </c>
      <c r="AC58" t="s">
        <v>589</v>
      </c>
      <c r="AD58" t="s">
        <v>590</v>
      </c>
      <c r="AE58" t="s">
        <v>591</v>
      </c>
      <c r="AF58" t="s">
        <v>592</v>
      </c>
      <c r="BF58" t="s">
        <v>114</v>
      </c>
      <c r="BG58" t="s">
        <v>593</v>
      </c>
      <c r="BH58" t="s">
        <v>594</v>
      </c>
      <c r="BI58" t="str">
        <f>HYPERLINK("https://d33htgqikc2pj4.cloudfront.net/d6a6b100-eb9b-4e98-8361-fa6562892030.jpeg", "Владимир Чугунов: Ссылка на изображение")</f>
        <v>Владимир Чугунов: Ссылка на изображение</v>
      </c>
      <c r="BJ58" t="str">
        <f>HYPERLINK("https://d33htgqikc2pj4.cloudfront.net/b3be8eb8-f353-448d-a597-4f151877bfb6.jpeg", "Владимир Чугунов: Ссылка на изображение")</f>
        <v>Владимир Чугунов: Ссылка на изображение</v>
      </c>
      <c r="BK58" t="s">
        <v>102</v>
      </c>
    </row>
    <row r="59" spans="1:71" ht="15" customHeight="1" x14ac:dyDescent="0.35">
      <c r="A59">
        <v>193</v>
      </c>
      <c r="B59" t="s">
        <v>595</v>
      </c>
      <c r="C59">
        <v>2</v>
      </c>
      <c r="D59" t="str">
        <f>VLOOKUP(source[[#This Row],[Приоритет]],тПриоритеты[],2,0)</f>
        <v>Значительное</v>
      </c>
      <c r="E5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" t="s">
        <v>96</v>
      </c>
      <c r="G59" t="s">
        <v>395</v>
      </c>
      <c r="H59" t="str">
        <f>VLOOKUP(source[[#This Row],[Отвественный]],тОтветственные[],2,0)</f>
        <v>Отв19</v>
      </c>
      <c r="I59" s="2">
        <v>43648</v>
      </c>
      <c r="J59" s="2">
        <v>43648</v>
      </c>
      <c r="K59" t="s">
        <v>104</v>
      </c>
      <c r="L59">
        <v>0</v>
      </c>
      <c r="M59">
        <v>0</v>
      </c>
      <c r="N59" t="s">
        <v>105</v>
      </c>
      <c r="Q59" t="s">
        <v>106</v>
      </c>
      <c r="R59" t="str">
        <f t="shared" si="2"/>
        <v>Ссылка на план</v>
      </c>
      <c r="S59" s="1">
        <v>43648.615960648145</v>
      </c>
      <c r="T59" s="1">
        <v>43648.616006944445</v>
      </c>
      <c r="U59" s="1">
        <v>43648.617812500001</v>
      </c>
      <c r="W59" s="1">
        <v>43649.457384259258</v>
      </c>
      <c r="X59" t="s">
        <v>596</v>
      </c>
      <c r="AA59" s="3" t="s">
        <v>597</v>
      </c>
      <c r="AB59" t="s">
        <v>598</v>
      </c>
      <c r="AC59" t="s">
        <v>599</v>
      </c>
      <c r="AD59" t="s">
        <v>600</v>
      </c>
      <c r="AE59" t="s">
        <v>601</v>
      </c>
      <c r="AF59" t="s">
        <v>602</v>
      </c>
      <c r="BF59" t="s">
        <v>114</v>
      </c>
      <c r="BG59" t="s">
        <v>603</v>
      </c>
      <c r="BH59" t="s">
        <v>604</v>
      </c>
      <c r="BI59" t="str">
        <f>HYPERLINK("https://d33htgqikc2pj4.cloudfront.net/cdce8cdb-3b41-42a8-b101-21e00a05e1fa.jpeg", "Владимир Чугунов: Ссылка на изображение")</f>
        <v>Владимир Чугунов: Ссылка на изображение</v>
      </c>
      <c r="BJ59" t="str">
        <f>HYPERLINK("https://d33htgqikc2pj4.cloudfront.net/b2a45b5f-ba06-460e-bbd6-308589e40b18.jpeg", "Владимир Чугунов: Ссылка на изображение")</f>
        <v>Владимир Чугунов: Ссылка на изображение</v>
      </c>
      <c r="BK59" t="str">
        <f>HYPERLINK("https://d33htgqikc2pj4.cloudfront.net/b2860bd5-37c0-45e0-b73a-87f72dab5640.jpeg", "Владимир Чугунов: Ссылка на изображение")</f>
        <v>Владимир Чугунов: Ссылка на изображение</v>
      </c>
      <c r="BL59" t="str">
        <f>HYPERLINK("https://d33htgqikc2pj4.cloudfront.net/375b0e11-54d1-48e5-ae4c-295c28a3712f.jpeg", "Владимир Чугунов: Ссылка на изображение")</f>
        <v>Владимир Чугунов: Ссылка на изображение</v>
      </c>
      <c r="BM59" t="s">
        <v>102</v>
      </c>
      <c r="BN59" t="str">
        <f>HYPERLINK("https://d33htgqikc2pj4.cloudfront.net/9fdabc38-5946-4b72-8b58-f1ce27bf3e8a.jpeg", "Владимир Чугунов: Ссылка на изображение")</f>
        <v>Владимир Чугунов: Ссылка на изображение</v>
      </c>
      <c r="BO59" t="str">
        <f>HYPERLINK("https://d33htgqikc2pj4.cloudfront.net/61832620-3a63-430d-b56b-ef954cad6b1a.jpeg", "Владимир Чугунов: Ссылка на изображение")</f>
        <v>Владимир Чугунов: Ссылка на изображение</v>
      </c>
    </row>
    <row r="60" spans="1:71" ht="15" customHeight="1" x14ac:dyDescent="0.35">
      <c r="A60">
        <v>195</v>
      </c>
      <c r="B60" t="s">
        <v>605</v>
      </c>
      <c r="C60">
        <v>2</v>
      </c>
      <c r="D60" t="str">
        <f>VLOOKUP(source[[#This Row],[Приоритет]],тПриоритеты[],2,0)</f>
        <v>Значительное</v>
      </c>
      <c r="E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" t="s">
        <v>96</v>
      </c>
      <c r="G60" t="s">
        <v>395</v>
      </c>
      <c r="H60" t="str">
        <f>VLOOKUP(source[[#This Row],[Отвественный]],тОтветственные[],2,0)</f>
        <v>Отв19</v>
      </c>
      <c r="I60" s="2">
        <v>43648</v>
      </c>
      <c r="J60" s="2">
        <v>43648</v>
      </c>
      <c r="K60" t="s">
        <v>104</v>
      </c>
      <c r="L60">
        <v>0</v>
      </c>
      <c r="M60">
        <v>0</v>
      </c>
      <c r="N60" t="s">
        <v>105</v>
      </c>
      <c r="Q60" t="s">
        <v>106</v>
      </c>
      <c r="R60" t="str">
        <f t="shared" si="2"/>
        <v>Ссылка на план</v>
      </c>
      <c r="S60" s="1">
        <v>43648.716689814813</v>
      </c>
      <c r="T60" s="1">
        <v>43648.716817129629</v>
      </c>
      <c r="U60" s="1">
        <v>43648.721307870372</v>
      </c>
      <c r="W60" s="1">
        <v>43649.457766203705</v>
      </c>
      <c r="X60" t="s">
        <v>302</v>
      </c>
      <c r="AA60" t="s">
        <v>606</v>
      </c>
      <c r="AB60" t="s">
        <v>607</v>
      </c>
      <c r="AC60" t="s">
        <v>608</v>
      </c>
      <c r="AD60" t="s">
        <v>609</v>
      </c>
      <c r="AE60" t="s">
        <v>610</v>
      </c>
      <c r="AF60" t="s">
        <v>602</v>
      </c>
      <c r="BF60" t="s">
        <v>114</v>
      </c>
      <c r="BG60" t="s">
        <v>611</v>
      </c>
      <c r="BH60" t="s">
        <v>604</v>
      </c>
      <c r="BI60" t="str">
        <f>HYPERLINK("https://d33htgqikc2pj4.cloudfront.net/19e0b828-39ab-4425-bd54-847d18cc9d53.jpeg", "Владимир Чугунов: Ссылка на изображение")</f>
        <v>Владимир Чугунов: Ссылка на изображение</v>
      </c>
      <c r="BJ60" t="str">
        <f>HYPERLINK("https://d33htgqikc2pj4.cloudfront.net/35318bb9-43fc-4100-b006-76eb3190d2dd.jpeg", "Владимир Чугунов: Ссылка на изображение")</f>
        <v>Владимир Чугунов: Ссылка на изображение</v>
      </c>
      <c r="BK60" t="s">
        <v>102</v>
      </c>
    </row>
    <row r="61" spans="1:71" ht="15" customHeight="1" x14ac:dyDescent="0.35">
      <c r="A61">
        <v>284</v>
      </c>
      <c r="B61" t="s">
        <v>612</v>
      </c>
      <c r="C61">
        <v>2</v>
      </c>
      <c r="D61" t="str">
        <f>VLOOKUP(source[[#This Row],[Приоритет]],тПриоритеты[],2,0)</f>
        <v>Значительное</v>
      </c>
      <c r="E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" t="s">
        <v>96</v>
      </c>
      <c r="G61" t="s">
        <v>395</v>
      </c>
      <c r="H61" t="str">
        <f>VLOOKUP(source[[#This Row],[Отвественный]],тОтветственные[],2,0)</f>
        <v>Отв19</v>
      </c>
      <c r="I61" s="2">
        <v>43668</v>
      </c>
      <c r="J61" s="2">
        <v>43668</v>
      </c>
      <c r="K61" t="s">
        <v>104</v>
      </c>
      <c r="L61">
        <v>0</v>
      </c>
      <c r="M61">
        <v>0</v>
      </c>
      <c r="N61" t="s">
        <v>105</v>
      </c>
      <c r="Q61" t="s">
        <v>106</v>
      </c>
      <c r="R61" t="str">
        <f t="shared" si="2"/>
        <v>Ссылка на план</v>
      </c>
      <c r="S61" s="1">
        <v>43668.548136574071</v>
      </c>
      <c r="T61" s="1">
        <v>43668.546643518515</v>
      </c>
      <c r="U61" s="1">
        <v>43668.547615740739</v>
      </c>
      <c r="W61" s="1">
        <v>43668.549131944441</v>
      </c>
      <c r="X61" t="s">
        <v>302</v>
      </c>
      <c r="AA61" t="s">
        <v>613</v>
      </c>
      <c r="AB61" t="s">
        <v>614</v>
      </c>
      <c r="AC61" t="s">
        <v>615</v>
      </c>
      <c r="AD61" t="s">
        <v>616</v>
      </c>
      <c r="AE61" t="s">
        <v>617</v>
      </c>
      <c r="AF61" t="s">
        <v>618</v>
      </c>
      <c r="BF61" t="s">
        <v>114</v>
      </c>
      <c r="BG61" t="s">
        <v>619</v>
      </c>
      <c r="BH61" t="s">
        <v>620</v>
      </c>
      <c r="BI61" t="str">
        <f>HYPERLINK("https://d33htgqikc2pj4.cloudfront.net/7dbadd19-5ed3-4068-9fc7-a6822395dd7e.jpeg", "Владимир Чугунов: Ссылка на изображение")</f>
        <v>Владимир Чугунов: Ссылка на изображение</v>
      </c>
      <c r="BJ61" t="str">
        <f>HYPERLINK("https://d33htgqikc2pj4.cloudfront.net/7facebc4-197d-4f07-b46f-fb330b938e62.jpeg", "Владимир Чугунов: Ссылка на изображение")</f>
        <v>Владимир Чугунов: Ссылка на изображение</v>
      </c>
      <c r="BK61" t="s">
        <v>102</v>
      </c>
    </row>
    <row r="62" spans="1:71" ht="15" customHeight="1" x14ac:dyDescent="0.35">
      <c r="A62">
        <v>292</v>
      </c>
      <c r="B62" t="s">
        <v>621</v>
      </c>
      <c r="C62">
        <v>2</v>
      </c>
      <c r="D62" t="str">
        <f>VLOOKUP(source[[#This Row],[Приоритет]],тПриоритеты[],2,0)</f>
        <v>Значительное</v>
      </c>
      <c r="E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" t="s">
        <v>96</v>
      </c>
      <c r="G62" t="s">
        <v>395</v>
      </c>
      <c r="H62" t="str">
        <f>VLOOKUP(source[[#This Row],[Отвественный]],тОтветственные[],2,0)</f>
        <v>Отв19</v>
      </c>
      <c r="I62" s="2">
        <v>43669</v>
      </c>
      <c r="J62" s="2">
        <v>43669</v>
      </c>
      <c r="K62" t="s">
        <v>104</v>
      </c>
      <c r="L62">
        <v>0</v>
      </c>
      <c r="M62">
        <v>0</v>
      </c>
      <c r="N62" t="s">
        <v>105</v>
      </c>
      <c r="Q62" t="s">
        <v>106</v>
      </c>
      <c r="R62" t="str">
        <f t="shared" si="2"/>
        <v>Ссылка на план</v>
      </c>
      <c r="S62" s="1">
        <v>43669.732442129629</v>
      </c>
      <c r="T62" s="1">
        <v>43669.732488425929</v>
      </c>
      <c r="U62" s="1">
        <v>43669.736400462964</v>
      </c>
      <c r="W62" s="1">
        <v>43669.73641203704</v>
      </c>
      <c r="X62" t="s">
        <v>302</v>
      </c>
      <c r="AA62" t="s">
        <v>622</v>
      </c>
      <c r="AB62" t="s">
        <v>623</v>
      </c>
      <c r="AC62" t="s">
        <v>624</v>
      </c>
      <c r="AD62" t="s">
        <v>625</v>
      </c>
      <c r="AE62" t="s">
        <v>626</v>
      </c>
      <c r="AF62" t="s">
        <v>627</v>
      </c>
      <c r="BF62" t="s">
        <v>114</v>
      </c>
      <c r="BG62" t="s">
        <v>628</v>
      </c>
      <c r="BH62" t="s">
        <v>629</v>
      </c>
      <c r="BI62" t="str">
        <f>HYPERLINK("https://d33htgqikc2pj4.cloudfront.net/3103adcb-e7a5-4a1b-882a-af989781aba6.jpeg", "Владимир Чугунов: Ссылка на изображение")</f>
        <v>Владимир Чугунов: Ссылка на изображение</v>
      </c>
      <c r="BJ62" t="str">
        <f>HYPERLINK("https://d33htgqikc2pj4.cloudfront.net/f1f89f6e-36a3-44d3-89a8-3f7569c9e957.jpeg", "Владимир Чугунов: Ссылка на изображение")</f>
        <v>Владимир Чугунов: Ссылка на изображение</v>
      </c>
      <c r="BK62" t="s">
        <v>102</v>
      </c>
    </row>
    <row r="63" spans="1:71" ht="15" customHeight="1" x14ac:dyDescent="0.35">
      <c r="A63">
        <v>202</v>
      </c>
      <c r="B63" t="s">
        <v>630</v>
      </c>
      <c r="C63">
        <v>2</v>
      </c>
      <c r="D63" t="str">
        <f>VLOOKUP(source[[#This Row],[Приоритет]],тПриоритеты[],2,0)</f>
        <v>Значительное</v>
      </c>
      <c r="E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" t="s">
        <v>96</v>
      </c>
      <c r="G63" t="s">
        <v>395</v>
      </c>
      <c r="H63" t="str">
        <f>VLOOKUP(source[[#This Row],[Отвественный]],тОтветственные[],2,0)</f>
        <v>Отв19</v>
      </c>
      <c r="I63" s="2">
        <v>43651</v>
      </c>
      <c r="J63" s="2">
        <v>43651</v>
      </c>
      <c r="K63" t="s">
        <v>104</v>
      </c>
      <c r="L63">
        <v>0</v>
      </c>
      <c r="M63">
        <v>0</v>
      </c>
      <c r="N63" t="s">
        <v>105</v>
      </c>
      <c r="Q63" t="s">
        <v>106</v>
      </c>
      <c r="R63" t="str">
        <f t="shared" si="2"/>
        <v>Ссылка на план</v>
      </c>
      <c r="S63" s="1">
        <v>43651.675694444442</v>
      </c>
      <c r="T63" s="1">
        <v>43651.676307870373</v>
      </c>
      <c r="U63" s="1">
        <v>43651.676770833335</v>
      </c>
      <c r="W63" s="1">
        <v>43651.676782407405</v>
      </c>
      <c r="X63" t="s">
        <v>596</v>
      </c>
      <c r="AA63" s="3" t="s">
        <v>631</v>
      </c>
      <c r="AB63" t="s">
        <v>632</v>
      </c>
      <c r="AC63" t="s">
        <v>633</v>
      </c>
      <c r="AD63" t="s">
        <v>634</v>
      </c>
      <c r="AE63" t="s">
        <v>635</v>
      </c>
      <c r="AF63" t="s">
        <v>636</v>
      </c>
      <c r="BF63" t="s">
        <v>637</v>
      </c>
      <c r="BG63" t="s">
        <v>638</v>
      </c>
      <c r="BH63" t="s">
        <v>114</v>
      </c>
      <c r="BI63" t="s">
        <v>102</v>
      </c>
      <c r="BJ63" t="s">
        <v>114</v>
      </c>
      <c r="BK63" t="str">
        <f>HYPERLINK("https://d33htgqikc2pj4.cloudfront.net/387f2878-af07-4194-bf6c-dae3c8f38172.jpeg", "Владимир Чугунов: Ссылка на изображение")</f>
        <v>Владимир Чугунов: Ссылка на изображение</v>
      </c>
      <c r="BL63" t="str">
        <f>HYPERLINK("https://d33htgqikc2pj4.cloudfront.net/adb0a98a-43c6-454d-ab71-2438f9965f99.jpeg", "Владимир Чугунов: Ссылка на изображение")</f>
        <v>Владимир Чугунов: Ссылка на изображение</v>
      </c>
      <c r="BM63" t="s">
        <v>102</v>
      </c>
    </row>
    <row r="64" spans="1:71" ht="15" customHeight="1" x14ac:dyDescent="0.35">
      <c r="A64">
        <v>204</v>
      </c>
      <c r="B64" t="s">
        <v>639</v>
      </c>
      <c r="C64">
        <v>2</v>
      </c>
      <c r="D64" t="str">
        <f>VLOOKUP(source[[#This Row],[Приоритет]],тПриоритеты[],2,0)</f>
        <v>Значительное</v>
      </c>
      <c r="E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" t="s">
        <v>96</v>
      </c>
      <c r="G64" t="s">
        <v>395</v>
      </c>
      <c r="H64" t="str">
        <f>VLOOKUP(source[[#This Row],[Отвественный]],тОтветственные[],2,0)</f>
        <v>Отв19</v>
      </c>
      <c r="I64" s="2">
        <v>43651</v>
      </c>
      <c r="J64" s="2">
        <v>43651</v>
      </c>
      <c r="K64" t="s">
        <v>104</v>
      </c>
      <c r="L64">
        <v>0</v>
      </c>
      <c r="M64">
        <v>0</v>
      </c>
      <c r="N64" t="s">
        <v>105</v>
      </c>
      <c r="Q64" t="s">
        <v>106</v>
      </c>
      <c r="R64" t="str">
        <f t="shared" si="2"/>
        <v>Ссылка на план</v>
      </c>
      <c r="S64" s="1">
        <v>43651.679201388892</v>
      </c>
      <c r="T64" s="1">
        <v>43651.679212962961</v>
      </c>
      <c r="U64" s="1">
        <v>43651.690416666665</v>
      </c>
      <c r="W64" s="1">
        <v>43651.690474537034</v>
      </c>
      <c r="X64" t="s">
        <v>302</v>
      </c>
      <c r="AA64" t="s">
        <v>640</v>
      </c>
      <c r="AB64" t="s">
        <v>641</v>
      </c>
      <c r="AC64" t="s">
        <v>642</v>
      </c>
      <c r="AD64" t="s">
        <v>643</v>
      </c>
      <c r="AE64" t="s">
        <v>644</v>
      </c>
      <c r="AF64" t="s">
        <v>636</v>
      </c>
      <c r="BF64" t="s">
        <v>114</v>
      </c>
      <c r="BG64" t="s">
        <v>645</v>
      </c>
      <c r="BH64" t="str">
        <f>HYPERLINK("https://d33htgqikc2pj4.cloudfront.net/67b863f8-6011-475a-83e2-535387abeba7.jpeg", "Владимир Чугунов: Ссылка на изображение")</f>
        <v>Владимир Чугунов: Ссылка на изображение</v>
      </c>
      <c r="BI64" t="str">
        <f>HYPERLINK("https://d33htgqikc2pj4.cloudfront.net/c17ad924-47f0-4339-aeac-6ed52f37a2e8.jpeg", "Владимир Чугунов: Ссылка на изображение")</f>
        <v>Владимир Чугунов: Ссылка на изображение</v>
      </c>
      <c r="BJ64" t="str">
        <f>HYPERLINK("https://d33htgqikc2pj4.cloudfront.net/f8efad96-18bd-47fb-8e68-d7fc738fd24b.jpeg", "Владимир Чугунов: Ссылка на изображение")</f>
        <v>Владимир Чугунов: Ссылка на изображение</v>
      </c>
      <c r="BK64" t="s">
        <v>102</v>
      </c>
      <c r="BL64" t="s">
        <v>638</v>
      </c>
    </row>
    <row r="65" spans="1:65" ht="15" customHeight="1" x14ac:dyDescent="0.35">
      <c r="A65">
        <v>482</v>
      </c>
      <c r="B65" t="s">
        <v>646</v>
      </c>
      <c r="C65">
        <v>2</v>
      </c>
      <c r="D65" t="str">
        <f>VLOOKUP(source[[#This Row],[Приоритет]],тПриоритеты[],2,0)</f>
        <v>Значительное</v>
      </c>
      <c r="E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" t="s">
        <v>96</v>
      </c>
      <c r="G65" t="s">
        <v>395</v>
      </c>
      <c r="H65" t="str">
        <f>VLOOKUP(source[[#This Row],[Отвественный]],тОтветственные[],2,0)</f>
        <v>Отв19</v>
      </c>
      <c r="I65" s="2">
        <v>43724</v>
      </c>
      <c r="J65" s="2">
        <v>43724</v>
      </c>
      <c r="K65" t="s">
        <v>104</v>
      </c>
      <c r="L65">
        <v>0</v>
      </c>
      <c r="M65">
        <v>0</v>
      </c>
      <c r="N65" t="s">
        <v>105</v>
      </c>
      <c r="Q65" t="s">
        <v>106</v>
      </c>
      <c r="R65" t="str">
        <f t="shared" si="2"/>
        <v>Ссылка на план</v>
      </c>
      <c r="S65" s="1">
        <v>43724.763877314814</v>
      </c>
      <c r="T65" s="1">
        <v>43724.763564814813</v>
      </c>
      <c r="U65" s="1">
        <v>43725.858217592591</v>
      </c>
      <c r="W65" s="1">
        <v>43725.858229166668</v>
      </c>
      <c r="X65" t="s">
        <v>107</v>
      </c>
      <c r="AA65" t="s">
        <v>647</v>
      </c>
      <c r="AB65" t="s">
        <v>648</v>
      </c>
      <c r="AC65" t="s">
        <v>649</v>
      </c>
      <c r="AD65" t="s">
        <v>650</v>
      </c>
      <c r="AE65" t="s">
        <v>651</v>
      </c>
      <c r="AF65" t="s">
        <v>652</v>
      </c>
      <c r="BF65" t="s">
        <v>114</v>
      </c>
      <c r="BG65" t="s">
        <v>653</v>
      </c>
      <c r="BH65" t="s">
        <v>654</v>
      </c>
      <c r="BI65" t="str">
        <f>HYPERLINK("https://d33htgqikc2pj4.cloudfront.net/bef7a229-5646-4ec8-afd9-84ff0b9f9822.jpeg", "Владимир Чугунов: Ссылка на изображение")</f>
        <v>Владимир Чугунов: Ссылка на изображение</v>
      </c>
      <c r="BJ65" t="str">
        <f>HYPERLINK("https://d33htgqikc2pj4.cloudfront.net/8f87dbf8-16e2-4263-974d-12294ccbf415.jpeg", "Владимир Чугунов: Ссылка на изображение")</f>
        <v>Владимир Чугунов: Ссылка на изображение</v>
      </c>
      <c r="BK65" t="str">
        <f>HYPERLINK("https://d33htgqikc2pj4.cloudfront.net/56761128-a9a8-47af-9c09-522cf5ed8449.jpeg", "Владимир Чугунов: Ссылка на изображение")</f>
        <v>Владимир Чугунов: Ссылка на изображение</v>
      </c>
      <c r="BL65" t="s">
        <v>102</v>
      </c>
    </row>
    <row r="66" spans="1:65" ht="15" customHeight="1" x14ac:dyDescent="0.35">
      <c r="A66">
        <v>372</v>
      </c>
      <c r="B66" t="s">
        <v>655</v>
      </c>
      <c r="C66">
        <v>2</v>
      </c>
      <c r="D66" t="str">
        <f>VLOOKUP(source[[#This Row],[Приоритет]],тПриоритеты[],2,0)</f>
        <v>Значительное</v>
      </c>
      <c r="E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" t="s">
        <v>96</v>
      </c>
      <c r="G66" t="s">
        <v>395</v>
      </c>
      <c r="H66" t="str">
        <f>VLOOKUP(source[[#This Row],[Отвественный]],тОтветственные[],2,0)</f>
        <v>Отв19</v>
      </c>
      <c r="I66" s="2">
        <v>43695</v>
      </c>
      <c r="J66" s="2">
        <v>43695</v>
      </c>
      <c r="K66" t="s">
        <v>104</v>
      </c>
      <c r="L66">
        <v>0</v>
      </c>
      <c r="M66">
        <v>0</v>
      </c>
      <c r="N66" t="s">
        <v>105</v>
      </c>
      <c r="Q66" t="s">
        <v>106</v>
      </c>
      <c r="R66" t="str">
        <f t="shared" si="2"/>
        <v>Ссылка на план</v>
      </c>
      <c r="S66" s="1">
        <v>43695.623159722221</v>
      </c>
      <c r="T66" s="1">
        <v>43695.62771990741</v>
      </c>
      <c r="U66" s="1">
        <v>43695.628888888888</v>
      </c>
      <c r="W66" s="1">
        <v>43695.628888888888</v>
      </c>
      <c r="X66" t="s">
        <v>107</v>
      </c>
      <c r="AA66" t="s">
        <v>656</v>
      </c>
      <c r="AB66" t="s">
        <v>657</v>
      </c>
      <c r="AC66" t="s">
        <v>658</v>
      </c>
      <c r="AD66" t="s">
        <v>659</v>
      </c>
      <c r="AE66" t="s">
        <v>660</v>
      </c>
      <c r="AF66" t="s">
        <v>661</v>
      </c>
      <c r="BF66" t="s">
        <v>114</v>
      </c>
      <c r="BG66" t="s">
        <v>662</v>
      </c>
      <c r="BH66" t="s">
        <v>663</v>
      </c>
      <c r="BI66" t="str">
        <f>HYPERLINK("https://d33htgqikc2pj4.cloudfront.net/b8a8ab5a-0cb3-4681-9317-05bcc7457606.jpeg", "Владимир Чугунов: Ссылка на изображение")</f>
        <v>Владимир Чугунов: Ссылка на изображение</v>
      </c>
      <c r="BJ66" t="str">
        <f>HYPERLINK("https://d33htgqikc2pj4.cloudfront.net/e6728fe6-dbb0-4cba-b1c5-e226c2f04dc5.jpeg", "Владимир Чугунов: Ссылка на изображение")</f>
        <v>Владимир Чугунов: Ссылка на изображение</v>
      </c>
      <c r="BK66" t="s">
        <v>102</v>
      </c>
    </row>
    <row r="67" spans="1:65" ht="15" customHeight="1" x14ac:dyDescent="0.35">
      <c r="A67">
        <v>294</v>
      </c>
      <c r="B67" t="s">
        <v>664</v>
      </c>
      <c r="C67">
        <v>2</v>
      </c>
      <c r="D67" t="str">
        <f>VLOOKUP(source[[#This Row],[Приоритет]],тПриоритеты[],2,0)</f>
        <v>Значительное</v>
      </c>
      <c r="E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" t="s">
        <v>96</v>
      </c>
      <c r="G67" t="s">
        <v>395</v>
      </c>
      <c r="H67" t="str">
        <f>VLOOKUP(source[[#This Row],[Отвественный]],тОтветственные[],2,0)</f>
        <v>Отв19</v>
      </c>
      <c r="I67" s="2">
        <v>43670</v>
      </c>
      <c r="J67" s="2">
        <v>43670</v>
      </c>
      <c r="K67" t="s">
        <v>104</v>
      </c>
      <c r="L67">
        <v>0</v>
      </c>
      <c r="M67">
        <v>0</v>
      </c>
      <c r="N67" t="s">
        <v>105</v>
      </c>
      <c r="Q67" t="s">
        <v>106</v>
      </c>
      <c r="R67" t="str">
        <f t="shared" si="2"/>
        <v>Ссылка на план</v>
      </c>
      <c r="S67" s="1">
        <v>43670.586284722223</v>
      </c>
      <c r="T67" s="1">
        <v>43670.586504629631</v>
      </c>
      <c r="U67" s="1">
        <v>43670.587337962963</v>
      </c>
      <c r="W67" s="1">
        <v>43670.58734953704</v>
      </c>
      <c r="X67" t="s">
        <v>302</v>
      </c>
      <c r="AA67" t="s">
        <v>665</v>
      </c>
      <c r="AB67" t="s">
        <v>666</v>
      </c>
      <c r="AC67" t="s">
        <v>667</v>
      </c>
      <c r="AD67" t="s">
        <v>668</v>
      </c>
      <c r="AE67" t="s">
        <v>669</v>
      </c>
      <c r="AF67" t="s">
        <v>670</v>
      </c>
      <c r="BF67" t="s">
        <v>671</v>
      </c>
      <c r="BG67" t="s">
        <v>114</v>
      </c>
      <c r="BH67" t="s">
        <v>672</v>
      </c>
      <c r="BI67" t="str">
        <f>HYPERLINK("https://d33htgqikc2pj4.cloudfront.net/81e7d7b8-e339-441a-a51c-e435231952ab.jpeg", "Владимир Чугунов: Ссылка на изображение")</f>
        <v>Владимир Чугунов: Ссылка на изображение</v>
      </c>
      <c r="BJ67" t="str">
        <f>HYPERLINK("https://d33htgqikc2pj4.cloudfront.net/2dd50577-73c8-4412-a466-d96c136ca678.jpeg", "Владимир Чугунов: Ссылка на изображение")</f>
        <v>Владимир Чугунов: Ссылка на изображение</v>
      </c>
      <c r="BK67" t="s">
        <v>102</v>
      </c>
    </row>
    <row r="68" spans="1:65" ht="15" customHeight="1" x14ac:dyDescent="0.35">
      <c r="A68">
        <v>376</v>
      </c>
      <c r="B68" t="s">
        <v>673</v>
      </c>
      <c r="C68">
        <v>2</v>
      </c>
      <c r="D68" t="str">
        <f>VLOOKUP(source[[#This Row],[Приоритет]],тПриоритеты[],2,0)</f>
        <v>Значительное</v>
      </c>
      <c r="E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" t="s">
        <v>96</v>
      </c>
      <c r="G68" t="s">
        <v>395</v>
      </c>
      <c r="H68" t="str">
        <f>VLOOKUP(source[[#This Row],[Отвественный]],тОтветственные[],2,0)</f>
        <v>Отв19</v>
      </c>
      <c r="I68" s="2">
        <v>43696</v>
      </c>
      <c r="J68" s="2">
        <v>43696</v>
      </c>
      <c r="K68" t="s">
        <v>104</v>
      </c>
      <c r="L68">
        <v>0</v>
      </c>
      <c r="M68">
        <v>0</v>
      </c>
      <c r="N68" t="s">
        <v>105</v>
      </c>
      <c r="Q68" t="s">
        <v>106</v>
      </c>
      <c r="R68" t="str">
        <f t="shared" si="2"/>
        <v>Ссылка на план</v>
      </c>
      <c r="S68" s="1">
        <v>43696.682847222219</v>
      </c>
      <c r="T68" s="1">
        <v>43696.682893518519</v>
      </c>
      <c r="U68" s="1">
        <v>43696.684039351851</v>
      </c>
      <c r="W68" s="1">
        <v>43696.684050925927</v>
      </c>
      <c r="X68" t="s">
        <v>107</v>
      </c>
      <c r="AA68" t="s">
        <v>674</v>
      </c>
      <c r="AB68" t="s">
        <v>675</v>
      </c>
      <c r="AC68" t="s">
        <v>676</v>
      </c>
      <c r="AD68" t="s">
        <v>677</v>
      </c>
      <c r="AE68" t="s">
        <v>678</v>
      </c>
      <c r="AF68" t="s">
        <v>679</v>
      </c>
      <c r="BF68" t="s">
        <v>114</v>
      </c>
      <c r="BG68" t="s">
        <v>680</v>
      </c>
      <c r="BH68" t="s">
        <v>681</v>
      </c>
      <c r="BI68" t="str">
        <f>HYPERLINK("https://d33htgqikc2pj4.cloudfront.net/1eb8a1cd-ac06-4454-b7aa-05103a7cdc4e.jpeg", "Владимир Чугунов: Ссылка на изображение")</f>
        <v>Владимир Чугунов: Ссылка на изображение</v>
      </c>
      <c r="BJ68" t="str">
        <f>HYPERLINK("https://d33htgqikc2pj4.cloudfront.net/2b42a4ed-3567-44e2-90af-af20c6d31401.jpeg", "Владимир Чугунов: Ссылка на изображение")</f>
        <v>Владимир Чугунов: Ссылка на изображение</v>
      </c>
      <c r="BK68" t="s">
        <v>102</v>
      </c>
    </row>
    <row r="69" spans="1:65" ht="15" customHeight="1" x14ac:dyDescent="0.35">
      <c r="A69">
        <v>307</v>
      </c>
      <c r="B69" t="s">
        <v>682</v>
      </c>
      <c r="C69">
        <v>2</v>
      </c>
      <c r="D69" t="str">
        <f>VLOOKUP(source[[#This Row],[Приоритет]],тПриоритеты[],2,0)</f>
        <v>Значительное</v>
      </c>
      <c r="E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" t="s">
        <v>96</v>
      </c>
      <c r="G69" t="s">
        <v>395</v>
      </c>
      <c r="H69" t="str">
        <f>VLOOKUP(source[[#This Row],[Отвественный]],тОтветственные[],2,0)</f>
        <v>Отв19</v>
      </c>
      <c r="I69" s="2">
        <v>43672</v>
      </c>
      <c r="J69" s="2">
        <v>43672</v>
      </c>
      <c r="K69" t="s">
        <v>104</v>
      </c>
      <c r="L69">
        <v>0</v>
      </c>
      <c r="M69">
        <v>0</v>
      </c>
      <c r="N69" t="s">
        <v>105</v>
      </c>
      <c r="Q69" t="s">
        <v>106</v>
      </c>
      <c r="R69" t="str">
        <f t="shared" si="2"/>
        <v>Ссылка на план</v>
      </c>
      <c r="S69" s="1">
        <v>43672.712824074071</v>
      </c>
      <c r="T69" s="1">
        <v>43672.712870370371</v>
      </c>
      <c r="U69" s="1">
        <v>43672.713379629633</v>
      </c>
      <c r="W69" s="1">
        <v>43672.713391203702</v>
      </c>
      <c r="X69" t="s">
        <v>302</v>
      </c>
      <c r="AA69" t="s">
        <v>683</v>
      </c>
      <c r="AB69" t="s">
        <v>684</v>
      </c>
      <c r="AC69" t="s">
        <v>685</v>
      </c>
      <c r="AD69" t="s">
        <v>686</v>
      </c>
      <c r="AE69" t="s">
        <v>687</v>
      </c>
      <c r="AF69" t="s">
        <v>688</v>
      </c>
      <c r="BF69" t="s">
        <v>114</v>
      </c>
      <c r="BG69" t="s">
        <v>689</v>
      </c>
      <c r="BH69" t="s">
        <v>690</v>
      </c>
      <c r="BI69" t="s">
        <v>102</v>
      </c>
      <c r="BJ69" t="str">
        <f>HYPERLINK("https://d33htgqikc2pj4.cloudfront.net/99ef9d4a-aa01-4487-805b-754bfbff6c70.jpeg", "Владимир Чугунов: Ссылка на изображение")</f>
        <v>Владимир Чугунов: Ссылка на изображение</v>
      </c>
      <c r="BK69" t="str">
        <f>HYPERLINK("https://d33htgqikc2pj4.cloudfront.net/ffd63e8f-71df-4f7c-b419-e47a812332c9.jpeg", "Владимир Чугунов: Ссылка на изображение")</f>
        <v>Владимир Чугунов: Ссылка на изображение</v>
      </c>
    </row>
    <row r="70" spans="1:65" ht="15" customHeight="1" x14ac:dyDescent="0.35">
      <c r="A70">
        <v>491</v>
      </c>
      <c r="B70" t="s">
        <v>691</v>
      </c>
      <c r="C70">
        <v>2</v>
      </c>
      <c r="D70" t="str">
        <f>VLOOKUP(source[[#This Row],[Приоритет]],тПриоритеты[],2,0)</f>
        <v>Значительное</v>
      </c>
      <c r="E7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" t="s">
        <v>96</v>
      </c>
      <c r="G70" t="s">
        <v>395</v>
      </c>
      <c r="H70" t="str">
        <f>VLOOKUP(source[[#This Row],[Отвественный]],тОтветственные[],2,0)</f>
        <v>Отв19</v>
      </c>
      <c r="I70" s="2">
        <v>43725</v>
      </c>
      <c r="J70" s="2">
        <v>43725</v>
      </c>
      <c r="K70" t="s">
        <v>313</v>
      </c>
      <c r="L70">
        <v>0</v>
      </c>
      <c r="M70">
        <v>0</v>
      </c>
      <c r="N70" t="s">
        <v>105</v>
      </c>
      <c r="Q70" t="s">
        <v>106</v>
      </c>
      <c r="R70" t="str">
        <f>HYPERLINK("https://d28ji4sm1vmprj.cloudfront.net/464215be55b88773f54b8cd83354babd/02eaaeba9564da889c4ba5d284544147.jpeg", "Ссылка на план")</f>
        <v>Ссылка на план</v>
      </c>
      <c r="S70" s="1">
        <v>43725.858055555553</v>
      </c>
      <c r="T70" s="1">
        <v>43725.858587962961</v>
      </c>
      <c r="U70" s="1">
        <v>43725.860393518517</v>
      </c>
      <c r="W70" s="1">
        <v>43725.860405092593</v>
      </c>
      <c r="X70" t="s">
        <v>107</v>
      </c>
      <c r="AA70" t="s">
        <v>692</v>
      </c>
      <c r="AB70" t="s">
        <v>693</v>
      </c>
      <c r="AC70" t="s">
        <v>694</v>
      </c>
      <c r="AD70" t="s">
        <v>695</v>
      </c>
      <c r="AE70" t="s">
        <v>696</v>
      </c>
      <c r="AF70" t="s">
        <v>697</v>
      </c>
      <c r="BF70" t="s">
        <v>114</v>
      </c>
      <c r="BG70" t="s">
        <v>698</v>
      </c>
      <c r="BH70" t="s">
        <v>699</v>
      </c>
      <c r="BI70" t="str">
        <f>HYPERLINK("https://d33htgqikc2pj4.cloudfront.net/53be26f6-fd9f-46f8-98d6-1e0d4f638491.jpeg", "Владимир Чугунов: Ссылка на изображение")</f>
        <v>Владимир Чугунов: Ссылка на изображение</v>
      </c>
      <c r="BJ70" t="str">
        <f>HYPERLINK("https://d33htgqikc2pj4.cloudfront.net/7b749708-95a2-4974-9127-3c4b4c195524.jpeg", "Владимир Чугунов: Ссылка на изображение")</f>
        <v>Владимир Чугунов: Ссылка на изображение</v>
      </c>
      <c r="BK70" t="s">
        <v>102</v>
      </c>
    </row>
    <row r="71" spans="1:65" ht="15" customHeight="1" x14ac:dyDescent="0.35">
      <c r="A71">
        <v>379</v>
      </c>
      <c r="B71" t="s">
        <v>700</v>
      </c>
      <c r="C71">
        <v>2</v>
      </c>
      <c r="D71" t="str">
        <f>VLOOKUP(source[[#This Row],[Приоритет]],тПриоритеты[],2,0)</f>
        <v>Значительное</v>
      </c>
      <c r="E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" t="s">
        <v>96</v>
      </c>
      <c r="G71" t="s">
        <v>395</v>
      </c>
      <c r="H71" t="str">
        <f>VLOOKUP(source[[#This Row],[Отвественный]],тОтветственные[],2,0)</f>
        <v>Отв19</v>
      </c>
      <c r="I71" s="2">
        <v>43697</v>
      </c>
      <c r="J71" s="2">
        <v>43697</v>
      </c>
      <c r="K71" t="s">
        <v>104</v>
      </c>
      <c r="L71">
        <v>0</v>
      </c>
      <c r="M71">
        <v>0</v>
      </c>
      <c r="N71" t="s">
        <v>105</v>
      </c>
      <c r="Q71" t="s">
        <v>106</v>
      </c>
      <c r="R71" t="str">
        <f t="shared" ref="R71:R100" si="3">HYPERLINK("https://d28ji4sm1vmprj.cloudfront.net/e7a526a7220c3bc5cfeeb407c455c0b3/580ffb055aff8ee0c88c6e676cfba776.jpeg", "Ссылка на план")</f>
        <v>Ссылка на план</v>
      </c>
      <c r="S71" s="1">
        <v>43697.638935185183</v>
      </c>
      <c r="T71" s="1">
        <v>43697.638981481483</v>
      </c>
      <c r="U71" s="1">
        <v>43697.639849537038</v>
      </c>
      <c r="W71" s="1">
        <v>43697.639861111114</v>
      </c>
      <c r="X71" t="s">
        <v>107</v>
      </c>
      <c r="AA71" t="s">
        <v>701</v>
      </c>
      <c r="AB71" t="s">
        <v>702</v>
      </c>
      <c r="AC71" t="s">
        <v>703</v>
      </c>
      <c r="AD71" t="s">
        <v>704</v>
      </c>
      <c r="AE71" t="s">
        <v>705</v>
      </c>
      <c r="AF71" t="s">
        <v>706</v>
      </c>
      <c r="BF71" t="s">
        <v>114</v>
      </c>
      <c r="BG71" t="s">
        <v>707</v>
      </c>
      <c r="BH71" t="s">
        <v>708</v>
      </c>
      <c r="BI71" t="str">
        <f>HYPERLINK("https://d33htgqikc2pj4.cloudfront.net/03743a5e-0663-431e-bd11-5cdd197eacf3.jpeg", "Владимир Чугунов: Ссылка на изображение")</f>
        <v>Владимир Чугунов: Ссылка на изображение</v>
      </c>
      <c r="BJ71" t="str">
        <f>HYPERLINK("https://d33htgqikc2pj4.cloudfront.net/35b4713a-d813-428a-bd89-ca9415797f80.jpeg", "Владимир Чугунов: Ссылка на изображение")</f>
        <v>Владимир Чугунов: Ссылка на изображение</v>
      </c>
      <c r="BK71" t="s">
        <v>102</v>
      </c>
    </row>
    <row r="72" spans="1:65" ht="15" customHeight="1" x14ac:dyDescent="0.35">
      <c r="A72">
        <v>321</v>
      </c>
      <c r="B72" t="s">
        <v>709</v>
      </c>
      <c r="C72">
        <v>2</v>
      </c>
      <c r="D72" t="str">
        <f>VLOOKUP(source[[#This Row],[Приоритет]],тПриоритеты[],2,0)</f>
        <v>Значительное</v>
      </c>
      <c r="E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" t="s">
        <v>96</v>
      </c>
      <c r="G72" t="s">
        <v>395</v>
      </c>
      <c r="H72" t="str">
        <f>VLOOKUP(source[[#This Row],[Отвественный]],тОтветственные[],2,0)</f>
        <v>Отв19</v>
      </c>
      <c r="I72" s="2">
        <v>43675</v>
      </c>
      <c r="J72" s="2">
        <v>43675</v>
      </c>
      <c r="K72" t="s">
        <v>104</v>
      </c>
      <c r="L72">
        <v>0</v>
      </c>
      <c r="M72">
        <v>0</v>
      </c>
      <c r="N72" t="s">
        <v>105</v>
      </c>
      <c r="Q72" t="s">
        <v>106</v>
      </c>
      <c r="R72" t="str">
        <f t="shared" si="3"/>
        <v>Ссылка на план</v>
      </c>
      <c r="S72" s="1">
        <v>43676.709143518521</v>
      </c>
      <c r="T72" s="1">
        <v>43675.775462962964</v>
      </c>
      <c r="U72" s="1">
        <v>43675.775960648149</v>
      </c>
      <c r="W72" s="1">
        <v>43676.709166666667</v>
      </c>
      <c r="X72" t="s">
        <v>107</v>
      </c>
      <c r="AA72" t="s">
        <v>710</v>
      </c>
      <c r="AB72" t="s">
        <v>711</v>
      </c>
      <c r="AC72" t="s">
        <v>712</v>
      </c>
      <c r="AD72" t="s">
        <v>713</v>
      </c>
      <c r="AE72" t="s">
        <v>714</v>
      </c>
      <c r="AF72" t="s">
        <v>715</v>
      </c>
      <c r="BF72" t="s">
        <v>716</v>
      </c>
      <c r="BG72" t="s">
        <v>717</v>
      </c>
      <c r="BH72" t="s">
        <v>102</v>
      </c>
      <c r="BI72" t="s">
        <v>114</v>
      </c>
      <c r="BJ72" t="str">
        <f>HYPERLINK("https://d33htgqikc2pj4.cloudfront.net/940eaa06-a3ab-424c-83c3-1a07a10853f1.jpeg", "Владимир Чугунов: Ссылка на изображение")</f>
        <v>Владимир Чугунов: Ссылка на изображение</v>
      </c>
      <c r="BK72" t="s">
        <v>102</v>
      </c>
    </row>
    <row r="73" spans="1:65" ht="15" customHeight="1" x14ac:dyDescent="0.35">
      <c r="A73">
        <v>323</v>
      </c>
      <c r="B73" t="s">
        <v>718</v>
      </c>
      <c r="C73">
        <v>2</v>
      </c>
      <c r="D73" t="str">
        <f>VLOOKUP(source[[#This Row],[Приоритет]],тПриоритеты[],2,0)</f>
        <v>Значительное</v>
      </c>
      <c r="E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" t="s">
        <v>96</v>
      </c>
      <c r="G73" t="s">
        <v>395</v>
      </c>
      <c r="H73" t="str">
        <f>VLOOKUP(source[[#This Row],[Отвественный]],тОтветственные[],2,0)</f>
        <v>Отв19</v>
      </c>
      <c r="I73" s="2">
        <v>43676</v>
      </c>
      <c r="J73" s="2">
        <v>43676</v>
      </c>
      <c r="K73" t="s">
        <v>104</v>
      </c>
      <c r="L73">
        <v>0</v>
      </c>
      <c r="M73">
        <v>0</v>
      </c>
      <c r="N73" t="s">
        <v>105</v>
      </c>
      <c r="Q73" t="s">
        <v>106</v>
      </c>
      <c r="R73" t="str">
        <f t="shared" si="3"/>
        <v>Ссылка на план</v>
      </c>
      <c r="S73" s="1">
        <v>43676.70921296296</v>
      </c>
      <c r="T73" s="1">
        <v>43676.709837962961</v>
      </c>
      <c r="U73" s="1">
        <v>43676.71130787037</v>
      </c>
      <c r="W73" s="1">
        <v>43676.711319444446</v>
      </c>
      <c r="X73" t="s">
        <v>107</v>
      </c>
      <c r="AA73" t="s">
        <v>719</v>
      </c>
      <c r="AB73" t="s">
        <v>720</v>
      </c>
      <c r="AC73" t="s">
        <v>721</v>
      </c>
      <c r="AD73" t="s">
        <v>722</v>
      </c>
      <c r="AE73" t="s">
        <v>723</v>
      </c>
      <c r="AF73" t="s">
        <v>724</v>
      </c>
      <c r="BF73" t="s">
        <v>725</v>
      </c>
      <c r="BG73" t="s">
        <v>726</v>
      </c>
      <c r="BH73" t="s">
        <v>114</v>
      </c>
      <c r="BI73" t="str">
        <f>HYPERLINK("https://d33htgqikc2pj4.cloudfront.net/ddcf1f91-e952-41bb-a6ac-0a090d63c37b.jpeg", "Владимир Чугунов: Ссылка на изображение")</f>
        <v>Владимир Чугунов: Ссылка на изображение</v>
      </c>
      <c r="BJ73" t="str">
        <f>HYPERLINK("https://d33htgqikc2pj4.cloudfront.net/c11fec36-559d-4c1c-9cc0-5a123d98b4c6.jpeg", "Владимир Чугунов: Ссылка на изображение")</f>
        <v>Владимир Чугунов: Ссылка на изображение</v>
      </c>
      <c r="BK73" t="s">
        <v>102</v>
      </c>
    </row>
    <row r="74" spans="1:65" ht="15" customHeight="1" x14ac:dyDescent="0.35">
      <c r="A74">
        <v>383</v>
      </c>
      <c r="B74" t="s">
        <v>727</v>
      </c>
      <c r="C74">
        <v>2</v>
      </c>
      <c r="D74" t="str">
        <f>VLOOKUP(source[[#This Row],[Приоритет]],тПриоритеты[],2,0)</f>
        <v>Значительное</v>
      </c>
      <c r="E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" t="s">
        <v>96</v>
      </c>
      <c r="G74" t="s">
        <v>395</v>
      </c>
      <c r="H74" t="str">
        <f>VLOOKUP(source[[#This Row],[Отвественный]],тОтветственные[],2,0)</f>
        <v>Отв19</v>
      </c>
      <c r="I74" s="2">
        <v>43698</v>
      </c>
      <c r="J74" s="2">
        <v>43698</v>
      </c>
      <c r="K74" t="s">
        <v>104</v>
      </c>
      <c r="L74">
        <v>0</v>
      </c>
      <c r="M74">
        <v>0</v>
      </c>
      <c r="N74" t="s">
        <v>105</v>
      </c>
      <c r="Q74" t="s">
        <v>106</v>
      </c>
      <c r="R74" t="str">
        <f t="shared" si="3"/>
        <v>Ссылка на план</v>
      </c>
      <c r="S74" s="1">
        <v>43698.925567129627</v>
      </c>
      <c r="T74" s="1">
        <v>43698.925937499997</v>
      </c>
      <c r="U74" s="1">
        <v>43698.926516203705</v>
      </c>
      <c r="W74" s="1">
        <v>43698.926516203705</v>
      </c>
      <c r="X74" t="s">
        <v>107</v>
      </c>
      <c r="AA74" t="s">
        <v>728</v>
      </c>
      <c r="AB74" t="s">
        <v>729</v>
      </c>
      <c r="AC74" t="s">
        <v>730</v>
      </c>
      <c r="AD74" t="s">
        <v>731</v>
      </c>
      <c r="AE74" t="s">
        <v>732</v>
      </c>
      <c r="AF74" t="s">
        <v>733</v>
      </c>
      <c r="BF74" t="s">
        <v>734</v>
      </c>
      <c r="BG74" t="s">
        <v>735</v>
      </c>
      <c r="BH74" t="s">
        <v>114</v>
      </c>
      <c r="BI74" t="str">
        <f>HYPERLINK("https://d33htgqikc2pj4.cloudfront.net/14114782-48b1-4453-9276-e14ecf5cfa14.jpeg", "Владимир Чугунов: Ссылка на изображение")</f>
        <v>Владимир Чугунов: Ссылка на изображение</v>
      </c>
      <c r="BJ74" t="str">
        <f>HYPERLINK("https://d33htgqikc2pj4.cloudfront.net/c14cad7e-0b8f-45bb-8c86-4191e00012ec.jpeg", "Владимир Чугунов: Ссылка на изображение")</f>
        <v>Владимир Чугунов: Ссылка на изображение</v>
      </c>
      <c r="BK74" t="s">
        <v>102</v>
      </c>
    </row>
    <row r="75" spans="1:65" ht="15" customHeight="1" x14ac:dyDescent="0.35">
      <c r="A75">
        <v>497</v>
      </c>
      <c r="B75" t="s">
        <v>736</v>
      </c>
      <c r="C75">
        <v>2</v>
      </c>
      <c r="D75" t="str">
        <f>VLOOKUP(source[[#This Row],[Приоритет]],тПриоритеты[],2,0)</f>
        <v>Значительное</v>
      </c>
      <c r="E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5" t="s">
        <v>96</v>
      </c>
      <c r="G75" t="s">
        <v>395</v>
      </c>
      <c r="H75" t="str">
        <f>VLOOKUP(source[[#This Row],[Отвественный]],тОтветственные[],2,0)</f>
        <v>Отв19</v>
      </c>
      <c r="I75" s="2">
        <v>43726</v>
      </c>
      <c r="J75" s="2">
        <v>43726</v>
      </c>
      <c r="K75" t="s">
        <v>104</v>
      </c>
      <c r="L75">
        <v>0</v>
      </c>
      <c r="M75">
        <v>0</v>
      </c>
      <c r="N75" t="s">
        <v>105</v>
      </c>
      <c r="Q75" t="s">
        <v>106</v>
      </c>
      <c r="R75" t="str">
        <f t="shared" si="3"/>
        <v>Ссылка на план</v>
      </c>
      <c r="S75" s="1">
        <v>43726.697581018518</v>
      </c>
      <c r="T75" s="1">
        <v>43726.697777777779</v>
      </c>
      <c r="U75" s="1">
        <v>43726.698414351849</v>
      </c>
      <c r="W75" s="1">
        <v>43726.698425925926</v>
      </c>
      <c r="X75" t="s">
        <v>107</v>
      </c>
      <c r="AA75" t="s">
        <v>737</v>
      </c>
      <c r="AB75" t="s">
        <v>738</v>
      </c>
      <c r="AC75" t="s">
        <v>739</v>
      </c>
      <c r="AD75" t="s">
        <v>740</v>
      </c>
      <c r="AE75" t="s">
        <v>741</v>
      </c>
      <c r="AF75" t="s">
        <v>742</v>
      </c>
      <c r="BF75" t="s">
        <v>743</v>
      </c>
      <c r="BG75" t="s">
        <v>114</v>
      </c>
      <c r="BH75" t="s">
        <v>744</v>
      </c>
      <c r="BI75" t="str">
        <f>HYPERLINK("https://d33htgqikc2pj4.cloudfront.net/efe0ef56-5d39-480d-92a6-7d5b66c18d53.jpeg", "Владимир Чугунов: Ссылка на изображение")</f>
        <v>Владимир Чугунов: Ссылка на изображение</v>
      </c>
      <c r="BJ75" t="str">
        <f>HYPERLINK("https://d33htgqikc2pj4.cloudfront.net/8cca1e01-feea-46fb-a64b-24ccf5618c3a.jpeg", "Владимир Чугунов: Ссылка на изображение")</f>
        <v>Владимир Чугунов: Ссылка на изображение</v>
      </c>
      <c r="BK75" t="str">
        <f>HYPERLINK("https://d33htgqikc2pj4.cloudfront.net/95158fe6-85f9-4c17-8fb1-c36e9ce0cebf.jpeg", "Владимир Чугунов: Ссылка на изображение")</f>
        <v>Владимир Чугунов: Ссылка на изображение</v>
      </c>
      <c r="BL75" t="s">
        <v>102</v>
      </c>
    </row>
    <row r="76" spans="1:65" ht="15" customHeight="1" x14ac:dyDescent="0.35">
      <c r="A76">
        <v>386</v>
      </c>
      <c r="B76" t="s">
        <v>745</v>
      </c>
      <c r="C76">
        <v>2</v>
      </c>
      <c r="D76" t="str">
        <f>VLOOKUP(source[[#This Row],[Приоритет]],тПриоритеты[],2,0)</f>
        <v>Значительное</v>
      </c>
      <c r="E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6" t="s">
        <v>96</v>
      </c>
      <c r="G76" t="s">
        <v>395</v>
      </c>
      <c r="H76" t="str">
        <f>VLOOKUP(source[[#This Row],[Отвественный]],тОтветственные[],2,0)</f>
        <v>Отв19</v>
      </c>
      <c r="I76" s="2">
        <v>43699</v>
      </c>
      <c r="J76" s="2">
        <v>43699</v>
      </c>
      <c r="K76" t="s">
        <v>104</v>
      </c>
      <c r="L76">
        <v>0</v>
      </c>
      <c r="M76">
        <v>0</v>
      </c>
      <c r="N76" t="s">
        <v>105</v>
      </c>
      <c r="Q76" t="s">
        <v>106</v>
      </c>
      <c r="R76" t="str">
        <f t="shared" si="3"/>
        <v>Ссылка на план</v>
      </c>
      <c r="S76" s="1">
        <v>43699.585196759261</v>
      </c>
      <c r="T76" s="1">
        <v>43699.585231481484</v>
      </c>
      <c r="U76" s="1">
        <v>43699.587870370371</v>
      </c>
      <c r="W76" s="1">
        <v>43699.587870370371</v>
      </c>
      <c r="X76" t="s">
        <v>107</v>
      </c>
      <c r="AA76" t="s">
        <v>746</v>
      </c>
      <c r="AB76" t="s">
        <v>747</v>
      </c>
      <c r="AC76" t="s">
        <v>748</v>
      </c>
      <c r="AD76" t="s">
        <v>749</v>
      </c>
      <c r="AE76" t="s">
        <v>750</v>
      </c>
      <c r="AF76" t="s">
        <v>751</v>
      </c>
      <c r="BF76" t="s">
        <v>114</v>
      </c>
      <c r="BG76" t="s">
        <v>441</v>
      </c>
      <c r="BH76" t="s">
        <v>752</v>
      </c>
      <c r="BI76" t="s">
        <v>753</v>
      </c>
      <c r="BJ76" t="str">
        <f>HYPERLINK("https://d33htgqikc2pj4.cloudfront.net/e6c4358a-1220-419a-8fcf-ea41f05c9e64.jpeg", "Владимир Чугунов: Ссылка на изображение")</f>
        <v>Владимир Чугунов: Ссылка на изображение</v>
      </c>
      <c r="BK76" t="str">
        <f>HYPERLINK("https://d33htgqikc2pj4.cloudfront.net/cc2bd679-e179-4363-aa42-4d7e7af85d43.jpeg", "Владимир Чугунов: Ссылка на изображение")</f>
        <v>Владимир Чугунов: Ссылка на изображение</v>
      </c>
      <c r="BL76" t="str">
        <f>HYPERLINK("https://d33htgqikc2pj4.cloudfront.net/c913220b-0b84-4219-a045-ff28866e9d42.jpeg", "Владимир Чугунов: Ссылка на изображение")</f>
        <v>Владимир Чугунов: Ссылка на изображение</v>
      </c>
      <c r="BM76" t="s">
        <v>102</v>
      </c>
    </row>
    <row r="77" spans="1:65" ht="15" customHeight="1" x14ac:dyDescent="0.35">
      <c r="A77">
        <v>335</v>
      </c>
      <c r="B77" t="s">
        <v>754</v>
      </c>
      <c r="C77">
        <v>2</v>
      </c>
      <c r="D77" t="str">
        <f>VLOOKUP(source[[#This Row],[Приоритет]],тПриоритеты[],2,0)</f>
        <v>Значительное</v>
      </c>
      <c r="E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7" t="s">
        <v>96</v>
      </c>
      <c r="G77" t="s">
        <v>395</v>
      </c>
      <c r="H77" t="str">
        <f>VLOOKUP(source[[#This Row],[Отвественный]],тОтветственные[],2,0)</f>
        <v>Отв19</v>
      </c>
      <c r="I77" s="2">
        <v>43678</v>
      </c>
      <c r="J77" s="2">
        <v>43678</v>
      </c>
      <c r="K77" t="s">
        <v>104</v>
      </c>
      <c r="L77">
        <v>0</v>
      </c>
      <c r="M77">
        <v>0</v>
      </c>
      <c r="N77" t="s">
        <v>105</v>
      </c>
      <c r="Q77" t="s">
        <v>106</v>
      </c>
      <c r="R77" t="str">
        <f t="shared" si="3"/>
        <v>Ссылка на план</v>
      </c>
      <c r="S77" s="1">
        <v>43678.840891203705</v>
      </c>
      <c r="T77" s="1">
        <v>43678.842187499999</v>
      </c>
      <c r="U77" s="1">
        <v>43678.84269675926</v>
      </c>
      <c r="W77" s="1">
        <v>43678.84270833333</v>
      </c>
      <c r="X77" t="s">
        <v>302</v>
      </c>
      <c r="AA77" t="s">
        <v>755</v>
      </c>
      <c r="AB77" t="s">
        <v>756</v>
      </c>
      <c r="AC77" t="s">
        <v>757</v>
      </c>
      <c r="AD77" t="s">
        <v>758</v>
      </c>
      <c r="AE77" t="s">
        <v>759</v>
      </c>
      <c r="AF77" t="s">
        <v>760</v>
      </c>
      <c r="BF77" t="s">
        <v>761</v>
      </c>
      <c r="BG77" t="s">
        <v>762</v>
      </c>
      <c r="BH77" t="s">
        <v>114</v>
      </c>
      <c r="BI77" t="str">
        <f>HYPERLINK("https://d33htgqikc2pj4.cloudfront.net/0f018fec-c6f5-4f70-9aeb-d0be7c859ff0.jpeg", "Владимир Чугунов: Ссылка на изображение")</f>
        <v>Владимир Чугунов: Ссылка на изображение</v>
      </c>
      <c r="BJ77" t="str">
        <f>HYPERLINK("https://d33htgqikc2pj4.cloudfront.net/47e1385f-1229-432f-8acd-53a7dde69c26.jpeg", "Владимир Чугунов: Ссылка на изображение")</f>
        <v>Владимир Чугунов: Ссылка на изображение</v>
      </c>
      <c r="BK77" t="s">
        <v>102</v>
      </c>
    </row>
    <row r="78" spans="1:65" ht="15" customHeight="1" x14ac:dyDescent="0.35">
      <c r="A78">
        <v>498</v>
      </c>
      <c r="B78" t="s">
        <v>763</v>
      </c>
      <c r="C78">
        <v>2</v>
      </c>
      <c r="D78" t="str">
        <f>VLOOKUP(source[[#This Row],[Приоритет]],тПриоритеты[],2,0)</f>
        <v>Значительное</v>
      </c>
      <c r="E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8" t="s">
        <v>96</v>
      </c>
      <c r="G78" t="s">
        <v>395</v>
      </c>
      <c r="H78" t="str">
        <f>VLOOKUP(source[[#This Row],[Отвественный]],тОтветственные[],2,0)</f>
        <v>Отв19</v>
      </c>
      <c r="I78" s="2">
        <v>43726</v>
      </c>
      <c r="J78" s="2">
        <v>43726</v>
      </c>
      <c r="K78" t="s">
        <v>104</v>
      </c>
      <c r="L78">
        <v>0</v>
      </c>
      <c r="M78">
        <v>0</v>
      </c>
      <c r="N78" t="s">
        <v>105</v>
      </c>
      <c r="Q78" t="s">
        <v>106</v>
      </c>
      <c r="R78" t="str">
        <f t="shared" si="3"/>
        <v>Ссылка на план</v>
      </c>
      <c r="S78" s="1">
        <v>43726.938113425924</v>
      </c>
      <c r="T78" s="1">
        <v>43726.938148148147</v>
      </c>
      <c r="U78" s="1">
        <v>43726.939039351855</v>
      </c>
      <c r="W78" s="1">
        <v>43726.939062500001</v>
      </c>
      <c r="X78" t="s">
        <v>107</v>
      </c>
      <c r="AA78" t="s">
        <v>737</v>
      </c>
      <c r="AB78" t="s">
        <v>738</v>
      </c>
      <c r="AC78" t="s">
        <v>739</v>
      </c>
      <c r="AD78" t="s">
        <v>740</v>
      </c>
      <c r="AE78" t="s">
        <v>741</v>
      </c>
      <c r="AF78" t="s">
        <v>742</v>
      </c>
      <c r="BF78" t="s">
        <v>114</v>
      </c>
      <c r="BG78" t="s">
        <v>764</v>
      </c>
      <c r="BH78" t="s">
        <v>744</v>
      </c>
      <c r="BI78" t="str">
        <f>HYPERLINK("https://d33htgqikc2pj4.cloudfront.net/c287660e-91ac-4bf7-a245-b946b29d5409.jpeg", "Владимир Чугунов: Ссылка на изображение")</f>
        <v>Владимир Чугунов: Ссылка на изображение</v>
      </c>
      <c r="BJ78" t="str">
        <f>HYPERLINK("https://d33htgqikc2pj4.cloudfront.net/85693ff6-7622-4d5c-bbe7-403bab339f40.jpeg", "Владимир Чугунов: Ссылка на изображение")</f>
        <v>Владимир Чугунов: Ссылка на изображение</v>
      </c>
      <c r="BK78" t="s">
        <v>102</v>
      </c>
    </row>
    <row r="79" spans="1:65" ht="15" customHeight="1" x14ac:dyDescent="0.35">
      <c r="A79">
        <v>338</v>
      </c>
      <c r="B79" t="s">
        <v>765</v>
      </c>
      <c r="C79">
        <v>2</v>
      </c>
      <c r="D79" t="str">
        <f>VLOOKUP(source[[#This Row],[Приоритет]],тПриоритеты[],2,0)</f>
        <v>Значительное</v>
      </c>
      <c r="E7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9" t="s">
        <v>96</v>
      </c>
      <c r="G79" t="s">
        <v>395</v>
      </c>
      <c r="H79" t="str">
        <f>VLOOKUP(source[[#This Row],[Отвественный]],тОтветственные[],2,0)</f>
        <v>Отв19</v>
      </c>
      <c r="I79" s="2">
        <v>43679</v>
      </c>
      <c r="J79" s="2">
        <v>43679</v>
      </c>
      <c r="K79" t="s">
        <v>104</v>
      </c>
      <c r="L79">
        <v>0</v>
      </c>
      <c r="M79">
        <v>0</v>
      </c>
      <c r="N79" t="s">
        <v>105</v>
      </c>
      <c r="Q79" t="s">
        <v>106</v>
      </c>
      <c r="R79" t="str">
        <f t="shared" si="3"/>
        <v>Ссылка на план</v>
      </c>
      <c r="S79" s="1">
        <v>43679.696203703701</v>
      </c>
      <c r="T79" s="1">
        <v>43679.696747685186</v>
      </c>
      <c r="U79" s="1">
        <v>43679.697129629632</v>
      </c>
      <c r="W79" s="1">
        <v>43679.697129629632</v>
      </c>
      <c r="X79" t="s">
        <v>107</v>
      </c>
      <c r="AA79" t="s">
        <v>766</v>
      </c>
      <c r="AB79" t="s">
        <v>767</v>
      </c>
      <c r="AC79" t="s">
        <v>768</v>
      </c>
      <c r="AD79" t="s">
        <v>769</v>
      </c>
      <c r="AE79" t="s">
        <v>770</v>
      </c>
      <c r="AF79" t="s">
        <v>771</v>
      </c>
      <c r="BF79" t="s">
        <v>772</v>
      </c>
      <c r="BG79" t="s">
        <v>773</v>
      </c>
      <c r="BH79" t="s">
        <v>114</v>
      </c>
      <c r="BI79" t="str">
        <f>HYPERLINK("https://d33htgqikc2pj4.cloudfront.net/e2563725-3ca2-4963-ad0b-977d40e81847.jpeg", "Владимир Чугунов: Ссылка на изображение")</f>
        <v>Владимир Чугунов: Ссылка на изображение</v>
      </c>
      <c r="BJ79" t="str">
        <f>HYPERLINK("https://d33htgqikc2pj4.cloudfront.net/b69b2548-7a5a-4475-b323-fcd6f56b2a5b.jpeg", "Владимир Чугунов: Ссылка на изображение")</f>
        <v>Владимир Чугунов: Ссылка на изображение</v>
      </c>
      <c r="BK79" t="s">
        <v>102</v>
      </c>
    </row>
    <row r="80" spans="1:65" ht="15" customHeight="1" x14ac:dyDescent="0.35">
      <c r="A80">
        <v>394</v>
      </c>
      <c r="B80" t="s">
        <v>774</v>
      </c>
      <c r="C80">
        <v>2</v>
      </c>
      <c r="D80" t="str">
        <f>VLOOKUP(source[[#This Row],[Приоритет]],тПриоритеты[],2,0)</f>
        <v>Значительное</v>
      </c>
      <c r="E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0" t="s">
        <v>96</v>
      </c>
      <c r="G80" t="s">
        <v>395</v>
      </c>
      <c r="H80" t="str">
        <f>VLOOKUP(source[[#This Row],[Отвественный]],тОтветственные[],2,0)</f>
        <v>Отв19</v>
      </c>
      <c r="I80" s="2">
        <v>43703</v>
      </c>
      <c r="J80" s="2">
        <v>43703</v>
      </c>
      <c r="K80" t="s">
        <v>104</v>
      </c>
      <c r="L80">
        <v>0</v>
      </c>
      <c r="M80">
        <v>0</v>
      </c>
      <c r="N80" t="s">
        <v>105</v>
      </c>
      <c r="Q80" t="s">
        <v>106</v>
      </c>
      <c r="R80" t="str">
        <f t="shared" si="3"/>
        <v>Ссылка на план</v>
      </c>
      <c r="S80" s="1">
        <v>43703.743055555555</v>
      </c>
      <c r="T80" s="1">
        <v>43703.743136574078</v>
      </c>
      <c r="U80" s="1">
        <v>43703.743807870371</v>
      </c>
      <c r="W80" s="1">
        <v>43703.743819444448</v>
      </c>
      <c r="X80" t="s">
        <v>107</v>
      </c>
      <c r="AA80" t="s">
        <v>775</v>
      </c>
      <c r="AB80" t="s">
        <v>776</v>
      </c>
      <c r="AC80" t="s">
        <v>777</v>
      </c>
      <c r="AD80" t="s">
        <v>778</v>
      </c>
      <c r="AE80" t="s">
        <v>779</v>
      </c>
      <c r="AF80" t="s">
        <v>780</v>
      </c>
      <c r="BF80" t="s">
        <v>114</v>
      </c>
      <c r="BG80" t="s">
        <v>781</v>
      </c>
      <c r="BH80" t="s">
        <v>782</v>
      </c>
      <c r="BI80" t="str">
        <f>HYPERLINK("https://d33htgqikc2pj4.cloudfront.net/5fa6b78b-182f-44c2-a483-89d08cb81748.jpeg", "Владимир Чугунов: Ссылка на изображение")</f>
        <v>Владимир Чугунов: Ссылка на изображение</v>
      </c>
      <c r="BJ80" t="str">
        <f>HYPERLINK("https://d33htgqikc2pj4.cloudfront.net/118646b8-1428-4cb6-bf37-08ad957096c9.jpeg", "Владимир Чугунов: Ссылка на изображение")</f>
        <v>Владимир Чугунов: Ссылка на изображение</v>
      </c>
      <c r="BK80" t="s">
        <v>102</v>
      </c>
    </row>
    <row r="81" spans="1:66" ht="15" customHeight="1" x14ac:dyDescent="0.35">
      <c r="A81">
        <v>341</v>
      </c>
      <c r="B81" t="s">
        <v>754</v>
      </c>
      <c r="C81">
        <v>2</v>
      </c>
      <c r="D81" t="str">
        <f>VLOOKUP(source[[#This Row],[Приоритет]],тПриоритеты[],2,0)</f>
        <v>Значительное</v>
      </c>
      <c r="E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1" t="s">
        <v>96</v>
      </c>
      <c r="G81" t="s">
        <v>395</v>
      </c>
      <c r="H81" t="str">
        <f>VLOOKUP(source[[#This Row],[Отвественный]],тОтветственные[],2,0)</f>
        <v>Отв19</v>
      </c>
      <c r="I81" s="2">
        <v>43681</v>
      </c>
      <c r="J81" s="2">
        <v>43681</v>
      </c>
      <c r="K81" t="s">
        <v>104</v>
      </c>
      <c r="L81">
        <v>0</v>
      </c>
      <c r="M81">
        <v>0</v>
      </c>
      <c r="N81" t="s">
        <v>105</v>
      </c>
      <c r="Q81" t="s">
        <v>106</v>
      </c>
      <c r="R81" t="str">
        <f t="shared" si="3"/>
        <v>Ссылка на план</v>
      </c>
      <c r="S81" s="1">
        <v>43681.793009259258</v>
      </c>
      <c r="T81" s="1">
        <v>43681.793379629627</v>
      </c>
      <c r="U81" s="1">
        <v>43681.794270833336</v>
      </c>
      <c r="W81" s="1">
        <v>43681.794282407405</v>
      </c>
      <c r="X81" t="s">
        <v>107</v>
      </c>
      <c r="AA81" t="s">
        <v>783</v>
      </c>
      <c r="AB81" t="s">
        <v>784</v>
      </c>
      <c r="AC81" t="s">
        <v>785</v>
      </c>
      <c r="AD81" t="s">
        <v>786</v>
      </c>
      <c r="AE81" t="s">
        <v>787</v>
      </c>
      <c r="AF81" t="s">
        <v>788</v>
      </c>
      <c r="BF81" t="s">
        <v>761</v>
      </c>
      <c r="BG81" t="s">
        <v>789</v>
      </c>
      <c r="BH81" t="s">
        <v>114</v>
      </c>
      <c r="BI81" t="str">
        <f>HYPERLINK("https://d33htgqikc2pj4.cloudfront.net/05093433-2c07-4e80-8ffd-124f4c3be463.jpeg", "Владимир Чугунов: Ссылка на изображение")</f>
        <v>Владимир Чугунов: Ссылка на изображение</v>
      </c>
      <c r="BJ81" t="str">
        <f>HYPERLINK("https://d33htgqikc2pj4.cloudfront.net/da61e3c8-5a05-49da-b8b0-ff08c573068e.jpeg", "Владимир Чугунов: Ссылка на изображение")</f>
        <v>Владимир Чугунов: Ссылка на изображение</v>
      </c>
      <c r="BK81" t="s">
        <v>102</v>
      </c>
    </row>
    <row r="82" spans="1:66" ht="15" customHeight="1" x14ac:dyDescent="0.35">
      <c r="A82">
        <v>346</v>
      </c>
      <c r="B82" t="s">
        <v>790</v>
      </c>
      <c r="C82">
        <v>2</v>
      </c>
      <c r="D82" t="str">
        <f>VLOOKUP(source[[#This Row],[Приоритет]],тПриоритеты[],2,0)</f>
        <v>Значительное</v>
      </c>
      <c r="E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2" t="s">
        <v>96</v>
      </c>
      <c r="G82" t="s">
        <v>395</v>
      </c>
      <c r="H82" t="str">
        <f>VLOOKUP(source[[#This Row],[Отвественный]],тОтветственные[],2,0)</f>
        <v>Отв19</v>
      </c>
      <c r="I82" s="2">
        <v>43683</v>
      </c>
      <c r="J82" s="2">
        <v>43683</v>
      </c>
      <c r="K82" t="s">
        <v>104</v>
      </c>
      <c r="L82">
        <v>0</v>
      </c>
      <c r="M82">
        <v>0</v>
      </c>
      <c r="N82" t="s">
        <v>105</v>
      </c>
      <c r="Q82" t="s">
        <v>106</v>
      </c>
      <c r="R82" t="str">
        <f t="shared" si="3"/>
        <v>Ссылка на план</v>
      </c>
      <c r="S82" s="1">
        <v>43683.649537037039</v>
      </c>
      <c r="T82" s="1">
        <v>43683.648854166669</v>
      </c>
      <c r="U82" s="1">
        <v>43683.649467592593</v>
      </c>
      <c r="W82" s="1">
        <v>43683.649560185186</v>
      </c>
      <c r="X82" t="s">
        <v>107</v>
      </c>
      <c r="AA82" t="s">
        <v>791</v>
      </c>
      <c r="AB82" t="s">
        <v>792</v>
      </c>
      <c r="AC82" t="s">
        <v>793</v>
      </c>
      <c r="AD82" t="s">
        <v>794</v>
      </c>
      <c r="AE82" t="s">
        <v>795</v>
      </c>
      <c r="AF82" t="s">
        <v>796</v>
      </c>
      <c r="BF82" t="s">
        <v>797</v>
      </c>
      <c r="BG82" t="s">
        <v>114</v>
      </c>
      <c r="BH82" t="s">
        <v>798</v>
      </c>
      <c r="BI82" t="str">
        <f>HYPERLINK("https://d33htgqikc2pj4.cloudfront.net/bfc59c81-1d15-468e-a6a3-171a52f59589.jpeg", "Владимир Чугунов: Ссылка на изображение")</f>
        <v>Владимир Чугунов: Ссылка на изображение</v>
      </c>
      <c r="BJ82" t="str">
        <f>HYPERLINK("https://d33htgqikc2pj4.cloudfront.net/8cb2515a-e0c4-45f6-a8c9-5fbbf1939eca.jpeg", "Владимир Чугунов: Ссылка на изображение")</f>
        <v>Владимир Чугунов: Ссылка на изображение</v>
      </c>
      <c r="BK82" t="s">
        <v>102</v>
      </c>
    </row>
    <row r="83" spans="1:66" ht="15" customHeight="1" x14ac:dyDescent="0.35">
      <c r="A83">
        <v>349</v>
      </c>
      <c r="B83" t="s">
        <v>799</v>
      </c>
      <c r="C83">
        <v>2</v>
      </c>
      <c r="D83" t="str">
        <f>VLOOKUP(source[[#This Row],[Приоритет]],тПриоритеты[],2,0)</f>
        <v>Значительное</v>
      </c>
      <c r="E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3" t="s">
        <v>96</v>
      </c>
      <c r="G83" t="s">
        <v>395</v>
      </c>
      <c r="H83" t="str">
        <f>VLOOKUP(source[[#This Row],[Отвественный]],тОтветственные[],2,0)</f>
        <v>Отв19</v>
      </c>
      <c r="I83" s="2">
        <v>43685</v>
      </c>
      <c r="J83" s="2">
        <v>43685</v>
      </c>
      <c r="K83" t="s">
        <v>104</v>
      </c>
      <c r="L83">
        <v>0</v>
      </c>
      <c r="M83">
        <v>0</v>
      </c>
      <c r="N83" t="s">
        <v>105</v>
      </c>
      <c r="Q83" t="s">
        <v>106</v>
      </c>
      <c r="R83" t="str">
        <f t="shared" si="3"/>
        <v>Ссылка на план</v>
      </c>
      <c r="S83" s="1">
        <v>43685.638506944444</v>
      </c>
      <c r="T83" s="1">
        <v>43685.638865740744</v>
      </c>
      <c r="U83" s="1">
        <v>43685.639791666668</v>
      </c>
      <c r="W83" s="1">
        <v>43685.639826388891</v>
      </c>
      <c r="X83" t="s">
        <v>107</v>
      </c>
      <c r="AA83" t="s">
        <v>800</v>
      </c>
      <c r="AB83" t="s">
        <v>801</v>
      </c>
      <c r="AC83" t="s">
        <v>802</v>
      </c>
      <c r="AD83" t="s">
        <v>803</v>
      </c>
      <c r="AE83" t="s">
        <v>804</v>
      </c>
      <c r="AF83" t="s">
        <v>805</v>
      </c>
      <c r="BF83" t="s">
        <v>806</v>
      </c>
      <c r="BG83" t="s">
        <v>807</v>
      </c>
      <c r="BH83" t="s">
        <v>114</v>
      </c>
      <c r="BI83" t="str">
        <f>HYPERLINK("https://d33htgqikc2pj4.cloudfront.net/93b842d1-73e0-46b0-8722-6e993597fbc6.jpeg", "Владимир Чугунов: Ссылка на изображение")</f>
        <v>Владимир Чугунов: Ссылка на изображение</v>
      </c>
      <c r="BJ83" t="str">
        <f>HYPERLINK("https://d33htgqikc2pj4.cloudfront.net/e6159f0f-db0f-406c-bb50-9e584702fa16.jpeg", "Владимир Чугунов: Ссылка на изображение")</f>
        <v>Владимир Чугунов: Ссылка на изображение</v>
      </c>
      <c r="BK83" t="s">
        <v>102</v>
      </c>
    </row>
    <row r="84" spans="1:66" ht="15" customHeight="1" x14ac:dyDescent="0.35">
      <c r="A84">
        <v>508</v>
      </c>
      <c r="B84" t="s">
        <v>808</v>
      </c>
      <c r="C84">
        <v>2</v>
      </c>
      <c r="D84" t="str">
        <f>VLOOKUP(source[[#This Row],[Приоритет]],тПриоритеты[],2,0)</f>
        <v>Значительное</v>
      </c>
      <c r="E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4" t="s">
        <v>96</v>
      </c>
      <c r="G84" t="s">
        <v>395</v>
      </c>
      <c r="H84" t="str">
        <f>VLOOKUP(source[[#This Row],[Отвественный]],тОтветственные[],2,0)</f>
        <v>Отв19</v>
      </c>
      <c r="I84" s="2">
        <v>43729</v>
      </c>
      <c r="J84" s="2">
        <v>43729</v>
      </c>
      <c r="K84" t="s">
        <v>104</v>
      </c>
      <c r="L84">
        <v>0</v>
      </c>
      <c r="M84">
        <v>0</v>
      </c>
      <c r="N84" t="s">
        <v>105</v>
      </c>
      <c r="Q84" t="s">
        <v>106</v>
      </c>
      <c r="R84" t="str">
        <f t="shared" si="3"/>
        <v>Ссылка на план</v>
      </c>
      <c r="S84" s="1">
        <v>43729.849583333336</v>
      </c>
      <c r="T84" s="1">
        <v>43729.85</v>
      </c>
      <c r="U84" s="1">
        <v>43729.850439814814</v>
      </c>
      <c r="W84" s="1">
        <v>43729.850451388891</v>
      </c>
      <c r="X84" t="s">
        <v>107</v>
      </c>
      <c r="AA84" t="s">
        <v>809</v>
      </c>
      <c r="AB84" t="s">
        <v>810</v>
      </c>
      <c r="AC84" t="s">
        <v>811</v>
      </c>
      <c r="AD84" t="s">
        <v>812</v>
      </c>
      <c r="AE84" t="s">
        <v>813</v>
      </c>
      <c r="AF84" t="s">
        <v>814</v>
      </c>
      <c r="BF84" t="s">
        <v>815</v>
      </c>
      <c r="BG84" t="s">
        <v>816</v>
      </c>
      <c r="BH84" t="s">
        <v>114</v>
      </c>
      <c r="BI84" t="str">
        <f>HYPERLINK("https://d33htgqikc2pj4.cloudfront.net/732e6eba-53a8-4ed3-a30a-9d3b86c52534.jpeg", "Владимир Чугунов: Ссылка на изображение")</f>
        <v>Владимир Чугунов: Ссылка на изображение</v>
      </c>
      <c r="BJ84" t="str">
        <f>HYPERLINK("https://d33htgqikc2pj4.cloudfront.net/7b6bb9f9-6226-4d19-ab25-faabf987453e.jpeg", "Владимир Чугунов: Ссылка на изображение")</f>
        <v>Владимир Чугунов: Ссылка на изображение</v>
      </c>
      <c r="BK84" t="s">
        <v>102</v>
      </c>
    </row>
    <row r="85" spans="1:66" ht="15" customHeight="1" x14ac:dyDescent="0.35">
      <c r="A85">
        <v>403</v>
      </c>
      <c r="B85" t="s">
        <v>817</v>
      </c>
      <c r="C85">
        <v>2</v>
      </c>
      <c r="D85" t="str">
        <f>VLOOKUP(source[[#This Row],[Приоритет]],тПриоритеты[],2,0)</f>
        <v>Значительное</v>
      </c>
      <c r="E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5" t="s">
        <v>96</v>
      </c>
      <c r="G85" t="s">
        <v>395</v>
      </c>
      <c r="H85" t="str">
        <f>VLOOKUP(source[[#This Row],[Отвественный]],тОтветственные[],2,0)</f>
        <v>Отв19</v>
      </c>
      <c r="I85" s="2">
        <v>43706</v>
      </c>
      <c r="J85" s="2">
        <v>43706</v>
      </c>
      <c r="K85" t="s">
        <v>104</v>
      </c>
      <c r="L85">
        <v>0</v>
      </c>
      <c r="M85">
        <v>0</v>
      </c>
      <c r="N85" t="s">
        <v>105</v>
      </c>
      <c r="Q85" t="s">
        <v>106</v>
      </c>
      <c r="R85" t="str">
        <f t="shared" si="3"/>
        <v>Ссылка на план</v>
      </c>
      <c r="S85" s="1">
        <v>43706.670949074076</v>
      </c>
      <c r="T85" s="1">
        <v>43706.670972222222</v>
      </c>
      <c r="U85" s="1">
        <v>43706.671898148146</v>
      </c>
      <c r="W85" s="1">
        <v>43706.671909722223</v>
      </c>
      <c r="X85" t="s">
        <v>107</v>
      </c>
      <c r="AA85" t="s">
        <v>818</v>
      </c>
      <c r="AB85" t="s">
        <v>819</v>
      </c>
      <c r="AC85" t="s">
        <v>820</v>
      </c>
      <c r="AD85" t="s">
        <v>821</v>
      </c>
      <c r="AE85" t="s">
        <v>822</v>
      </c>
      <c r="AF85" t="s">
        <v>823</v>
      </c>
      <c r="BF85" t="s">
        <v>114</v>
      </c>
      <c r="BG85" t="s">
        <v>824</v>
      </c>
      <c r="BH85" t="s">
        <v>825</v>
      </c>
      <c r="BI85" t="s">
        <v>826</v>
      </c>
      <c r="BJ85" t="str">
        <f>HYPERLINK("https://d33htgqikc2pj4.cloudfront.net/67d5dd9e-758a-491e-a6ac-b17d4361f7fe.jpeg", "Владимир Чугунов: Ссылка на изображение")</f>
        <v>Владимир Чугунов: Ссылка на изображение</v>
      </c>
      <c r="BK85" t="str">
        <f>HYPERLINK("https://d33htgqikc2pj4.cloudfront.net/75873ba2-0cbb-4e27-9f80-8189ac8a1bf8.jpeg", "Владимир Чугунов: Ссылка на изображение")</f>
        <v>Владимир Чугунов: Ссылка на изображение</v>
      </c>
      <c r="BL85" t="str">
        <f>HYPERLINK("https://d33htgqikc2pj4.cloudfront.net/7dcd7c32-4156-4c55-b460-44a4c5460af3.jpeg", "Владимир Чугунов: Ссылка на изображение")</f>
        <v>Владимир Чугунов: Ссылка на изображение</v>
      </c>
      <c r="BM85" t="s">
        <v>102</v>
      </c>
    </row>
    <row r="86" spans="1:66" ht="15" customHeight="1" x14ac:dyDescent="0.35">
      <c r="A86">
        <v>504</v>
      </c>
      <c r="B86" t="s">
        <v>827</v>
      </c>
      <c r="C86">
        <v>2</v>
      </c>
      <c r="D86" t="str">
        <f>VLOOKUP(source[[#This Row],[Приоритет]],тПриоритеты[],2,0)</f>
        <v>Значительное</v>
      </c>
      <c r="E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6" t="s">
        <v>96</v>
      </c>
      <c r="G86" t="s">
        <v>395</v>
      </c>
      <c r="H86" t="str">
        <f>VLOOKUP(source[[#This Row],[Отвественный]],тОтветственные[],2,0)</f>
        <v>Отв19</v>
      </c>
      <c r="I86" s="2">
        <v>43728</v>
      </c>
      <c r="J86" s="2">
        <v>43728</v>
      </c>
      <c r="K86" t="s">
        <v>104</v>
      </c>
      <c r="L86">
        <v>0</v>
      </c>
      <c r="M86">
        <v>0</v>
      </c>
      <c r="N86" t="s">
        <v>105</v>
      </c>
      <c r="Q86" t="s">
        <v>106</v>
      </c>
      <c r="R86" t="str">
        <f t="shared" si="3"/>
        <v>Ссылка на план</v>
      </c>
      <c r="S86" s="1">
        <v>43729.495289351849</v>
      </c>
      <c r="T86" s="1">
        <v>43728.682696759257</v>
      </c>
      <c r="U86" s="1">
        <v>43728.682800925926</v>
      </c>
      <c r="W86" s="1">
        <v>43729.495370370372</v>
      </c>
      <c r="X86" t="s">
        <v>107</v>
      </c>
      <c r="AA86" t="s">
        <v>828</v>
      </c>
      <c r="AB86" t="s">
        <v>829</v>
      </c>
      <c r="AC86" t="s">
        <v>830</v>
      </c>
      <c r="AD86" t="s">
        <v>831</v>
      </c>
      <c r="AE86" t="s">
        <v>832</v>
      </c>
      <c r="AF86" t="s">
        <v>833</v>
      </c>
      <c r="BF86" t="s">
        <v>834</v>
      </c>
      <c r="BG86" t="s">
        <v>835</v>
      </c>
      <c r="BH86" t="str">
        <f>HYPERLINK("https://d33htgqikc2pj4.cloudfront.net/5abb4a7d-0b9f-4371-ac1d-1206ae5fb094.jpeg", "Владимир Чугунов: Ссылка на изображение")</f>
        <v>Владимир Чугунов: Ссылка на изображение</v>
      </c>
      <c r="BI86" t="str">
        <f>HYPERLINK("https://d33htgqikc2pj4.cloudfront.net/eebe4519-8753-44c4-81f9-9d315f06970e.jpeg", "Владимир Чугунов: Ссылка на изображение")</f>
        <v>Владимир Чугунов: Ссылка на изображение</v>
      </c>
      <c r="BJ86" t="str">
        <f>HYPERLINK("https://d33htgqikc2pj4.cloudfront.net/daa22561-def4-4e73-8386-b63e5745a627.jpeg", "Владимир Чугунов: Ссылка на изображение")</f>
        <v>Владимир Чугунов: Ссылка на изображение</v>
      </c>
      <c r="BK86" t="str">
        <f>HYPERLINK("https://d33htgqikc2pj4.cloudfront.net/a901860c-16c8-4f6d-b892-690508b75e65.jpeg", "Владимир Чугунов: Ссылка на изображение")</f>
        <v>Владимир Чугунов: Ссылка на изображение</v>
      </c>
      <c r="BL86" t="s">
        <v>114</v>
      </c>
      <c r="BM86" t="s">
        <v>102</v>
      </c>
    </row>
    <row r="87" spans="1:66" ht="15" customHeight="1" x14ac:dyDescent="0.35">
      <c r="A87">
        <v>527</v>
      </c>
      <c r="B87" t="s">
        <v>836</v>
      </c>
      <c r="C87">
        <v>2</v>
      </c>
      <c r="D87" t="str">
        <f>VLOOKUP(source[[#This Row],[Приоритет]],тПриоритеты[],2,0)</f>
        <v>Значительное</v>
      </c>
      <c r="E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7" t="s">
        <v>96</v>
      </c>
      <c r="G87" t="s">
        <v>395</v>
      </c>
      <c r="H87" t="str">
        <f>VLOOKUP(source[[#This Row],[Отвественный]],тОтветственные[],2,0)</f>
        <v>Отв19</v>
      </c>
      <c r="I87" s="2">
        <v>43731</v>
      </c>
      <c r="J87" s="2">
        <v>43731</v>
      </c>
      <c r="K87" t="s">
        <v>104</v>
      </c>
      <c r="L87">
        <v>0</v>
      </c>
      <c r="M87">
        <v>0</v>
      </c>
      <c r="N87" t="s">
        <v>105</v>
      </c>
      <c r="Q87" t="s">
        <v>106</v>
      </c>
      <c r="R87" t="str">
        <f t="shared" si="3"/>
        <v>Ссылка на план</v>
      </c>
      <c r="S87" s="1">
        <v>43731.832627314812</v>
      </c>
      <c r="T87" s="1">
        <v>43731.832974537036</v>
      </c>
      <c r="U87" s="1">
        <v>43731.83353009259</v>
      </c>
      <c r="W87" s="1">
        <v>43731.833541666667</v>
      </c>
      <c r="X87" t="s">
        <v>107</v>
      </c>
      <c r="AA87" t="s">
        <v>837</v>
      </c>
      <c r="AB87" t="s">
        <v>838</v>
      </c>
      <c r="AC87" t="s">
        <v>839</v>
      </c>
      <c r="AD87" t="s">
        <v>840</v>
      </c>
      <c r="AE87" t="s">
        <v>841</v>
      </c>
      <c r="AF87" t="s">
        <v>842</v>
      </c>
      <c r="BF87" t="s">
        <v>843</v>
      </c>
      <c r="BG87" t="s">
        <v>844</v>
      </c>
      <c r="BH87" t="s">
        <v>114</v>
      </c>
      <c r="BI87" t="str">
        <f>HYPERLINK("https://d33htgqikc2pj4.cloudfront.net/4261ec34-76f3-4a43-858b-b3a6f2667a57.jpeg", "Владимир Чугунов: Ссылка на изображение")</f>
        <v>Владимир Чугунов: Ссылка на изображение</v>
      </c>
      <c r="BJ87" t="str">
        <f>HYPERLINK("https://d33htgqikc2pj4.cloudfront.net/707bdede-5942-4a13-90bd-d6acd97b24c5.jpeg", "Владимир Чугунов: Ссылка на изображение")</f>
        <v>Владимир Чугунов: Ссылка на изображение</v>
      </c>
      <c r="BK87" t="str">
        <f>HYPERLINK("https://d33htgqikc2pj4.cloudfront.net/12119128-10c1-45e2-8565-d41213738ec1.jpeg", "Владимир Чугунов: Ссылка на изображение")</f>
        <v>Владимир Чугунов: Ссылка на изображение</v>
      </c>
      <c r="BL87" t="s">
        <v>102</v>
      </c>
    </row>
    <row r="88" spans="1:66" ht="15" customHeight="1" x14ac:dyDescent="0.35">
      <c r="A88">
        <v>408</v>
      </c>
      <c r="B88" t="s">
        <v>845</v>
      </c>
      <c r="C88">
        <v>2</v>
      </c>
      <c r="D88" t="str">
        <f>VLOOKUP(source[[#This Row],[Приоритет]],тПриоритеты[],2,0)</f>
        <v>Значительное</v>
      </c>
      <c r="E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8" t="s">
        <v>96</v>
      </c>
      <c r="G88" t="s">
        <v>395</v>
      </c>
      <c r="H88" t="str">
        <f>VLOOKUP(source[[#This Row],[Отвественный]],тОтветственные[],2,0)</f>
        <v>Отв19</v>
      </c>
      <c r="I88" s="2">
        <v>43707</v>
      </c>
      <c r="J88" s="2">
        <v>43707</v>
      </c>
      <c r="K88" t="s">
        <v>104</v>
      </c>
      <c r="L88">
        <v>0</v>
      </c>
      <c r="M88">
        <v>0</v>
      </c>
      <c r="N88" t="s">
        <v>105</v>
      </c>
      <c r="Q88" t="s">
        <v>106</v>
      </c>
      <c r="R88" t="str">
        <f t="shared" si="3"/>
        <v>Ссылка на план</v>
      </c>
      <c r="S88" s="1">
        <v>43707.859189814815</v>
      </c>
      <c r="T88" s="1">
        <v>43707.859201388892</v>
      </c>
      <c r="U88" s="1">
        <v>43707.859907407408</v>
      </c>
      <c r="W88" s="1">
        <v>43707.859918981485</v>
      </c>
      <c r="X88" t="s">
        <v>107</v>
      </c>
      <c r="AA88" t="s">
        <v>846</v>
      </c>
      <c r="AB88" t="s">
        <v>847</v>
      </c>
      <c r="AC88" t="s">
        <v>848</v>
      </c>
      <c r="AD88" t="s">
        <v>849</v>
      </c>
      <c r="AE88" t="s">
        <v>850</v>
      </c>
      <c r="AF88" t="s">
        <v>851</v>
      </c>
      <c r="BF88" t="s">
        <v>114</v>
      </c>
      <c r="BG88" t="s">
        <v>852</v>
      </c>
      <c r="BH88" t="s">
        <v>853</v>
      </c>
      <c r="BI88" t="str">
        <f>HYPERLINK("https://d33htgqikc2pj4.cloudfront.net/be9e6163-6899-4842-a46c-f0a5f1cc1992.jpeg", "Владимир Чугунов: Ссылка на изображение")</f>
        <v>Владимир Чугунов: Ссылка на изображение</v>
      </c>
      <c r="BJ88" t="str">
        <f>HYPERLINK("https://d33htgqikc2pj4.cloudfront.net/15fc116a-656c-48ce-a759-b6758181554e.jpeg", "Владимир Чугунов: Ссылка на изображение")</f>
        <v>Владимир Чугунов: Ссылка на изображение</v>
      </c>
      <c r="BK88" t="str">
        <f>HYPERLINK("https://d33htgqikc2pj4.cloudfront.net/88eafd9d-60f2-4f87-93de-755e2ec73b44.jpeg", "Владимир Чугунов: Ссылка на изображение")</f>
        <v>Владимир Чугунов: Ссылка на изображение</v>
      </c>
      <c r="BL88" t="s">
        <v>102</v>
      </c>
    </row>
    <row r="89" spans="1:66" ht="15" customHeight="1" x14ac:dyDescent="0.35">
      <c r="A89">
        <v>797</v>
      </c>
      <c r="B89" t="s">
        <v>428</v>
      </c>
      <c r="C89">
        <v>2</v>
      </c>
      <c r="D89" t="str">
        <f>VLOOKUP(source[[#This Row],[Приоритет]],тПриоритеты[],2,0)</f>
        <v>Значительное</v>
      </c>
      <c r="E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89" t="s">
        <v>96</v>
      </c>
      <c r="G89" t="s">
        <v>395</v>
      </c>
      <c r="H89" t="str">
        <f>VLOOKUP(source[[#This Row],[Отвественный]],тОтветственные[],2,0)</f>
        <v>Отв19</v>
      </c>
      <c r="I89" s="2">
        <v>43819</v>
      </c>
      <c r="J89" s="2">
        <v>43819</v>
      </c>
      <c r="K89" t="s">
        <v>104</v>
      </c>
      <c r="L89">
        <v>0</v>
      </c>
      <c r="M89">
        <v>0</v>
      </c>
      <c r="N89" t="s">
        <v>396</v>
      </c>
      <c r="Q89" t="s">
        <v>106</v>
      </c>
      <c r="R89" t="str">
        <f t="shared" si="3"/>
        <v>Ссылка на план</v>
      </c>
      <c r="S89" s="1">
        <v>43819.906342592592</v>
      </c>
      <c r="T89" s="1">
        <v>43819.650219907409</v>
      </c>
      <c r="U89" s="1">
        <v>43819.65079861111</v>
      </c>
      <c r="W89" s="1">
        <v>43819.906793981485</v>
      </c>
      <c r="X89" t="s">
        <v>107</v>
      </c>
      <c r="AA89" t="s">
        <v>854</v>
      </c>
      <c r="AB89" t="s">
        <v>855</v>
      </c>
      <c r="AC89" t="s">
        <v>856</v>
      </c>
      <c r="AD89" t="s">
        <v>857</v>
      </c>
      <c r="AE89" t="s">
        <v>858</v>
      </c>
      <c r="AF89" t="s">
        <v>859</v>
      </c>
      <c r="BF89" t="s">
        <v>436</v>
      </c>
      <c r="BG89" t="s">
        <v>114</v>
      </c>
      <c r="BH89" t="s">
        <v>860</v>
      </c>
      <c r="BI89" t="str">
        <f>HYPERLINK("https://d33htgqikc2pj4.cloudfront.net/778734d0-e049-4f9a-9cf9-9fb8607761b0.jpeg", "Владимир Чугунов: Ссылка на изображение")</f>
        <v>Владимир Чугунов: Ссылка на изображение</v>
      </c>
      <c r="BJ89" t="str">
        <f>HYPERLINK("https://d33htgqikc2pj4.cloudfront.net/78d7c0a9-5245-4b6b-b078-2c73b2345430.jpeg", "Владимир Чугунов: Ссылка на изображение")</f>
        <v>Владимир Чугунов: Ссылка на изображение</v>
      </c>
      <c r="BK89" t="str">
        <f>HYPERLINK("https://d33htgqikc2pj4.cloudfront.net/290a2d94-9b9b-4067-b6a0-498ac2e5f467.jpeg", "Владимир Чугунов: Ссылка на изображение")</f>
        <v>Владимир Чугунов: Ссылка на изображение</v>
      </c>
      <c r="BL89" t="str">
        <f>HYPERLINK("https://d33htgqikc2pj4.cloudfront.net/ed6e95ba-7509-4111-9a3e-64e84a36fee3.jpeg", "Владимир Чугунов: Ссылка на изображение")</f>
        <v>Владимир Чугунов: Ссылка на изображение</v>
      </c>
      <c r="BM89" t="s">
        <v>102</v>
      </c>
    </row>
    <row r="90" spans="1:66" ht="15" customHeight="1" x14ac:dyDescent="0.35">
      <c r="A90">
        <v>532</v>
      </c>
      <c r="B90" t="s">
        <v>861</v>
      </c>
      <c r="C90">
        <v>2</v>
      </c>
      <c r="D90" t="str">
        <f>VLOOKUP(source[[#This Row],[Приоритет]],тПриоритеты[],2,0)</f>
        <v>Значительное</v>
      </c>
      <c r="E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0" t="s">
        <v>96</v>
      </c>
      <c r="G90" t="s">
        <v>395</v>
      </c>
      <c r="H90" t="str">
        <f>VLOOKUP(source[[#This Row],[Отвественный]],тОтветственные[],2,0)</f>
        <v>Отв19</v>
      </c>
      <c r="I90" s="2">
        <v>43732</v>
      </c>
      <c r="J90" s="2">
        <v>43732</v>
      </c>
      <c r="K90" t="s">
        <v>104</v>
      </c>
      <c r="L90">
        <v>13.71</v>
      </c>
      <c r="M90">
        <v>27.38</v>
      </c>
      <c r="N90" t="s">
        <v>105</v>
      </c>
      <c r="Q90" t="s">
        <v>106</v>
      </c>
      <c r="R90" t="str">
        <f t="shared" si="3"/>
        <v>Ссылка на план</v>
      </c>
      <c r="S90" s="1">
        <v>43732.852256944447</v>
      </c>
      <c r="T90" s="1">
        <v>43732.852303240739</v>
      </c>
      <c r="U90" s="1">
        <v>43732.854201388887</v>
      </c>
      <c r="W90" s="1">
        <v>43732.854201388887</v>
      </c>
      <c r="X90" t="s">
        <v>107</v>
      </c>
      <c r="AA90" t="s">
        <v>862</v>
      </c>
      <c r="AB90" t="s">
        <v>863</v>
      </c>
      <c r="AC90" t="s">
        <v>864</v>
      </c>
      <c r="AD90" t="s">
        <v>865</v>
      </c>
      <c r="AE90" t="s">
        <v>866</v>
      </c>
      <c r="AF90" t="s">
        <v>867</v>
      </c>
      <c r="BF90" t="s">
        <v>114</v>
      </c>
      <c r="BG90" t="s">
        <v>868</v>
      </c>
      <c r="BH90" t="s">
        <v>869</v>
      </c>
      <c r="BI90" t="s">
        <v>441</v>
      </c>
      <c r="BJ90" t="s">
        <v>870</v>
      </c>
      <c r="BK90" t="str">
        <f>HYPERLINK("https://d33htgqikc2pj4.cloudfront.net/256d1f74-bdd1-45c5-981b-b64aae159e51.jpeg", "Владимир Чугунов: Ссылка на изображение")</f>
        <v>Владимир Чугунов: Ссылка на изображение</v>
      </c>
      <c r="BL90" t="str">
        <f>HYPERLINK("https://d33htgqikc2pj4.cloudfront.net/1e647413-96e1-4729-92c6-867c428b0434.jpeg", "Владимир Чугунов: Ссылка на изображение")</f>
        <v>Владимир Чугунов: Ссылка на изображение</v>
      </c>
      <c r="BM90" t="s">
        <v>102</v>
      </c>
    </row>
    <row r="91" spans="1:66" ht="15" customHeight="1" x14ac:dyDescent="0.35">
      <c r="A91">
        <v>536</v>
      </c>
      <c r="B91" t="s">
        <v>871</v>
      </c>
      <c r="C91">
        <v>2</v>
      </c>
      <c r="D91" t="str">
        <f>VLOOKUP(source[[#This Row],[Приоритет]],тПриоритеты[],2,0)</f>
        <v>Значительное</v>
      </c>
      <c r="E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1" t="s">
        <v>96</v>
      </c>
      <c r="G91" t="s">
        <v>395</v>
      </c>
      <c r="H91" t="str">
        <f>VLOOKUP(source[[#This Row],[Отвественный]],тОтветственные[],2,0)</f>
        <v>Отв19</v>
      </c>
      <c r="I91" s="2">
        <v>43734</v>
      </c>
      <c r="J91" s="2">
        <v>43734</v>
      </c>
      <c r="K91" t="s">
        <v>104</v>
      </c>
      <c r="L91">
        <v>0</v>
      </c>
      <c r="M91">
        <v>0</v>
      </c>
      <c r="N91" t="s">
        <v>105</v>
      </c>
      <c r="Q91" t="s">
        <v>106</v>
      </c>
      <c r="R91" t="str">
        <f t="shared" si="3"/>
        <v>Ссылка на план</v>
      </c>
      <c r="S91" s="1">
        <v>43734.550729166665</v>
      </c>
      <c r="T91" s="1">
        <v>43734.550706018519</v>
      </c>
      <c r="U91" s="1">
        <v>43734.553668981483</v>
      </c>
      <c r="W91" s="1">
        <v>43734.553668981483</v>
      </c>
      <c r="X91" t="s">
        <v>107</v>
      </c>
      <c r="AA91" t="s">
        <v>872</v>
      </c>
      <c r="AB91" t="s">
        <v>873</v>
      </c>
      <c r="AC91" t="s">
        <v>874</v>
      </c>
      <c r="AD91" t="s">
        <v>875</v>
      </c>
      <c r="AE91" t="s">
        <v>876</v>
      </c>
      <c r="AF91" t="s">
        <v>877</v>
      </c>
      <c r="BF91" t="s">
        <v>114</v>
      </c>
      <c r="BG91" t="s">
        <v>878</v>
      </c>
      <c r="BH91" t="s">
        <v>879</v>
      </c>
      <c r="BI91" t="s">
        <v>127</v>
      </c>
      <c r="BJ91" t="s">
        <v>127</v>
      </c>
      <c r="BK91" t="str">
        <f>HYPERLINK("https://d33htgqikc2pj4.cloudfront.net/91a6e532-01d0-409a-bfdc-c46f8e28bc48.jpeg", "Владимир Чугунов: Ссылка на изображение")</f>
        <v>Владимир Чугунов: Ссылка на изображение</v>
      </c>
      <c r="BL91" t="str">
        <f>HYPERLINK("https://d33htgqikc2pj4.cloudfront.net/3c20d91e-3995-489d-a4d7-2aceca4964b6.jpeg", "Владимир Чугунов: Ссылка на изображение")</f>
        <v>Владимир Чугунов: Ссылка на изображение</v>
      </c>
      <c r="BM91" t="str">
        <f>HYPERLINK("https://d33htgqikc2pj4.cloudfront.net/692b551d-641b-4c8e-9bb2-81462034a60f.jpeg", "Владимир Чугунов: Ссылка на изображение")</f>
        <v>Владимир Чугунов: Ссылка на изображение</v>
      </c>
      <c r="BN91" t="s">
        <v>102</v>
      </c>
    </row>
    <row r="92" spans="1:66" ht="15" customHeight="1" x14ac:dyDescent="0.35">
      <c r="A92">
        <v>417</v>
      </c>
      <c r="B92" t="s">
        <v>880</v>
      </c>
      <c r="C92">
        <v>2</v>
      </c>
      <c r="D92" t="str">
        <f>VLOOKUP(source[[#This Row],[Приоритет]],тПриоритеты[],2,0)</f>
        <v>Значительное</v>
      </c>
      <c r="E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2" t="s">
        <v>96</v>
      </c>
      <c r="G92" t="s">
        <v>395</v>
      </c>
      <c r="H92" t="str">
        <f>VLOOKUP(source[[#This Row],[Отвественный]],тОтветственные[],2,0)</f>
        <v>Отв19</v>
      </c>
      <c r="I92" s="2">
        <v>43710</v>
      </c>
      <c r="J92" s="2">
        <v>43710</v>
      </c>
      <c r="K92" t="s">
        <v>104</v>
      </c>
      <c r="L92">
        <v>0</v>
      </c>
      <c r="M92">
        <v>0</v>
      </c>
      <c r="N92" t="s">
        <v>105</v>
      </c>
      <c r="Q92" t="s">
        <v>106</v>
      </c>
      <c r="R92" t="str">
        <f t="shared" si="3"/>
        <v>Ссылка на план</v>
      </c>
      <c r="S92" s="1">
        <v>43710.579988425925</v>
      </c>
      <c r="T92" s="1">
        <v>43710.580023148148</v>
      </c>
      <c r="U92" s="1">
        <v>43710.581099537034</v>
      </c>
      <c r="W92" s="1">
        <v>43710.581111111111</v>
      </c>
      <c r="X92" t="s">
        <v>107</v>
      </c>
      <c r="AA92" t="s">
        <v>881</v>
      </c>
      <c r="AB92" t="s">
        <v>882</v>
      </c>
      <c r="AC92" t="s">
        <v>883</v>
      </c>
      <c r="AD92" t="s">
        <v>884</v>
      </c>
      <c r="AE92" t="s">
        <v>885</v>
      </c>
      <c r="AF92" t="s">
        <v>886</v>
      </c>
      <c r="BF92" t="s">
        <v>114</v>
      </c>
      <c r="BG92" t="s">
        <v>887</v>
      </c>
      <c r="BH92" t="s">
        <v>888</v>
      </c>
      <c r="BI92" t="str">
        <f>HYPERLINK("https://d33htgqikc2pj4.cloudfront.net/45d1f55a-a2de-413e-b931-a8c6dcade209.jpeg", "Владимир Чугунов: Ссылка на изображение")</f>
        <v>Владимир Чугунов: Ссылка на изображение</v>
      </c>
      <c r="BJ92" t="str">
        <f>HYPERLINK("https://d33htgqikc2pj4.cloudfront.net/06cf9623-0973-47f4-92af-df2576c04b7e.jpeg", "Владимир Чугунов: Ссылка на изображение")</f>
        <v>Владимир Чугунов: Ссылка на изображение</v>
      </c>
      <c r="BK92" t="s">
        <v>102</v>
      </c>
      <c r="BL92" t="str">
        <f>HYPERLINK("https://d33htgqikc2pj4.cloudfront.net/92cd21d2-7fb6-4110-981e-afc08100194a.jpeg", "Владимир Чугунов: Ссылка на изображение")</f>
        <v>Владимир Чугунов: Ссылка на изображение</v>
      </c>
    </row>
    <row r="93" spans="1:66" ht="15" customHeight="1" x14ac:dyDescent="0.35">
      <c r="A93">
        <v>535</v>
      </c>
      <c r="B93" t="s">
        <v>889</v>
      </c>
      <c r="C93">
        <v>2</v>
      </c>
      <c r="D93" t="str">
        <f>VLOOKUP(source[[#This Row],[Приоритет]],тПриоритеты[],2,0)</f>
        <v>Значительное</v>
      </c>
      <c r="E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3" t="s">
        <v>96</v>
      </c>
      <c r="G93" t="s">
        <v>395</v>
      </c>
      <c r="H93" t="str">
        <f>VLOOKUP(source[[#This Row],[Отвественный]],тОтветственные[],2,0)</f>
        <v>Отв19</v>
      </c>
      <c r="I93" s="2">
        <v>43733</v>
      </c>
      <c r="J93" s="2">
        <v>43733</v>
      </c>
      <c r="K93" t="s">
        <v>104</v>
      </c>
      <c r="L93">
        <v>0</v>
      </c>
      <c r="M93">
        <v>0</v>
      </c>
      <c r="N93" t="s">
        <v>105</v>
      </c>
      <c r="Q93" t="s">
        <v>106</v>
      </c>
      <c r="R93" t="str">
        <f t="shared" si="3"/>
        <v>Ссылка на план</v>
      </c>
      <c r="S93" s="1">
        <v>43733.854456018518</v>
      </c>
      <c r="T93" s="1">
        <v>43733.854722222219</v>
      </c>
      <c r="U93" s="1">
        <v>43733.855173611111</v>
      </c>
      <c r="W93" s="1">
        <v>43733.855196759258</v>
      </c>
      <c r="X93" t="s">
        <v>107</v>
      </c>
      <c r="AA93" t="s">
        <v>890</v>
      </c>
      <c r="AB93" t="s">
        <v>891</v>
      </c>
      <c r="AC93" t="s">
        <v>892</v>
      </c>
      <c r="AD93" t="s">
        <v>893</v>
      </c>
      <c r="AE93" t="s">
        <v>894</v>
      </c>
      <c r="AF93" t="s">
        <v>895</v>
      </c>
      <c r="BF93" t="s">
        <v>896</v>
      </c>
      <c r="BG93" t="s">
        <v>897</v>
      </c>
      <c r="BH93" t="s">
        <v>114</v>
      </c>
      <c r="BI93" t="str">
        <f>HYPERLINK("https://d33htgqikc2pj4.cloudfront.net/7be51d8f-48c5-47d5-af0e-2a38c3d4000b.jpeg", "Владимир Чугунов: Ссылка на изображение")</f>
        <v>Владимир Чугунов: Ссылка на изображение</v>
      </c>
      <c r="BJ93" t="str">
        <f>HYPERLINK("https://d33htgqikc2pj4.cloudfront.net/4b3e81b2-a3c1-47b3-bfae-dde64f105a3d.jpeg", "Владимир Чугунов: Ссылка на изображение")</f>
        <v>Владимир Чугунов: Ссылка на изображение</v>
      </c>
      <c r="BK93" t="s">
        <v>102</v>
      </c>
    </row>
    <row r="94" spans="1:66" ht="15" customHeight="1" x14ac:dyDescent="0.35">
      <c r="A94">
        <v>427</v>
      </c>
      <c r="B94" t="s">
        <v>898</v>
      </c>
      <c r="C94">
        <v>2</v>
      </c>
      <c r="D94" t="str">
        <f>VLOOKUP(source[[#This Row],[Приоритет]],тПриоритеты[],2,0)</f>
        <v>Значительное</v>
      </c>
      <c r="E9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4" t="s">
        <v>96</v>
      </c>
      <c r="G94" t="s">
        <v>395</v>
      </c>
      <c r="H94" t="str">
        <f>VLOOKUP(source[[#This Row],[Отвественный]],тОтветственные[],2,0)</f>
        <v>Отв19</v>
      </c>
      <c r="I94" s="2">
        <v>43711</v>
      </c>
      <c r="J94" s="2">
        <v>43711</v>
      </c>
      <c r="K94" t="s">
        <v>104</v>
      </c>
      <c r="L94">
        <v>0</v>
      </c>
      <c r="M94">
        <v>0</v>
      </c>
      <c r="N94" t="s">
        <v>105</v>
      </c>
      <c r="Q94" t="s">
        <v>106</v>
      </c>
      <c r="R94" t="str">
        <f t="shared" si="3"/>
        <v>Ссылка на план</v>
      </c>
      <c r="S94" s="1">
        <v>43711.929039351853</v>
      </c>
      <c r="T94" s="1">
        <v>43711.929409722223</v>
      </c>
      <c r="U94" s="1">
        <v>43711.929976851854</v>
      </c>
      <c r="W94" s="1">
        <v>43711.930011574077</v>
      </c>
      <c r="X94" t="s">
        <v>107</v>
      </c>
      <c r="AA94" t="s">
        <v>899</v>
      </c>
      <c r="AB94" t="s">
        <v>900</v>
      </c>
      <c r="AC94" t="s">
        <v>901</v>
      </c>
      <c r="AD94" t="s">
        <v>902</v>
      </c>
      <c r="AE94" t="s">
        <v>903</v>
      </c>
      <c r="AF94" t="s">
        <v>904</v>
      </c>
      <c r="BF94" t="s">
        <v>905</v>
      </c>
      <c r="BG94" t="s">
        <v>114</v>
      </c>
      <c r="BH94" t="s">
        <v>906</v>
      </c>
      <c r="BI94" t="str">
        <f>HYPERLINK("https://d33htgqikc2pj4.cloudfront.net/61c484b6-b4a7-4e02-a374-4f6108f7c3d8.jpeg", "Владимир Чугунов: Ссылка на изображение")</f>
        <v>Владимир Чугунов: Ссылка на изображение</v>
      </c>
      <c r="BJ94" t="str">
        <f>HYPERLINK("https://d33htgqikc2pj4.cloudfront.net/772206f3-c570-4786-955a-cf6af5e355e6.jpeg", "Владимир Чугунов: Ссылка на изображение")</f>
        <v>Владимир Чугунов: Ссылка на изображение</v>
      </c>
      <c r="BK94" t="str">
        <f>HYPERLINK("https://d33htgqikc2pj4.cloudfront.net/8312f4c0-bf16-4215-8568-b7ed16b326cf.jpeg", "Владимир Чугунов: Ссылка на изображение")</f>
        <v>Владимир Чугунов: Ссылка на изображение</v>
      </c>
      <c r="BL94" t="s">
        <v>102</v>
      </c>
    </row>
    <row r="95" spans="1:66" ht="15" customHeight="1" x14ac:dyDescent="0.35">
      <c r="A95">
        <v>542</v>
      </c>
      <c r="B95" t="s">
        <v>907</v>
      </c>
      <c r="C95">
        <v>2</v>
      </c>
      <c r="D95" t="str">
        <f>VLOOKUP(source[[#This Row],[Приоритет]],тПриоритеты[],2,0)</f>
        <v>Значительное</v>
      </c>
      <c r="E9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5" t="s">
        <v>96</v>
      </c>
      <c r="G95" t="s">
        <v>395</v>
      </c>
      <c r="H95" t="str">
        <f>VLOOKUP(source[[#This Row],[Отвественный]],тОтветственные[],2,0)</f>
        <v>Отв19</v>
      </c>
      <c r="I95" s="2">
        <v>43734</v>
      </c>
      <c r="J95" s="2">
        <v>43734</v>
      </c>
      <c r="K95" t="s">
        <v>104</v>
      </c>
      <c r="L95">
        <v>0</v>
      </c>
      <c r="M95">
        <v>0</v>
      </c>
      <c r="N95" t="s">
        <v>105</v>
      </c>
      <c r="Q95" t="s">
        <v>106</v>
      </c>
      <c r="R95" t="str">
        <f t="shared" si="3"/>
        <v>Ссылка на план</v>
      </c>
      <c r="S95" s="1">
        <v>43734.937824074077</v>
      </c>
      <c r="T95" s="1">
        <v>43734.93787037037</v>
      </c>
      <c r="U95" s="1">
        <v>43734.94021990741</v>
      </c>
      <c r="W95" s="1">
        <v>43734.94021990741</v>
      </c>
      <c r="X95" t="s">
        <v>107</v>
      </c>
      <c r="AA95" t="s">
        <v>872</v>
      </c>
      <c r="AB95" t="s">
        <v>873</v>
      </c>
      <c r="AC95" t="s">
        <v>874</v>
      </c>
      <c r="AD95" t="s">
        <v>875</v>
      </c>
      <c r="AE95" t="s">
        <v>876</v>
      </c>
      <c r="AF95" t="s">
        <v>877</v>
      </c>
      <c r="BF95" t="s">
        <v>114</v>
      </c>
      <c r="BG95" t="s">
        <v>908</v>
      </c>
      <c r="BH95" t="s">
        <v>879</v>
      </c>
      <c r="BI95" t="str">
        <f>HYPERLINK("https://d33htgqikc2pj4.cloudfront.net/36e40b5d-eac9-48cf-a7c2-fe6416096fa1.jpeg", "Владимир Чугунов: Ссылка на изображение")</f>
        <v>Владимир Чугунов: Ссылка на изображение</v>
      </c>
      <c r="BJ95" t="str">
        <f>HYPERLINK("https://d33htgqikc2pj4.cloudfront.net/953cd75e-1c30-4235-856b-5c1139084978.jpeg", "Владимир Чугунов: Ссылка на изображение")</f>
        <v>Владимир Чугунов: Ссылка на изображение</v>
      </c>
      <c r="BK95" t="s">
        <v>102</v>
      </c>
    </row>
    <row r="96" spans="1:66" ht="15" customHeight="1" x14ac:dyDescent="0.35">
      <c r="A96">
        <v>429</v>
      </c>
      <c r="B96" t="s">
        <v>909</v>
      </c>
      <c r="C96">
        <v>2</v>
      </c>
      <c r="D96" t="str">
        <f>VLOOKUP(source[[#This Row],[Приоритет]],тПриоритеты[],2,0)</f>
        <v>Значительное</v>
      </c>
      <c r="E9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6" t="s">
        <v>96</v>
      </c>
      <c r="G96" t="s">
        <v>395</v>
      </c>
      <c r="H96" t="str">
        <f>VLOOKUP(source[[#This Row],[Отвественный]],тОтветственные[],2,0)</f>
        <v>Отв19</v>
      </c>
      <c r="I96" s="2">
        <v>43712</v>
      </c>
      <c r="J96" s="2">
        <v>43712</v>
      </c>
      <c r="K96" t="s">
        <v>104</v>
      </c>
      <c r="L96">
        <v>0</v>
      </c>
      <c r="M96">
        <v>0</v>
      </c>
      <c r="N96" t="s">
        <v>105</v>
      </c>
      <c r="Q96" t="s">
        <v>106</v>
      </c>
      <c r="R96" t="str">
        <f t="shared" si="3"/>
        <v>Ссылка на план</v>
      </c>
      <c r="S96" s="1">
        <v>43712.542407407411</v>
      </c>
      <c r="T96" s="1">
        <v>43712.542430555557</v>
      </c>
      <c r="U96" s="1">
        <v>43712.54347222222</v>
      </c>
      <c r="W96" s="1">
        <v>43712.54351851852</v>
      </c>
      <c r="X96" t="s">
        <v>107</v>
      </c>
      <c r="AA96" t="s">
        <v>910</v>
      </c>
      <c r="AB96" t="s">
        <v>911</v>
      </c>
      <c r="AC96" t="s">
        <v>912</v>
      </c>
      <c r="AD96" t="s">
        <v>913</v>
      </c>
      <c r="AE96" t="s">
        <v>914</v>
      </c>
      <c r="AF96" t="s">
        <v>915</v>
      </c>
      <c r="BF96" t="s">
        <v>114</v>
      </c>
      <c r="BG96" t="s">
        <v>916</v>
      </c>
      <c r="BH96" t="s">
        <v>917</v>
      </c>
      <c r="BI96" t="str">
        <f>HYPERLINK("https://d33htgqikc2pj4.cloudfront.net/a3c6a128-2b5d-46df-bc5b-0f40230c06f6.jpeg", "Владимир Чугунов: Ссылка на изображение")</f>
        <v>Владимир Чугунов: Ссылка на изображение</v>
      </c>
      <c r="BJ96" t="str">
        <f>HYPERLINK("https://d33htgqikc2pj4.cloudfront.net/4744f263-fcfc-4d74-a4d4-92c8bff120f6.jpeg", "Владимир Чугунов: Ссылка на изображение")</f>
        <v>Владимир Чугунов: Ссылка на изображение</v>
      </c>
      <c r="BK96" t="s">
        <v>102</v>
      </c>
    </row>
    <row r="97" spans="1:65" ht="15" customHeight="1" x14ac:dyDescent="0.35">
      <c r="A97">
        <v>555</v>
      </c>
      <c r="B97" t="s">
        <v>918</v>
      </c>
      <c r="C97">
        <v>2</v>
      </c>
      <c r="D97" t="str">
        <f>VLOOKUP(source[[#This Row],[Приоритет]],тПриоритеты[],2,0)</f>
        <v>Значительное</v>
      </c>
      <c r="E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7" t="s">
        <v>96</v>
      </c>
      <c r="G97" t="s">
        <v>395</v>
      </c>
      <c r="H97" t="str">
        <f>VLOOKUP(source[[#This Row],[Отвественный]],тОтветственные[],2,0)</f>
        <v>Отв19</v>
      </c>
      <c r="I97" s="2">
        <v>43737</v>
      </c>
      <c r="J97" s="2">
        <v>43737</v>
      </c>
      <c r="K97" t="s">
        <v>104</v>
      </c>
      <c r="L97">
        <v>0</v>
      </c>
      <c r="M97">
        <v>0</v>
      </c>
      <c r="N97" t="s">
        <v>105</v>
      </c>
      <c r="Q97" t="s">
        <v>106</v>
      </c>
      <c r="R97" t="str">
        <f t="shared" si="3"/>
        <v>Ссылка на план</v>
      </c>
      <c r="S97" s="1">
        <v>43737.854421296295</v>
      </c>
      <c r="T97" s="1">
        <v>43737.854444444441</v>
      </c>
      <c r="U97" s="1">
        <v>43737.855416666665</v>
      </c>
      <c r="W97" s="1">
        <v>43737.855428240742</v>
      </c>
      <c r="X97" t="s">
        <v>107</v>
      </c>
      <c r="AA97" t="s">
        <v>919</v>
      </c>
      <c r="AB97" t="s">
        <v>920</v>
      </c>
      <c r="AC97" t="s">
        <v>921</v>
      </c>
      <c r="AD97" t="s">
        <v>922</v>
      </c>
      <c r="AE97" t="s">
        <v>923</v>
      </c>
      <c r="AF97" t="s">
        <v>924</v>
      </c>
      <c r="BF97" t="s">
        <v>114</v>
      </c>
      <c r="BG97" t="s">
        <v>441</v>
      </c>
      <c r="BH97" t="s">
        <v>925</v>
      </c>
      <c r="BI97" t="s">
        <v>926</v>
      </c>
      <c r="BJ97" t="str">
        <f>HYPERLINK("https://d33htgqikc2pj4.cloudfront.net/736df388-20a5-4e34-9999-7d8676b344d4.jpeg", "Владимир Чугунов: Ссылка на изображение")</f>
        <v>Владимир Чугунов: Ссылка на изображение</v>
      </c>
      <c r="BK97" t="str">
        <f>HYPERLINK("https://d33htgqikc2pj4.cloudfront.net/3b8c647f-47bf-498b-a07d-d018be70b61b.jpeg", "Владимир Чугунов: Ссылка на изображение")</f>
        <v>Владимир Чугунов: Ссылка на изображение</v>
      </c>
      <c r="BL97" t="s">
        <v>102</v>
      </c>
    </row>
    <row r="98" spans="1:65" ht="15" customHeight="1" x14ac:dyDescent="0.35">
      <c r="A98">
        <v>448</v>
      </c>
      <c r="B98" t="s">
        <v>927</v>
      </c>
      <c r="C98">
        <v>2</v>
      </c>
      <c r="D98" t="str">
        <f>VLOOKUP(source[[#This Row],[Приоритет]],тПриоритеты[],2,0)</f>
        <v>Значительное</v>
      </c>
      <c r="E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8" t="s">
        <v>96</v>
      </c>
      <c r="G98" t="s">
        <v>395</v>
      </c>
      <c r="H98" t="str">
        <f>VLOOKUP(source[[#This Row],[Отвественный]],тОтветственные[],2,0)</f>
        <v>Отв19</v>
      </c>
      <c r="I98" s="2">
        <v>43715</v>
      </c>
      <c r="J98" s="2">
        <v>43715</v>
      </c>
      <c r="K98" t="s">
        <v>104</v>
      </c>
      <c r="L98">
        <v>0</v>
      </c>
      <c r="M98">
        <v>0</v>
      </c>
      <c r="N98" t="s">
        <v>105</v>
      </c>
      <c r="Q98" t="s">
        <v>106</v>
      </c>
      <c r="R98" t="str">
        <f t="shared" si="3"/>
        <v>Ссылка на план</v>
      </c>
      <c r="S98" s="1">
        <v>43715.746192129627</v>
      </c>
      <c r="T98" s="1">
        <v>43715.74622685185</v>
      </c>
      <c r="U98" s="1">
        <v>43715.776504629626</v>
      </c>
      <c r="W98" s="1">
        <v>43715.776516203703</v>
      </c>
      <c r="X98" t="s">
        <v>107</v>
      </c>
      <c r="AA98" t="s">
        <v>928</v>
      </c>
      <c r="AB98" t="s">
        <v>929</v>
      </c>
      <c r="AC98" t="s">
        <v>930</v>
      </c>
      <c r="AD98" t="s">
        <v>931</v>
      </c>
      <c r="AE98" t="s">
        <v>932</v>
      </c>
      <c r="AF98" t="s">
        <v>933</v>
      </c>
      <c r="BF98" t="s">
        <v>114</v>
      </c>
      <c r="BG98" t="s">
        <v>934</v>
      </c>
      <c r="BH98" t="s">
        <v>935</v>
      </c>
      <c r="BI98" t="str">
        <f>HYPERLINK("https://d33htgqikc2pj4.cloudfront.net/06afdd26-2737-4f03-a1f0-751847242c6e.jpeg", "Владимир Чугунов: Ссылка на изображение")</f>
        <v>Владимир Чугунов: Ссылка на изображение</v>
      </c>
      <c r="BJ98" t="str">
        <f>HYPERLINK("https://d33htgqikc2pj4.cloudfront.net/d18f1090-35bc-47b6-98fc-fdba16f3c1f2.jpeg", "Владимир Чугунов: Ссылка на изображение")</f>
        <v>Владимир Чугунов: Ссылка на изображение</v>
      </c>
      <c r="BK98" t="s">
        <v>102</v>
      </c>
    </row>
    <row r="99" spans="1:65" ht="15" customHeight="1" x14ac:dyDescent="0.35">
      <c r="A99">
        <v>558</v>
      </c>
      <c r="B99" t="s">
        <v>936</v>
      </c>
      <c r="C99">
        <v>2</v>
      </c>
      <c r="D99" t="str">
        <f>VLOOKUP(source[[#This Row],[Приоритет]],тПриоритеты[],2,0)</f>
        <v>Значительное</v>
      </c>
      <c r="E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99" t="s">
        <v>96</v>
      </c>
      <c r="G99" t="s">
        <v>395</v>
      </c>
      <c r="H99" t="str">
        <f>VLOOKUP(source[[#This Row],[Отвественный]],тОтветственные[],2,0)</f>
        <v>Отв19</v>
      </c>
      <c r="I99" s="2">
        <v>43738</v>
      </c>
      <c r="J99" s="2">
        <v>43738</v>
      </c>
      <c r="K99" t="s">
        <v>104</v>
      </c>
      <c r="L99">
        <v>0</v>
      </c>
      <c r="M99">
        <v>0</v>
      </c>
      <c r="N99" t="s">
        <v>105</v>
      </c>
      <c r="Q99" t="s">
        <v>106</v>
      </c>
      <c r="R99" t="str">
        <f t="shared" si="3"/>
        <v>Ссылка на план</v>
      </c>
      <c r="S99" s="1">
        <v>43738.723124999997</v>
      </c>
      <c r="T99" s="1">
        <v>43738.723425925928</v>
      </c>
      <c r="U99" s="1">
        <v>43738.724687499998</v>
      </c>
      <c r="W99" s="1">
        <v>43738.724699074075</v>
      </c>
      <c r="X99" t="s">
        <v>107</v>
      </c>
      <c r="AA99" t="s">
        <v>937</v>
      </c>
      <c r="AB99" t="s">
        <v>938</v>
      </c>
      <c r="AC99" t="s">
        <v>939</v>
      </c>
      <c r="AD99" t="s">
        <v>940</v>
      </c>
      <c r="AE99" t="s">
        <v>941</v>
      </c>
      <c r="AF99" t="s">
        <v>942</v>
      </c>
      <c r="BF99" t="s">
        <v>943</v>
      </c>
      <c r="BG99" t="s">
        <v>944</v>
      </c>
      <c r="BH99" t="s">
        <v>114</v>
      </c>
      <c r="BI99" t="str">
        <f>HYPERLINK("https://d33htgqikc2pj4.cloudfront.net/45ec20e0-a6f1-480d-a51a-8f2b7661889f.jpeg", "Владимир Чугунов: Ссылка на изображение")</f>
        <v>Владимир Чугунов: Ссылка на изображение</v>
      </c>
      <c r="BJ99" t="str">
        <f>HYPERLINK("https://d33htgqikc2pj4.cloudfront.net/d47c4e6b-c7cc-406e-ad35-6e75e9f3d5ce.jpeg", "Владимир Чугунов: Ссылка на изображение")</f>
        <v>Владимир Чугунов: Ссылка на изображение</v>
      </c>
      <c r="BK99" t="s">
        <v>102</v>
      </c>
    </row>
    <row r="100" spans="1:65" ht="15" customHeight="1" x14ac:dyDescent="0.35">
      <c r="A100">
        <v>452</v>
      </c>
      <c r="B100" t="s">
        <v>945</v>
      </c>
      <c r="C100">
        <v>2</v>
      </c>
      <c r="D100" t="str">
        <f>VLOOKUP(source[[#This Row],[Приоритет]],тПриоритеты[],2,0)</f>
        <v>Значительное</v>
      </c>
      <c r="E1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0" t="s">
        <v>96</v>
      </c>
      <c r="G100" t="s">
        <v>395</v>
      </c>
      <c r="H100" t="str">
        <f>VLOOKUP(source[[#This Row],[Отвественный]],тОтветственные[],2,0)</f>
        <v>Отв19</v>
      </c>
      <c r="I100" s="2">
        <v>43717</v>
      </c>
      <c r="J100" s="2">
        <v>43717</v>
      </c>
      <c r="K100" t="s">
        <v>104</v>
      </c>
      <c r="L100">
        <v>0</v>
      </c>
      <c r="M100">
        <v>0</v>
      </c>
      <c r="N100" t="s">
        <v>105</v>
      </c>
      <c r="Q100" t="s">
        <v>106</v>
      </c>
      <c r="R100" t="str">
        <f t="shared" si="3"/>
        <v>Ссылка на план</v>
      </c>
      <c r="S100" s="1">
        <v>43717.563935185186</v>
      </c>
      <c r="T100" s="1">
        <v>43717.563958333332</v>
      </c>
      <c r="U100" s="1">
        <v>43717.565023148149</v>
      </c>
      <c r="W100" s="1">
        <v>43717.565034722225</v>
      </c>
      <c r="X100" t="s">
        <v>107</v>
      </c>
      <c r="AA100" t="s">
        <v>946</v>
      </c>
      <c r="AB100" t="s">
        <v>947</v>
      </c>
      <c r="AC100" t="s">
        <v>948</v>
      </c>
      <c r="AD100" t="s">
        <v>949</v>
      </c>
      <c r="AE100" t="s">
        <v>950</v>
      </c>
      <c r="AF100" t="s">
        <v>951</v>
      </c>
      <c r="BF100" t="s">
        <v>114</v>
      </c>
      <c r="BG100" t="s">
        <v>952</v>
      </c>
      <c r="BH100" t="s">
        <v>953</v>
      </c>
      <c r="BI100" t="str">
        <f>HYPERLINK("https://d33htgqikc2pj4.cloudfront.net/2d04dfa7-ae9e-4fd2-96af-ef77a584b628.jpeg", "Владимир Чугунов: Ссылка на изображение")</f>
        <v>Владимир Чугунов: Ссылка на изображение</v>
      </c>
      <c r="BJ100" t="str">
        <f>HYPERLINK("https://d33htgqikc2pj4.cloudfront.net/33c9d341-2435-49ff-8a34-37bd7e07a88c.jpeg", "Владимир Чугунов: Ссылка на изображение")</f>
        <v>Владимир Чугунов: Ссылка на изображение</v>
      </c>
      <c r="BK100" t="str">
        <f>HYPERLINK("https://d33htgqikc2pj4.cloudfront.net/9135229c-56f1-4a14-9e61-e880166b379c.jpeg", "Владимир Чугунов: Ссылка на изображение")</f>
        <v>Владимир Чугунов: Ссылка на изображение</v>
      </c>
      <c r="BL100" t="s">
        <v>102</v>
      </c>
    </row>
    <row r="101" spans="1:65" ht="15" customHeight="1" x14ac:dyDescent="0.35">
      <c r="A101">
        <v>811</v>
      </c>
      <c r="B101" t="s">
        <v>954</v>
      </c>
      <c r="C101">
        <v>2</v>
      </c>
      <c r="D101" t="str">
        <f>VLOOKUP(source[[#This Row],[Приоритет]],тПриоритеты[],2,0)</f>
        <v>Значительное</v>
      </c>
      <c r="E1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1" t="s">
        <v>96</v>
      </c>
      <c r="G101" t="s">
        <v>395</v>
      </c>
      <c r="H101" t="str">
        <f>VLOOKUP(source[[#This Row],[Отвественный]],тОтветственные[],2,0)</f>
        <v>Отв19</v>
      </c>
      <c r="I101" s="2">
        <v>43821</v>
      </c>
      <c r="J101" s="2">
        <v>43821</v>
      </c>
      <c r="K101" t="s">
        <v>955</v>
      </c>
      <c r="L101">
        <v>0</v>
      </c>
      <c r="M101">
        <v>0</v>
      </c>
      <c r="N101" t="s">
        <v>338</v>
      </c>
      <c r="R101" t="str">
        <f>HYPERLINK("https://d28ji4sm1vmprj.cloudfront.net/7b317170271f5a7204d7ab299c9b70f6/7d105e941831ee74b817bf0b9136a752.jpeg", "Ссылка на план")</f>
        <v>Ссылка на план</v>
      </c>
      <c r="S101" s="1">
        <v>43821.667696759258</v>
      </c>
      <c r="T101" s="1">
        <v>43821.66847222222</v>
      </c>
      <c r="U101" s="1">
        <v>43821.668900462966</v>
      </c>
      <c r="W101" s="1">
        <v>43821.668912037036</v>
      </c>
      <c r="X101" t="s">
        <v>107</v>
      </c>
      <c r="AA101" t="s">
        <v>956</v>
      </c>
      <c r="AB101" t="s">
        <v>957</v>
      </c>
      <c r="AC101" t="s">
        <v>958</v>
      </c>
      <c r="AD101" t="s">
        <v>959</v>
      </c>
      <c r="AE101" t="s">
        <v>960</v>
      </c>
      <c r="AF101" t="s">
        <v>961</v>
      </c>
      <c r="BF101" t="s">
        <v>962</v>
      </c>
      <c r="BG101" t="s">
        <v>963</v>
      </c>
      <c r="BH101" t="s">
        <v>964</v>
      </c>
      <c r="BI101" t="s">
        <v>114</v>
      </c>
      <c r="BJ101" t="str">
        <f>HYPERLINK("https://d33htgqikc2pj4.cloudfront.net/78af968b-d623-437d-97eb-586b72d71f2f.jpeg", "Владимир Чугунов: Ссылка на изображение")</f>
        <v>Владимир Чугунов: Ссылка на изображение</v>
      </c>
      <c r="BK101" t="str">
        <f>HYPERLINK("https://d33htgqikc2pj4.cloudfront.net/f7e9775f-1483-464d-ae51-c9561341a9be.jpeg", "Владимир Чугунов: Ссылка на изображение")</f>
        <v>Владимир Чугунов: Ссылка на изображение</v>
      </c>
      <c r="BL101" t="str">
        <f>HYPERLINK("https://d33htgqikc2pj4.cloudfront.net/d56e634d-ea42-4be0-820f-3fb9e08376fb.jpeg", "Владимир Чугунов: Ссылка на изображение")</f>
        <v>Владимир Чугунов: Ссылка на изображение</v>
      </c>
      <c r="BM101" t="s">
        <v>102</v>
      </c>
    </row>
    <row r="102" spans="1:65" ht="15" customHeight="1" x14ac:dyDescent="0.35">
      <c r="A102">
        <v>560</v>
      </c>
      <c r="B102" t="s">
        <v>965</v>
      </c>
      <c r="C102">
        <v>2</v>
      </c>
      <c r="D102" t="str">
        <f>VLOOKUP(source[[#This Row],[Приоритет]],тПриоритеты[],2,0)</f>
        <v>Значительное</v>
      </c>
      <c r="E10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2" t="s">
        <v>96</v>
      </c>
      <c r="G102" t="s">
        <v>395</v>
      </c>
      <c r="H102" t="str">
        <f>VLOOKUP(source[[#This Row],[Отвественный]],тОтветственные[],2,0)</f>
        <v>Отв19</v>
      </c>
      <c r="I102" s="2">
        <v>43738</v>
      </c>
      <c r="J102" s="2">
        <v>43738</v>
      </c>
      <c r="K102" t="s">
        <v>104</v>
      </c>
      <c r="L102">
        <v>0</v>
      </c>
      <c r="M102">
        <v>0</v>
      </c>
      <c r="N102" t="s">
        <v>105</v>
      </c>
      <c r="Q102" t="s">
        <v>106</v>
      </c>
      <c r="R102" t="str">
        <f>HYPERLINK("https://d28ji4sm1vmprj.cloudfront.net/e7a526a7220c3bc5cfeeb407c455c0b3/580ffb055aff8ee0c88c6e676cfba776.jpeg", "Ссылка на план")</f>
        <v>Ссылка на план</v>
      </c>
      <c r="S102" s="1">
        <v>43739.609409722223</v>
      </c>
      <c r="T102" s="1">
        <v>43739.369722222225</v>
      </c>
      <c r="U102" s="1">
        <v>43739.370578703703</v>
      </c>
      <c r="W102" s="1">
        <v>43739.6094212963</v>
      </c>
      <c r="X102" t="s">
        <v>107</v>
      </c>
      <c r="AA102" t="s">
        <v>966</v>
      </c>
      <c r="AB102" t="s">
        <v>967</v>
      </c>
      <c r="AC102" t="s">
        <v>968</v>
      </c>
      <c r="AD102" t="s">
        <v>969</v>
      </c>
      <c r="AE102" t="s">
        <v>970</v>
      </c>
      <c r="AF102" t="s">
        <v>971</v>
      </c>
      <c r="BF102" t="s">
        <v>972</v>
      </c>
      <c r="BG102" t="s">
        <v>114</v>
      </c>
      <c r="BH102" t="s">
        <v>944</v>
      </c>
      <c r="BI102" t="str">
        <f>HYPERLINK("https://d33htgqikc2pj4.cloudfront.net/d054867e-86df-47d6-9637-62df6e521fd0.jpeg", "Владимир Чугунов: Ссылка на изображение")</f>
        <v>Владимир Чугунов: Ссылка на изображение</v>
      </c>
      <c r="BJ102" t="str">
        <f>HYPERLINK("https://d33htgqikc2pj4.cloudfront.net/bf217a0d-9cd6-4aa2-9c89-a826b3ef8c9f.jpeg", "Владимир Чугунов: Ссылка на изображение")</f>
        <v>Владимир Чугунов: Ссылка на изображение</v>
      </c>
      <c r="BK102" t="s">
        <v>102</v>
      </c>
    </row>
    <row r="103" spans="1:65" ht="15" customHeight="1" x14ac:dyDescent="0.35">
      <c r="A103">
        <v>457</v>
      </c>
      <c r="B103" t="s">
        <v>871</v>
      </c>
      <c r="C103">
        <v>2</v>
      </c>
      <c r="D103" t="str">
        <f>VLOOKUP(source[[#This Row],[Приоритет]],тПриоритеты[],2,0)</f>
        <v>Значительное</v>
      </c>
      <c r="E10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3" t="s">
        <v>96</v>
      </c>
      <c r="G103" t="s">
        <v>395</v>
      </c>
      <c r="H103" t="str">
        <f>VLOOKUP(source[[#This Row],[Отвественный]],тОтветственные[],2,0)</f>
        <v>Отв19</v>
      </c>
      <c r="I103" s="2">
        <v>43718</v>
      </c>
      <c r="J103" s="2">
        <v>43718</v>
      </c>
      <c r="K103" t="s">
        <v>104</v>
      </c>
      <c r="L103">
        <v>0</v>
      </c>
      <c r="M103">
        <v>0</v>
      </c>
      <c r="N103" t="s">
        <v>105</v>
      </c>
      <c r="Q103" t="s">
        <v>106</v>
      </c>
      <c r="R103" t="str">
        <f>HYPERLINK("https://d28ji4sm1vmprj.cloudfront.net/e7a526a7220c3bc5cfeeb407c455c0b3/580ffb055aff8ee0c88c6e676cfba776.jpeg", "Ссылка на план")</f>
        <v>Ссылка на план</v>
      </c>
      <c r="S103" s="1">
        <v>43718.630416666667</v>
      </c>
      <c r="T103" s="1">
        <v>43718.630428240744</v>
      </c>
      <c r="U103" s="1">
        <v>43718.63177083333</v>
      </c>
      <c r="W103" s="1">
        <v>43718.631782407407</v>
      </c>
      <c r="X103" t="s">
        <v>107</v>
      </c>
      <c r="AA103" t="s">
        <v>973</v>
      </c>
      <c r="AB103" t="s">
        <v>974</v>
      </c>
      <c r="AC103" t="s">
        <v>975</v>
      </c>
      <c r="AD103" t="s">
        <v>976</v>
      </c>
      <c r="AE103" t="s">
        <v>977</v>
      </c>
      <c r="AF103" t="s">
        <v>978</v>
      </c>
      <c r="BF103" t="s">
        <v>114</v>
      </c>
      <c r="BG103" t="s">
        <v>878</v>
      </c>
      <c r="BH103" t="s">
        <v>979</v>
      </c>
      <c r="BI103" t="str">
        <f>HYPERLINK("https://d33htgqikc2pj4.cloudfront.net/0eb00217-2c8f-434e-b575-cf145d4b2d9a.jpeg", "Владимир Чугунов: Ссылка на изображение")</f>
        <v>Владимир Чугунов: Ссылка на изображение</v>
      </c>
      <c r="BJ103" t="str">
        <f>HYPERLINK("https://d33htgqikc2pj4.cloudfront.net/12901704-1a3a-43bb-8a7b-9e39fb60d4b0.jpeg", "Владимир Чугунов: Ссылка на изображение")</f>
        <v>Владимир Чугунов: Ссылка на изображение</v>
      </c>
      <c r="BK103" t="str">
        <f>HYPERLINK("https://d33htgqikc2pj4.cloudfront.net/07d5ae8f-09f4-49cf-888b-17bc5bfeac09.jpeg", "Владимир Чугунов: Ссылка на изображение")</f>
        <v>Владимир Чугунов: Ссылка на изображение</v>
      </c>
      <c r="BL103" t="s">
        <v>102</v>
      </c>
    </row>
    <row r="104" spans="1:65" ht="15" customHeight="1" x14ac:dyDescent="0.35">
      <c r="A104">
        <v>564</v>
      </c>
      <c r="B104" t="s">
        <v>980</v>
      </c>
      <c r="C104">
        <v>2</v>
      </c>
      <c r="D104" t="str">
        <f>VLOOKUP(source[[#This Row],[Приоритет]],тПриоритеты[],2,0)</f>
        <v>Значительное</v>
      </c>
      <c r="E10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4" t="s">
        <v>96</v>
      </c>
      <c r="G104" t="s">
        <v>395</v>
      </c>
      <c r="H104" t="str">
        <f>VLOOKUP(source[[#This Row],[Отвественный]],тОтветственные[],2,0)</f>
        <v>Отв19</v>
      </c>
      <c r="I104" s="2">
        <v>43741</v>
      </c>
      <c r="J104" s="2">
        <v>43741</v>
      </c>
      <c r="K104" t="s">
        <v>104</v>
      </c>
      <c r="L104">
        <v>0</v>
      </c>
      <c r="M104">
        <v>0</v>
      </c>
      <c r="N104" t="s">
        <v>105</v>
      </c>
      <c r="Q104" t="s">
        <v>106</v>
      </c>
      <c r="R104" t="str">
        <f>HYPERLINK("https://d28ji4sm1vmprj.cloudfront.net/e7a526a7220c3bc5cfeeb407c455c0b3/580ffb055aff8ee0c88c6e676cfba776.jpeg", "Ссылка на план")</f>
        <v>Ссылка на план</v>
      </c>
      <c r="S104" s="1">
        <v>43741.451863425929</v>
      </c>
      <c r="T104" s="1">
        <v>43741.451886574076</v>
      </c>
      <c r="U104" s="1">
        <v>43741.452696759261</v>
      </c>
      <c r="W104" s="1">
        <v>43741.452708333331</v>
      </c>
      <c r="X104" t="s">
        <v>107</v>
      </c>
      <c r="AA104" t="s">
        <v>981</v>
      </c>
      <c r="AB104" t="s">
        <v>982</v>
      </c>
      <c r="AC104" t="s">
        <v>983</v>
      </c>
      <c r="AD104" t="s">
        <v>984</v>
      </c>
      <c r="AE104" t="s">
        <v>985</v>
      </c>
      <c r="AF104" t="s">
        <v>986</v>
      </c>
      <c r="BF104" t="s">
        <v>102</v>
      </c>
      <c r="BG104" t="s">
        <v>114</v>
      </c>
      <c r="BH104" t="s">
        <v>987</v>
      </c>
      <c r="BI104" t="s">
        <v>988</v>
      </c>
      <c r="BJ104" t="str">
        <f>HYPERLINK("https://d33htgqikc2pj4.cloudfront.net/84d92d3f-4d21-42d4-b59b-240db000c0ac.jpeg", "Владимир Чугунов: Ссылка на изображение")</f>
        <v>Владимир Чугунов: Ссылка на изображение</v>
      </c>
      <c r="BK104" t="str">
        <f>HYPERLINK("https://d33htgqikc2pj4.cloudfront.net/b664512d-3e00-40ea-a36c-0854f50a448a.jpeg", "Владимир Чугунов: Ссылка на изображение")</f>
        <v>Владимир Чугунов: Ссылка на изображение</v>
      </c>
      <c r="BL104" t="s">
        <v>102</v>
      </c>
    </row>
    <row r="105" spans="1:65" ht="15" customHeight="1" x14ac:dyDescent="0.35">
      <c r="A105">
        <v>573</v>
      </c>
      <c r="B105" t="s">
        <v>989</v>
      </c>
      <c r="C105">
        <v>2</v>
      </c>
      <c r="D105" t="str">
        <f>VLOOKUP(source[[#This Row],[Приоритет]],тПриоритеты[],2,0)</f>
        <v>Значительное</v>
      </c>
      <c r="E1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5" t="s">
        <v>96</v>
      </c>
      <c r="G105" t="s">
        <v>395</v>
      </c>
      <c r="H105" t="str">
        <f>VLOOKUP(source[[#This Row],[Отвественный]],тОтветственные[],2,0)</f>
        <v>Отв19</v>
      </c>
      <c r="I105" s="2">
        <v>43742</v>
      </c>
      <c r="J105" s="2">
        <v>43742</v>
      </c>
      <c r="K105" t="s">
        <v>104</v>
      </c>
      <c r="L105">
        <v>0</v>
      </c>
      <c r="M105">
        <v>0</v>
      </c>
      <c r="N105" t="s">
        <v>105</v>
      </c>
      <c r="Q105" t="s">
        <v>106</v>
      </c>
      <c r="R105" t="str">
        <f>HYPERLINK("https://d28ji4sm1vmprj.cloudfront.net/e7a526a7220c3bc5cfeeb407c455c0b3/580ffb055aff8ee0c88c6e676cfba776.jpeg", "Ссылка на план")</f>
        <v>Ссылка на план</v>
      </c>
      <c r="S105" s="1">
        <v>43742.67114583333</v>
      </c>
      <c r="T105" s="1">
        <v>43742.671168981484</v>
      </c>
      <c r="U105" s="1">
        <v>43742.673738425925</v>
      </c>
      <c r="W105" s="1">
        <v>43742.673750000002</v>
      </c>
      <c r="X105" t="s">
        <v>107</v>
      </c>
      <c r="AA105" t="s">
        <v>990</v>
      </c>
      <c r="AB105" t="s">
        <v>991</v>
      </c>
      <c r="AC105" t="s">
        <v>992</v>
      </c>
      <c r="AD105" t="s">
        <v>993</v>
      </c>
      <c r="AE105" t="s">
        <v>994</v>
      </c>
      <c r="AF105" t="s">
        <v>995</v>
      </c>
      <c r="BF105" t="s">
        <v>114</v>
      </c>
      <c r="BG105" t="s">
        <v>996</v>
      </c>
      <c r="BH105" t="s">
        <v>997</v>
      </c>
      <c r="BI105" t="str">
        <f>HYPERLINK("https://d33htgqikc2pj4.cloudfront.net/dab517df-c3ca-442f-924b-eeb0e954b330.jpeg", "Владимир Чугунов: Ссылка на изображение")</f>
        <v>Владимир Чугунов: Ссылка на изображение</v>
      </c>
      <c r="BJ105" t="str">
        <f>HYPERLINK("https://d33htgqikc2pj4.cloudfront.net/babeacef-40fe-4a4e-aac2-01906303873c.jpeg", "Владимир Чугунов: Ссылка на изображение")</f>
        <v>Владимир Чугунов: Ссылка на изображение</v>
      </c>
      <c r="BK105" t="s">
        <v>102</v>
      </c>
    </row>
    <row r="106" spans="1:65" ht="15" customHeight="1" x14ac:dyDescent="0.35">
      <c r="A106">
        <v>571</v>
      </c>
      <c r="B106" t="s">
        <v>998</v>
      </c>
      <c r="C106">
        <v>2</v>
      </c>
      <c r="D106" t="str">
        <f>VLOOKUP(source[[#This Row],[Приоритет]],тПриоритеты[],2,0)</f>
        <v>Значительное</v>
      </c>
      <c r="E1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6" t="s">
        <v>96</v>
      </c>
      <c r="G106" t="s">
        <v>395</v>
      </c>
      <c r="H106" t="str">
        <f>VLOOKUP(source[[#This Row],[Отвественный]],тОтветственные[],2,0)</f>
        <v>Отв19</v>
      </c>
      <c r="I106" s="2">
        <v>43742</v>
      </c>
      <c r="J106" s="2">
        <v>43742</v>
      </c>
      <c r="K106" t="s">
        <v>104</v>
      </c>
      <c r="L106">
        <v>0</v>
      </c>
      <c r="M106">
        <v>0</v>
      </c>
      <c r="N106" t="s">
        <v>105</v>
      </c>
      <c r="Q106" t="s">
        <v>106</v>
      </c>
      <c r="R106" t="str">
        <f>HYPERLINK("https://d28ji4sm1vmprj.cloudfront.net/e7a526a7220c3bc5cfeeb407c455c0b3/580ffb055aff8ee0c88c6e676cfba776.jpeg", "Ссылка на план")</f>
        <v>Ссылка на план</v>
      </c>
      <c r="S106" s="1">
        <v>43742.664178240739</v>
      </c>
      <c r="T106" s="1">
        <v>43742.664212962962</v>
      </c>
      <c r="U106" s="1">
        <v>43742.666134259256</v>
      </c>
      <c r="W106" s="1">
        <v>43742.666145833333</v>
      </c>
      <c r="X106" t="s">
        <v>107</v>
      </c>
      <c r="AA106" t="s">
        <v>990</v>
      </c>
      <c r="AB106" t="s">
        <v>991</v>
      </c>
      <c r="AC106" t="s">
        <v>992</v>
      </c>
      <c r="AD106" t="s">
        <v>993</v>
      </c>
      <c r="AE106" t="s">
        <v>994</v>
      </c>
      <c r="AF106" t="s">
        <v>995</v>
      </c>
      <c r="BF106" t="s">
        <v>114</v>
      </c>
      <c r="BG106" t="s">
        <v>999</v>
      </c>
      <c r="BH106" t="s">
        <v>997</v>
      </c>
      <c r="BI106" t="str">
        <f>HYPERLINK("https://d33htgqikc2pj4.cloudfront.net/c87a3c8d-01d7-4cf7-8f19-a04127ff7dbd.jpeg", "Владимир Чугунов: Ссылка на изображение")</f>
        <v>Владимир Чугунов: Ссылка на изображение</v>
      </c>
      <c r="BJ106" t="str">
        <f>HYPERLINK("https://d33htgqikc2pj4.cloudfront.net/90578e05-fbc3-4ee7-a793-674701369201.jpeg", "Владимир Чугунов: Ссылка на изображение")</f>
        <v>Владимир Чугунов: Ссылка на изображение</v>
      </c>
      <c r="BK106" t="s">
        <v>102</v>
      </c>
    </row>
    <row r="107" spans="1:65" ht="15" customHeight="1" x14ac:dyDescent="0.35">
      <c r="A107">
        <v>813</v>
      </c>
      <c r="B107" t="s">
        <v>1000</v>
      </c>
      <c r="C107">
        <v>2</v>
      </c>
      <c r="D107" t="str">
        <f>VLOOKUP(source[[#This Row],[Приоритет]],тПриоритеты[],2,0)</f>
        <v>Значительное</v>
      </c>
      <c r="E1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7" t="s">
        <v>96</v>
      </c>
      <c r="G107" t="s">
        <v>395</v>
      </c>
      <c r="H107" t="str">
        <f>VLOOKUP(source[[#This Row],[Отвественный]],тОтветственные[],2,0)</f>
        <v>Отв19</v>
      </c>
      <c r="I107" s="2">
        <v>43822</v>
      </c>
      <c r="J107" s="2">
        <v>43822</v>
      </c>
      <c r="K107" t="s">
        <v>337</v>
      </c>
      <c r="L107">
        <v>0</v>
      </c>
      <c r="M107">
        <v>0</v>
      </c>
      <c r="N107" t="s">
        <v>338</v>
      </c>
      <c r="Q107" t="s">
        <v>339</v>
      </c>
      <c r="R107" t="str">
        <f>HYPERLINK("https://d28ji4sm1vmprj.cloudfront.net/19dc4a1afc4fcc7f30fd79820762e797/bb9fe60bbdb1c123800b0cd50ec150cc.jpeg", "Ссылка на план")</f>
        <v>Ссылка на план</v>
      </c>
      <c r="S107" s="1">
        <v>43822.3905787037</v>
      </c>
      <c r="T107" s="1">
        <v>43822.391886574071</v>
      </c>
      <c r="U107" s="1">
        <v>43822.392245370371</v>
      </c>
      <c r="W107" s="1">
        <v>43822.392245370371</v>
      </c>
      <c r="X107" t="s">
        <v>107</v>
      </c>
      <c r="AA107" t="s">
        <v>1001</v>
      </c>
      <c r="AB107" t="s">
        <v>1002</v>
      </c>
      <c r="AC107" t="s">
        <v>1003</v>
      </c>
      <c r="AD107" t="s">
        <v>1004</v>
      </c>
      <c r="AE107" t="s">
        <v>1005</v>
      </c>
      <c r="AF107" t="s">
        <v>1006</v>
      </c>
      <c r="BF107" t="s">
        <v>1007</v>
      </c>
      <c r="BG107" t="str">
        <f>HYPERLINK("https://d33htgqikc2pj4.cloudfront.net/2cc8a20b-de66-45e2-ab6f-72faeb5f89e2.jpeg", "Владимир Чугунов: Ссылка на изображение")</f>
        <v>Владимир Чугунов: Ссылка на изображение</v>
      </c>
      <c r="BH107" t="str">
        <f>HYPERLINK("https://d33htgqikc2pj4.cloudfront.net/2e18ebab-9a84-40e8-82e3-c47b6de4509b.jpeg", "Владимир Чугунов: Ссылка на изображение")</f>
        <v>Владимир Чугунов: Ссылка на изображение</v>
      </c>
      <c r="BI107" t="s">
        <v>114</v>
      </c>
      <c r="BJ107" t="s">
        <v>1008</v>
      </c>
      <c r="BK107" t="s">
        <v>102</v>
      </c>
    </row>
    <row r="108" spans="1:65" ht="15" customHeight="1" x14ac:dyDescent="0.35">
      <c r="A108">
        <v>731</v>
      </c>
      <c r="B108" t="s">
        <v>1009</v>
      </c>
      <c r="C108">
        <v>2</v>
      </c>
      <c r="D108" t="str">
        <f>VLOOKUP(source[[#This Row],[Приоритет]],тПриоритеты[],2,0)</f>
        <v>Значительное</v>
      </c>
      <c r="E1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8" t="s">
        <v>96</v>
      </c>
      <c r="G108" t="s">
        <v>395</v>
      </c>
      <c r="H108" t="str">
        <f>VLOOKUP(source[[#This Row],[Отвественный]],тОтветственные[],2,0)</f>
        <v>Отв19</v>
      </c>
      <c r="I108" s="2">
        <v>43798</v>
      </c>
      <c r="J108" s="2">
        <v>43798</v>
      </c>
      <c r="K108" t="s">
        <v>158</v>
      </c>
      <c r="L108">
        <v>0</v>
      </c>
      <c r="M108">
        <v>0</v>
      </c>
      <c r="N108" t="s">
        <v>1010</v>
      </c>
      <c r="Q108" t="s">
        <v>124</v>
      </c>
      <c r="R108" t="str">
        <f>HYPERLINK("https://d28ji4sm1vmprj.cloudfront.net/09622a2bb466dfd1cdfb85ce6a712a4c/080b534903fe5ecae6d56f3611cbeb01.jpeg", "Ссылка на план")</f>
        <v>Ссылка на план</v>
      </c>
      <c r="S108" s="1">
        <v>43798.437650462962</v>
      </c>
      <c r="T108" s="1">
        <v>43798.437824074077</v>
      </c>
      <c r="U108" s="1">
        <v>43798.439386574071</v>
      </c>
      <c r="W108" s="1">
        <v>43798.439398148148</v>
      </c>
      <c r="BF108" t="s">
        <v>114</v>
      </c>
      <c r="BG108" t="s">
        <v>1011</v>
      </c>
      <c r="BH108" t="s">
        <v>1012</v>
      </c>
      <c r="BI108" t="str">
        <f>HYPERLINK("https://d33htgqikc2pj4.cloudfront.net/5f9e4eed-99e1-489b-815b-85b954824703.jpeg", "Владимир Чугунов: Ссылка на изображение")</f>
        <v>Владимир Чугунов: Ссылка на изображение</v>
      </c>
      <c r="BJ108" t="str">
        <f>HYPERLINK("https://d33htgqikc2pj4.cloudfront.net/01c4f701-3f95-4d27-a72d-72e6e82dddc8.jpeg", "Владимир Чугунов: Ссылка на изображение")</f>
        <v>Владимир Чугунов: Ссылка на изображение</v>
      </c>
      <c r="BK108" t="s">
        <v>102</v>
      </c>
    </row>
    <row r="109" spans="1:65" ht="15" customHeight="1" x14ac:dyDescent="0.35">
      <c r="A109">
        <v>830</v>
      </c>
      <c r="B109" t="s">
        <v>1013</v>
      </c>
      <c r="C109">
        <v>2</v>
      </c>
      <c r="D109" t="str">
        <f>VLOOKUP(source[[#This Row],[Приоритет]],тПриоритеты[],2,0)</f>
        <v>Значительное</v>
      </c>
      <c r="E1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09" t="s">
        <v>96</v>
      </c>
      <c r="G109" t="s">
        <v>395</v>
      </c>
      <c r="H109" t="str">
        <f>VLOOKUP(source[[#This Row],[Отвественный]],тОтветственные[],2,0)</f>
        <v>Отв19</v>
      </c>
      <c r="I109" s="2">
        <v>43822</v>
      </c>
      <c r="J109" s="2">
        <v>43822</v>
      </c>
      <c r="K109" t="s">
        <v>337</v>
      </c>
      <c r="L109">
        <v>0</v>
      </c>
      <c r="M109">
        <v>0</v>
      </c>
      <c r="N109" t="s">
        <v>338</v>
      </c>
      <c r="Q109" t="s">
        <v>339</v>
      </c>
      <c r="R109" t="str">
        <f>HYPERLINK("https://d28ji4sm1vmprj.cloudfront.net/19dc4a1afc4fcc7f30fd79820762e797/bb9fe60bbdb1c123800b0cd50ec150cc.jpeg", "Ссылка на план")</f>
        <v>Ссылка на план</v>
      </c>
      <c r="S109" s="1">
        <v>43822.750821759262</v>
      </c>
      <c r="T109" s="1">
        <v>43822.751273148147</v>
      </c>
      <c r="U109" s="1">
        <v>43822.75172453704</v>
      </c>
      <c r="W109" s="1">
        <v>43822.751736111109</v>
      </c>
      <c r="X109" t="s">
        <v>107</v>
      </c>
      <c r="AA109" t="s">
        <v>1001</v>
      </c>
      <c r="AB109" t="s">
        <v>1002</v>
      </c>
      <c r="AC109" t="s">
        <v>1003</v>
      </c>
      <c r="AD109" t="s">
        <v>1004</v>
      </c>
      <c r="AE109" t="s">
        <v>1005</v>
      </c>
      <c r="AF109" t="s">
        <v>1006</v>
      </c>
      <c r="BF109" t="s">
        <v>1014</v>
      </c>
      <c r="BG109" t="s">
        <v>1008</v>
      </c>
      <c r="BH109" t="s">
        <v>114</v>
      </c>
      <c r="BI109" t="str">
        <f>HYPERLINK("https://d33htgqikc2pj4.cloudfront.net/85b80e3e-3999-4642-9548-a0c916d2ba4b.jpeg", "Владимир Чугунов: Ссылка на изображение")</f>
        <v>Владимир Чугунов: Ссылка на изображение</v>
      </c>
      <c r="BJ109" t="str">
        <f>HYPERLINK("https://d33htgqikc2pj4.cloudfront.net/914a9160-29c6-4918-92eb-4b1662a7d171.jpeg", "Владимир Чугунов: Ссылка на изображение")</f>
        <v>Владимир Чугунов: Ссылка на изображение</v>
      </c>
      <c r="BK109" t="str">
        <f>HYPERLINK("https://d33htgqikc2pj4.cloudfront.net/5f243390-9ff4-48f4-97ba-e76053d3703f.jpeg", "Владимир Чугунов: Ссылка на изображение")</f>
        <v>Владимир Чугунов: Ссылка на изображение</v>
      </c>
      <c r="BL109" t="s">
        <v>102</v>
      </c>
    </row>
    <row r="110" spans="1:65" ht="15" customHeight="1" x14ac:dyDescent="0.35">
      <c r="A110">
        <v>651</v>
      </c>
      <c r="B110" t="s">
        <v>1015</v>
      </c>
      <c r="C110">
        <v>2</v>
      </c>
      <c r="D110" t="str">
        <f>VLOOKUP(source[[#This Row],[Приоритет]],тПриоритеты[],2,0)</f>
        <v>Значительное</v>
      </c>
      <c r="E1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0" t="s">
        <v>96</v>
      </c>
      <c r="G110" t="s">
        <v>395</v>
      </c>
      <c r="H110" t="str">
        <f>VLOOKUP(source[[#This Row],[Отвественный]],тОтветственные[],2,0)</f>
        <v>Отв19</v>
      </c>
      <c r="I110" s="2">
        <v>43764</v>
      </c>
      <c r="J110" s="2">
        <v>43764</v>
      </c>
      <c r="K110" t="s">
        <v>104</v>
      </c>
      <c r="L110">
        <v>0</v>
      </c>
      <c r="M110">
        <v>0</v>
      </c>
      <c r="N110" t="s">
        <v>105</v>
      </c>
      <c r="Q110" t="s">
        <v>106</v>
      </c>
      <c r="R110" t="str">
        <f t="shared" ref="R110:R115" si="4">HYPERLINK("https://d28ji4sm1vmprj.cloudfront.net/e7a526a7220c3bc5cfeeb407c455c0b3/580ffb055aff8ee0c88c6e676cfba776.jpeg", "Ссылка на план")</f>
        <v>Ссылка на план</v>
      </c>
      <c r="S110" s="1">
        <v>43764.938703703701</v>
      </c>
      <c r="T110" s="1">
        <v>43764.939398148148</v>
      </c>
      <c r="U110" s="1">
        <v>43764.940104166664</v>
      </c>
      <c r="W110" s="1">
        <v>43764.940138888887</v>
      </c>
      <c r="X110" t="s">
        <v>107</v>
      </c>
      <c r="AA110" t="s">
        <v>1016</v>
      </c>
      <c r="AB110" t="s">
        <v>1017</v>
      </c>
      <c r="AC110" t="s">
        <v>1018</v>
      </c>
      <c r="AD110" t="s">
        <v>1019</v>
      </c>
      <c r="AE110" t="s">
        <v>1020</v>
      </c>
      <c r="AF110" t="s">
        <v>1021</v>
      </c>
      <c r="BF110" t="s">
        <v>1022</v>
      </c>
      <c r="BG110" t="s">
        <v>1023</v>
      </c>
      <c r="BH110" t="s">
        <v>114</v>
      </c>
      <c r="BI110" t="str">
        <f>HYPERLINK("https://d33htgqikc2pj4.cloudfront.net/bcff9ec5-ab8b-40fa-82b7-492a77bbc958.jpeg", "Владимир Чугунов: Ссылка на изображение")</f>
        <v>Владимир Чугунов: Ссылка на изображение</v>
      </c>
      <c r="BJ110" t="str">
        <f>HYPERLINK("https://d33htgqikc2pj4.cloudfront.net/0b93733f-a312-4885-a6da-2a86edfc50ae.jpeg", "Владимир Чугунов: Ссылка на изображение")</f>
        <v>Владимир Чугунов: Ссылка на изображение</v>
      </c>
      <c r="BK110" t="s">
        <v>102</v>
      </c>
    </row>
    <row r="111" spans="1:65" ht="15" customHeight="1" x14ac:dyDescent="0.35">
      <c r="A111">
        <v>659</v>
      </c>
      <c r="B111" t="s">
        <v>1024</v>
      </c>
      <c r="C111">
        <v>2</v>
      </c>
      <c r="D111" t="str">
        <f>VLOOKUP(source[[#This Row],[Приоритет]],тПриоритеты[],2,0)</f>
        <v>Значительное</v>
      </c>
      <c r="E1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1" t="s">
        <v>96</v>
      </c>
      <c r="G111" t="s">
        <v>395</v>
      </c>
      <c r="H111" t="str">
        <f>VLOOKUP(source[[#This Row],[Отвественный]],тОтветственные[],2,0)</f>
        <v>Отв19</v>
      </c>
      <c r="I111" s="2">
        <v>43767</v>
      </c>
      <c r="J111" s="2">
        <v>43767</v>
      </c>
      <c r="K111" t="s">
        <v>104</v>
      </c>
      <c r="L111">
        <v>0</v>
      </c>
      <c r="M111">
        <v>0</v>
      </c>
      <c r="N111" t="s">
        <v>105</v>
      </c>
      <c r="Q111" t="s">
        <v>106</v>
      </c>
      <c r="R111" t="str">
        <f t="shared" si="4"/>
        <v>Ссылка на план</v>
      </c>
      <c r="S111" s="1">
        <v>43767.6175</v>
      </c>
      <c r="T111" s="1">
        <v>43767.618263888886</v>
      </c>
      <c r="U111" s="1">
        <v>43767.618518518517</v>
      </c>
      <c r="W111" s="1">
        <v>43767.618530092594</v>
      </c>
      <c r="BF111" t="s">
        <v>1025</v>
      </c>
      <c r="BG111" t="s">
        <v>1026</v>
      </c>
      <c r="BH111" t="s">
        <v>114</v>
      </c>
      <c r="BI111" t="str">
        <f>HYPERLINK("https://d33htgqikc2pj4.cloudfront.net/59c6933a-50d0-4d63-988a-225b9044d177.jpeg", "Владимир Чугунов: Ссылка на изображение")</f>
        <v>Владимир Чугунов: Ссылка на изображение</v>
      </c>
      <c r="BJ111" t="s">
        <v>102</v>
      </c>
    </row>
    <row r="112" spans="1:65" ht="15" customHeight="1" x14ac:dyDescent="0.35">
      <c r="A112">
        <v>664</v>
      </c>
      <c r="B112" t="s">
        <v>1027</v>
      </c>
      <c r="C112">
        <v>2</v>
      </c>
      <c r="D112" t="str">
        <f>VLOOKUP(source[[#This Row],[Приоритет]],тПриоритеты[],2,0)</f>
        <v>Значительное</v>
      </c>
      <c r="E1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2" t="s">
        <v>96</v>
      </c>
      <c r="G112" t="s">
        <v>395</v>
      </c>
      <c r="H112" t="str">
        <f>VLOOKUP(source[[#This Row],[Отвественный]],тОтветственные[],2,0)</f>
        <v>Отв19</v>
      </c>
      <c r="I112" s="2">
        <v>43769</v>
      </c>
      <c r="J112" s="2">
        <v>43769</v>
      </c>
      <c r="K112" t="s">
        <v>104</v>
      </c>
      <c r="L112">
        <v>0</v>
      </c>
      <c r="M112">
        <v>0</v>
      </c>
      <c r="N112" t="s">
        <v>105</v>
      </c>
      <c r="Q112" t="s">
        <v>106</v>
      </c>
      <c r="R112" t="str">
        <f t="shared" si="4"/>
        <v>Ссылка на план</v>
      </c>
      <c r="S112" s="1">
        <v>43769.328935185185</v>
      </c>
      <c r="T112" s="1">
        <v>43769.329131944447</v>
      </c>
      <c r="U112" s="1">
        <v>43769.329629629632</v>
      </c>
      <c r="W112" s="1">
        <v>43769.329629629632</v>
      </c>
      <c r="X112" t="s">
        <v>107</v>
      </c>
      <c r="AA112" t="s">
        <v>1028</v>
      </c>
      <c r="AB112" t="s">
        <v>1029</v>
      </c>
      <c r="AC112" t="s">
        <v>1030</v>
      </c>
      <c r="AD112" t="s">
        <v>1031</v>
      </c>
      <c r="AE112" t="s">
        <v>1032</v>
      </c>
      <c r="AF112" t="s">
        <v>1033</v>
      </c>
      <c r="BF112" t="s">
        <v>1034</v>
      </c>
      <c r="BG112" t="s">
        <v>114</v>
      </c>
      <c r="BH112" t="s">
        <v>1035</v>
      </c>
      <c r="BI112" t="str">
        <f>HYPERLINK("https://d33htgqikc2pj4.cloudfront.net/a32a0ead-7e54-4e11-8abf-01ffca4d22af.jpeg", "Владимир Чугунов: Ссылка на изображение")</f>
        <v>Владимир Чугунов: Ссылка на изображение</v>
      </c>
      <c r="BJ112" t="str">
        <f>HYPERLINK("https://d33htgqikc2pj4.cloudfront.net/44d39253-f95b-4dd4-bea1-34e9aa05891a.jpeg", "Владимир Чугунов: Ссылка на изображение")</f>
        <v>Владимир Чугунов: Ссылка на изображение</v>
      </c>
      <c r="BK112" t="s">
        <v>102</v>
      </c>
    </row>
    <row r="113" spans="1:85" ht="15" customHeight="1" x14ac:dyDescent="0.35">
      <c r="A113">
        <v>670</v>
      </c>
      <c r="B113" t="s">
        <v>1036</v>
      </c>
      <c r="C113">
        <v>2</v>
      </c>
      <c r="D113" t="str">
        <f>VLOOKUP(source[[#This Row],[Приоритет]],тПриоритеты[],2,0)</f>
        <v>Значительное</v>
      </c>
      <c r="E1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3" t="s">
        <v>96</v>
      </c>
      <c r="G113" t="s">
        <v>395</v>
      </c>
      <c r="H113" t="str">
        <f>VLOOKUP(source[[#This Row],[Отвественный]],тОтветственные[],2,0)</f>
        <v>Отв19</v>
      </c>
      <c r="I113" s="2">
        <v>43769</v>
      </c>
      <c r="J113" s="2">
        <v>43769</v>
      </c>
      <c r="K113" t="s">
        <v>104</v>
      </c>
      <c r="L113">
        <v>0</v>
      </c>
      <c r="M113">
        <v>0</v>
      </c>
      <c r="N113" t="s">
        <v>105</v>
      </c>
      <c r="Q113" t="s">
        <v>106</v>
      </c>
      <c r="R113" t="str">
        <f t="shared" si="4"/>
        <v>Ссылка на план</v>
      </c>
      <c r="S113" s="1">
        <v>43769.872187499997</v>
      </c>
      <c r="T113" s="1">
        <v>43769.872210648151</v>
      </c>
      <c r="U113" s="1">
        <v>43771.881481481483</v>
      </c>
      <c r="W113" s="1">
        <v>43771.881493055553</v>
      </c>
      <c r="X113" t="s">
        <v>107</v>
      </c>
      <c r="AA113" t="s">
        <v>1028</v>
      </c>
      <c r="AB113" t="s">
        <v>1029</v>
      </c>
      <c r="AC113" t="s">
        <v>1030</v>
      </c>
      <c r="AD113" t="s">
        <v>1031</v>
      </c>
      <c r="AE113" t="s">
        <v>1032</v>
      </c>
      <c r="AF113" t="s">
        <v>1033</v>
      </c>
      <c r="BF113" t="s">
        <v>114</v>
      </c>
      <c r="BG113" t="s">
        <v>1037</v>
      </c>
      <c r="BH113" t="s">
        <v>1035</v>
      </c>
      <c r="BI113" t="str">
        <f>HYPERLINK("https://d33htgqikc2pj4.cloudfront.net/8167a0f2-db4c-4269-9b75-ae1a14b32632.jpeg", "Владимир Чугунов: Ссылка на изображение")</f>
        <v>Владимир Чугунов: Ссылка на изображение</v>
      </c>
      <c r="BJ113" t="str">
        <f>HYPERLINK("https://d33htgqikc2pj4.cloudfront.net/47a26197-5e2d-4a17-952d-2069989c02ea.jpeg", "Владимир Чугунов: Ссылка на изображение")</f>
        <v>Владимир Чугунов: Ссылка на изображение</v>
      </c>
      <c r="BK113" t="s">
        <v>102</v>
      </c>
    </row>
    <row r="114" spans="1:85" ht="15" customHeight="1" x14ac:dyDescent="0.35">
      <c r="A114">
        <v>676</v>
      </c>
      <c r="B114" t="s">
        <v>1038</v>
      </c>
      <c r="C114">
        <v>2</v>
      </c>
      <c r="D114" t="str">
        <f>VLOOKUP(source[[#This Row],[Приоритет]],тПриоритеты[],2,0)</f>
        <v>Значительное</v>
      </c>
      <c r="E1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4" t="s">
        <v>96</v>
      </c>
      <c r="G114" t="s">
        <v>395</v>
      </c>
      <c r="H114" t="str">
        <f>VLOOKUP(source[[#This Row],[Отвественный]],тОтветственные[],2,0)</f>
        <v>Отв19</v>
      </c>
      <c r="I114" s="2">
        <v>43771</v>
      </c>
      <c r="J114" s="2">
        <v>43771</v>
      </c>
      <c r="K114" t="s">
        <v>104</v>
      </c>
      <c r="L114">
        <v>0</v>
      </c>
      <c r="M114">
        <v>0</v>
      </c>
      <c r="N114" t="s">
        <v>105</v>
      </c>
      <c r="Q114" t="s">
        <v>106</v>
      </c>
      <c r="R114" t="str">
        <f t="shared" si="4"/>
        <v>Ссылка на план</v>
      </c>
      <c r="S114" s="1">
        <v>43771.881550925929</v>
      </c>
      <c r="T114" s="1">
        <v>43771.881562499999</v>
      </c>
      <c r="U114" s="1">
        <v>43771.882569444446</v>
      </c>
      <c r="W114" s="1">
        <v>43771.882592592592</v>
      </c>
      <c r="X114" t="s">
        <v>107</v>
      </c>
      <c r="AA114" t="s">
        <v>1039</v>
      </c>
      <c r="AB114" t="s">
        <v>1040</v>
      </c>
      <c r="AC114" t="s">
        <v>1041</v>
      </c>
      <c r="AD114" t="s">
        <v>1042</v>
      </c>
      <c r="AE114" t="s">
        <v>1043</v>
      </c>
      <c r="AF114" t="s">
        <v>1044</v>
      </c>
      <c r="BF114" t="s">
        <v>114</v>
      </c>
      <c r="BG114" t="s">
        <v>1045</v>
      </c>
      <c r="BH114" t="s">
        <v>1046</v>
      </c>
      <c r="BI114" t="str">
        <f>HYPERLINK("https://d33htgqikc2pj4.cloudfront.net/da60b748-87f8-4eac-9e38-dde505a79372.jpeg", "Владимир Чугунов: Ссылка на изображение")</f>
        <v>Владимир Чугунов: Ссылка на изображение</v>
      </c>
      <c r="BJ114" t="str">
        <f>HYPERLINK("https://d33htgqikc2pj4.cloudfront.net/67bd2965-67c9-4841-8965-53f4ebfb5dcf.jpeg", "Владимир Чугунов: Ссылка на изображение")</f>
        <v>Владимир Чугунов: Ссылка на изображение</v>
      </c>
      <c r="BK114" t="s">
        <v>102</v>
      </c>
    </row>
    <row r="115" spans="1:85" ht="15" customHeight="1" x14ac:dyDescent="0.35">
      <c r="A115">
        <v>768</v>
      </c>
      <c r="B115" t="s">
        <v>1047</v>
      </c>
      <c r="C115">
        <v>2</v>
      </c>
      <c r="D115" t="str">
        <f>VLOOKUP(source[[#This Row],[Приоритет]],тПриоритеты[],2,0)</f>
        <v>Значительное</v>
      </c>
      <c r="E1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5" t="s">
        <v>96</v>
      </c>
      <c r="G115" t="s">
        <v>395</v>
      </c>
      <c r="H115" t="str">
        <f>VLOOKUP(source[[#This Row],[Отвественный]],тОтветственные[],2,0)</f>
        <v>Отв19</v>
      </c>
      <c r="I115" s="2">
        <v>43810</v>
      </c>
      <c r="J115" s="2">
        <v>43810</v>
      </c>
      <c r="K115" t="s">
        <v>104</v>
      </c>
      <c r="L115">
        <v>0</v>
      </c>
      <c r="M115">
        <v>0</v>
      </c>
      <c r="N115" t="s">
        <v>396</v>
      </c>
      <c r="Q115" t="s">
        <v>106</v>
      </c>
      <c r="R115" t="str">
        <f t="shared" si="4"/>
        <v>Ссылка на план</v>
      </c>
      <c r="S115" s="1">
        <v>43810.699293981481</v>
      </c>
      <c r="T115" s="1">
        <v>43810.699305555558</v>
      </c>
      <c r="U115" s="1">
        <v>43810.702303240738</v>
      </c>
      <c r="W115" s="1">
        <v>43810.705208333333</v>
      </c>
      <c r="X115" t="s">
        <v>107</v>
      </c>
      <c r="AA115" t="s">
        <v>1048</v>
      </c>
      <c r="AB115" t="s">
        <v>1049</v>
      </c>
      <c r="AC115" t="s">
        <v>1050</v>
      </c>
      <c r="AD115" t="s">
        <v>1051</v>
      </c>
      <c r="AE115" t="s">
        <v>1052</v>
      </c>
      <c r="AF115" t="s">
        <v>1053</v>
      </c>
      <c r="BF115" t="s">
        <v>114</v>
      </c>
      <c r="BG115" t="s">
        <v>1054</v>
      </c>
      <c r="BH115" t="s">
        <v>1055</v>
      </c>
      <c r="BI115" t="str">
        <f>HYPERLINK("https://d33htgqikc2pj4.cloudfront.net/1d7d5c96-6d55-4de8-9ed4-46a4f7714ae5.jpeg", "Владимир Чугунов: Ссылка на изображение")</f>
        <v>Владимир Чугунов: Ссылка на изображение</v>
      </c>
      <c r="BJ115" t="str">
        <f>HYPERLINK("https://d33htgqikc2pj4.cloudfront.net/81603976-4607-43fc-a5b0-68c03db3c3ad.jpeg", "Владимир Чугунов: Ссылка на изображение")</f>
        <v>Владимир Чугунов: Ссылка на изображение</v>
      </c>
      <c r="BK115" t="str">
        <f>HYPERLINK("https://d33htgqikc2pj4.cloudfront.net/426f273d-68bb-4d46-93fd-42ed838ee00f.jpeg", "Владимир Чугунов: Ссылка на изображение")</f>
        <v>Владимир Чугунов: Ссылка на изображение</v>
      </c>
      <c r="BL115" t="s">
        <v>102</v>
      </c>
      <c r="BM115" t="s">
        <v>1056</v>
      </c>
    </row>
    <row r="116" spans="1:85" ht="15" customHeight="1" x14ac:dyDescent="0.35">
      <c r="A116">
        <v>774</v>
      </c>
      <c r="B116" t="s">
        <v>1057</v>
      </c>
      <c r="C116">
        <v>2</v>
      </c>
      <c r="D116" t="str">
        <f>VLOOKUP(source[[#This Row],[Приоритет]],тПриоритеты[],2,0)</f>
        <v>Значительное</v>
      </c>
      <c r="E1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6" t="s">
        <v>96</v>
      </c>
      <c r="G116" t="s">
        <v>395</v>
      </c>
      <c r="H116" t="str">
        <f>VLOOKUP(source[[#This Row],[Отвественный]],тОтветственные[],2,0)</f>
        <v>Отв19</v>
      </c>
      <c r="I116" s="2">
        <v>43812</v>
      </c>
      <c r="J116" s="2">
        <v>43812</v>
      </c>
      <c r="K116" t="s">
        <v>1058</v>
      </c>
      <c r="L116">
        <v>0</v>
      </c>
      <c r="M116">
        <v>0</v>
      </c>
      <c r="N116" t="s">
        <v>1059</v>
      </c>
      <c r="Q116" t="s">
        <v>124</v>
      </c>
      <c r="R116" t="str">
        <f>HYPERLINK("https://d28ji4sm1vmprj.cloudfront.net/36167089e08e1ee401f4f57d88869b74/9a4ef6d7d17215a7139533e84371548c.jpeg", "Ссылка на план")</f>
        <v>Ссылка на план</v>
      </c>
      <c r="S116" s="1">
        <v>43812.61990740741</v>
      </c>
      <c r="T116" s="1">
        <v>43812.619930555556</v>
      </c>
      <c r="U116" s="1">
        <v>43812.622233796297</v>
      </c>
      <c r="W116" s="1">
        <v>43812.622245370374</v>
      </c>
      <c r="X116" t="s">
        <v>1060</v>
      </c>
      <c r="Y116" t="s">
        <v>1061</v>
      </c>
      <c r="AA116" t="s">
        <v>1062</v>
      </c>
      <c r="AB116" t="s">
        <v>1063</v>
      </c>
      <c r="AC116" t="s">
        <v>1064</v>
      </c>
      <c r="AD116" t="s">
        <v>1065</v>
      </c>
      <c r="AE116" t="s">
        <v>1066</v>
      </c>
      <c r="AF116" t="s">
        <v>1067</v>
      </c>
      <c r="AG116" t="s">
        <v>1068</v>
      </c>
      <c r="BF116" t="s">
        <v>114</v>
      </c>
      <c r="BG116" t="s">
        <v>1069</v>
      </c>
      <c r="BH116" t="s">
        <v>1070</v>
      </c>
      <c r="BI116" t="s">
        <v>1071</v>
      </c>
      <c r="BJ116" t="s">
        <v>1072</v>
      </c>
      <c r="BK116" t="s">
        <v>1073</v>
      </c>
      <c r="BL116" t="s">
        <v>1074</v>
      </c>
      <c r="BM116" t="s">
        <v>1075</v>
      </c>
      <c r="BN116" t="s">
        <v>1076</v>
      </c>
      <c r="BO116" t="s">
        <v>1077</v>
      </c>
      <c r="BP116" t="str">
        <f>HYPERLINK("https://d33htgqikc2pj4.cloudfront.net/cfffe288-706d-41bb-82af-5601417de447.jpeg", "Владимир Чугунов: Ссылка на изображение")</f>
        <v>Владимир Чугунов: Ссылка на изображение</v>
      </c>
      <c r="BQ116" t="s">
        <v>102</v>
      </c>
    </row>
    <row r="117" spans="1:85" ht="15" customHeight="1" x14ac:dyDescent="0.35">
      <c r="A117">
        <v>778</v>
      </c>
      <c r="B117" t="s">
        <v>428</v>
      </c>
      <c r="C117">
        <v>2</v>
      </c>
      <c r="D117" t="str">
        <f>VLOOKUP(source[[#This Row],[Приоритет]],тПриоритеты[],2,0)</f>
        <v>Значительное</v>
      </c>
      <c r="E1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7" t="s">
        <v>96</v>
      </c>
      <c r="G117" t="s">
        <v>395</v>
      </c>
      <c r="H117" t="str">
        <f>VLOOKUP(source[[#This Row],[Отвественный]],тОтветственные[],2,0)</f>
        <v>Отв19</v>
      </c>
      <c r="I117" s="2">
        <v>43813</v>
      </c>
      <c r="J117" s="2">
        <v>43813</v>
      </c>
      <c r="K117" t="s">
        <v>104</v>
      </c>
      <c r="L117">
        <v>0</v>
      </c>
      <c r="M117">
        <v>0</v>
      </c>
      <c r="N117" t="s">
        <v>396</v>
      </c>
      <c r="Q117" t="s">
        <v>106</v>
      </c>
      <c r="R117" t="str">
        <f>HYPERLINK("https://d28ji4sm1vmprj.cloudfront.net/e7a526a7220c3bc5cfeeb407c455c0b3/580ffb055aff8ee0c88c6e676cfba776.jpeg", "Ссылка на план")</f>
        <v>Ссылка на план</v>
      </c>
      <c r="S117" s="1">
        <v>43813.605752314812</v>
      </c>
      <c r="T117" s="1">
        <v>43813.605763888889</v>
      </c>
      <c r="U117" s="1">
        <v>43813.60732638889</v>
      </c>
      <c r="W117" s="1">
        <v>43813.60733796296</v>
      </c>
      <c r="X117" t="s">
        <v>107</v>
      </c>
      <c r="AA117" t="s">
        <v>1078</v>
      </c>
      <c r="AB117" t="s">
        <v>1079</v>
      </c>
      <c r="AC117" t="s">
        <v>1080</v>
      </c>
      <c r="AD117" t="s">
        <v>1081</v>
      </c>
      <c r="AE117" t="s">
        <v>1082</v>
      </c>
      <c r="AF117" t="s">
        <v>1083</v>
      </c>
      <c r="BF117" t="s">
        <v>114</v>
      </c>
      <c r="BG117" t="s">
        <v>436</v>
      </c>
      <c r="BH117" t="s">
        <v>1084</v>
      </c>
      <c r="BI117" t="str">
        <f>HYPERLINK("https://d33htgqikc2pj4.cloudfront.net/44d61475-b2c4-4d59-9b71-f689a11eb18d.jpeg", "Владимир Чугунов: Ссылка на изображение")</f>
        <v>Владимир Чугунов: Ссылка на изображение</v>
      </c>
      <c r="BJ117" t="str">
        <f>HYPERLINK("https://d33htgqikc2pj4.cloudfront.net/29b40967-1230-415f-8375-1eb5de02da48.jpeg", "Владимир Чугунов: Ссылка на изображение")</f>
        <v>Владимир Чугунов: Ссылка на изображение</v>
      </c>
      <c r="BK117" t="s">
        <v>102</v>
      </c>
    </row>
    <row r="118" spans="1:85" ht="15" customHeight="1" x14ac:dyDescent="0.35">
      <c r="A118">
        <v>779</v>
      </c>
      <c r="B118" t="s">
        <v>1085</v>
      </c>
      <c r="C118">
        <v>2</v>
      </c>
      <c r="D118" t="str">
        <f>VLOOKUP(source[[#This Row],[Приоритет]],тПриоритеты[],2,0)</f>
        <v>Значительное</v>
      </c>
      <c r="E1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18" t="s">
        <v>1086</v>
      </c>
      <c r="G118" t="s">
        <v>1087</v>
      </c>
      <c r="H118" t="str">
        <f>VLOOKUP(source[[#This Row],[Отвественный]],тОтветственные[],2,0)</f>
        <v>Отв25</v>
      </c>
      <c r="I118" s="2">
        <v>43815</v>
      </c>
      <c r="J118" s="2">
        <v>43817</v>
      </c>
      <c r="K118" t="s">
        <v>1058</v>
      </c>
      <c r="L118">
        <v>0</v>
      </c>
      <c r="M118">
        <v>0</v>
      </c>
      <c r="N118" t="s">
        <v>1088</v>
      </c>
      <c r="Q118" t="s">
        <v>124</v>
      </c>
      <c r="R118" t="str">
        <f>HYPERLINK("https://d28ji4sm1vmprj.cloudfront.net/36167089e08e1ee401f4f57d88869b74/9a4ef6d7d17215a7139533e84371548c.jpeg", "Ссылка на план")</f>
        <v>Ссылка на план</v>
      </c>
      <c r="S118" s="1">
        <v>43815.473923611113</v>
      </c>
      <c r="T118" s="1">
        <v>43817.562604166669</v>
      </c>
      <c r="U118" s="1">
        <v>43822.697835648149</v>
      </c>
      <c r="W118" s="1">
        <v>43822.697847222225</v>
      </c>
      <c r="BF118" t="s">
        <v>1089</v>
      </c>
      <c r="BG118" t="s">
        <v>1090</v>
      </c>
      <c r="BH118" t="s">
        <v>1091</v>
      </c>
      <c r="BI118" t="s">
        <v>1092</v>
      </c>
      <c r="BJ118" s="3" t="s">
        <v>1093</v>
      </c>
      <c r="BK118" t="str">
        <f>HYPERLINK("https://d33htgqikc2pj4.cloudfront.net/8ee79704-13bb-4f16-a38b-54c312cd041f.jpeg", "Владимир Чугунов: Ссылка на изображение")</f>
        <v>Владимир Чугунов: Ссылка на изображение</v>
      </c>
      <c r="BL118" t="str">
        <f>HYPERLINK("https://d33htgqikc2pj4.cloudfront.net/c11cdbad-7dc6-490d-ac4a-d98c5266a91d.jpeg", "Владимир Чугунов: Ссылка на изображение")</f>
        <v>Владимир Чугунов: Ссылка на изображение</v>
      </c>
      <c r="BM118" t="str">
        <f>HYPERLINK("https://d33htgqikc2pj4.cloudfront.net/de17f747-c12e-4aa0-bb98-e9f3a48cf7eb.jpeg", "Владимир Чугунов: Ссылка на изображение")</f>
        <v>Владимир Чугунов: Ссылка на изображение</v>
      </c>
      <c r="BN118" t="str">
        <f>HYPERLINK("https://d33htgqikc2pj4.cloudfront.net/cfd6e1cf-5362-4a19-a0c3-09e23fa17f3e.jpeg", "Владимир Чугунов: Ссылка на изображение")</f>
        <v>Владимир Чугунов: Ссылка на изображение</v>
      </c>
      <c r="BO118" t="str">
        <f>HYPERLINK("https://d33htgqikc2pj4.cloudfront.net/0c8d4bad-92d4-4088-be01-9126e2372305.jpeg", "Владимир Чугунов: Ссылка на изображение")</f>
        <v>Владимир Чугунов: Ссылка на изображение</v>
      </c>
      <c r="BP118" t="s">
        <v>1094</v>
      </c>
      <c r="BQ118" t="s">
        <v>1095</v>
      </c>
      <c r="BR118" t="s">
        <v>102</v>
      </c>
    </row>
    <row r="119" spans="1:85" ht="15" customHeight="1" x14ac:dyDescent="0.35">
      <c r="A119">
        <v>124</v>
      </c>
      <c r="B119" t="s">
        <v>1096</v>
      </c>
      <c r="C119">
        <v>1</v>
      </c>
      <c r="D119" t="str">
        <f>VLOOKUP(source[[#This Row],[Приоритет]],тПриоритеты[],2,0)</f>
        <v>КРИТИЧЕСКОЕ</v>
      </c>
      <c r="E119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19" t="s">
        <v>1086</v>
      </c>
      <c r="G119" t="s">
        <v>97</v>
      </c>
      <c r="H119" t="str">
        <f>VLOOKUP(source[[#This Row],[Отвественный]],тОтветственные[],2,0)</f>
        <v>Отв1</v>
      </c>
      <c r="I119" s="2">
        <v>43626</v>
      </c>
      <c r="J119" s="2">
        <v>43626</v>
      </c>
      <c r="K119" t="s">
        <v>1097</v>
      </c>
      <c r="L119">
        <v>0</v>
      </c>
      <c r="M119">
        <v>0</v>
      </c>
      <c r="Q119" t="s">
        <v>124</v>
      </c>
      <c r="R119" t="str">
        <f>HYPERLINK("https://d28ji4sm1vmprj.cloudfront.net/771c0ef0ebe23efbf49154f136f91c17/30c519e76b5ea8a3cc9872dbb4e3cfa8.jpeg", "Ссылка на план")</f>
        <v>Ссылка на план</v>
      </c>
      <c r="S119" s="1">
        <v>43626.596030092594</v>
      </c>
      <c r="W119" s="1">
        <v>43652.638113425928</v>
      </c>
      <c r="BF119" t="s">
        <v>1098</v>
      </c>
      <c r="BG119" t="s">
        <v>1099</v>
      </c>
      <c r="BH119" t="s">
        <v>191</v>
      </c>
      <c r="BI119" t="s">
        <v>1100</v>
      </c>
      <c r="BJ119" t="s">
        <v>1101</v>
      </c>
      <c r="BK119" t="s">
        <v>1102</v>
      </c>
      <c r="BL119" t="s">
        <v>1103</v>
      </c>
      <c r="BM119" t="s">
        <v>1104</v>
      </c>
      <c r="BN119" t="s">
        <v>167</v>
      </c>
      <c r="BO119" t="s">
        <v>191</v>
      </c>
      <c r="BP119" t="str">
        <f>HYPERLINK("https://d33htgqikc2pj4.cloudfront.net/19705cb76d14e92090891208e8cbd149/1af42de8cf25904654b7826d03181742-file.jpeg", "Maksim Sumatokhin: Ссылка на изображение")</f>
        <v>Maksim Sumatokhin: Ссылка на изображение</v>
      </c>
      <c r="BQ119" t="s">
        <v>1105</v>
      </c>
      <c r="BR119" t="s">
        <v>101</v>
      </c>
      <c r="BS119" t="s">
        <v>101</v>
      </c>
      <c r="BT119" t="s">
        <v>1106</v>
      </c>
      <c r="BU119" t="s">
        <v>191</v>
      </c>
      <c r="BV119" t="s">
        <v>167</v>
      </c>
      <c r="BW119" t="s">
        <v>191</v>
      </c>
      <c r="BX119" t="s">
        <v>1107</v>
      </c>
      <c r="BY119" t="str">
        <f>HYPERLINK("https://d33htgqikc2pj4.cloudfront.net/da5477cc-f585-4963-87ef-1521c5c82b3a.jpeg", "Андрей Денисов: Ссылка на изображение")</f>
        <v>Андрей Денисов: Ссылка на изображение</v>
      </c>
      <c r="BZ119" t="s">
        <v>191</v>
      </c>
      <c r="CA119" t="s">
        <v>1108</v>
      </c>
      <c r="CB119" t="s">
        <v>101</v>
      </c>
      <c r="CC119" s="3" t="s">
        <v>1109</v>
      </c>
      <c r="CD119" t="s">
        <v>191</v>
      </c>
    </row>
    <row r="120" spans="1:85" ht="15" customHeight="1" x14ac:dyDescent="0.35">
      <c r="A120">
        <v>806</v>
      </c>
      <c r="B120" t="s">
        <v>1110</v>
      </c>
      <c r="C120">
        <v>1</v>
      </c>
      <c r="D120" t="str">
        <f>VLOOKUP(source[[#This Row],[Приоритет]],тПриоритеты[],2,0)</f>
        <v>КРИТИЧЕСКОЕ</v>
      </c>
      <c r="E120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20" t="s">
        <v>1086</v>
      </c>
      <c r="G120" t="s">
        <v>97</v>
      </c>
      <c r="H120" t="str">
        <f>VLOOKUP(source[[#This Row],[Отвественный]],тОтветственные[],2,0)</f>
        <v>Отв1</v>
      </c>
      <c r="I120" s="2">
        <v>43820</v>
      </c>
      <c r="J120" s="2">
        <v>43822</v>
      </c>
      <c r="K120" t="s">
        <v>337</v>
      </c>
      <c r="L120">
        <v>0</v>
      </c>
      <c r="M120">
        <v>0</v>
      </c>
      <c r="N120" t="s">
        <v>338</v>
      </c>
      <c r="Q120" t="s">
        <v>339</v>
      </c>
      <c r="R120" t="str">
        <f>HYPERLINK("https://d28ji4sm1vmprj.cloudfront.net/19dc4a1afc4fcc7f30fd79820762e797/bb9fe60bbdb1c123800b0cd50ec150cc.jpeg", "Ссылка на план")</f>
        <v>Ссылка на план</v>
      </c>
      <c r="S120" s="1">
        <v>43820.722858796296</v>
      </c>
      <c r="W120" s="1">
        <v>43820.724027777775</v>
      </c>
      <c r="Z120" t="s">
        <v>1111</v>
      </c>
      <c r="BF120" t="s">
        <v>191</v>
      </c>
      <c r="BG120" t="s">
        <v>1112</v>
      </c>
      <c r="BH120" t="s">
        <v>1113</v>
      </c>
      <c r="BI120" t="s">
        <v>356</v>
      </c>
      <c r="BJ120" t="s">
        <v>1114</v>
      </c>
      <c r="BK120" t="s">
        <v>1115</v>
      </c>
    </row>
    <row r="121" spans="1:85" ht="15" customHeight="1" x14ac:dyDescent="0.35">
      <c r="A121">
        <v>569</v>
      </c>
      <c r="B121" t="s">
        <v>1116</v>
      </c>
      <c r="C121">
        <v>1</v>
      </c>
      <c r="D121" t="str">
        <f>VLOOKUP(source[[#This Row],[Приоритет]],тПриоритеты[],2,0)</f>
        <v>КРИТИЧЕСКОЕ</v>
      </c>
      <c r="E121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21" t="s">
        <v>1086</v>
      </c>
      <c r="G121" t="s">
        <v>97</v>
      </c>
      <c r="H121" t="str">
        <f>VLOOKUP(source[[#This Row],[Отвественный]],тОтветственные[],2,0)</f>
        <v>Отв1</v>
      </c>
      <c r="I121" s="2">
        <v>43742</v>
      </c>
      <c r="J121" s="2">
        <v>43745</v>
      </c>
      <c r="K121" t="s">
        <v>313</v>
      </c>
      <c r="L121">
        <v>0</v>
      </c>
      <c r="M121">
        <v>0</v>
      </c>
      <c r="N121" t="s">
        <v>213</v>
      </c>
      <c r="Q121" t="s">
        <v>106</v>
      </c>
      <c r="R121" t="str">
        <f>HYPERLINK("https://d28ji4sm1vmprj.cloudfront.net/464215be55b88773f54b8cd83354babd/02eaaeba9564da889c4ba5d284544147.jpeg", "Ссылка на план")</f>
        <v>Ссылка на план</v>
      </c>
      <c r="S121" s="1">
        <v>43742.516608796293</v>
      </c>
      <c r="W121" s="1">
        <v>43742.53197916667</v>
      </c>
      <c r="BF121" t="s">
        <v>191</v>
      </c>
      <c r="BG121" t="s">
        <v>1117</v>
      </c>
      <c r="BH121" t="s">
        <v>1118</v>
      </c>
      <c r="BI121" t="s">
        <v>1119</v>
      </c>
      <c r="BJ121" t="s">
        <v>1120</v>
      </c>
      <c r="BK121" t="s">
        <v>1121</v>
      </c>
      <c r="BL121" t="s">
        <v>1122</v>
      </c>
    </row>
    <row r="122" spans="1:85" ht="15" customHeight="1" x14ac:dyDescent="0.35">
      <c r="A122">
        <v>816</v>
      </c>
      <c r="B122" t="s">
        <v>1123</v>
      </c>
      <c r="C122">
        <v>1</v>
      </c>
      <c r="D122" t="str">
        <f>VLOOKUP(source[[#This Row],[Приоритет]],тПриоритеты[],2,0)</f>
        <v>КРИТИЧЕСКОЕ</v>
      </c>
      <c r="E122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22" t="s">
        <v>1086</v>
      </c>
      <c r="G122" t="s">
        <v>97</v>
      </c>
      <c r="H122" t="str">
        <f>VLOOKUP(source[[#This Row],[Отвественный]],тОтветственные[],2,0)</f>
        <v>Отв1</v>
      </c>
      <c r="I122" s="2">
        <v>43822</v>
      </c>
      <c r="J122" s="2">
        <v>43824</v>
      </c>
      <c r="K122" t="s">
        <v>337</v>
      </c>
      <c r="L122">
        <v>0</v>
      </c>
      <c r="M122">
        <v>0</v>
      </c>
      <c r="N122" t="s">
        <v>338</v>
      </c>
      <c r="Q122" t="s">
        <v>339</v>
      </c>
      <c r="R122" t="str">
        <f>HYPERLINK("https://d28ji4sm1vmprj.cloudfront.net/19dc4a1afc4fcc7f30fd79820762e797/bb9fe60bbdb1c123800b0cd50ec150cc.jpeg", "Ссылка на план")</f>
        <v>Ссылка на план</v>
      </c>
      <c r="S122" s="1">
        <v>43822.461446759262</v>
      </c>
      <c r="W122" s="1">
        <v>43822.739432870374</v>
      </c>
      <c r="BF122" t="s">
        <v>118</v>
      </c>
      <c r="BG122" t="s">
        <v>1124</v>
      </c>
      <c r="BH122" t="s">
        <v>1008</v>
      </c>
      <c r="BI122" t="s">
        <v>1125</v>
      </c>
      <c r="BJ122" t="s">
        <v>1126</v>
      </c>
      <c r="BK122" t="str">
        <f>HYPERLINK("https://d33htgqikc2pj4.cloudfront.net/7c4bc01f-2707-489d-af95-d30d0a73c905.jpeg", "Владимир Чугунов: Ссылка на изображение")</f>
        <v>Владимир Чугунов: Ссылка на изображение</v>
      </c>
      <c r="BL122" t="str">
        <f>HYPERLINK("https://d33htgqikc2pj4.cloudfront.net/f73be7b4-ff7b-43f5-ad62-9e6a55fb6fea.jpeg", "Владимир Чугунов: Ссылка на изображение")</f>
        <v>Владимир Чугунов: Ссылка на изображение</v>
      </c>
      <c r="BM122" t="s">
        <v>1127</v>
      </c>
      <c r="BN122" t="s">
        <v>1128</v>
      </c>
      <c r="BO122" t="s">
        <v>1129</v>
      </c>
    </row>
    <row r="123" spans="1:85" ht="15" customHeight="1" x14ac:dyDescent="0.35">
      <c r="A123">
        <v>831</v>
      </c>
      <c r="B123" t="s">
        <v>1130</v>
      </c>
      <c r="C123">
        <v>1</v>
      </c>
      <c r="D123" t="str">
        <f>VLOOKUP(source[[#This Row],[Приоритет]],тПриоритеты[],2,0)</f>
        <v>КРИТИЧЕСКОЕ</v>
      </c>
      <c r="E123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23" t="s">
        <v>1086</v>
      </c>
      <c r="G123" t="s">
        <v>97</v>
      </c>
      <c r="H123" t="str">
        <f>VLOOKUP(source[[#This Row],[Отвественный]],тОтветственные[],2,0)</f>
        <v>Отв1</v>
      </c>
      <c r="I123" s="2">
        <v>43823</v>
      </c>
      <c r="J123" s="2">
        <v>43839</v>
      </c>
      <c r="K123" t="s">
        <v>323</v>
      </c>
      <c r="L123">
        <v>0</v>
      </c>
      <c r="M123">
        <v>0</v>
      </c>
      <c r="N123" t="s">
        <v>324</v>
      </c>
      <c r="Q123" t="s">
        <v>106</v>
      </c>
      <c r="R123" t="str">
        <f>HYPERLINK("https://d28ji4sm1vmprj.cloudfront.net/b9f0a3730bff318b29d61a045df19870/45ac0b590edfdc108d4a2e6d8918b5e0.jpeg", "Ссылка на план")</f>
        <v>Ссылка на план</v>
      </c>
      <c r="S123" s="1">
        <v>43823.498101851852</v>
      </c>
      <c r="W123" s="1">
        <v>43823.504004629627</v>
      </c>
      <c r="BF123" t="s">
        <v>1131</v>
      </c>
      <c r="BG123" t="s">
        <v>331</v>
      </c>
      <c r="BH123" t="s">
        <v>332</v>
      </c>
      <c r="BI123" t="s">
        <v>1132</v>
      </c>
      <c r="BJ123" t="s">
        <v>1133</v>
      </c>
      <c r="BK123" t="s">
        <v>1134</v>
      </c>
      <c r="BL123" t="s">
        <v>1135</v>
      </c>
    </row>
    <row r="124" spans="1:85" ht="15" customHeight="1" x14ac:dyDescent="0.35">
      <c r="A124">
        <v>832</v>
      </c>
      <c r="B124" t="s">
        <v>1130</v>
      </c>
      <c r="C124">
        <v>1</v>
      </c>
      <c r="D124" t="str">
        <f>VLOOKUP(source[[#This Row],[Приоритет]],тПриоритеты[],2,0)</f>
        <v>КРИТИЧЕСКОЕ</v>
      </c>
      <c r="E124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24" t="s">
        <v>1086</v>
      </c>
      <c r="G124" t="s">
        <v>97</v>
      </c>
      <c r="H124" t="str">
        <f>VLOOKUP(source[[#This Row],[Отвественный]],тОтветственные[],2,0)</f>
        <v>Отв1</v>
      </c>
      <c r="I124" s="2">
        <v>43823</v>
      </c>
      <c r="J124" s="2">
        <v>43839</v>
      </c>
      <c r="K124" t="s">
        <v>337</v>
      </c>
      <c r="L124">
        <v>0</v>
      </c>
      <c r="M124">
        <v>0</v>
      </c>
      <c r="N124" t="s">
        <v>338</v>
      </c>
      <c r="O124">
        <v>0</v>
      </c>
      <c r="Q124" t="s">
        <v>339</v>
      </c>
      <c r="R124" t="str">
        <f>HYPERLINK("https://d28ji4sm1vmprj.cloudfront.net/19dc4a1afc4fcc7f30fd79820762e797/bb9fe60bbdb1c123800b0cd50ec150cc.jpeg", "Ссылка на план")</f>
        <v>Ссылка на план</v>
      </c>
      <c r="S124" s="1">
        <v>43823.50408564815</v>
      </c>
      <c r="W124" s="1">
        <v>43823.507222222222</v>
      </c>
      <c r="BF124" t="s">
        <v>1131</v>
      </c>
      <c r="BG124" t="s">
        <v>1136</v>
      </c>
      <c r="BH124" t="s">
        <v>1137</v>
      </c>
      <c r="BI124" t="s">
        <v>1132</v>
      </c>
      <c r="BJ124" t="s">
        <v>334</v>
      </c>
      <c r="BK124" t="s">
        <v>1133</v>
      </c>
      <c r="BL124" t="s">
        <v>1135</v>
      </c>
      <c r="BM124" t="s">
        <v>1138</v>
      </c>
    </row>
    <row r="125" spans="1:85" ht="15" customHeight="1" x14ac:dyDescent="0.35">
      <c r="A125">
        <v>689</v>
      </c>
      <c r="B125" t="s">
        <v>1139</v>
      </c>
      <c r="C125">
        <v>1</v>
      </c>
      <c r="D125" t="str">
        <f>VLOOKUP(source[[#This Row],[Приоритет]],тПриоритеты[],2,0)</f>
        <v>КРИТИЧЕСКОЕ</v>
      </c>
      <c r="E125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25" t="s">
        <v>1086</v>
      </c>
      <c r="G125" t="s">
        <v>97</v>
      </c>
      <c r="H125" t="str">
        <f>VLOOKUP(source[[#This Row],[Отвественный]],тОтветственные[],2,0)</f>
        <v>Отв1</v>
      </c>
      <c r="I125" s="2">
        <v>43786</v>
      </c>
      <c r="J125" s="2">
        <v>43789</v>
      </c>
      <c r="K125" t="s">
        <v>1140</v>
      </c>
      <c r="L125">
        <v>0</v>
      </c>
      <c r="M125">
        <v>0</v>
      </c>
      <c r="Q125" t="s">
        <v>124</v>
      </c>
      <c r="R125" t="str">
        <f>HYPERLINK("https://d28ji4sm1vmprj.cloudfront.net/c5d209a024836ec2ada84aa582e41b16/79a1f4c0dabf9290650e6720075a0877.jpeg", "Ссылка на план")</f>
        <v>Ссылка на план</v>
      </c>
      <c r="S125" s="1">
        <v>43786.616249999999</v>
      </c>
      <c r="W125" s="1">
        <v>43787.632847222223</v>
      </c>
      <c r="BF125" t="s">
        <v>1141</v>
      </c>
      <c r="BG125" t="s">
        <v>1142</v>
      </c>
      <c r="BH125" t="s">
        <v>1143</v>
      </c>
      <c r="BI125" t="s">
        <v>1144</v>
      </c>
      <c r="BJ125" t="str">
        <f>HYPERLINK("https://d33htgqikc2pj4.cloudfront.net/7f2966b0-f8b6-439b-b603-55eb1cf218c8.jpeg", "Андрей Денисов: Ссылка на изображение")</f>
        <v>Андрей Денисов: Ссылка на изображение</v>
      </c>
    </row>
    <row r="126" spans="1:85" ht="15" customHeight="1" x14ac:dyDescent="0.35">
      <c r="A126">
        <v>352</v>
      </c>
      <c r="B126" t="s">
        <v>1145</v>
      </c>
      <c r="C126">
        <v>2</v>
      </c>
      <c r="D126" t="str">
        <f>VLOOKUP(source[[#This Row],[Приоритет]],тПриоритеты[],2,0)</f>
        <v>Значительное</v>
      </c>
      <c r="E126" t="str">
        <f>IF(ISBLANK(source[[#This Row],[Проверенные]]),IF(ISBLANK(source[[#This Row],[Завершенные]]),source[[#This Row],[Приоритет_]],"Завершено"),"Проверено")</f>
        <v>Значительное</v>
      </c>
      <c r="F126" t="s">
        <v>1086</v>
      </c>
      <c r="G126" t="s">
        <v>97</v>
      </c>
      <c r="H126" t="str">
        <f>VLOOKUP(source[[#This Row],[Отвественный]],тОтветственные[],2,0)</f>
        <v>Отв1</v>
      </c>
      <c r="I126" s="2">
        <v>43690</v>
      </c>
      <c r="J126" s="2">
        <v>43696</v>
      </c>
      <c r="K126" t="s">
        <v>375</v>
      </c>
      <c r="L126">
        <v>0</v>
      </c>
      <c r="M126">
        <v>0</v>
      </c>
      <c r="Q126" t="s">
        <v>106</v>
      </c>
      <c r="R126" t="str">
        <f>HYPERLINK("https://d28ji4sm1vmprj.cloudfront.net/3e7bd1b1c8123e07928556a95537ec96/b6f4ea1a4c385def2ded1a2b1779c1a4.jpeg", "Ссылка на план")</f>
        <v>Ссылка на план</v>
      </c>
      <c r="S126" s="1">
        <v>43690.582002314812</v>
      </c>
      <c r="W126" s="1">
        <v>43690.585300925923</v>
      </c>
      <c r="Z126" t="s">
        <v>1146</v>
      </c>
      <c r="BF126" t="s">
        <v>1113</v>
      </c>
      <c r="BG126" t="s">
        <v>1147</v>
      </c>
      <c r="BH126" t="s">
        <v>1148</v>
      </c>
      <c r="BI126" t="s">
        <v>1149</v>
      </c>
      <c r="BJ126" t="s">
        <v>1150</v>
      </c>
      <c r="BK126" t="str">
        <f>HYPERLINK("https://d33htgqikc2pj4.cloudfront.net/f9ce95da-ed15-4135-96d6-661bf55258de.jpeg", "Андрей Денисов: Ссылка на изображение")</f>
        <v>Андрей Денисов: Ссылка на изображение</v>
      </c>
      <c r="BL126" t="str">
        <f>HYPERLINK("https://d33htgqikc2pj4.cloudfront.net/28f56b89-8492-4bde-b630-cece5a08014e.jpeg", "Андрей Денисов: Ссылка на изображение")</f>
        <v>Андрей Денисов: Ссылка на изображение</v>
      </c>
      <c r="BM126" t="s">
        <v>1103</v>
      </c>
    </row>
    <row r="127" spans="1:85" ht="15" customHeight="1" x14ac:dyDescent="0.35">
      <c r="A127">
        <v>815</v>
      </c>
      <c r="B127" t="s">
        <v>1151</v>
      </c>
      <c r="C127">
        <v>3</v>
      </c>
      <c r="D127" t="str">
        <f>VLOOKUP(source[[#This Row],[Приоритет]],тПриоритеты[],2,0)</f>
        <v>Малозначительное</v>
      </c>
      <c r="E127" t="str">
        <f>IF(ISBLANK(source[[#This Row],[Проверенные]]),IF(ISBLANK(source[[#This Row],[Завершенные]]),source[[#This Row],[Приоритет_]],"Завершено"),"Проверено")</f>
        <v>Малозначительное</v>
      </c>
      <c r="F127" t="s">
        <v>1086</v>
      </c>
      <c r="G127" t="s">
        <v>97</v>
      </c>
      <c r="H127" t="str">
        <f>VLOOKUP(source[[#This Row],[Отвественный]],тОтветственные[],2,0)</f>
        <v>Отв1</v>
      </c>
      <c r="I127" s="2">
        <v>43822</v>
      </c>
      <c r="J127" s="2">
        <v>43822</v>
      </c>
      <c r="K127" t="s">
        <v>1097</v>
      </c>
      <c r="L127">
        <v>0</v>
      </c>
      <c r="M127">
        <v>0</v>
      </c>
      <c r="N127" t="s">
        <v>1152</v>
      </c>
      <c r="Q127" t="s">
        <v>124</v>
      </c>
      <c r="R127" t="str">
        <f>HYPERLINK("https://d28ji4sm1vmprj.cloudfront.net/771c0ef0ebe23efbf49154f136f91c17/30c519e76b5ea8a3cc9872dbb4e3cfa8.jpeg", "Ссылка на план")</f>
        <v>Ссылка на план</v>
      </c>
      <c r="S127" s="1">
        <v>43822.443148148152</v>
      </c>
      <c r="W127" s="1">
        <v>43824.670949074076</v>
      </c>
      <c r="BF127" t="s">
        <v>118</v>
      </c>
      <c r="BG127" t="s">
        <v>1153</v>
      </c>
      <c r="BH127" t="s">
        <v>1008</v>
      </c>
      <c r="BI127" t="s">
        <v>1154</v>
      </c>
      <c r="BJ127" t="str">
        <f>HYPERLINK("https://d33htgqikc2pj4.cloudfront.net/892100ce-a6e8-4656-9739-f413ccec06d9.jpeg", "Владимир Чугунов: Ссылка на изображение")</f>
        <v>Владимир Чугунов: Ссылка на изображение</v>
      </c>
      <c r="BK127" t="str">
        <f>HYPERLINK("https://d33htgqikc2pj4.cloudfront.net/c6d3952b-272c-4bed-8feb-427fb4a168ea.jpeg", "Владимир Чугунов: Ссылка на изображение")</f>
        <v>Владимир Чугунов: Ссылка на изображение</v>
      </c>
      <c r="BL127" t="str">
        <f>HYPERLINK("https://d33htgqikc2pj4.cloudfront.net/ab474f31-a2fa-4322-a61a-b286214aaee4.jpeg", "Владимир Чугунов: Ссылка на изображение")</f>
        <v>Владимир Чугунов: Ссылка на изображение</v>
      </c>
      <c r="BM127" t="s">
        <v>1128</v>
      </c>
      <c r="BN127" t="s">
        <v>502</v>
      </c>
    </row>
    <row r="128" spans="1:85" ht="15" customHeight="1" x14ac:dyDescent="0.35">
      <c r="A128">
        <v>298</v>
      </c>
      <c r="B128" t="s">
        <v>1155</v>
      </c>
      <c r="C128">
        <v>3</v>
      </c>
      <c r="D128" t="str">
        <f>VLOOKUP(source[[#This Row],[Приоритет]],тПриоритеты[],2,0)</f>
        <v>Малозначительное</v>
      </c>
      <c r="E128" t="str">
        <f>IF(ISBLANK(source[[#This Row],[Проверенные]]),IF(ISBLANK(source[[#This Row],[Завершенные]]),source[[#This Row],[Приоритет_]],"Завершено"),"Проверено")</f>
        <v>Завершено</v>
      </c>
      <c r="F128" t="s">
        <v>1086</v>
      </c>
      <c r="G128" t="s">
        <v>97</v>
      </c>
      <c r="H128" t="str">
        <f>VLOOKUP(source[[#This Row],[Отвественный]],тОтветственные[],2,0)</f>
        <v>Отв1</v>
      </c>
      <c r="I128" s="2">
        <v>43671</v>
      </c>
      <c r="J128" s="2">
        <v>43675</v>
      </c>
      <c r="K128" t="s">
        <v>313</v>
      </c>
      <c r="L128">
        <v>0</v>
      </c>
      <c r="M128">
        <v>0</v>
      </c>
      <c r="N128" t="s">
        <v>159</v>
      </c>
      <c r="Q128" t="s">
        <v>106</v>
      </c>
      <c r="R128" t="str">
        <f>HYPERLINK("https://d28ji4sm1vmprj.cloudfront.net/464215be55b88773f54b8cd83354babd/02eaaeba9564da889c4ba5d284544147.jpeg", "Ссылка на план")</f>
        <v>Ссылка на план</v>
      </c>
      <c r="S128" s="1">
        <v>43671.450578703705</v>
      </c>
      <c r="T128" s="1">
        <v>43809.495636574073</v>
      </c>
      <c r="W128" s="1">
        <v>43809.495648148149</v>
      </c>
      <c r="Z128" t="s">
        <v>1156</v>
      </c>
      <c r="BF128" t="s">
        <v>1157</v>
      </c>
      <c r="BG128" t="s">
        <v>1113</v>
      </c>
      <c r="BH128" t="s">
        <v>1158</v>
      </c>
      <c r="BI128" t="s">
        <v>1159</v>
      </c>
      <c r="BJ128" t="s">
        <v>1160</v>
      </c>
      <c r="BK128" t="str">
        <f>HYPERLINK("https://d33htgqikc2pj4.cloudfront.net/2a9c22a7-521c-4caf-b04b-042898d24a49.jpeg", "Андрей Денисов: Ссылка на изображение")</f>
        <v>Андрей Денисов: Ссылка на изображение</v>
      </c>
      <c r="BL128" t="str">
        <f>HYPERLINK("https://d33htgqikc2pj4.cloudfront.net/48b1e088-207a-4e41-a712-230c3d42c307.jpeg", "Андрей Денисов: Ссылка на изображение")</f>
        <v>Андрей Денисов: Ссылка на изображение</v>
      </c>
      <c r="BM128" t="str">
        <f>HYPERLINK("https://d33htgqikc2pj4.cloudfront.net/631bb534-054c-420d-ba6c-2976da8108db.jpeg", "Андрей Денисов: Ссылка на изображение")</f>
        <v>Андрей Денисов: Ссылка на изображение</v>
      </c>
      <c r="BN128" t="str">
        <f>HYPERLINK("https://d33htgqikc2pj4.cloudfront.net/0c027ce2-15bf-4961-98d4-184d47e2b032.jpeg", "Андрей Денисов: Ссылка на изображение")</f>
        <v>Андрей Денисов: Ссылка на изображение</v>
      </c>
      <c r="BO128" t="str">
        <f>HYPERLINK("https://d33htgqikc2pj4.cloudfront.net/7a607194-fdb9-4c27-aaa5-11cd628b3089.jpeg", "Андрей Денисов: Ссылка на изображение")</f>
        <v>Андрей Денисов: Ссылка на изображение</v>
      </c>
      <c r="BP128" t="str">
        <f>HYPERLINK("https://d33htgqikc2pj4.cloudfront.net/89f7182b-e920-4a28-a110-891793936d6e.jpeg", "Андрей Денисов: Ссылка на изображение")</f>
        <v>Андрей Денисов: Ссылка на изображение</v>
      </c>
      <c r="BQ128" t="str">
        <f>HYPERLINK("https://d33htgqikc2pj4.cloudfront.net/fe098cc5-73fd-4085-9c12-5120be0bb79d.jpeg", "Андрей Денисов: Ссылка на изображение")</f>
        <v>Андрей Денисов: Ссылка на изображение</v>
      </c>
      <c r="BR128" t="str">
        <f>HYPERLINK("https://d33htgqikc2pj4.cloudfront.net/9e6d8b30-ae50-43be-8277-6fd5cb2f8b6b.jpeg", "Андрей Денисов: Ссылка на изображение")</f>
        <v>Андрей Денисов: Ссылка на изображение</v>
      </c>
      <c r="BS128" t="str">
        <f>HYPERLINK("https://d33htgqikc2pj4.cloudfront.net/484cf843-4e68-4231-9241-7222c2ea0072.jpeg", "Андрей Денисов: Ссылка на изображение")</f>
        <v>Андрей Денисов: Ссылка на изображение</v>
      </c>
      <c r="BT128" t="s">
        <v>1121</v>
      </c>
      <c r="BU128" t="s">
        <v>1161</v>
      </c>
      <c r="BV128" t="s">
        <v>101</v>
      </c>
      <c r="BW128" t="s">
        <v>1157</v>
      </c>
      <c r="BX128" t="s">
        <v>1162</v>
      </c>
      <c r="BY128" t="str">
        <f>HYPERLINK("https://d33htgqikc2pj4.cloudfront.net/cfc5a823-3bc9-4f1e-baf0-5a7715c3b0a9.jpeg", "Андрей Денисов: Ссылка на изображение")</f>
        <v>Андрей Денисов: Ссылка на изображение</v>
      </c>
      <c r="BZ128" t="str">
        <f>HYPERLINK("https://d33htgqikc2pj4.cloudfront.net/0239d386-53d0-4696-b392-a18458b29c8e.jpeg", "Андрей Денисов: Ссылка на изображение")</f>
        <v>Андрей Денисов: Ссылка на изображение</v>
      </c>
      <c r="CA128" t="str">
        <f>HYPERLINK("https://d33htgqikc2pj4.cloudfront.net/b616ed2d-a168-4322-a228-be68496993f5.jpeg", "Андрей Денисов: Ссылка на изображение")</f>
        <v>Андрей Денисов: Ссылка на изображение</v>
      </c>
      <c r="CB128" t="str">
        <f>HYPERLINK("https://d33htgqikc2pj4.cloudfront.net/8c217d95-61f0-4fa6-b423-c42613ba5204.jpeg", "Андрей Денисов: Ссылка на изображение")</f>
        <v>Андрей Денисов: Ссылка на изображение</v>
      </c>
      <c r="CC128" t="str">
        <f>HYPERLINK("https://d33htgqikc2pj4.cloudfront.net/b0fe2d84-a3f7-4683-870f-e8984df6a061.jpeg", "Андрей Денисов: Ссылка на изображение")</f>
        <v>Андрей Денисов: Ссылка на изображение</v>
      </c>
      <c r="CD128" t="str">
        <f>HYPERLINK("https://d33htgqikc2pj4.cloudfront.net/69c43e47-6136-459e-8bba-2de57e9e8895.jpeg", "Андрей Денисов: Ссылка на изображение")</f>
        <v>Андрей Денисов: Ссылка на изображение</v>
      </c>
      <c r="CE128" t="s">
        <v>171</v>
      </c>
      <c r="CF128" t="s">
        <v>1163</v>
      </c>
      <c r="CG128" t="s">
        <v>101</v>
      </c>
    </row>
    <row r="129" spans="1:77" ht="15" customHeight="1" x14ac:dyDescent="0.35">
      <c r="A129">
        <v>12</v>
      </c>
      <c r="B129" t="s">
        <v>1164</v>
      </c>
      <c r="C129">
        <v>3</v>
      </c>
      <c r="D129" t="str">
        <f>VLOOKUP(source[[#This Row],[Приоритет]],тПриоритеты[],2,0)</f>
        <v>Малозначительное</v>
      </c>
      <c r="E1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29" t="s">
        <v>1086</v>
      </c>
      <c r="G129" t="s">
        <v>97</v>
      </c>
      <c r="H129" t="str">
        <f>VLOOKUP(source[[#This Row],[Отвественный]],тОтветственные[],2,0)</f>
        <v>Отв1</v>
      </c>
      <c r="I129" s="2">
        <v>43551</v>
      </c>
      <c r="J129" s="2">
        <v>43558</v>
      </c>
      <c r="K129" t="s">
        <v>158</v>
      </c>
      <c r="L129">
        <v>0</v>
      </c>
      <c r="M129">
        <v>0</v>
      </c>
      <c r="N129" t="s">
        <v>472</v>
      </c>
      <c r="Q129" t="s">
        <v>124</v>
      </c>
      <c r="R129" t="str">
        <f>HYPERLINK("https://d28ji4sm1vmprj.cloudfront.net/09622a2bb466dfd1cdfb85ce6a712a4c/080b534903fe5ecae6d56f3611cbeb01.jpeg", "Ссылка на план")</f>
        <v>Ссылка на план</v>
      </c>
      <c r="S129" s="1">
        <v>43551.695567129631</v>
      </c>
      <c r="T129" s="1">
        <v>43557.570949074077</v>
      </c>
      <c r="U129" s="1">
        <v>43557.570949074077</v>
      </c>
      <c r="W129" s="1">
        <v>43557.570949074077</v>
      </c>
      <c r="Z129" t="s">
        <v>1165</v>
      </c>
      <c r="BF129" t="s">
        <v>1157</v>
      </c>
      <c r="BG129" t="s">
        <v>1113</v>
      </c>
      <c r="BH129" t="s">
        <v>1166</v>
      </c>
      <c r="BI129" t="s">
        <v>182</v>
      </c>
      <c r="BJ129" t="s">
        <v>1103</v>
      </c>
      <c r="BK129" t="str">
        <f>HYPERLINK("https://d33htgqikc2pj4.cloudfront.net/836ee96363e45dc44d6f8fe99ea95478/50f2d249b9085c94f3e5182095149f73-file.jpeg", "Maksim Sumatokhin: Ссылка на изображение")</f>
        <v>Maksim Sumatokhin: Ссылка на изображение</v>
      </c>
      <c r="BL129" t="s">
        <v>1167</v>
      </c>
      <c r="BM129" t="s">
        <v>167</v>
      </c>
    </row>
    <row r="130" spans="1:77" ht="15" customHeight="1" x14ac:dyDescent="0.35">
      <c r="A130">
        <v>19</v>
      </c>
      <c r="B130" t="s">
        <v>1168</v>
      </c>
      <c r="C130">
        <v>3</v>
      </c>
      <c r="D130" t="str">
        <f>VLOOKUP(source[[#This Row],[Приоритет]],тПриоритеты[],2,0)</f>
        <v>Малозначительное</v>
      </c>
      <c r="E1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0" t="s">
        <v>1086</v>
      </c>
      <c r="G130" t="s">
        <v>97</v>
      </c>
      <c r="H130" t="str">
        <f>VLOOKUP(source[[#This Row],[Отвественный]],тОтветственные[],2,0)</f>
        <v>Отв1</v>
      </c>
      <c r="I130" s="2">
        <v>43557</v>
      </c>
      <c r="J130" s="2">
        <v>43560</v>
      </c>
      <c r="K130" t="s">
        <v>158</v>
      </c>
      <c r="L130">
        <v>0</v>
      </c>
      <c r="M130">
        <v>0</v>
      </c>
      <c r="N130" t="s">
        <v>1169</v>
      </c>
      <c r="Q130" t="s">
        <v>124</v>
      </c>
      <c r="R130" t="str">
        <f>HYPERLINK("https://d28ji4sm1vmprj.cloudfront.net/09622a2bb466dfd1cdfb85ce6a712a4c/080b534903fe5ecae6d56f3611cbeb01.jpeg", "Ссылка на план")</f>
        <v>Ссылка на план</v>
      </c>
      <c r="S130" s="1">
        <v>43557.609131944446</v>
      </c>
      <c r="T130" s="1">
        <v>43564.631631944445</v>
      </c>
      <c r="U130" s="1">
        <v>43564.631631944445</v>
      </c>
      <c r="W130" s="1">
        <v>43564.631562499999</v>
      </c>
      <c r="Z130" t="s">
        <v>1170</v>
      </c>
      <c r="BF130" t="s">
        <v>502</v>
      </c>
      <c r="BG130" t="s">
        <v>1171</v>
      </c>
      <c r="BH130" t="s">
        <v>1172</v>
      </c>
      <c r="BI130" t="s">
        <v>1173</v>
      </c>
      <c r="BJ130" t="str">
        <f>HYPERLINK("https://d33htgqikc2pj4.cloudfront.net/533456f8-4a5a-4e8f-b2f1-b64c258dcc7d.jpeg", "Владимир Чугунов: Ссылка на изображение")</f>
        <v>Владимир Чугунов: Ссылка на изображение</v>
      </c>
      <c r="BK130" t="s">
        <v>1103</v>
      </c>
      <c r="BL130" t="str">
        <f>HYPERLINK("https://d33htgqikc2pj4.cloudfront.net/5731f04a32b20e130985141aa5b63da4/5d8d8e112d65ded6cc38249326615442-file.jpeg", "Maksim Sumatokhin: Ссылка на изображение")</f>
        <v>Maksim Sumatokhin: Ссылка на изображение</v>
      </c>
      <c r="BM130" t="str">
        <f>HYPERLINK("https://d33htgqikc2pj4.cloudfront.net/6d21a1ddc8e89050003f472c46704721/52839bd04fcc14f232957d979ff426aa-file.jpeg", "Maksim Sumatokhin: Ссылка на изображение")</f>
        <v>Maksim Sumatokhin: Ссылка на изображение</v>
      </c>
      <c r="BN130" t="s">
        <v>1174</v>
      </c>
      <c r="BO130" t="s">
        <v>167</v>
      </c>
    </row>
    <row r="131" spans="1:77" ht="15" customHeight="1" x14ac:dyDescent="0.35">
      <c r="A131">
        <v>27</v>
      </c>
      <c r="B131" t="s">
        <v>1175</v>
      </c>
      <c r="C131">
        <v>3</v>
      </c>
      <c r="D131" t="str">
        <f>VLOOKUP(source[[#This Row],[Приоритет]],тПриоритеты[],2,0)</f>
        <v>Малозначительное</v>
      </c>
      <c r="E1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1" t="s">
        <v>1086</v>
      </c>
      <c r="G131" t="s">
        <v>97</v>
      </c>
      <c r="H131" t="str">
        <f>VLOOKUP(source[[#This Row],[Отвественный]],тОтветственные[],2,0)</f>
        <v>Отв1</v>
      </c>
      <c r="I131" s="2">
        <v>43563</v>
      </c>
      <c r="J131" s="2">
        <v>43564</v>
      </c>
      <c r="K131" t="s">
        <v>158</v>
      </c>
      <c r="L131">
        <v>0</v>
      </c>
      <c r="M131">
        <v>0</v>
      </c>
      <c r="N131" t="s">
        <v>159</v>
      </c>
      <c r="Q131" t="s">
        <v>124</v>
      </c>
      <c r="R131" t="str">
        <f>HYPERLINK("https://d28ji4sm1vmprj.cloudfront.net/09622a2bb466dfd1cdfb85ce6a712a4c/080b534903fe5ecae6d56f3611cbeb01.jpeg", "Ссылка на план")</f>
        <v>Ссылка на план</v>
      </c>
      <c r="S131" s="1">
        <v>43563.729837962965</v>
      </c>
      <c r="T131" s="1">
        <v>43564.74659722222</v>
      </c>
      <c r="U131" s="1">
        <v>43564.74659722222</v>
      </c>
      <c r="W131" s="1">
        <v>43564.74659722222</v>
      </c>
      <c r="Z131" t="s">
        <v>1176</v>
      </c>
      <c r="BF131" t="s">
        <v>1157</v>
      </c>
      <c r="BG131" t="s">
        <v>1113</v>
      </c>
      <c r="BH131" t="s">
        <v>1177</v>
      </c>
      <c r="BI131" t="s">
        <v>1178</v>
      </c>
      <c r="BJ131" t="s">
        <v>1179</v>
      </c>
      <c r="BK131" t="str">
        <f>HYPERLINK("https://d33htgqikc2pj4.cloudfront.net/9f534533-4ca1-4feb-872b-8251cd527fe4.jpeg", "Андрей Денисов: Ссылка на изображение")</f>
        <v>Андрей Денисов: Ссылка на изображение</v>
      </c>
      <c r="BL131" t="str">
        <f>HYPERLINK("https://d33htgqikc2pj4.cloudfront.net/949b330c-d7bd-41db-99fa-5d35a0c5418a.jpeg", "Андрей Денисов: Ссылка на изображение")</f>
        <v>Андрей Денисов: Ссылка на изображение</v>
      </c>
      <c r="BM131" t="str">
        <f>HYPERLINK("https://d33htgqikc2pj4.cloudfront.net/eb93bfbc-40fe-4db4-914e-aed1be461181.jpeg", "Андрей Денисов: Ссылка на изображение")</f>
        <v>Андрей Денисов: Ссылка на изображение</v>
      </c>
      <c r="BN131" t="s">
        <v>1103</v>
      </c>
      <c r="BO131" t="s">
        <v>171</v>
      </c>
      <c r="BP131" t="s">
        <v>167</v>
      </c>
    </row>
    <row r="132" spans="1:77" ht="15" customHeight="1" x14ac:dyDescent="0.35">
      <c r="A132">
        <v>29</v>
      </c>
      <c r="B132" t="s">
        <v>184</v>
      </c>
      <c r="C132">
        <v>1</v>
      </c>
      <c r="D132" t="str">
        <f>VLOOKUP(source[[#This Row],[Приоритет]],тПриоритеты[],2,0)</f>
        <v>КРИТИЧЕСКОЕ</v>
      </c>
      <c r="E1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2" t="s">
        <v>1086</v>
      </c>
      <c r="G132" t="s">
        <v>97</v>
      </c>
      <c r="H132" t="str">
        <f>VLOOKUP(source[[#This Row],[Отвественный]],тОтветственные[],2,0)</f>
        <v>Отв1</v>
      </c>
      <c r="I132" s="2">
        <v>43564</v>
      </c>
      <c r="J132" s="2">
        <v>43564</v>
      </c>
      <c r="K132" t="s">
        <v>158</v>
      </c>
      <c r="L132">
        <v>0</v>
      </c>
      <c r="M132">
        <v>0</v>
      </c>
      <c r="N132" t="s">
        <v>159</v>
      </c>
      <c r="Q132" t="s">
        <v>124</v>
      </c>
      <c r="R132" t="str">
        <f>HYPERLINK("https://d28ji4sm1vmprj.cloudfront.net/09622a2bb466dfd1cdfb85ce6a712a4c/080b534903fe5ecae6d56f3611cbeb01.jpeg", "Ссылка на план")</f>
        <v>Ссылка на план</v>
      </c>
      <c r="S132" s="1">
        <v>43564.416851851849</v>
      </c>
      <c r="T132" s="1">
        <v>43564.626747685186</v>
      </c>
      <c r="U132" s="1">
        <v>43564.626747685186</v>
      </c>
      <c r="W132" s="1">
        <v>43564.626736111109</v>
      </c>
      <c r="Z132" t="s">
        <v>183</v>
      </c>
      <c r="BF132" t="s">
        <v>191</v>
      </c>
      <c r="BG132" t="s">
        <v>1103</v>
      </c>
      <c r="BH132" t="s">
        <v>193</v>
      </c>
      <c r="BI132" t="str">
        <f>HYPERLINK("https://d33htgqikc2pj4.cloudfront.net/28627dc4-8ac6-4b16-87eb-966ffeb0edf4.jpeg", "Андрей Денисов: Ссылка на изображение")</f>
        <v>Андрей Денисов: Ссылка на изображение</v>
      </c>
      <c r="BJ132" t="s">
        <v>171</v>
      </c>
      <c r="BK132" t="str">
        <f>HYPERLINK("https://d33htgqikc2pj4.cloudfront.net/cc46b47d-b9e8-4ed1-850e-94f1e3597f91.jpeg", "Андрей Денисов: Ссылка на изображение")</f>
        <v>Андрей Денисов: Ссылка на изображение</v>
      </c>
      <c r="BL132" t="str">
        <f>HYPERLINK("https://d33htgqikc2pj4.cloudfront.net/2a6a708e-44f7-4384-a727-6582b1ec4af0.jpeg", "Андрей Денисов: Ссылка на изображение")</f>
        <v>Андрей Денисов: Ссылка на изображение</v>
      </c>
      <c r="BM132" t="s">
        <v>171</v>
      </c>
      <c r="BN132" t="s">
        <v>1113</v>
      </c>
      <c r="BO132" t="str">
        <f>HYPERLINK("https://d33htgqikc2pj4.cloudfront.net/12df352b-8ec0-444e-ad8d-68a70cb6b636.jpeg", "Андрей Денисов: Ссылка на изображение")</f>
        <v>Андрей Денисов: Ссылка на изображение</v>
      </c>
      <c r="BP132" t="s">
        <v>167</v>
      </c>
    </row>
    <row r="133" spans="1:77" ht="15" customHeight="1" x14ac:dyDescent="0.35">
      <c r="A133">
        <v>17</v>
      </c>
      <c r="B133" t="s">
        <v>1180</v>
      </c>
      <c r="C133">
        <v>3</v>
      </c>
      <c r="D133" t="str">
        <f>VLOOKUP(source[[#This Row],[Приоритет]],тПриоритеты[],2,0)</f>
        <v>Малозначительное</v>
      </c>
      <c r="E1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3" t="s">
        <v>1086</v>
      </c>
      <c r="G133" t="s">
        <v>97</v>
      </c>
      <c r="H133" t="str">
        <f>VLOOKUP(source[[#This Row],[Отвественный]],тОтветственные[],2,0)</f>
        <v>Отв1</v>
      </c>
      <c r="I133" s="2">
        <v>43556</v>
      </c>
      <c r="J133" s="2">
        <v>43560</v>
      </c>
      <c r="K133" t="s">
        <v>158</v>
      </c>
      <c r="L133">
        <v>0</v>
      </c>
      <c r="M133">
        <v>0</v>
      </c>
      <c r="N133" t="s">
        <v>195</v>
      </c>
      <c r="Q133" t="s">
        <v>124</v>
      </c>
      <c r="R133" t="str">
        <f>HYPERLINK("https://d28ji4sm1vmprj.cloudfront.net/09622a2bb466dfd1cdfb85ce6a712a4c/080b534903fe5ecae6d56f3611cbeb01.jpeg", "Ссылка на план")</f>
        <v>Ссылка на план</v>
      </c>
      <c r="S133" s="1">
        <v>43556.43712962963</v>
      </c>
      <c r="T133" s="1">
        <v>43564.51734953704</v>
      </c>
      <c r="U133" s="1">
        <v>43564.51734953704</v>
      </c>
      <c r="W133" s="1">
        <v>43564.517361111109</v>
      </c>
      <c r="Z133" t="s">
        <v>1181</v>
      </c>
      <c r="BF133" t="s">
        <v>1182</v>
      </c>
      <c r="BG133" t="s">
        <v>502</v>
      </c>
      <c r="BH133" t="s">
        <v>1171</v>
      </c>
      <c r="BI133" t="s">
        <v>1183</v>
      </c>
      <c r="BJ133" t="s">
        <v>1173</v>
      </c>
      <c r="BK133" t="s">
        <v>1184</v>
      </c>
      <c r="BL133" t="str">
        <f>HYPERLINK("https://d33htgqikc2pj4.cloudfront.net/ac4d3b9b-d268-4347-aad0-b8ac466ca93c.jpeg", "Владимир Чугунов: Ссылка на изображение")</f>
        <v>Владимир Чугунов: Ссылка на изображение</v>
      </c>
      <c r="BM133" t="str">
        <f>HYPERLINK("https://d33htgqikc2pj4.cloudfront.net/f8e1a1c1-af4e-44c6-8c3a-0093d2db3c96.jpeg", "Владимир Чугунов: Ссылка на изображение")</f>
        <v>Владимир Чугунов: Ссылка на изображение</v>
      </c>
      <c r="BN133" t="str">
        <f>HYPERLINK("https://d33htgqikc2pj4.cloudfront.net/3769c9b6-3b3d-460e-95e8-a4d2eb2cdf15.jpeg", "Владимир Чугунов: Ссылка на изображение")</f>
        <v>Владимир Чугунов: Ссылка на изображение</v>
      </c>
      <c r="BO133" t="s">
        <v>99</v>
      </c>
      <c r="BP133" t="str">
        <f>HYPERLINK("https://d33htgqikc2pj4.cloudfront.net/983411dd18c560c7a7ed1758669917d0/bec05b7e444633528e052ba605db3f6a-file.jpeg", "Maksim Sumatokhin: Ссылка на изображение")</f>
        <v>Maksim Sumatokhin: Ссылка на изображение</v>
      </c>
      <c r="BQ133" t="s">
        <v>1167</v>
      </c>
      <c r="BR133" t="s">
        <v>1185</v>
      </c>
      <c r="BS133" t="str">
        <f>HYPERLINK("https://d33htgqikc2pj4.cloudfront.net/c51f7e8c1407e74146fc58182466cd4b/d8f1beabc4882f143bd76ec0ad2003a3-file.jpeg", "Maksim Sumatokhin: Ссылка на изображение")</f>
        <v>Maksim Sumatokhin: Ссылка на изображение</v>
      </c>
      <c r="BT133" t="s">
        <v>1186</v>
      </c>
      <c r="BU133" t="s">
        <v>102</v>
      </c>
    </row>
    <row r="134" spans="1:77" ht="15" customHeight="1" x14ac:dyDescent="0.35">
      <c r="A134">
        <v>245</v>
      </c>
      <c r="B134" t="s">
        <v>1187</v>
      </c>
      <c r="C134">
        <v>1</v>
      </c>
      <c r="D134" t="str">
        <f>VLOOKUP(source[[#This Row],[Приоритет]],тПриоритеты[],2,0)</f>
        <v>КРИТИЧЕСКОЕ</v>
      </c>
      <c r="E1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4" t="s">
        <v>1086</v>
      </c>
      <c r="G134" t="s">
        <v>97</v>
      </c>
      <c r="H134" t="str">
        <f>VLOOKUP(source[[#This Row],[Отвественный]],тОтветственные[],2,0)</f>
        <v>Отв1</v>
      </c>
      <c r="I134" s="2">
        <v>43658</v>
      </c>
      <c r="J134" s="2">
        <v>43662</v>
      </c>
      <c r="K134" t="s">
        <v>313</v>
      </c>
      <c r="L134">
        <v>0</v>
      </c>
      <c r="M134">
        <v>0</v>
      </c>
      <c r="N134" t="s">
        <v>159</v>
      </c>
      <c r="Q134" t="s">
        <v>106</v>
      </c>
      <c r="R134" t="str">
        <f>HYPERLINK("https://d28ji4sm1vmprj.cloudfront.net/464215be55b88773f54b8cd83354babd/02eaaeba9564da889c4ba5d284544147.jpeg", "Ссылка на план")</f>
        <v>Ссылка на план</v>
      </c>
      <c r="S134" s="1">
        <v>43658.588796296295</v>
      </c>
      <c r="T134" s="1">
        <v>43686.461689814816</v>
      </c>
      <c r="U134" s="1">
        <v>43689.572337962964</v>
      </c>
      <c r="W134" s="1">
        <v>43689.57234953704</v>
      </c>
      <c r="BF134" t="s">
        <v>1188</v>
      </c>
      <c r="BG134" t="s">
        <v>1189</v>
      </c>
      <c r="BH134" t="s">
        <v>1190</v>
      </c>
      <c r="BI134" t="str">
        <f>HYPERLINK("https://d33htgqikc2pj4.cloudfront.net/5a779400-5364-4251-9c2d-c41fc64f214a.jpeg", "Андрей Денисов: Ссылка на изображение")</f>
        <v>Андрей Денисов: Ссылка на изображение</v>
      </c>
      <c r="BJ134" t="str">
        <f>HYPERLINK("https://d33htgqikc2pj4.cloudfront.net/3535ce34-3dc9-4670-bb80-d148584d9770.jpeg", "Андрей Денисов: Ссылка на изображение")</f>
        <v>Андрей Денисов: Ссылка на изображение</v>
      </c>
      <c r="BK134" t="str">
        <f>HYPERLINK("https://d33htgqikc2pj4.cloudfront.net/7ebafd7c-1acc-4bad-a363-b9b9b658248c.jpeg", "Андрей Денисов: Ссылка на изображение")</f>
        <v>Андрей Денисов: Ссылка на изображение</v>
      </c>
      <c r="BL134" t="s">
        <v>1191</v>
      </c>
      <c r="BM134" t="s">
        <v>1103</v>
      </c>
      <c r="BN134" t="s">
        <v>1192</v>
      </c>
      <c r="BO134" t="str">
        <f>HYPERLINK("https://d33htgqikc2pj4.cloudfront.net/ae8cf9c9f6dd732897560ea8958ae9a4/77bab2af62bc9ebca9bc372a55544366-file.jpeg", "Maksim Sumatokhin: Ссылка на изображение")</f>
        <v>Maksim Sumatokhin: Ссылка на изображение</v>
      </c>
      <c r="BP134" t="s">
        <v>101</v>
      </c>
      <c r="BQ134" t="s">
        <v>1193</v>
      </c>
      <c r="BR134" t="s">
        <v>1131</v>
      </c>
      <c r="BS134" t="str">
        <f>HYPERLINK("https://d33htgqikc2pj4.cloudfront.net/f61a53b6e207b6c0b15dadf2ad8aa753/a1e644571a4121befd36b2e051c6a7f9-file.jpeg", "Maksim Sumatokhin: Ссылка на изображение")</f>
        <v>Maksim Sumatokhin: Ссылка на изображение</v>
      </c>
      <c r="BT134" t="s">
        <v>1194</v>
      </c>
      <c r="BU134" t="s">
        <v>101</v>
      </c>
      <c r="BV134" t="s">
        <v>167</v>
      </c>
    </row>
    <row r="135" spans="1:77" ht="15" customHeight="1" x14ac:dyDescent="0.35">
      <c r="A135">
        <v>84</v>
      </c>
      <c r="B135" t="s">
        <v>1195</v>
      </c>
      <c r="C135">
        <v>1</v>
      </c>
      <c r="D135" t="str">
        <f>VLOOKUP(source[[#This Row],[Приоритет]],тПриоритеты[],2,0)</f>
        <v>КРИТИЧЕСКОЕ</v>
      </c>
      <c r="E1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5" t="s">
        <v>1086</v>
      </c>
      <c r="G135" t="s">
        <v>97</v>
      </c>
      <c r="H135" t="str">
        <f>VLOOKUP(source[[#This Row],[Отвественный]],тОтветственные[],2,0)</f>
        <v>Отв1</v>
      </c>
      <c r="I135" s="2">
        <v>43602</v>
      </c>
      <c r="J135" s="2">
        <v>43605</v>
      </c>
      <c r="K135" t="s">
        <v>313</v>
      </c>
      <c r="L135">
        <v>31.96</v>
      </c>
      <c r="M135">
        <v>36.25</v>
      </c>
      <c r="N135" t="s">
        <v>159</v>
      </c>
      <c r="Q135" t="s">
        <v>106</v>
      </c>
      <c r="R135" t="str">
        <f>HYPERLINK("https://d28ji4sm1vmprj.cloudfront.net/464215be55b88773f54b8cd83354babd/02eaaeba9564da889c4ba5d284544147.jpeg", "Ссылка на план")</f>
        <v>Ссылка на план</v>
      </c>
      <c r="S135" s="1">
        <v>43602.653055555558</v>
      </c>
      <c r="T135" s="1">
        <v>43622.418935185182</v>
      </c>
      <c r="U135" s="1">
        <v>43622.418935185182</v>
      </c>
      <c r="W135" s="1">
        <v>43622.418912037036</v>
      </c>
      <c r="Z135" t="s">
        <v>1196</v>
      </c>
      <c r="BF135" t="s">
        <v>1197</v>
      </c>
      <c r="BG135" t="s">
        <v>1198</v>
      </c>
      <c r="BH135" t="s">
        <v>1199</v>
      </c>
      <c r="BI135" t="s">
        <v>191</v>
      </c>
      <c r="BJ135" t="s">
        <v>1200</v>
      </c>
      <c r="BK135" t="s">
        <v>1103</v>
      </c>
      <c r="BL135" t="s">
        <v>1201</v>
      </c>
      <c r="BM135" t="s">
        <v>1202</v>
      </c>
      <c r="BN135" t="s">
        <v>167</v>
      </c>
    </row>
    <row r="136" spans="1:77" ht="15" customHeight="1" x14ac:dyDescent="0.35">
      <c r="A136">
        <v>87</v>
      </c>
      <c r="B136" t="s">
        <v>1203</v>
      </c>
      <c r="C136">
        <v>1</v>
      </c>
      <c r="D136" t="str">
        <f>VLOOKUP(source[[#This Row],[Приоритет]],тПриоритеты[],2,0)</f>
        <v>КРИТИЧЕСКОЕ</v>
      </c>
      <c r="E1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6" t="s">
        <v>1086</v>
      </c>
      <c r="G136" t="s">
        <v>97</v>
      </c>
      <c r="H136" t="str">
        <f>VLOOKUP(source[[#This Row],[Отвественный]],тОтветственные[],2,0)</f>
        <v>Отв1</v>
      </c>
      <c r="I136" s="2">
        <v>43602</v>
      </c>
      <c r="J136" s="2">
        <v>43605</v>
      </c>
      <c r="K136" t="s">
        <v>274</v>
      </c>
      <c r="L136">
        <v>69.680000000000007</v>
      </c>
      <c r="M136">
        <v>34.700000000000003</v>
      </c>
      <c r="N136" t="s">
        <v>213</v>
      </c>
      <c r="Q136" t="s">
        <v>124</v>
      </c>
      <c r="R136" t="str">
        <f>HYPERLINK("https://d28ji4sm1vmprj.cloudfront.net/355a08c081c3838ab5b858f428b86049/8945c7522deb0c15488ad801990cffed.jpeg", "Ссылка на план")</f>
        <v>Ссылка на план</v>
      </c>
      <c r="S136" s="1">
        <v>43602.668599537035</v>
      </c>
      <c r="T136" s="1">
        <v>43622.418634259258</v>
      </c>
      <c r="U136" s="1">
        <v>43622.418634259258</v>
      </c>
      <c r="W136" s="1">
        <v>43622.418611111112</v>
      </c>
      <c r="X136" t="s">
        <v>1204</v>
      </c>
      <c r="Z136" t="s">
        <v>1205</v>
      </c>
      <c r="AA136" t="s">
        <v>1206</v>
      </c>
      <c r="AB136" t="s">
        <v>1207</v>
      </c>
      <c r="AC136" t="s">
        <v>1208</v>
      </c>
      <c r="AD136" t="s">
        <v>1209</v>
      </c>
      <c r="AE136" t="s">
        <v>1210</v>
      </c>
      <c r="AF136" t="s">
        <v>1211</v>
      </c>
      <c r="BF136" t="s">
        <v>191</v>
      </c>
      <c r="BG136" t="s">
        <v>1212</v>
      </c>
      <c r="BH136" t="s">
        <v>1198</v>
      </c>
      <c r="BI136" t="s">
        <v>1199</v>
      </c>
      <c r="BJ136" t="s">
        <v>1103</v>
      </c>
      <c r="BK136" t="s">
        <v>1213</v>
      </c>
      <c r="BL136" t="s">
        <v>1214</v>
      </c>
      <c r="BM136" t="s">
        <v>1215</v>
      </c>
      <c r="BN136" t="s">
        <v>167</v>
      </c>
    </row>
    <row r="137" spans="1:77" ht="15" customHeight="1" x14ac:dyDescent="0.35">
      <c r="A137">
        <v>7</v>
      </c>
      <c r="B137" t="s">
        <v>1216</v>
      </c>
      <c r="C137">
        <v>3</v>
      </c>
      <c r="D137" t="str">
        <f>VLOOKUP(source[[#This Row],[Приоритет]],тПриоритеты[],2,0)</f>
        <v>Малозначительное</v>
      </c>
      <c r="E1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7" t="s">
        <v>1086</v>
      </c>
      <c r="G137" t="s">
        <v>97</v>
      </c>
      <c r="H137" t="str">
        <f>VLOOKUP(source[[#This Row],[Отвественный]],тОтветственные[],2,0)</f>
        <v>Отв1</v>
      </c>
      <c r="I137" s="2">
        <v>43544</v>
      </c>
      <c r="J137" s="2">
        <v>43551</v>
      </c>
      <c r="K137" t="s">
        <v>158</v>
      </c>
      <c r="L137">
        <v>4.2699999999999996</v>
      </c>
      <c r="M137">
        <v>76.25</v>
      </c>
      <c r="N137" t="s">
        <v>195</v>
      </c>
      <c r="Q137" t="s">
        <v>124</v>
      </c>
      <c r="R137" t="str">
        <f>HYPERLINK("https://d28ji4sm1vmprj.cloudfront.net/09622a2bb466dfd1cdfb85ce6a712a4c/080b534903fe5ecae6d56f3611cbeb01.jpeg", "Ссылка на план")</f>
        <v>Ссылка на план</v>
      </c>
      <c r="S137" s="1">
        <v>43544.684259259258</v>
      </c>
      <c r="T137" s="1">
        <v>43557.570416666669</v>
      </c>
      <c r="U137" s="1">
        <v>43557.570416666669</v>
      </c>
      <c r="W137" s="1">
        <v>43557.570416666669</v>
      </c>
      <c r="Z137" t="s">
        <v>1217</v>
      </c>
      <c r="BF137" t="s">
        <v>1218</v>
      </c>
      <c r="BG137" t="s">
        <v>1219</v>
      </c>
      <c r="BH137" t="s">
        <v>1113</v>
      </c>
      <c r="BI137" t="s">
        <v>1220</v>
      </c>
      <c r="BJ137" t="s">
        <v>1221</v>
      </c>
      <c r="BK137" t="s">
        <v>1222</v>
      </c>
      <c r="BL137" t="s">
        <v>1223</v>
      </c>
      <c r="BM137" t="s">
        <v>167</v>
      </c>
      <c r="BN137" t="s">
        <v>1224</v>
      </c>
      <c r="BO137" t="str">
        <f>HYPERLINK("https://d33htgqikc2pj4.cloudfront.net/f166b0ca-008c-403f-989b-bed2e32239e4.jpeg", "Андрей Денисов: Ссылка на изображение")</f>
        <v>Андрей Денисов: Ссылка на изображение</v>
      </c>
      <c r="BP137" t="s">
        <v>1225</v>
      </c>
      <c r="BQ137" t="s">
        <v>1121</v>
      </c>
      <c r="BR137" t="s">
        <v>1226</v>
      </c>
      <c r="BS137" t="s">
        <v>1227</v>
      </c>
      <c r="BT137" t="s">
        <v>1228</v>
      </c>
      <c r="BU137" t="s">
        <v>1229</v>
      </c>
      <c r="BV137" t="str">
        <f>HYPERLINK("https://d33htgqikc2pj4.cloudfront.net/9543336ad534bf82d20d8b8fb2e6c88f/eb4b6ec6a586c1fb815e64e007abdc94-file.jpeg", "Maksim Sumatokhin: Ссылка на изображение")</f>
        <v>Maksim Sumatokhin: Ссылка на изображение</v>
      </c>
      <c r="BW137" t="s">
        <v>1230</v>
      </c>
      <c r="BX137" t="s">
        <v>167</v>
      </c>
    </row>
    <row r="138" spans="1:77" ht="15" customHeight="1" x14ac:dyDescent="0.35">
      <c r="A138">
        <v>96</v>
      </c>
      <c r="B138" t="s">
        <v>1231</v>
      </c>
      <c r="C138">
        <v>1</v>
      </c>
      <c r="D138" t="str">
        <f>VLOOKUP(source[[#This Row],[Приоритет]],тПриоритеты[],2,0)</f>
        <v>КРИТИЧЕСКОЕ</v>
      </c>
      <c r="E1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8" t="s">
        <v>1086</v>
      </c>
      <c r="G138" t="s">
        <v>97</v>
      </c>
      <c r="H138" t="str">
        <f>VLOOKUP(source[[#This Row],[Отвественный]],тОтветственные[],2,0)</f>
        <v>Отв1</v>
      </c>
      <c r="I138" s="2">
        <v>43606</v>
      </c>
      <c r="J138" s="2">
        <v>43612</v>
      </c>
      <c r="K138" t="s">
        <v>313</v>
      </c>
      <c r="L138">
        <v>47.5</v>
      </c>
      <c r="M138">
        <v>73.42</v>
      </c>
      <c r="N138" t="s">
        <v>213</v>
      </c>
      <c r="Q138" t="s">
        <v>106</v>
      </c>
      <c r="R138" t="str">
        <f>HYPERLINK("https://d28ji4sm1vmprj.cloudfront.net/464215be55b88773f54b8cd83354babd/02eaaeba9564da889c4ba5d284544147.jpeg", "Ссылка на план")</f>
        <v>Ссылка на план</v>
      </c>
      <c r="S138" s="1">
        <v>43606.714525462965</v>
      </c>
      <c r="T138" s="1">
        <v>43626.620347222219</v>
      </c>
      <c r="U138" s="1">
        <v>43626.620347222219</v>
      </c>
      <c r="W138" s="1">
        <v>43626.620358796295</v>
      </c>
      <c r="Z138" t="s">
        <v>1232</v>
      </c>
      <c r="BF138" t="s">
        <v>191</v>
      </c>
      <c r="BG138" t="s">
        <v>1233</v>
      </c>
      <c r="BH138" t="s">
        <v>1113</v>
      </c>
      <c r="BI138" t="s">
        <v>1234</v>
      </c>
      <c r="BJ138" t="s">
        <v>1235</v>
      </c>
      <c r="BK138" t="s">
        <v>1236</v>
      </c>
      <c r="BL138" t="str">
        <f>HYPERLINK("https://d33htgqikc2pj4.cloudfront.net/3b5f4b05-3d47-4b44-912e-58fe03490227.jpeg", "Андрей Денисов: Ссылка на изображение")</f>
        <v>Андрей Денисов: Ссылка на изображение</v>
      </c>
      <c r="BM138" t="str">
        <f>HYPERLINK("https://d33htgqikc2pj4.cloudfront.net/659e367e-65ae-4215-99b1-8f25c25838f2.jpeg", "Андрей Денисов: Ссылка на изображение")</f>
        <v>Андрей Денисов: Ссылка на изображение</v>
      </c>
      <c r="BN138" t="str">
        <f>HYPERLINK("https://d33htgqikc2pj4.cloudfront.net/195282ff-371b-4fd9-bad7-e35c887ba929.jpeg", "Андрей Денисов: Ссылка на изображение")</f>
        <v>Андрей Денисов: Ссылка на изображение</v>
      </c>
      <c r="BO138" t="str">
        <f>HYPERLINK("https://d33htgqikc2pj4.cloudfront.net/a2310b70-888d-422f-8ccb-b468a837e8c6.jpeg", "Андрей Денисов: Ссылка на изображение")</f>
        <v>Андрей Денисов: Ссылка на изображение</v>
      </c>
      <c r="BP138" t="s">
        <v>1103</v>
      </c>
      <c r="BQ138" t="s">
        <v>167</v>
      </c>
      <c r="BR138" t="s">
        <v>191</v>
      </c>
      <c r="BS138" t="s">
        <v>1237</v>
      </c>
      <c r="BT138" t="s">
        <v>167</v>
      </c>
    </row>
    <row r="139" spans="1:77" ht="15" customHeight="1" x14ac:dyDescent="0.35">
      <c r="A139">
        <v>143</v>
      </c>
      <c r="B139" t="s">
        <v>1238</v>
      </c>
      <c r="C139">
        <v>1</v>
      </c>
      <c r="D139" t="str">
        <f>VLOOKUP(source[[#This Row],[Приоритет]],тПриоритеты[],2,0)</f>
        <v>КРИТИЧЕСКОЕ</v>
      </c>
      <c r="E1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39" t="s">
        <v>1086</v>
      </c>
      <c r="G139" t="s">
        <v>97</v>
      </c>
      <c r="H139" t="str">
        <f>VLOOKUP(source[[#This Row],[Отвественный]],тОтветственные[],2,0)</f>
        <v>Отв1</v>
      </c>
      <c r="I139" s="2">
        <v>43634</v>
      </c>
      <c r="J139" s="2">
        <v>43640</v>
      </c>
      <c r="K139" t="s">
        <v>1239</v>
      </c>
      <c r="L139">
        <v>19.54</v>
      </c>
      <c r="M139">
        <v>81.010000000000005</v>
      </c>
      <c r="N139" t="s">
        <v>213</v>
      </c>
      <c r="Q139" t="s">
        <v>106</v>
      </c>
      <c r="R139" t="str">
        <f>HYPERLINK("https://d28ji4sm1vmprj.cloudfront.net/ccf34eba00e06214379800cff12ee85c/5ead71be54780691edd782b428416714.jpeg", "Ссылка на план")</f>
        <v>Ссылка на план</v>
      </c>
      <c r="S139" s="1">
        <v>43634.465937499997</v>
      </c>
      <c r="T139" s="1">
        <v>43698.529930555553</v>
      </c>
      <c r="U139" s="1">
        <v>43698.530821759261</v>
      </c>
      <c r="W139" s="1">
        <v>43698.530833333331</v>
      </c>
      <c r="Z139" t="s">
        <v>1240</v>
      </c>
      <c r="BF139" t="s">
        <v>1241</v>
      </c>
      <c r="BG139" t="s">
        <v>1113</v>
      </c>
      <c r="BH139" t="s">
        <v>1242</v>
      </c>
      <c r="BI139" t="s">
        <v>1243</v>
      </c>
      <c r="BJ139" t="s">
        <v>1244</v>
      </c>
      <c r="BK139" t="s">
        <v>1245</v>
      </c>
      <c r="BL139" t="str">
        <f>HYPERLINK("https://d33htgqikc2pj4.cloudfront.net/d1502698-f6af-4bd2-a3c1-dbabb4714cff.jpeg", "Андрей Денисов: Ссылка на изображение")</f>
        <v>Андрей Денисов: Ссылка на изображение</v>
      </c>
      <c r="BM139" t="str">
        <f>HYPERLINK("https://d33htgqikc2pj4.cloudfront.net/1cb493d2-0ccb-4d4f-973c-a661bcf02081.jpeg", "Андрей Денисов: Ссылка на изображение")</f>
        <v>Андрей Денисов: Ссылка на изображение</v>
      </c>
      <c r="BN139" t="str">
        <f>HYPERLINK("https://d33htgqikc2pj4.cloudfront.net/c37d0a39-512f-418b-a534-50d32a0088b4.jpeg", "Андрей Денисов: Ссылка на изображение")</f>
        <v>Андрей Денисов: Ссылка на изображение</v>
      </c>
      <c r="BO139" t="s">
        <v>1103</v>
      </c>
      <c r="BP139" t="str">
        <f>HYPERLINK("https://d33htgqikc2pj4.cloudfront.net/c28ba79ac8666d436424e59cf3c43a8a/b7a10b7557f11b2d0929ae187193f759-file.jpeg", "Maksim Sumatokhin: Ссылка на изображение")</f>
        <v>Maksim Sumatokhin: Ссылка на изображение</v>
      </c>
      <c r="BQ139" t="s">
        <v>1246</v>
      </c>
      <c r="BR139" t="s">
        <v>101</v>
      </c>
      <c r="BS139" t="s">
        <v>1247</v>
      </c>
      <c r="BT139" t="s">
        <v>1248</v>
      </c>
      <c r="BU139" t="s">
        <v>1131</v>
      </c>
      <c r="BV139" t="str">
        <f>HYPERLINK("https://d33htgqikc2pj4.cloudfront.net/9a0d81f799ca5649e3682bd677c6944e/2586b8d453621f7c23f8837927d377cf-file.jpeg", "Maksim Sumatokhin: Ссылка на изображение")</f>
        <v>Maksim Sumatokhin: Ссылка на изображение</v>
      </c>
      <c r="BW139" t="s">
        <v>1249</v>
      </c>
      <c r="BX139" t="s">
        <v>101</v>
      </c>
      <c r="BY139" t="s">
        <v>167</v>
      </c>
    </row>
    <row r="140" spans="1:77" ht="15" customHeight="1" x14ac:dyDescent="0.35">
      <c r="A140">
        <v>32</v>
      </c>
      <c r="B140" t="s">
        <v>1250</v>
      </c>
      <c r="C140">
        <v>3</v>
      </c>
      <c r="D140" t="str">
        <f>VLOOKUP(source[[#This Row],[Приоритет]],тПриоритеты[],2,0)</f>
        <v>Малозначительное</v>
      </c>
      <c r="E1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0" t="s">
        <v>1086</v>
      </c>
      <c r="G140" t="s">
        <v>97</v>
      </c>
      <c r="H140" t="str">
        <f>VLOOKUP(source[[#This Row],[Отвественный]],тОтветственные[],2,0)</f>
        <v>Отв1</v>
      </c>
      <c r="I140" s="2">
        <v>43564</v>
      </c>
      <c r="J140" s="2">
        <v>43566</v>
      </c>
      <c r="K140" t="s">
        <v>158</v>
      </c>
      <c r="L140">
        <v>0</v>
      </c>
      <c r="M140">
        <v>0</v>
      </c>
      <c r="N140" t="s">
        <v>472</v>
      </c>
      <c r="Q140" t="s">
        <v>124</v>
      </c>
      <c r="R140" t="str">
        <f>HYPERLINK("https://d28ji4sm1vmprj.cloudfront.net/09622a2bb466dfd1cdfb85ce6a712a4c/080b534903fe5ecae6d56f3611cbeb01.jpeg", "Ссылка на план")</f>
        <v>Ссылка на план</v>
      </c>
      <c r="S140" s="1">
        <v>43564.460185185184</v>
      </c>
      <c r="T140" s="1">
        <v>43581.730925925927</v>
      </c>
      <c r="U140" s="1">
        <v>43581.730925925927</v>
      </c>
      <c r="W140" s="1">
        <v>43581.730925925927</v>
      </c>
      <c r="Z140" t="s">
        <v>1251</v>
      </c>
      <c r="BF140" t="s">
        <v>118</v>
      </c>
      <c r="BG140" t="s">
        <v>99</v>
      </c>
      <c r="BH140" t="s">
        <v>1252</v>
      </c>
      <c r="BI140" t="s">
        <v>1253</v>
      </c>
      <c r="BJ140" t="s">
        <v>1254</v>
      </c>
      <c r="BK140" t="s">
        <v>1113</v>
      </c>
      <c r="BL140" t="str">
        <f>HYPERLINK("https://d33htgqikc2pj4.cloudfront.net/23b7040374bf8c6fbfad1f22bea03dab/ee6b13a2289e1d5f7db28339ea5a93b0-file.jpeg", "Maksim Sumatokhin: Ссылка на изображение")</f>
        <v>Maksim Sumatokhin: Ссылка на изображение</v>
      </c>
      <c r="BM140" t="str">
        <f>HYPERLINK("https://d33htgqikc2pj4.cloudfront.net/aeede2c61f837a32b89c0bc868b2eb38/39fa37ef73dffaf3372cfe9312e478dc-file.jpeg", "Maksim Sumatokhin: Ссылка на изображение")</f>
        <v>Maksim Sumatokhin: Ссылка на изображение</v>
      </c>
      <c r="BN140" t="s">
        <v>1255</v>
      </c>
      <c r="BO140" t="s">
        <v>117</v>
      </c>
      <c r="BP140" t="s">
        <v>502</v>
      </c>
      <c r="BQ140" t="s">
        <v>102</v>
      </c>
      <c r="BR140" t="s">
        <v>502</v>
      </c>
      <c r="BS140" t="s">
        <v>102</v>
      </c>
    </row>
    <row r="141" spans="1:77" ht="15" customHeight="1" x14ac:dyDescent="0.35">
      <c r="A141">
        <v>261</v>
      </c>
      <c r="B141" t="s">
        <v>1256</v>
      </c>
      <c r="C141">
        <v>2</v>
      </c>
      <c r="D141" t="str">
        <f>VLOOKUP(source[[#This Row],[Приоритет]],тПриоритеты[],2,0)</f>
        <v>Значительное</v>
      </c>
      <c r="E1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1" t="s">
        <v>1086</v>
      </c>
      <c r="G141" t="s">
        <v>97</v>
      </c>
      <c r="H141" t="str">
        <f>VLOOKUP(source[[#This Row],[Отвественный]],тОтветственные[],2,0)</f>
        <v>Отв1</v>
      </c>
      <c r="I141" s="2">
        <v>43662</v>
      </c>
      <c r="J141" s="2">
        <v>43662</v>
      </c>
      <c r="K141" t="s">
        <v>104</v>
      </c>
      <c r="L141">
        <v>0</v>
      </c>
      <c r="M141">
        <v>0</v>
      </c>
      <c r="N141" t="s">
        <v>105</v>
      </c>
      <c r="Q141" t="s">
        <v>106</v>
      </c>
      <c r="R141" t="str">
        <f>HYPERLINK("https://d28ji4sm1vmprj.cloudfront.net/e7a526a7220c3bc5cfeeb407c455c0b3/580ffb055aff8ee0c88c6e676cfba776.jpeg", "Ссылка на план")</f>
        <v>Ссылка на план</v>
      </c>
      <c r="S141" s="1">
        <v>43662.41479166667</v>
      </c>
      <c r="T141" s="1">
        <v>43662.49417824074</v>
      </c>
      <c r="U141" s="1">
        <v>43668.587048611109</v>
      </c>
      <c r="W141" s="1">
        <v>43668.588576388887</v>
      </c>
      <c r="Z141" t="s">
        <v>1257</v>
      </c>
      <c r="BF141" t="s">
        <v>1171</v>
      </c>
      <c r="BG141" t="s">
        <v>99</v>
      </c>
      <c r="BH141" t="s">
        <v>1258</v>
      </c>
      <c r="BI141" t="str">
        <f>HYPERLINK("https://d33htgqikc2pj4.cloudfront.net/bcfa6116-5917-4568-ad7d-319b0e3d2c02.jpeg", "Владимир Чугунов: Ссылка на изображение")</f>
        <v>Владимир Чугунов: Ссылка на изображение</v>
      </c>
      <c r="BJ141" t="str">
        <f>HYPERLINK("https://d33htgqikc2pj4.cloudfront.net/a8ee6fa9-4be6-4592-b74e-329ec5755ff8.jpeg", "Владимир Чугунов: Ссылка на изображение")</f>
        <v>Владимир Чугунов: Ссылка на изображение</v>
      </c>
      <c r="BK141" t="str">
        <f>HYPERLINK("https://d33htgqikc2pj4.cloudfront.net/cb778057-0ccb-4084-be03-173feb9bb319.jpeg", "Владимир Чугунов: Ссылка на изображение")</f>
        <v>Владимир Чугунов: Ссылка на изображение</v>
      </c>
      <c r="BL141" t="str">
        <f>HYPERLINK("https://d33htgqikc2pj4.cloudfront.net/5eaeef46-f27b-4910-aff4-43810466ee87.jpeg", "Владимир Чугунов: Ссылка на изображение")</f>
        <v>Владимир Чугунов: Ссылка на изображение</v>
      </c>
      <c r="BM141" t="str">
        <f>HYPERLINK("https://d33htgqikc2pj4.cloudfront.net/973d4894-fcd0-4f3d-9f05-0498d5b2c784.jpeg", "Владимир Чугунов: Ссылка на изображение")</f>
        <v>Владимир Чугунов: Ссылка на изображение</v>
      </c>
      <c r="BN141" t="str">
        <f>HYPERLINK("https://d33htgqikc2pj4.cloudfront.net/3e14f1e269e45ca2189cf0b32f49fff2/2a1ca4281616954af6b127140ddef6f5-file.jpeg", "Maksim Sumatokhin: Ссылка на изображение")</f>
        <v>Maksim Sumatokhin: Ссылка на изображение</v>
      </c>
      <c r="BO141" t="str">
        <f>HYPERLINK("https://d33htgqikc2pj4.cloudfront.net/d6ec65779678d323cae81e7ab5394b4d/b98da4c5da81b1d47bb95c4ac1e26855-file.jpeg", "Maksim Sumatokhin: Ссылка на изображение")</f>
        <v>Maksim Sumatokhin: Ссылка на изображение</v>
      </c>
      <c r="BP141" t="s">
        <v>1259</v>
      </c>
      <c r="BQ141" t="s">
        <v>101</v>
      </c>
      <c r="BR141" t="s">
        <v>102</v>
      </c>
    </row>
    <row r="142" spans="1:77" ht="15" customHeight="1" x14ac:dyDescent="0.35">
      <c r="A142">
        <v>61</v>
      </c>
      <c r="B142" t="s">
        <v>1260</v>
      </c>
      <c r="C142">
        <v>2</v>
      </c>
      <c r="D142" t="str">
        <f>VLOOKUP(source[[#This Row],[Приоритет]],тПриоритеты[],2,0)</f>
        <v>Значительное</v>
      </c>
      <c r="E1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2" t="s">
        <v>1086</v>
      </c>
      <c r="G142" t="s">
        <v>97</v>
      </c>
      <c r="H142" t="str">
        <f>VLOOKUP(source[[#This Row],[Отвественный]],тОтветственные[],2,0)</f>
        <v>Отв1</v>
      </c>
      <c r="I142" s="2">
        <v>43585</v>
      </c>
      <c r="J142" s="2">
        <v>43593</v>
      </c>
      <c r="K142" t="s">
        <v>158</v>
      </c>
      <c r="L142">
        <v>0</v>
      </c>
      <c r="M142">
        <v>0</v>
      </c>
      <c r="N142" t="s">
        <v>159</v>
      </c>
      <c r="Q142" t="s">
        <v>124</v>
      </c>
      <c r="R142" t="str">
        <f>HYPERLINK("https://d28ji4sm1vmprj.cloudfront.net/09622a2bb466dfd1cdfb85ce6a712a4c/080b534903fe5ecae6d56f3611cbeb01.jpeg", "Ссылка на план")</f>
        <v>Ссылка на план</v>
      </c>
      <c r="S142" s="1">
        <v>43585.66609953704</v>
      </c>
      <c r="T142" s="1">
        <v>43622.41878472222</v>
      </c>
      <c r="U142" s="1">
        <v>43622.41878472222</v>
      </c>
      <c r="W142" s="1">
        <v>43622.418761574074</v>
      </c>
      <c r="Z142" t="s">
        <v>1261</v>
      </c>
      <c r="BF142" t="s">
        <v>1113</v>
      </c>
      <c r="BG142" t="s">
        <v>1262</v>
      </c>
      <c r="BH142" t="s">
        <v>1263</v>
      </c>
      <c r="BI142" t="s">
        <v>1103</v>
      </c>
      <c r="BJ142" t="s">
        <v>1264</v>
      </c>
      <c r="BK142" t="s">
        <v>1265</v>
      </c>
      <c r="BL142" t="s">
        <v>1201</v>
      </c>
      <c r="BM142" t="s">
        <v>1202</v>
      </c>
      <c r="BN142" t="s">
        <v>167</v>
      </c>
    </row>
    <row r="143" spans="1:77" ht="15" customHeight="1" x14ac:dyDescent="0.35">
      <c r="A143">
        <v>101</v>
      </c>
      <c r="B143" t="s">
        <v>1266</v>
      </c>
      <c r="C143">
        <v>1</v>
      </c>
      <c r="D143" t="str">
        <f>VLOOKUP(source[[#This Row],[Приоритет]],тПриоритеты[],2,0)</f>
        <v>КРИТИЧЕСКОЕ</v>
      </c>
      <c r="E1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3" t="s">
        <v>1086</v>
      </c>
      <c r="G143" t="s">
        <v>97</v>
      </c>
      <c r="H143" t="str">
        <f>VLOOKUP(source[[#This Row],[Отвественный]],тОтветственные[],2,0)</f>
        <v>Отв1</v>
      </c>
      <c r="I143" s="2">
        <v>43609</v>
      </c>
      <c r="J143" s="2">
        <v>43609</v>
      </c>
      <c r="K143" t="s">
        <v>274</v>
      </c>
      <c r="L143">
        <v>0</v>
      </c>
      <c r="M143">
        <v>0</v>
      </c>
      <c r="N143" t="s">
        <v>1267</v>
      </c>
      <c r="Q143" t="s">
        <v>124</v>
      </c>
      <c r="R143" t="str">
        <f>HYPERLINK("https://d28ji4sm1vmprj.cloudfront.net/355a08c081c3838ab5b858f428b86049/8945c7522deb0c15488ad801990cffed.jpeg", "Ссылка на план")</f>
        <v>Ссылка на план</v>
      </c>
      <c r="S143" s="1">
        <v>43609.650891203702</v>
      </c>
      <c r="T143" s="1">
        <v>43623.432187500002</v>
      </c>
      <c r="U143" s="1">
        <v>43623.432187500002</v>
      </c>
      <c r="W143" s="1">
        <v>43623.432187500002</v>
      </c>
      <c r="BF143" t="s">
        <v>114</v>
      </c>
      <c r="BG143" t="s">
        <v>1268</v>
      </c>
      <c r="BH143" t="s">
        <v>1269</v>
      </c>
      <c r="BI143" t="s">
        <v>118</v>
      </c>
      <c r="BJ143" s="3" t="s">
        <v>1270</v>
      </c>
      <c r="BK143" s="3" t="s">
        <v>1271</v>
      </c>
      <c r="BL143" t="s">
        <v>99</v>
      </c>
      <c r="BM143" t="s">
        <v>1272</v>
      </c>
      <c r="BN143" t="s">
        <v>1273</v>
      </c>
      <c r="BO143" t="s">
        <v>102</v>
      </c>
    </row>
    <row r="144" spans="1:77" ht="15" customHeight="1" x14ac:dyDescent="0.35">
      <c r="A144">
        <v>130</v>
      </c>
      <c r="B144" t="s">
        <v>1274</v>
      </c>
      <c r="C144">
        <v>3</v>
      </c>
      <c r="D144" t="str">
        <f>VLOOKUP(source[[#This Row],[Приоритет]],тПриоритеты[],2,0)</f>
        <v>Малозначительное</v>
      </c>
      <c r="E1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4" t="s">
        <v>1086</v>
      </c>
      <c r="G144" t="s">
        <v>97</v>
      </c>
      <c r="H144" t="str">
        <f>VLOOKUP(source[[#This Row],[Отвественный]],тОтветственные[],2,0)</f>
        <v>Отв1</v>
      </c>
      <c r="I144" s="2">
        <v>43627</v>
      </c>
      <c r="J144" s="2">
        <v>43627</v>
      </c>
      <c r="K144" t="s">
        <v>438</v>
      </c>
      <c r="L144">
        <v>0</v>
      </c>
      <c r="M144">
        <v>0</v>
      </c>
      <c r="N144" t="s">
        <v>1152</v>
      </c>
      <c r="Q144" t="s">
        <v>124</v>
      </c>
      <c r="R144" t="str">
        <f>HYPERLINK("https://d28ji4sm1vmprj.cloudfront.net/acfc9aa0097603f62cea0f398f3db1cc/12b88cc06de177b1006ee0f4fecb634c.jpeg", "Ссылка на план")</f>
        <v>Ссылка на план</v>
      </c>
      <c r="S144" s="1">
        <v>43627.675405092596</v>
      </c>
      <c r="T144" s="1">
        <v>43635.402141203704</v>
      </c>
      <c r="U144" s="1">
        <v>43635.494652777779</v>
      </c>
      <c r="W144" s="1">
        <v>43635.494664351849</v>
      </c>
      <c r="BF144" t="s">
        <v>1275</v>
      </c>
      <c r="BG144" t="s">
        <v>99</v>
      </c>
      <c r="BH144" t="s">
        <v>1276</v>
      </c>
      <c r="BI144" t="s">
        <v>502</v>
      </c>
      <c r="BJ144" t="str">
        <f>HYPERLINK("https://d33htgqikc2pj4.cloudfront.net/87857189-d291-4f7f-b943-60cde2f596ed.jpeg", "Владимир Чугунов: Ссылка на изображение")</f>
        <v>Владимир Чугунов: Ссылка на изображение</v>
      </c>
      <c r="BK144" t="s">
        <v>1277</v>
      </c>
      <c r="BL144" t="s">
        <v>1278</v>
      </c>
      <c r="BM144" t="str">
        <f>HYPERLINK("https://d33htgqikc2pj4.cloudfront.net/6a85ffbf0000950a3148df5d7f2b6423/1f278f05d753a7670d0b5de8281ac5e3-file.jpeg", "Maksim Sumatokhin: Ссылка на изображение")</f>
        <v>Maksim Sumatokhin: Ссылка на изображение</v>
      </c>
      <c r="BN144" t="s">
        <v>1279</v>
      </c>
      <c r="BO144" t="s">
        <v>101</v>
      </c>
      <c r="BP144" t="s">
        <v>102</v>
      </c>
    </row>
    <row r="145" spans="1:76" ht="15" customHeight="1" x14ac:dyDescent="0.35">
      <c r="A145">
        <v>126</v>
      </c>
      <c r="B145" t="s">
        <v>1280</v>
      </c>
      <c r="C145">
        <v>3</v>
      </c>
      <c r="D145" t="str">
        <f>VLOOKUP(source[[#This Row],[Приоритет]],тПриоритеты[],2,0)</f>
        <v>Малозначительное</v>
      </c>
      <c r="E1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5" t="s">
        <v>1086</v>
      </c>
      <c r="G145" t="s">
        <v>97</v>
      </c>
      <c r="H145" t="str">
        <f>VLOOKUP(source[[#This Row],[Отвественный]],тОтветственные[],2,0)</f>
        <v>Отв1</v>
      </c>
      <c r="I145" s="2">
        <v>43626</v>
      </c>
      <c r="J145" s="2">
        <v>43633</v>
      </c>
      <c r="K145" t="s">
        <v>313</v>
      </c>
      <c r="L145">
        <v>26.25</v>
      </c>
      <c r="M145">
        <v>51.3</v>
      </c>
      <c r="N145" t="s">
        <v>159</v>
      </c>
      <c r="Q145" t="s">
        <v>106</v>
      </c>
      <c r="R145" t="str">
        <f>HYPERLINK("https://d28ji4sm1vmprj.cloudfront.net/464215be55b88773f54b8cd83354babd/02eaaeba9564da889c4ba5d284544147.jpeg", "Ссылка на план")</f>
        <v>Ссылка на план</v>
      </c>
      <c r="S145" s="1">
        <v>43626.626701388886</v>
      </c>
      <c r="T145" s="1">
        <v>43648.624710648146</v>
      </c>
      <c r="U145" s="1">
        <v>43648.630509259259</v>
      </c>
      <c r="W145" s="1">
        <v>43648.630532407406</v>
      </c>
      <c r="BF145" t="s">
        <v>1281</v>
      </c>
      <c r="BG145" t="s">
        <v>1099</v>
      </c>
      <c r="BH145" t="s">
        <v>273</v>
      </c>
      <c r="BI145" t="s">
        <v>1282</v>
      </c>
      <c r="BJ145" t="str">
        <f>HYPERLINK("https://d33htgqikc2pj4.cloudfront.net/23d1c626-63c6-419d-ade7-4ea0ae17bef7.jpeg", "Андрей Денисов: Ссылка на изображение")</f>
        <v>Андрей Денисов: Ссылка на изображение</v>
      </c>
      <c r="BK145" t="s">
        <v>171</v>
      </c>
      <c r="BL145" t="s">
        <v>1283</v>
      </c>
      <c r="BM145" t="s">
        <v>1103</v>
      </c>
      <c r="BN145" t="str">
        <f>HYPERLINK("https://d33htgqikc2pj4.cloudfront.net/440422d5c4e79857d77571d8470f7dab/49491d2d480c70d0645a431c27cd01cd-file.jpeg", "Maksim Sumatokhin: Ссылка на изображение")</f>
        <v>Maksim Sumatokhin: Ссылка на изображение</v>
      </c>
      <c r="BO145" t="s">
        <v>1284</v>
      </c>
      <c r="BP145" t="s">
        <v>101</v>
      </c>
      <c r="BQ145" t="s">
        <v>1285</v>
      </c>
      <c r="BR145" t="s">
        <v>1157</v>
      </c>
      <c r="BS145" t="str">
        <f>HYPERLINK("https://d33htgqikc2pj4.cloudfront.net/064f1fbdccb74237efee48ea27521ffd/5ec80d0f4801c13886563f0cf6bb81b8-file.jpeg", "Maksim Sumatokhin: Ссылка на изображение")</f>
        <v>Maksim Sumatokhin: Ссылка на изображение</v>
      </c>
      <c r="BT145" t="s">
        <v>1286</v>
      </c>
      <c r="BU145" t="s">
        <v>101</v>
      </c>
      <c r="BV145" t="s">
        <v>167</v>
      </c>
    </row>
    <row r="146" spans="1:76" ht="15" customHeight="1" x14ac:dyDescent="0.35">
      <c r="A146">
        <v>158</v>
      </c>
      <c r="B146" t="s">
        <v>1287</v>
      </c>
      <c r="C146">
        <v>2</v>
      </c>
      <c r="D146" t="str">
        <f>VLOOKUP(source[[#This Row],[Приоритет]],тПриоритеты[],2,0)</f>
        <v>Значительное</v>
      </c>
      <c r="E1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6" t="s">
        <v>1086</v>
      </c>
      <c r="G146" t="s">
        <v>97</v>
      </c>
      <c r="H146" t="str">
        <f>VLOOKUP(source[[#This Row],[Отвественный]],тОтветственные[],2,0)</f>
        <v>Отв1</v>
      </c>
      <c r="I146" s="2">
        <v>43640</v>
      </c>
      <c r="J146" s="2">
        <v>43640</v>
      </c>
      <c r="K146" t="s">
        <v>1097</v>
      </c>
      <c r="L146">
        <v>0</v>
      </c>
      <c r="M146">
        <v>0</v>
      </c>
      <c r="N146" t="s">
        <v>159</v>
      </c>
      <c r="Q146" t="s">
        <v>124</v>
      </c>
      <c r="R146" t="str">
        <f>HYPERLINK("https://d28ji4sm1vmprj.cloudfront.net/771c0ef0ebe23efbf49154f136f91c17/30c519e76b5ea8a3cc9872dbb4e3cfa8.jpeg", "Ссылка на план")</f>
        <v>Ссылка на план</v>
      </c>
      <c r="S146" s="1">
        <v>43640.415196759262</v>
      </c>
      <c r="T146" s="1">
        <v>43648.649155092593</v>
      </c>
      <c r="U146" s="1">
        <v>43648.653668981482</v>
      </c>
      <c r="W146" s="1">
        <v>43648.653680555559</v>
      </c>
      <c r="BF146" t="s">
        <v>1288</v>
      </c>
      <c r="BG146" t="s">
        <v>1289</v>
      </c>
      <c r="BH146" t="str">
        <f>HYPERLINK("https://d33htgqikc2pj4.cloudfront.net/7bab769a-e11a-4424-a3f6-d4240396d955.jpeg", "Владимир Чугунов: Ссылка на изображение")</f>
        <v>Владимир Чугунов: Ссылка на изображение</v>
      </c>
      <c r="BI146" t="str">
        <f>HYPERLINK("https://d33htgqikc2pj4.cloudfront.net/01dc4516-26f1-4b92-89a5-71509ebb6bbb.jpeg", "Владимир Чугунов: Ссылка на изображение")</f>
        <v>Владимир Чугунов: Ссылка на изображение</v>
      </c>
      <c r="BJ146" t="str">
        <f>HYPERLINK("https://d33htgqikc2pj4.cloudfront.net/5b9a2598-ad8d-4551-a10d-bc05a3ea38bc.jpeg", "Владимир Чугунов: Ссылка на изображение")</f>
        <v>Владимир Чугунов: Ссылка на изображение</v>
      </c>
      <c r="BK146" t="str">
        <f>HYPERLINK("https://d33htgqikc2pj4.cloudfront.net/83f55dc2-3fe5-4926-8cdb-2a6ad453b723.jpeg", "Владимир Чугунов: Ссылка на изображение")</f>
        <v>Владимир Чугунов: Ссылка на изображение</v>
      </c>
      <c r="BL146" t="s">
        <v>99</v>
      </c>
      <c r="BM146" t="s">
        <v>126</v>
      </c>
      <c r="BN146" t="s">
        <v>1290</v>
      </c>
      <c r="BO146" t="s">
        <v>101</v>
      </c>
      <c r="BP146" t="s">
        <v>102</v>
      </c>
    </row>
    <row r="147" spans="1:76" ht="15" customHeight="1" x14ac:dyDescent="0.35">
      <c r="A147">
        <v>266</v>
      </c>
      <c r="B147" t="s">
        <v>1291</v>
      </c>
      <c r="C147">
        <v>1</v>
      </c>
      <c r="D147" t="str">
        <f>VLOOKUP(source[[#This Row],[Приоритет]],тПриоритеты[],2,0)</f>
        <v>КРИТИЧЕСКОЕ</v>
      </c>
      <c r="E1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7" t="s">
        <v>1086</v>
      </c>
      <c r="G147" t="s">
        <v>97</v>
      </c>
      <c r="H147" t="str">
        <f>VLOOKUP(source[[#This Row],[Отвественный]],тОтветственные[],2,0)</f>
        <v>Отв1</v>
      </c>
      <c r="I147" s="2">
        <v>43663</v>
      </c>
      <c r="J147" s="2">
        <v>43663</v>
      </c>
      <c r="K147" t="s">
        <v>1058</v>
      </c>
      <c r="L147">
        <v>0</v>
      </c>
      <c r="M147">
        <v>0</v>
      </c>
      <c r="N147" t="s">
        <v>213</v>
      </c>
      <c r="Q147" t="s">
        <v>124</v>
      </c>
      <c r="R147" t="str">
        <f>HYPERLINK("https://d28ji4sm1vmprj.cloudfront.net/36167089e08e1ee401f4f57d88869b74/9a4ef6d7d17215a7139533e84371548c.jpeg", "Ссылка на план")</f>
        <v>Ссылка на план</v>
      </c>
      <c r="S147" s="1">
        <v>43663.615624999999</v>
      </c>
      <c r="T147" s="1">
        <v>43734.718402777777</v>
      </c>
      <c r="U147" s="1">
        <v>43734.718402777777</v>
      </c>
      <c r="W147" s="1">
        <v>43734.718402777777</v>
      </c>
      <c r="BF147" t="s">
        <v>118</v>
      </c>
      <c r="BG147" t="s">
        <v>1292</v>
      </c>
      <c r="BH147" t="s">
        <v>548</v>
      </c>
      <c r="BI147" t="str">
        <f>HYPERLINK("https://d33htgqikc2pj4.cloudfront.net/7de0047f-ca4b-4bf0-a816-5a40faff1ce2.jpeg", "Владимир Чугунов: Ссылка на изображение")</f>
        <v>Владимир Чугунов: Ссылка на изображение</v>
      </c>
      <c r="BJ147" t="s">
        <v>1293</v>
      </c>
      <c r="BK147" t="s">
        <v>99</v>
      </c>
      <c r="BL147" t="s">
        <v>102</v>
      </c>
    </row>
    <row r="148" spans="1:76" ht="15" customHeight="1" x14ac:dyDescent="0.35">
      <c r="A148">
        <v>114</v>
      </c>
      <c r="B148" t="s">
        <v>1294</v>
      </c>
      <c r="C148">
        <v>2</v>
      </c>
      <c r="D148" t="str">
        <f>VLOOKUP(source[[#This Row],[Приоритет]],тПриоритеты[],2,0)</f>
        <v>Значительное</v>
      </c>
      <c r="E1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8" t="s">
        <v>1086</v>
      </c>
      <c r="G148" t="s">
        <v>97</v>
      </c>
      <c r="H148" t="str">
        <f>VLOOKUP(source[[#This Row],[Отвественный]],тОтветственные[],2,0)</f>
        <v>Отв1</v>
      </c>
      <c r="I148" s="2">
        <v>43620</v>
      </c>
      <c r="J148" s="2">
        <v>43620</v>
      </c>
      <c r="K148" t="s">
        <v>438</v>
      </c>
      <c r="L148">
        <v>0</v>
      </c>
      <c r="M148">
        <v>0</v>
      </c>
      <c r="N148" t="s">
        <v>1152</v>
      </c>
      <c r="Q148" t="s">
        <v>124</v>
      </c>
      <c r="R148" t="str">
        <f>HYPERLINK("https://d28ji4sm1vmprj.cloudfront.net/acfc9aa0097603f62cea0f398f3db1cc/12b88cc06de177b1006ee0f4fecb634c.jpeg", "Ссылка на план")</f>
        <v>Ссылка на план</v>
      </c>
      <c r="S148" s="1">
        <v>43620.387280092589</v>
      </c>
      <c r="T148" s="1">
        <v>43623.431921296295</v>
      </c>
      <c r="U148" s="1">
        <v>43623.431921296295</v>
      </c>
      <c r="W148" s="1">
        <v>43623.431932870371</v>
      </c>
      <c r="BF148" t="s">
        <v>1295</v>
      </c>
      <c r="BG148" t="s">
        <v>114</v>
      </c>
      <c r="BH148" t="s">
        <v>117</v>
      </c>
      <c r="BI148" t="s">
        <v>1296</v>
      </c>
      <c r="BJ148" t="s">
        <v>1297</v>
      </c>
      <c r="BK148" t="s">
        <v>99</v>
      </c>
      <c r="BL148" t="str">
        <f>HYPERLINK("https://d33htgqikc2pj4.cloudfront.net/880c35f8b9d64c9dcc4ae5b03b971233/b4d1ee2bf95ab8b3e87169c95f797fe9-file.jpeg", "Maksim Sumatokhin: Ссылка на изображение")</f>
        <v>Maksim Sumatokhin: Ссылка на изображение</v>
      </c>
      <c r="BM148" t="str">
        <f>HYPERLINK("https://d33htgqikc2pj4.cloudfront.net/d3d8d3824ab75aadee9bfc2ed3192b02/ccf9d4f0f44c420336d5f85b738d6ffb-file.jpeg", "Maksim Sumatokhin: Ссылка на изображение")</f>
        <v>Maksim Sumatokhin: Ссылка на изображение</v>
      </c>
      <c r="BN148" t="s">
        <v>1298</v>
      </c>
      <c r="BO148" t="s">
        <v>102</v>
      </c>
    </row>
    <row r="149" spans="1:76" ht="15" customHeight="1" x14ac:dyDescent="0.35">
      <c r="A149">
        <v>58</v>
      </c>
      <c r="B149" t="s">
        <v>1299</v>
      </c>
      <c r="C149">
        <v>3</v>
      </c>
      <c r="D149" t="str">
        <f>VLOOKUP(source[[#This Row],[Приоритет]],тПриоритеты[],2,0)</f>
        <v>Малозначительное</v>
      </c>
      <c r="E1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49" t="s">
        <v>1086</v>
      </c>
      <c r="G149" t="s">
        <v>97</v>
      </c>
      <c r="H149" t="str">
        <f>VLOOKUP(source[[#This Row],[Отвественный]],тОтветственные[],2,0)</f>
        <v>Отв1</v>
      </c>
      <c r="I149" s="2">
        <v>43585</v>
      </c>
      <c r="J149" s="2">
        <v>43593</v>
      </c>
      <c r="K149" t="s">
        <v>158</v>
      </c>
      <c r="L149">
        <v>0</v>
      </c>
      <c r="M149">
        <v>0</v>
      </c>
      <c r="N149" t="s">
        <v>213</v>
      </c>
      <c r="Q149" t="s">
        <v>124</v>
      </c>
      <c r="R149" t="str">
        <f>HYPERLINK("https://d28ji4sm1vmprj.cloudfront.net/09622a2bb466dfd1cdfb85ce6a712a4c/080b534903fe5ecae6d56f3611cbeb01.jpeg", "Ссылка на план")</f>
        <v>Ссылка на план</v>
      </c>
      <c r="S149" s="1">
        <v>43585.60056712963</v>
      </c>
      <c r="T149" s="1">
        <v>43621.769907407404</v>
      </c>
      <c r="U149" s="1">
        <v>43621.769907407404</v>
      </c>
      <c r="W149" s="1">
        <v>43621.769884259258</v>
      </c>
      <c r="Z149" t="s">
        <v>1300</v>
      </c>
      <c r="BF149" t="s">
        <v>1104</v>
      </c>
      <c r="BG149" t="s">
        <v>1157</v>
      </c>
      <c r="BH149" t="s">
        <v>1301</v>
      </c>
      <c r="BI149" t="s">
        <v>1113</v>
      </c>
      <c r="BJ149" t="s">
        <v>1262</v>
      </c>
      <c r="BK149" t="s">
        <v>1302</v>
      </c>
      <c r="BL149" t="s">
        <v>1157</v>
      </c>
      <c r="BM149" t="s">
        <v>167</v>
      </c>
      <c r="BN149" t="s">
        <v>1157</v>
      </c>
      <c r="BO149" t="s">
        <v>1302</v>
      </c>
      <c r="BP149" t="s">
        <v>191</v>
      </c>
      <c r="BQ149" t="s">
        <v>1157</v>
      </c>
      <c r="BR149" t="s">
        <v>1263</v>
      </c>
      <c r="BS149" t="s">
        <v>1303</v>
      </c>
      <c r="BT149" t="s">
        <v>1304</v>
      </c>
      <c r="BU149" t="str">
        <f>HYPERLINK("https://d33htgqikc2pj4.cloudfront.net/1f49e716-cdda-42cb-aa68-d077639179ee.jpeg", "Андрей Денисов: Ссылка на изображение")</f>
        <v>Андрей Денисов: Ссылка на изображение</v>
      </c>
      <c r="BV149" t="s">
        <v>1103</v>
      </c>
      <c r="BW149" t="s">
        <v>1305</v>
      </c>
      <c r="BX149" t="s">
        <v>167</v>
      </c>
    </row>
    <row r="150" spans="1:76" ht="15" customHeight="1" x14ac:dyDescent="0.35">
      <c r="A150">
        <v>363</v>
      </c>
      <c r="B150" t="s">
        <v>1306</v>
      </c>
      <c r="C150">
        <v>2</v>
      </c>
      <c r="D150" t="str">
        <f>VLOOKUP(source[[#This Row],[Приоритет]],тПриоритеты[],2,0)</f>
        <v>Значительное</v>
      </c>
      <c r="E1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0" t="s">
        <v>1086</v>
      </c>
      <c r="G150" t="s">
        <v>97</v>
      </c>
      <c r="H150" t="str">
        <f>VLOOKUP(source[[#This Row],[Отвественный]],тОтветственные[],2,0)</f>
        <v>Отв1</v>
      </c>
      <c r="I150" s="2">
        <v>43692</v>
      </c>
      <c r="J150" s="2">
        <v>43692</v>
      </c>
      <c r="K150" t="s">
        <v>1140</v>
      </c>
      <c r="L150">
        <v>0</v>
      </c>
      <c r="M150">
        <v>0</v>
      </c>
      <c r="N150" t="s">
        <v>159</v>
      </c>
      <c r="Q150" t="s">
        <v>124</v>
      </c>
      <c r="R150" t="str">
        <f>HYPERLINK("https://d28ji4sm1vmprj.cloudfront.net/c5d209a024836ec2ada84aa582e41b16/79a1f4c0dabf9290650e6720075a0877.jpeg", "Ссылка на план")</f>
        <v>Ссылка на план</v>
      </c>
      <c r="S150" s="1">
        <v>43692.585868055554</v>
      </c>
      <c r="T150" s="1">
        <v>43703.406817129631</v>
      </c>
      <c r="U150" s="1">
        <v>43704.669618055559</v>
      </c>
      <c r="W150" s="1">
        <v>43704.669618055559</v>
      </c>
      <c r="BF150" t="s">
        <v>1307</v>
      </c>
      <c r="BG150" t="s">
        <v>99</v>
      </c>
      <c r="BH150" t="s">
        <v>1308</v>
      </c>
      <c r="BI150" t="str">
        <f>HYPERLINK("https://d33htgqikc2pj4.cloudfront.net/75a6b503-af83-4f2f-932e-b4e0f47c420c.jpeg", "Владимир Чугунов: Ссылка на изображение")</f>
        <v>Владимир Чугунов: Ссылка на изображение</v>
      </c>
      <c r="BJ150" t="str">
        <f>HYPERLINK("https://d33htgqikc2pj4.cloudfront.net/1eab4381-c68e-4aa9-9a9d-7ada7a9a3408.jpeg", "Владимир Чугунов: Ссылка на изображение")</f>
        <v>Владимир Чугунов: Ссылка на изображение</v>
      </c>
      <c r="BK150" t="str">
        <f>HYPERLINK("https://d33htgqikc2pj4.cloudfront.net/83534fb9c3a1018b957e042ce41478f5/345678babeca0f34c17ac0cf27621e29-file.jpeg", "Maksim Sumatokhin: Ссылка на изображение")</f>
        <v>Maksim Sumatokhin: Ссылка на изображение</v>
      </c>
      <c r="BL150" t="str">
        <f>HYPERLINK("https://d33htgqikc2pj4.cloudfront.net/182adf40bc9307c55e81566a30af6710/921128ab884968fa22886c98c06024e4-file.jpeg", "Maksim Sumatokhin: Ссылка на изображение")</f>
        <v>Maksim Sumatokhin: Ссылка на изображение</v>
      </c>
      <c r="BM150" t="str">
        <f>HYPERLINK("https://d33htgqikc2pj4.cloudfront.net/4e973e770be76e99e79aa1e88f269e3a/4113ce7d4e2d96d767fe689f30065112-file.jpeg", "Maksim Sumatokhin: Ссылка на изображение")</f>
        <v>Maksim Sumatokhin: Ссылка на изображение</v>
      </c>
      <c r="BN150" t="s">
        <v>1309</v>
      </c>
      <c r="BO150" t="s">
        <v>101</v>
      </c>
      <c r="BP150" t="s">
        <v>102</v>
      </c>
    </row>
    <row r="151" spans="1:76" ht="15" customHeight="1" x14ac:dyDescent="0.35">
      <c r="A151">
        <v>216</v>
      </c>
      <c r="B151" t="s">
        <v>1310</v>
      </c>
      <c r="C151">
        <v>1</v>
      </c>
      <c r="D151" t="str">
        <f>VLOOKUP(source[[#This Row],[Приоритет]],тПриоритеты[],2,0)</f>
        <v>КРИТИЧЕСКОЕ</v>
      </c>
      <c r="E1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1" t="s">
        <v>1086</v>
      </c>
      <c r="G151" t="s">
        <v>97</v>
      </c>
      <c r="H151" t="str">
        <f>VLOOKUP(source[[#This Row],[Отвественный]],тОтветственные[],2,0)</f>
        <v>Отв1</v>
      </c>
      <c r="I151" s="2">
        <v>43655</v>
      </c>
      <c r="J151" s="2">
        <v>43658</v>
      </c>
      <c r="K151" t="s">
        <v>313</v>
      </c>
      <c r="L151">
        <v>0</v>
      </c>
      <c r="M151">
        <v>0</v>
      </c>
      <c r="N151" t="s">
        <v>159</v>
      </c>
      <c r="Q151" t="s">
        <v>106</v>
      </c>
      <c r="R151" t="str">
        <f>HYPERLINK("https://d28ji4sm1vmprj.cloudfront.net/464215be55b88773f54b8cd83354babd/02eaaeba9564da889c4ba5d284544147.jpeg", "Ссылка на план")</f>
        <v>Ссылка на план</v>
      </c>
      <c r="S151" s="1">
        <v>43655.46125</v>
      </c>
      <c r="T151" s="1">
        <v>43685.429050925923</v>
      </c>
      <c r="U151" s="1">
        <v>43685.588263888887</v>
      </c>
      <c r="W151" s="1">
        <v>43685.588263888887</v>
      </c>
      <c r="BF151" t="s">
        <v>191</v>
      </c>
      <c r="BG151" t="s">
        <v>1311</v>
      </c>
      <c r="BH151" t="s">
        <v>1113</v>
      </c>
      <c r="BI151" t="s">
        <v>1312</v>
      </c>
      <c r="BJ151" t="s">
        <v>1313</v>
      </c>
      <c r="BK151" t="s">
        <v>1314</v>
      </c>
      <c r="BL151" t="str">
        <f>HYPERLINK("https://d33htgqikc2pj4.cloudfront.net/a22f2a31-f10c-44f0-bce8-43c7b8daa8f6.jpeg", "Андрей Денисов: Ссылка на изображение")</f>
        <v>Андрей Денисов: Ссылка на изображение</v>
      </c>
      <c r="BM151" t="str">
        <f>HYPERLINK("https://d33htgqikc2pj4.cloudfront.net/eb33c4fd-09a5-4a49-b2b0-42cf71698b70.jpeg", "Андрей Денисов: Ссылка на изображение")</f>
        <v>Андрей Денисов: Ссылка на изображение</v>
      </c>
      <c r="BN151" t="str">
        <f>HYPERLINK("https://d33htgqikc2pj4.cloudfront.net/7cc3b31d-7f43-4637-bbd0-2c11f7c8bcf3.jpeg", "Андрей Денисов: Ссылка на изображение")</f>
        <v>Андрей Денисов: Ссылка на изображение</v>
      </c>
      <c r="BO151" t="s">
        <v>1103</v>
      </c>
      <c r="BP151" t="s">
        <v>1192</v>
      </c>
      <c r="BQ151" t="str">
        <f>HYPERLINK("https://d33htgqikc2pj4.cloudfront.net/075c3c3371af607ba1243446753803c3/e60926743ab6365cbd8bc25036790226-file.jpeg", "Maksim Sumatokhin: Ссылка на изображение")</f>
        <v>Maksim Sumatokhin: Ссылка на изображение</v>
      </c>
      <c r="BR151" t="s">
        <v>101</v>
      </c>
      <c r="BS151" t="s">
        <v>1315</v>
      </c>
      <c r="BT151" t="s">
        <v>1131</v>
      </c>
      <c r="BU151" t="str">
        <f>HYPERLINK("https://d33htgqikc2pj4.cloudfront.net/e01c90a6dfc367e0c4a07e40fb47b495/dc122fe4e4f78d6f9660d64e3163a6e7-file.jpeg", "Maksim Sumatokhin: Ссылка на изображение")</f>
        <v>Maksim Sumatokhin: Ссылка на изображение</v>
      </c>
      <c r="BV151" t="s">
        <v>1316</v>
      </c>
      <c r="BW151" t="s">
        <v>101</v>
      </c>
      <c r="BX151" t="s">
        <v>167</v>
      </c>
    </row>
    <row r="152" spans="1:76" ht="15" customHeight="1" x14ac:dyDescent="0.35">
      <c r="A152">
        <v>218</v>
      </c>
      <c r="B152" t="s">
        <v>1317</v>
      </c>
      <c r="C152">
        <v>1</v>
      </c>
      <c r="D152" t="str">
        <f>VLOOKUP(source[[#This Row],[Приоритет]],тПриоритеты[],2,0)</f>
        <v>КРИТИЧЕСКОЕ</v>
      </c>
      <c r="E1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2" t="s">
        <v>1086</v>
      </c>
      <c r="G152" t="s">
        <v>97</v>
      </c>
      <c r="H152" t="str">
        <f>VLOOKUP(source[[#This Row],[Отвественный]],тОтветственные[],2,0)</f>
        <v>Отв1</v>
      </c>
      <c r="I152" s="2">
        <v>43655</v>
      </c>
      <c r="J152" s="2">
        <v>43658</v>
      </c>
      <c r="K152" t="s">
        <v>104</v>
      </c>
      <c r="L152">
        <v>0</v>
      </c>
      <c r="M152">
        <v>0</v>
      </c>
      <c r="N152" t="s">
        <v>105</v>
      </c>
      <c r="Q152" t="s">
        <v>106</v>
      </c>
      <c r="R152" t="str">
        <f>HYPERLINK("https://d28ji4sm1vmprj.cloudfront.net/e7a526a7220c3bc5cfeeb407c455c0b3/580ffb055aff8ee0c88c6e676cfba776.jpeg", "Ссылка на план")</f>
        <v>Ссылка на план</v>
      </c>
      <c r="S152" s="1">
        <v>43655.583449074074</v>
      </c>
      <c r="T152" s="1">
        <v>43665.66646990741</v>
      </c>
      <c r="U152" s="1">
        <v>43670.716817129629</v>
      </c>
      <c r="W152" s="1">
        <v>43670.716689814813</v>
      </c>
      <c r="BF152" t="s">
        <v>191</v>
      </c>
      <c r="BG152" t="s">
        <v>1318</v>
      </c>
      <c r="BH152" t="s">
        <v>1113</v>
      </c>
      <c r="BI152" t="s">
        <v>1312</v>
      </c>
      <c r="BJ152" t="s">
        <v>1313</v>
      </c>
      <c r="BK152" t="s">
        <v>1319</v>
      </c>
      <c r="BL152" t="str">
        <f>HYPERLINK("https://d33htgqikc2pj4.cloudfront.net/254ca36a-476a-4755-985a-fc62054008a0.jpeg", "Андрей Денисов: Ссылка на изображение")</f>
        <v>Андрей Денисов: Ссылка на изображение</v>
      </c>
      <c r="BM152" t="str">
        <f>HYPERLINK("https://d33htgqikc2pj4.cloudfront.net/dcd225f4-aa49-442b-8d77-52fc702f190f.jpeg", "Андрей Денисов: Ссылка на изображение")</f>
        <v>Андрей Денисов: Ссылка на изображение</v>
      </c>
      <c r="BN152" t="str">
        <f>HYPERLINK("https://d33htgqikc2pj4.cloudfront.net/66bef3c1-fb62-45c5-8a82-18b01c8c97cd.jpeg", "Андрей Денисов: Ссылка на изображение")</f>
        <v>Андрей Денисов: Ссылка на изображение</v>
      </c>
      <c r="BO152" t="s">
        <v>1320</v>
      </c>
      <c r="BP152" t="s">
        <v>1103</v>
      </c>
      <c r="BQ152" t="str">
        <f>HYPERLINK("https://d33htgqikc2pj4.cloudfront.net/qvHDimMUqxZcQnsj/hDN90pmmTdS6YGCUedHU_87d402db1ad3f1684be2146f8835ae8a-file.jpg", "Maksim Sumatokhin: Ссылка на изображение")</f>
        <v>Maksim Sumatokhin: Ссылка на изображение</v>
      </c>
      <c r="BR152" t="s">
        <v>1321</v>
      </c>
      <c r="BS152" t="s">
        <v>1322</v>
      </c>
      <c r="BT152" t="s">
        <v>101</v>
      </c>
      <c r="BU152" t="s">
        <v>167</v>
      </c>
    </row>
    <row r="153" spans="1:76" ht="15" customHeight="1" x14ac:dyDescent="0.35">
      <c r="A153">
        <v>197</v>
      </c>
      <c r="B153" t="s">
        <v>1323</v>
      </c>
      <c r="C153">
        <v>2</v>
      </c>
      <c r="D153" t="str">
        <f>VLOOKUP(source[[#This Row],[Приоритет]],тПриоритеты[],2,0)</f>
        <v>Значительное</v>
      </c>
      <c r="E1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3" t="s">
        <v>1086</v>
      </c>
      <c r="G153" t="s">
        <v>97</v>
      </c>
      <c r="H153" t="str">
        <f>VLOOKUP(source[[#This Row],[Отвественный]],тОтветственные[],2,0)</f>
        <v>Отв1</v>
      </c>
      <c r="I153" s="2">
        <v>43649</v>
      </c>
      <c r="J153" s="2">
        <v>43656</v>
      </c>
      <c r="K153" t="s">
        <v>158</v>
      </c>
      <c r="L153">
        <v>0</v>
      </c>
      <c r="M153">
        <v>0</v>
      </c>
      <c r="N153" t="s">
        <v>159</v>
      </c>
      <c r="Q153" t="s">
        <v>124</v>
      </c>
      <c r="R153" t="str">
        <f>HYPERLINK("https://d28ji4sm1vmprj.cloudfront.net/09622a2bb466dfd1cdfb85ce6a712a4c/080b534903fe5ecae6d56f3611cbeb01.jpeg", "Ссылка на план")</f>
        <v>Ссылка на план</v>
      </c>
      <c r="S153" s="1">
        <v>43649.440775462965</v>
      </c>
      <c r="T153" s="1">
        <v>43658.620335648149</v>
      </c>
      <c r="U153" s="1">
        <v>43658.646655092591</v>
      </c>
      <c r="W153" s="1">
        <v>43658.646261574075</v>
      </c>
      <c r="BF153" t="s">
        <v>1324</v>
      </c>
      <c r="BG153" t="s">
        <v>1325</v>
      </c>
      <c r="BH153" t="s">
        <v>1326</v>
      </c>
      <c r="BI153" t="str">
        <f>HYPERLINK("https://d33htgqikc2pj4.cloudfront.net/38daf1fa-d52c-4f6a-841d-3a2a7a7fdf0c.jpeg", "Андрей Денисов: Ссылка на изображение")</f>
        <v>Андрей Денисов: Ссылка на изображение</v>
      </c>
      <c r="BJ153" t="str">
        <f>HYPERLINK("https://d33htgqikc2pj4.cloudfront.net/169b0356-0d8b-40e8-a790-04225d79d664.jpeg", "Андрей Денисов: Ссылка на изображение")</f>
        <v>Андрей Денисов: Ссылка на изображение</v>
      </c>
      <c r="BK153" t="str">
        <f>HYPERLINK("https://d33htgqikc2pj4.cloudfront.net/7c1e4739-b91f-466c-b559-a856df80f4c1.jpeg", "Андрей Денисов: Ссылка на изображение")</f>
        <v>Андрей Денисов: Ссылка на изображение</v>
      </c>
      <c r="BL153" t="s">
        <v>1327</v>
      </c>
      <c r="BM153" t="s">
        <v>1103</v>
      </c>
      <c r="BN153" t="str">
        <f>HYPERLINK("https://d33htgqikc2pj4.cloudfront.net/qvHDimMUqxZcQnsj/0KIGYvrHTWW9z2A9HCme_eecb02c817b1a58455fc05f3c7c8536d-file.jpg", "Maksim Sumatokhin: Ссылка на изображение")</f>
        <v>Maksim Sumatokhin: Ссылка на изображение</v>
      </c>
      <c r="BO153" t="s">
        <v>1328</v>
      </c>
      <c r="BP153" t="s">
        <v>101</v>
      </c>
      <c r="BQ153" t="s">
        <v>167</v>
      </c>
    </row>
    <row r="154" spans="1:76" ht="15" customHeight="1" x14ac:dyDescent="0.35">
      <c r="A154">
        <v>198</v>
      </c>
      <c r="B154" t="s">
        <v>1329</v>
      </c>
      <c r="C154">
        <v>1</v>
      </c>
      <c r="D154" t="str">
        <f>VLOOKUP(source[[#This Row],[Приоритет]],тПриоритеты[],2,0)</f>
        <v>КРИТИЧЕСКОЕ</v>
      </c>
      <c r="E1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4" t="s">
        <v>1086</v>
      </c>
      <c r="G154" t="s">
        <v>97</v>
      </c>
      <c r="H154" t="str">
        <f>VLOOKUP(source[[#This Row],[Отвественный]],тОтветственные[],2,0)</f>
        <v>Отв1</v>
      </c>
      <c r="I154" s="2">
        <v>43650</v>
      </c>
      <c r="J154" s="2">
        <v>43651</v>
      </c>
      <c r="K154" t="s">
        <v>158</v>
      </c>
      <c r="L154">
        <v>0</v>
      </c>
      <c r="M154">
        <v>0</v>
      </c>
      <c r="N154" t="s">
        <v>159</v>
      </c>
      <c r="Q154" t="s">
        <v>124</v>
      </c>
      <c r="R154" t="str">
        <f>HYPERLINK("https://d28ji4sm1vmprj.cloudfront.net/09622a2bb466dfd1cdfb85ce6a712a4c/080b534903fe5ecae6d56f3611cbeb01.jpeg", "Ссылка на план")</f>
        <v>Ссылка на план</v>
      </c>
      <c r="S154" s="1">
        <v>43650.595763888887</v>
      </c>
      <c r="T154" s="1">
        <v>43665.655995370369</v>
      </c>
      <c r="U154" s="1">
        <v>43670.712395833332</v>
      </c>
      <c r="W154" s="1">
        <v>43670.712268518517</v>
      </c>
      <c r="BF154" t="s">
        <v>191</v>
      </c>
      <c r="BG154" t="s">
        <v>1330</v>
      </c>
      <c r="BH154" t="s">
        <v>1331</v>
      </c>
      <c r="BI154" t="s">
        <v>1332</v>
      </c>
      <c r="BJ154" t="s">
        <v>167</v>
      </c>
      <c r="BK154" t="s">
        <v>191</v>
      </c>
      <c r="BL154" t="str">
        <f>HYPERLINK("https://d33htgqikc2pj4.cloudfront.net/1efc0f0e-16eb-4706-9b03-87e8234da8af.jpeg", "Андрей Денисов: Ссылка на изображение")</f>
        <v>Андрей Денисов: Ссылка на изображение</v>
      </c>
      <c r="BM154" t="s">
        <v>1333</v>
      </c>
      <c r="BN154" t="s">
        <v>1103</v>
      </c>
      <c r="BO154" t="s">
        <v>1334</v>
      </c>
      <c r="BP154" t="str">
        <f>HYPERLINK("https://d33htgqikc2pj4.cloudfront.net/4e75d6152c737de84d2481b7cd681b74/936270f73e7adc9ec25c362ff8784809-file.jpeg", "Maksim Sumatokhin: Ссылка на изображение")</f>
        <v>Maksim Sumatokhin: Ссылка на изображение</v>
      </c>
      <c r="BQ154" t="s">
        <v>1335</v>
      </c>
      <c r="BR154" t="s">
        <v>101</v>
      </c>
      <c r="BS154" t="s">
        <v>167</v>
      </c>
    </row>
    <row r="155" spans="1:76" ht="15" customHeight="1" x14ac:dyDescent="0.35">
      <c r="A155">
        <v>187</v>
      </c>
      <c r="B155" t="s">
        <v>1274</v>
      </c>
      <c r="C155">
        <v>2</v>
      </c>
      <c r="D155" t="str">
        <f>VLOOKUP(source[[#This Row],[Приоритет]],тПриоритеты[],2,0)</f>
        <v>Значительное</v>
      </c>
      <c r="E1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5" t="s">
        <v>1086</v>
      </c>
      <c r="G155" t="s">
        <v>97</v>
      </c>
      <c r="H155" t="str">
        <f>VLOOKUP(source[[#This Row],[Отвественный]],тОтветственные[],2,0)</f>
        <v>Отв1</v>
      </c>
      <c r="I155" s="2">
        <v>43647</v>
      </c>
      <c r="J155" s="2">
        <v>43649</v>
      </c>
      <c r="K155" t="s">
        <v>122</v>
      </c>
      <c r="L155">
        <v>0</v>
      </c>
      <c r="M155">
        <v>0</v>
      </c>
      <c r="N155" t="s">
        <v>105</v>
      </c>
      <c r="Q155" t="s">
        <v>124</v>
      </c>
      <c r="R155" t="str">
        <f>HYPERLINK("https://d28ji4sm1vmprj.cloudfront.net/78b1fbd1c87eb90dac050448d7e72c8d/a7fb9bbb452cbb899c601a0b8b67fd7d.jpeg", "Ссылка на план")</f>
        <v>Ссылка на план</v>
      </c>
      <c r="S155" s="1">
        <v>43647.676805555559</v>
      </c>
      <c r="T155" s="1">
        <v>43662.621840277781</v>
      </c>
      <c r="U155" s="1">
        <v>43670.681006944447</v>
      </c>
      <c r="W155" s="1">
        <v>43670.681030092594</v>
      </c>
      <c r="BF155" t="s">
        <v>114</v>
      </c>
      <c r="BG155" t="s">
        <v>117</v>
      </c>
      <c r="BH155" t="s">
        <v>1275</v>
      </c>
      <c r="BI155" t="s">
        <v>1336</v>
      </c>
      <c r="BJ155" t="s">
        <v>1337</v>
      </c>
      <c r="BK155" t="str">
        <f>HYPERLINK("https://d33htgqikc2pj4.cloudfront.net/d8bb3990-080f-47d8-bee9-fbb683e3d52e.jpeg", "Владимир Чугунов: Ссылка на изображение")</f>
        <v>Владимир Чугунов: Ссылка на изображение</v>
      </c>
      <c r="BL155" t="str">
        <f>HYPERLINK("https://d33htgqikc2pj4.cloudfront.net/2d84274c-ace3-4ba1-b25e-92af0b9cddc7.jpeg", "Владимир Чугунов: Ссылка на изображение")</f>
        <v>Владимир Чугунов: Ссылка на изображение</v>
      </c>
      <c r="BM155" t="str">
        <f>HYPERLINK("https://d33htgqikc2pj4.cloudfront.net/386c0af3-7bc3-4d2f-a1f5-5dbcc0eb6db8.jpeg", "Владимир Чугунов: Ссылка на изображение")</f>
        <v>Владимир Чугунов: Ссылка на изображение</v>
      </c>
      <c r="BN155" t="str">
        <f>HYPERLINK("https://d33htgqikc2pj4.cloudfront.net/a7632873-5834-4b59-a7ee-de23f556b1bf.jpeg", "Владимир Чугунов: Ссылка на изображение")</f>
        <v>Владимир Чугунов: Ссылка на изображение</v>
      </c>
      <c r="BO155" t="s">
        <v>99</v>
      </c>
      <c r="BP155" t="s">
        <v>1338</v>
      </c>
      <c r="BQ155" t="str">
        <f>HYPERLINK("https://d33htgqikc2pj4.cloudfront.net/f9c9491291ea93664e4c968d5b553b90/4ba51930d66f9c3fcef12388818da331-file.jpeg", "Maksim Sumatokhin: Ссылка на изображение")</f>
        <v>Maksim Sumatokhin: Ссылка на изображение</v>
      </c>
      <c r="BR155" t="str">
        <f>HYPERLINK("https://d33htgqikc2pj4.cloudfront.net/1b32cb1640b3299c288d3658d906a9dc/be88f84f72e532aacfacc9c69cd7f62c-file.jpeg", "Maksim Sumatokhin: Ссылка на изображение")</f>
        <v>Maksim Sumatokhin: Ссылка на изображение</v>
      </c>
      <c r="BS155" t="str">
        <f>HYPERLINK("https://d33htgqikc2pj4.cloudfront.net/b6cd8e9f130e410178ddc3498c5d0dbf/c40bf9c8788bda53c0cac6e54d87c604-file.jpeg", "Maksim Sumatokhin: Ссылка на изображение")</f>
        <v>Maksim Sumatokhin: Ссылка на изображение</v>
      </c>
      <c r="BT155" t="s">
        <v>1339</v>
      </c>
      <c r="BU155" t="s">
        <v>101</v>
      </c>
      <c r="BV155" t="s">
        <v>102</v>
      </c>
    </row>
    <row r="156" spans="1:76" ht="15" customHeight="1" x14ac:dyDescent="0.35">
      <c r="A156">
        <v>210</v>
      </c>
      <c r="B156" t="s">
        <v>1340</v>
      </c>
      <c r="C156">
        <v>2</v>
      </c>
      <c r="D156" t="str">
        <f>VLOOKUP(source[[#This Row],[Приоритет]],тПриоритеты[],2,0)</f>
        <v>Значительное</v>
      </c>
      <c r="E15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6" t="s">
        <v>1086</v>
      </c>
      <c r="G156" t="s">
        <v>97</v>
      </c>
      <c r="H156" t="str">
        <f>VLOOKUP(source[[#This Row],[Отвественный]],тОтветственные[],2,0)</f>
        <v>Отв1</v>
      </c>
      <c r="I156" s="2">
        <v>43652</v>
      </c>
      <c r="J156" s="2">
        <v>43655</v>
      </c>
      <c r="K156" t="s">
        <v>313</v>
      </c>
      <c r="L156">
        <v>0</v>
      </c>
      <c r="M156">
        <v>0</v>
      </c>
      <c r="N156" t="s">
        <v>159</v>
      </c>
      <c r="Q156" t="s">
        <v>106</v>
      </c>
      <c r="R156" t="str">
        <f>HYPERLINK("https://d28ji4sm1vmprj.cloudfront.net/464215be55b88773f54b8cd83354babd/02eaaeba9564da889c4ba5d284544147.jpeg", "Ссылка на план")</f>
        <v>Ссылка на план</v>
      </c>
      <c r="S156" s="1">
        <v>43652.631643518522</v>
      </c>
      <c r="T156" s="1">
        <v>43665.6640625</v>
      </c>
      <c r="U156" s="1">
        <v>43670.714745370373</v>
      </c>
      <c r="W156" s="1">
        <v>43670.714618055557</v>
      </c>
      <c r="Z156" t="s">
        <v>1341</v>
      </c>
      <c r="BF156" t="s">
        <v>1342</v>
      </c>
      <c r="BG156" t="s">
        <v>1343</v>
      </c>
      <c r="BH156" t="s">
        <v>1344</v>
      </c>
      <c r="BI156" t="str">
        <f>HYPERLINK("https://d33htgqikc2pj4.cloudfront.net/dda0480f-79ed-4288-9cba-f7a2b4ceedda.jpeg", "Андрей Денисов: Ссылка на изображение")</f>
        <v>Андрей Денисов: Ссылка на изображение</v>
      </c>
      <c r="BJ156" t="s">
        <v>1103</v>
      </c>
      <c r="BK156" t="s">
        <v>1192</v>
      </c>
      <c r="BL156" t="str">
        <f>HYPERLINK("https://d33htgqikc2pj4.cloudfront.net/021342cafec0b30f3a24fcf70a8fb50d/399a483983c08f8480d35f66ab27b646-file.jpeg", "Maksim Sumatokhin: Ссылка на изображение")</f>
        <v>Maksim Sumatokhin: Ссылка на изображение</v>
      </c>
      <c r="BM156" t="s">
        <v>101</v>
      </c>
      <c r="BN156" t="s">
        <v>167</v>
      </c>
    </row>
    <row r="157" spans="1:76" ht="15" customHeight="1" x14ac:dyDescent="0.35">
      <c r="A157">
        <v>214</v>
      </c>
      <c r="B157" t="s">
        <v>1345</v>
      </c>
      <c r="C157">
        <v>1</v>
      </c>
      <c r="D157" t="str">
        <f>VLOOKUP(source[[#This Row],[Приоритет]],тПриоритеты[],2,0)</f>
        <v>КРИТИЧЕСКОЕ</v>
      </c>
      <c r="E15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7" t="s">
        <v>1086</v>
      </c>
      <c r="G157" t="s">
        <v>97</v>
      </c>
      <c r="H157" t="str">
        <f>VLOOKUP(source[[#This Row],[Отвественный]],тОтветственные[],2,0)</f>
        <v>Отв1</v>
      </c>
      <c r="I157" s="2">
        <v>43654</v>
      </c>
      <c r="J157" s="2">
        <v>43660</v>
      </c>
      <c r="K157" t="s">
        <v>313</v>
      </c>
      <c r="L157">
        <v>0</v>
      </c>
      <c r="M157">
        <v>0</v>
      </c>
      <c r="N157" t="s">
        <v>213</v>
      </c>
      <c r="Q157" t="s">
        <v>106</v>
      </c>
      <c r="R157" t="str">
        <f>HYPERLINK("https://d28ji4sm1vmprj.cloudfront.net/464215be55b88773f54b8cd83354babd/02eaaeba9564da889c4ba5d284544147.jpeg", "Ссылка на план")</f>
        <v>Ссылка на план</v>
      </c>
      <c r="S157" s="1">
        <v>43654.685567129629</v>
      </c>
      <c r="T157" s="1">
        <v>43686.460949074077</v>
      </c>
      <c r="U157" s="1">
        <v>43689.572152777779</v>
      </c>
      <c r="W157" s="1">
        <v>43689.572164351855</v>
      </c>
      <c r="BF157" t="s">
        <v>191</v>
      </c>
      <c r="BG157" t="s">
        <v>1346</v>
      </c>
      <c r="BH157" t="s">
        <v>1347</v>
      </c>
      <c r="BI157" t="s">
        <v>1348</v>
      </c>
      <c r="BJ157" t="s">
        <v>1349</v>
      </c>
      <c r="BK157" t="str">
        <f>HYPERLINK("https://d33htgqikc2pj4.cloudfront.net/f83963f0-5357-4d4a-b6fd-dc5afe47d064.jpeg", "Андрей Денисов: Ссылка на изображение")</f>
        <v>Андрей Денисов: Ссылка на изображение</v>
      </c>
      <c r="BL157" t="str">
        <f>HYPERLINK("https://d33htgqikc2pj4.cloudfront.net/46226c8d-f737-4213-8f4c-d6cbde764ae1.jpeg", "Андрей Денисов: Ссылка на изображение")</f>
        <v>Андрей Денисов: Ссылка на изображение</v>
      </c>
      <c r="BM157" t="str">
        <f>HYPERLINK("https://d33htgqikc2pj4.cloudfront.net/6b4d0fc2-3909-41c6-895c-2b602851a9e4.jpeg", "Андрей Денисов: Ссылка на изображение")</f>
        <v>Андрей Денисов: Ссылка на изображение</v>
      </c>
      <c r="BN157" t="s">
        <v>171</v>
      </c>
      <c r="BO157" t="s">
        <v>1103</v>
      </c>
      <c r="BP157" t="s">
        <v>1192</v>
      </c>
      <c r="BQ157" t="str">
        <f>HYPERLINK("https://d33htgqikc2pj4.cloudfront.net/436f5d8bd6d2a77406d171e027e1f1b2/aa1c67ea1b1aabd0b91485f9bf0ff29c-file.jpeg", "Maksim Sumatokhin: Ссылка на изображение")</f>
        <v>Maksim Sumatokhin: Ссылка на изображение</v>
      </c>
      <c r="BR157" t="s">
        <v>101</v>
      </c>
      <c r="BS157" t="s">
        <v>1350</v>
      </c>
      <c r="BT157" t="s">
        <v>1131</v>
      </c>
      <c r="BU157" t="str">
        <f>HYPERLINK("https://d33htgqikc2pj4.cloudfront.net/05b3ae22433ab29ec591c6763152568d/9a6db515eb2ddc76bb8b87aa0eac3d8a-file.jpeg", "Maksim Sumatokhin: Ссылка на изображение")</f>
        <v>Maksim Sumatokhin: Ссылка на изображение</v>
      </c>
      <c r="BV157" t="s">
        <v>1351</v>
      </c>
      <c r="BW157" t="s">
        <v>101</v>
      </c>
      <c r="BX157" t="s">
        <v>167</v>
      </c>
    </row>
    <row r="158" spans="1:76" ht="15" customHeight="1" x14ac:dyDescent="0.35">
      <c r="A158">
        <v>374</v>
      </c>
      <c r="B158" t="s">
        <v>1352</v>
      </c>
      <c r="C158">
        <v>2</v>
      </c>
      <c r="D158" t="str">
        <f>VLOOKUP(source[[#This Row],[Приоритет]],тПриоритеты[],2,0)</f>
        <v>Значительное</v>
      </c>
      <c r="E15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8" t="s">
        <v>1086</v>
      </c>
      <c r="G158" t="s">
        <v>97</v>
      </c>
      <c r="H158" t="str">
        <f>VLOOKUP(source[[#This Row],[Отвественный]],тОтветственные[],2,0)</f>
        <v>Отв1</v>
      </c>
      <c r="I158" s="2">
        <v>43696</v>
      </c>
      <c r="J158" s="2">
        <v>43696</v>
      </c>
      <c r="K158" t="s">
        <v>104</v>
      </c>
      <c r="L158">
        <v>0</v>
      </c>
      <c r="M158">
        <v>0</v>
      </c>
      <c r="N158" t="s">
        <v>105</v>
      </c>
      <c r="Q158" t="s">
        <v>106</v>
      </c>
      <c r="R158" t="str">
        <f>HYPERLINK("https://d28ji4sm1vmprj.cloudfront.net/e7a526a7220c3bc5cfeeb407c455c0b3/580ffb055aff8ee0c88c6e676cfba776.jpeg", "Ссылка на план")</f>
        <v>Ссылка на план</v>
      </c>
      <c r="S158" s="1">
        <v>43696.672233796293</v>
      </c>
      <c r="T158" s="1">
        <v>43696.683530092596</v>
      </c>
      <c r="U158" s="1">
        <v>43696.738263888888</v>
      </c>
      <c r="W158" s="1">
        <v>43696.738287037035</v>
      </c>
      <c r="BF158" t="s">
        <v>1353</v>
      </c>
      <c r="BG158" t="s">
        <v>681</v>
      </c>
      <c r="BH158" t="s">
        <v>1354</v>
      </c>
      <c r="BI158" t="str">
        <f>HYPERLINK("https://d33htgqikc2pj4.cloudfront.net/f2e8891e-73a3-4c8e-bf1d-6f1dc1b48209.jpeg", "Владимир Чугунов: Ссылка на изображение")</f>
        <v>Владимир Чугунов: Ссылка на изображение</v>
      </c>
      <c r="BJ158" t="str">
        <f>HYPERLINK("https://d33htgqikc2pj4.cloudfront.net/f7cbd4c5-cae2-47ba-9de4-e9e71bae071a.jpeg", "Владимир Чугунов: Ссылка на изображение")</f>
        <v>Владимир Чугунов: Ссылка на изображение</v>
      </c>
      <c r="BK158" t="s">
        <v>99</v>
      </c>
      <c r="BL158" t="str">
        <f>HYPERLINK("https://d33htgqikc2pj4.cloudfront.net/fd841588dfb6fc5203a4bac293d9d785/cc0b1915785da590420311a2f9c627a5-file.jpeg", "Maksim Sumatokhin: Ссылка на изображение")</f>
        <v>Maksim Sumatokhin: Ссылка на изображение</v>
      </c>
      <c r="BM158" t="s">
        <v>1355</v>
      </c>
      <c r="BN158" t="s">
        <v>101</v>
      </c>
      <c r="BO158" t="s">
        <v>102</v>
      </c>
    </row>
    <row r="159" spans="1:76" ht="15" customHeight="1" x14ac:dyDescent="0.35">
      <c r="A159">
        <v>304</v>
      </c>
      <c r="B159" t="s">
        <v>1356</v>
      </c>
      <c r="C159">
        <v>3</v>
      </c>
      <c r="D159" t="str">
        <f>VLOOKUP(source[[#This Row],[Приоритет]],тПриоритеты[],2,0)</f>
        <v>Малозначительное</v>
      </c>
      <c r="E15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59" t="s">
        <v>1086</v>
      </c>
      <c r="G159" t="s">
        <v>97</v>
      </c>
      <c r="H159" t="str">
        <f>VLOOKUP(source[[#This Row],[Отвественный]],тОтветственные[],2,0)</f>
        <v>Отв1</v>
      </c>
      <c r="I159" s="2">
        <v>43672</v>
      </c>
      <c r="J159" s="2">
        <v>43675</v>
      </c>
      <c r="K159" t="s">
        <v>1058</v>
      </c>
      <c r="L159">
        <v>0</v>
      </c>
      <c r="M159">
        <v>0</v>
      </c>
      <c r="N159" t="s">
        <v>213</v>
      </c>
      <c r="Q159" t="s">
        <v>124</v>
      </c>
      <c r="R159" t="str">
        <f>HYPERLINK("https://d28ji4sm1vmprj.cloudfront.net/36167089e08e1ee401f4f57d88869b74/9a4ef6d7d17215a7139533e84371548c.jpeg", "Ссылка на план")</f>
        <v>Ссылка на план</v>
      </c>
      <c r="S159" s="1">
        <v>43672.600914351853</v>
      </c>
      <c r="T159" s="1">
        <v>43692.549699074072</v>
      </c>
      <c r="U159" s="1">
        <v>43692.550115740742</v>
      </c>
      <c r="W159" s="1">
        <v>43692.550127314818</v>
      </c>
      <c r="BF159" t="s">
        <v>167</v>
      </c>
      <c r="BG159" t="s">
        <v>1157</v>
      </c>
      <c r="BH159" t="s">
        <v>1357</v>
      </c>
      <c r="BI159" t="s">
        <v>1113</v>
      </c>
      <c r="BJ159" t="s">
        <v>1358</v>
      </c>
      <c r="BK159" t="s">
        <v>1159</v>
      </c>
      <c r="BL159" t="s">
        <v>1359</v>
      </c>
      <c r="BM159" t="str">
        <f>HYPERLINK("https://d33htgqikc2pj4.cloudfront.net/4794360e-39cb-494a-b825-2b5c0e66e7d5.jpeg", "Андрей Денисов: Ссылка на изображение")</f>
        <v>Андрей Денисов: Ссылка на изображение</v>
      </c>
      <c r="BN159" t="str">
        <f>HYPERLINK("https://d33htgqikc2pj4.cloudfront.net/ffa4e189-3808-4c50-b78b-b4d8ec514c6d.jpeg", "Андрей Денисов: Ссылка на изображение")</f>
        <v>Андрей Денисов: Ссылка на изображение</v>
      </c>
      <c r="BO159" t="str">
        <f>HYPERLINK("https://d33htgqikc2pj4.cloudfront.net/b2382a6e-5818-46f9-a0ce-92677a3b429a.jpeg", "Андрей Денисов: Ссылка на изображение")</f>
        <v>Андрей Денисов: Ссылка на изображение</v>
      </c>
      <c r="BP159" t="str">
        <f>HYPERLINK("https://d33htgqikc2pj4.cloudfront.net/897f7dc5-94ce-46ef-a8f7-cf21858d58f3.jpeg", "Андрей Денисов: Ссылка на изображение")</f>
        <v>Андрей Денисов: Ссылка на изображение</v>
      </c>
      <c r="BQ159" t="s">
        <v>1103</v>
      </c>
      <c r="BR159" t="str">
        <f>HYPERLINK("https://d33htgqikc2pj4.cloudfront.net/4b96271f4a0908c9c603dd4d21d047eb/75c9459ae3eb68ab35feaccfde95525e-file.jpeg", "Maksim Sumatokhin: Ссылка на изображение")</f>
        <v>Maksim Sumatokhin: Ссылка на изображение</v>
      </c>
      <c r="BS159" t="s">
        <v>1360</v>
      </c>
      <c r="BT159" t="s">
        <v>101</v>
      </c>
      <c r="BU159" t="s">
        <v>167</v>
      </c>
    </row>
    <row r="160" spans="1:76" ht="15" customHeight="1" x14ac:dyDescent="0.35">
      <c r="A160">
        <v>305</v>
      </c>
      <c r="B160" t="s">
        <v>1361</v>
      </c>
      <c r="C160">
        <v>2</v>
      </c>
      <c r="D160" t="str">
        <f>VLOOKUP(source[[#This Row],[Приоритет]],тПриоритеты[],2,0)</f>
        <v>Значительное</v>
      </c>
      <c r="E1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0" t="s">
        <v>1086</v>
      </c>
      <c r="G160" t="s">
        <v>97</v>
      </c>
      <c r="H160" t="str">
        <f>VLOOKUP(source[[#This Row],[Отвественный]],тОтветственные[],2,0)</f>
        <v>Отв1</v>
      </c>
      <c r="I160" s="2">
        <v>43672</v>
      </c>
      <c r="J160" s="2">
        <v>43675</v>
      </c>
      <c r="K160" t="s">
        <v>1362</v>
      </c>
      <c r="L160">
        <v>0</v>
      </c>
      <c r="M160">
        <v>0</v>
      </c>
      <c r="N160" t="s">
        <v>1010</v>
      </c>
      <c r="Q160" t="s">
        <v>124</v>
      </c>
      <c r="R160" t="str">
        <f>HYPERLINK("https://d28ji4sm1vmprj.cloudfront.net/2dde9d15aae068926a38be1e29eb8f3a/f45b047274a6e01b8b401710d8442f0b.jpeg", "Ссылка на план")</f>
        <v>Ссылка на план</v>
      </c>
      <c r="S160" s="1">
        <v>43672.605300925927</v>
      </c>
      <c r="T160" s="1">
        <v>43689.412962962961</v>
      </c>
      <c r="U160" s="1">
        <v>43689.572557870371</v>
      </c>
      <c r="W160" s="1">
        <v>43689.572569444441</v>
      </c>
      <c r="BF160" t="s">
        <v>1363</v>
      </c>
      <c r="BG160" t="s">
        <v>1113</v>
      </c>
      <c r="BH160" t="s">
        <v>1358</v>
      </c>
      <c r="BI160" t="s">
        <v>1159</v>
      </c>
      <c r="BJ160" t="s">
        <v>1364</v>
      </c>
      <c r="BK160" t="str">
        <f>HYPERLINK("https://d33htgqikc2pj4.cloudfront.net/6ee8d6e7-1762-4f9d-a910-1ed5faccfb9f.jpeg", "Андрей Денисов: Ссылка на изображение")</f>
        <v>Андрей Денисов: Ссылка на изображение</v>
      </c>
      <c r="BL160" t="s">
        <v>1103</v>
      </c>
      <c r="BM160" t="s">
        <v>1365</v>
      </c>
      <c r="BN160" t="s">
        <v>1366</v>
      </c>
      <c r="BO160" s="3" t="s">
        <v>1367</v>
      </c>
      <c r="BP160" t="str">
        <f>HYPERLINK("https://d33htgqikc2pj4.cloudfront.net/2b958148-a9d3-4fe3-a6a4-d3a9120500da.jpeg", "Андрей Денисов: Ссылка на изображение")</f>
        <v>Андрей Денисов: Ссылка на изображение</v>
      </c>
      <c r="BQ160" t="str">
        <f>HYPERLINK("https://d33htgqikc2pj4.cloudfront.net/53501940-9ac7-4f8f-902c-03b55a00b25f.jpeg", "Андрей Денисов: Ссылка на изображение")</f>
        <v>Андрей Денисов: Ссылка на изображение</v>
      </c>
      <c r="BR160" t="str">
        <f>HYPERLINK("https://d33htgqikc2pj4.cloudfront.net/c261230d-caed-42ce-9df0-4ad6dfa89b10.jpeg", "Андрей Денисов: Ссылка на изображение")</f>
        <v>Андрей Денисов: Ссылка на изображение</v>
      </c>
      <c r="BS160" t="s">
        <v>171</v>
      </c>
      <c r="BT160" t="s">
        <v>171</v>
      </c>
      <c r="BU160" t="s">
        <v>1368</v>
      </c>
      <c r="BV160" t="s">
        <v>101</v>
      </c>
      <c r="BW160" t="s">
        <v>167</v>
      </c>
    </row>
    <row r="161" spans="1:93" ht="15" customHeight="1" x14ac:dyDescent="0.35">
      <c r="A161">
        <v>381</v>
      </c>
      <c r="B161" t="s">
        <v>1369</v>
      </c>
      <c r="C161">
        <v>3</v>
      </c>
      <c r="D161" t="str">
        <f>VLOOKUP(source[[#This Row],[Приоритет]],тПриоритеты[],2,0)</f>
        <v>Малозначительное</v>
      </c>
      <c r="E1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1" t="s">
        <v>1086</v>
      </c>
      <c r="G161" t="s">
        <v>97</v>
      </c>
      <c r="H161" t="str">
        <f>VLOOKUP(source[[#This Row],[Отвественный]],тОтветственные[],2,0)</f>
        <v>Отв1</v>
      </c>
      <c r="I161" s="2">
        <v>43698</v>
      </c>
      <c r="J161" s="2">
        <v>43698</v>
      </c>
      <c r="K161" t="s">
        <v>158</v>
      </c>
      <c r="L161">
        <v>0</v>
      </c>
      <c r="M161">
        <v>0</v>
      </c>
      <c r="N161" t="s">
        <v>439</v>
      </c>
      <c r="Q161" t="s">
        <v>124</v>
      </c>
      <c r="R161" t="str">
        <f>HYPERLINK("https://d28ji4sm1vmprj.cloudfront.net/09622a2bb466dfd1cdfb85ce6a712a4c/080b534903fe5ecae6d56f3611cbeb01.jpeg", "Ссылка на план")</f>
        <v>Ссылка на план</v>
      </c>
      <c r="S161" s="1">
        <v>43698.402951388889</v>
      </c>
      <c r="T161" s="1">
        <v>43699.369143518517</v>
      </c>
      <c r="U161" s="1">
        <v>43700.483726851853</v>
      </c>
      <c r="W161" s="1">
        <v>43700.483738425923</v>
      </c>
      <c r="BF161" t="s">
        <v>502</v>
      </c>
      <c r="BG161" t="s">
        <v>1370</v>
      </c>
      <c r="BH161" t="s">
        <v>735</v>
      </c>
      <c r="BI161" t="s">
        <v>1371</v>
      </c>
      <c r="BJ161" t="str">
        <f>HYPERLINK("https://d33htgqikc2pj4.cloudfront.net/f4a1c4c9-6c4a-44be-8c09-6bf698efcac0.jpeg", "Владимир Чугунов: Ссылка на изображение")</f>
        <v>Владимир Чугунов: Ссылка на изображение</v>
      </c>
      <c r="BK161" t="str">
        <f>HYPERLINK("https://d33htgqikc2pj4.cloudfront.net/6ff9c8de-fa5e-4e18-bf68-6532fdd85e48.jpeg", "Владимир Чугунов: Ссылка на изображение")</f>
        <v>Владимир Чугунов: Ссылка на изображение</v>
      </c>
      <c r="BL161" t="str">
        <f>HYPERLINK("https://d33htgqikc2pj4.cloudfront.net/cba65dce-37c1-426d-b2f9-a7d3e7667078.jpeg", "Владимир Чугунов: Ссылка на изображение")</f>
        <v>Владимир Чугунов: Ссылка на изображение</v>
      </c>
      <c r="BM161" t="str">
        <f>HYPERLINK("https://d33htgqikc2pj4.cloudfront.net/50ec7b56-f456-4d7d-9a82-2ad8ae4bedf3.jpeg", "Владимир Чугунов: Ссылка на изображение")</f>
        <v>Владимир Чугунов: Ссылка на изображение</v>
      </c>
      <c r="BN161" t="str">
        <f>HYPERLINK("https://d33htgqikc2pj4.cloudfront.net/642ce524-b332-486f-b6c7-e1fe7fdf9c5f.jpeg", "Владимир Чугунов: Ссылка на изображение")</f>
        <v>Владимир Чугунов: Ссылка на изображение</v>
      </c>
      <c r="BO161" t="s">
        <v>99</v>
      </c>
      <c r="BP161" t="str">
        <f>HYPERLINK("https://d33htgqikc2pj4.cloudfront.net/5f9b676d783515f75893e675ff144b30/615e58ef8e3d68cc2d5457246e37b708-file.jpeg", "Maksim Sumatokhin: Ссылка на изображение")</f>
        <v>Maksim Sumatokhin: Ссылка на изображение</v>
      </c>
      <c r="BQ161" t="str">
        <f>HYPERLINK("https://d33htgqikc2pj4.cloudfront.net/8a70da77781fc6f39c18803f7b663088/15d8395d71aaa36b8763df2641142fe9-file.jpeg", "Maksim Sumatokhin: Ссылка на изображение")</f>
        <v>Maksim Sumatokhin: Ссылка на изображение</v>
      </c>
      <c r="BR161" t="str">
        <f>HYPERLINK("https://d33htgqikc2pj4.cloudfront.net/090357b1941cf0c32892e72835ea631d/04c48db8f4ce00a634382c3944a50303-file.jpeg", "Maksim Sumatokhin: Ссылка на изображение")</f>
        <v>Maksim Sumatokhin: Ссылка на изображение</v>
      </c>
      <c r="BS161" t="str">
        <f>HYPERLINK("https://d33htgqikc2pj4.cloudfront.net/1f42cacc04c5a5fa858819c44e9a2a63/db2952605b0ef584917bb0d138c0f874-file.jpeg", "Maksim Sumatokhin: Ссылка на изображение")</f>
        <v>Maksim Sumatokhin: Ссылка на изображение</v>
      </c>
      <c r="BT161" t="s">
        <v>1372</v>
      </c>
      <c r="BU161" t="s">
        <v>101</v>
      </c>
      <c r="BV161" t="s">
        <v>102</v>
      </c>
    </row>
    <row r="162" spans="1:93" ht="15" customHeight="1" x14ac:dyDescent="0.35">
      <c r="A162">
        <v>339</v>
      </c>
      <c r="B162" t="s">
        <v>1373</v>
      </c>
      <c r="C162">
        <v>1</v>
      </c>
      <c r="D162" t="str">
        <f>VLOOKUP(source[[#This Row],[Приоритет]],тПриоритеты[],2,0)</f>
        <v>КРИТИЧЕСКОЕ</v>
      </c>
      <c r="E1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2" t="s">
        <v>1086</v>
      </c>
      <c r="G162" t="s">
        <v>97</v>
      </c>
      <c r="H162" t="str">
        <f>VLOOKUP(source[[#This Row],[Отвественный]],тОтветственные[],2,0)</f>
        <v>Отв1</v>
      </c>
      <c r="I162" s="2">
        <v>43681</v>
      </c>
      <c r="J162" s="2">
        <v>43683</v>
      </c>
      <c r="K162" t="s">
        <v>104</v>
      </c>
      <c r="L162">
        <v>0</v>
      </c>
      <c r="M162">
        <v>0</v>
      </c>
      <c r="N162" t="s">
        <v>105</v>
      </c>
      <c r="Q162" t="s">
        <v>106</v>
      </c>
      <c r="R162" t="str">
        <f>HYPERLINK("https://d28ji4sm1vmprj.cloudfront.net/e7a526a7220c3bc5cfeeb407c455c0b3/580ffb055aff8ee0c88c6e676cfba776.jpeg", "Ссылка на план")</f>
        <v>Ссылка на план</v>
      </c>
      <c r="S162" s="1">
        <v>43681.541990740741</v>
      </c>
      <c r="T162" s="1">
        <v>43689.412314814814</v>
      </c>
      <c r="U162" s="1">
        <v>43689.638252314813</v>
      </c>
      <c r="W162" s="1">
        <v>43689.63826388889</v>
      </c>
      <c r="BF162" t="s">
        <v>1374</v>
      </c>
      <c r="BG162" t="s">
        <v>789</v>
      </c>
      <c r="BH162" t="s">
        <v>118</v>
      </c>
      <c r="BI162" t="s">
        <v>1375</v>
      </c>
      <c r="BJ162" t="s">
        <v>99</v>
      </c>
      <c r="BK162" t="s">
        <v>1376</v>
      </c>
      <c r="BL162" t="str">
        <f>HYPERLINK("https://d33htgqikc2pj4.cloudfront.net/dfd7c8c0-6f73-45f5-9dd4-44824318964d.jpeg", "Владимир Чугунов: Ссылка на изображение")</f>
        <v>Владимир Чугунов: Ссылка на изображение</v>
      </c>
      <c r="BM162" t="str">
        <f>HYPERLINK("https://d33htgqikc2pj4.cloudfront.net/0c47b07a-d8b8-4674-8127-a96b8d0e9fe0.jpeg", "Владимир Чугунов: Ссылка на изображение")</f>
        <v>Владимир Чугунов: Ссылка на изображение</v>
      </c>
      <c r="BN162" t="str">
        <f>HYPERLINK("https://d33htgqikc2pj4.cloudfront.net/31aac785767be0a769ad763fa845c6d0/720ed646a554fbc1b151e2b3c9454592-file.jpeg", "Maksim Sumatokhin: Ссылка на изображение")</f>
        <v>Maksim Sumatokhin: Ссылка на изображение</v>
      </c>
      <c r="BO162" t="str">
        <f>HYPERLINK("https://d33htgqikc2pj4.cloudfront.net/da164217647237b26ba990d1b3394252/701f23dc8903482355f604a61b86e806-file.jpeg", "Maksim Sumatokhin: Ссылка на изображение")</f>
        <v>Maksim Sumatokhin: Ссылка на изображение</v>
      </c>
      <c r="BP162" t="s">
        <v>1377</v>
      </c>
      <c r="BQ162" t="s">
        <v>101</v>
      </c>
      <c r="BR162" t="s">
        <v>102</v>
      </c>
    </row>
    <row r="163" spans="1:93" ht="15" customHeight="1" x14ac:dyDescent="0.35">
      <c r="A163">
        <v>208</v>
      </c>
      <c r="B163" t="s">
        <v>1378</v>
      </c>
      <c r="C163">
        <v>1</v>
      </c>
      <c r="D163" t="str">
        <f>VLOOKUP(source[[#This Row],[Приоритет]],тПриоритеты[],2,0)</f>
        <v>КРИТИЧЕСКОЕ</v>
      </c>
      <c r="E1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3" t="s">
        <v>1086</v>
      </c>
      <c r="G163" t="s">
        <v>97</v>
      </c>
      <c r="H163" t="str">
        <f>VLOOKUP(source[[#This Row],[Отвественный]],тОтветственные[],2,0)</f>
        <v>Отв1</v>
      </c>
      <c r="I163" s="2">
        <v>43652</v>
      </c>
      <c r="J163" s="2">
        <v>43655</v>
      </c>
      <c r="K163" t="s">
        <v>313</v>
      </c>
      <c r="L163">
        <v>54.4</v>
      </c>
      <c r="M163">
        <v>76.319999999999993</v>
      </c>
      <c r="N163" t="s">
        <v>159</v>
      </c>
      <c r="Q163" t="s">
        <v>106</v>
      </c>
      <c r="R163" t="str">
        <f>HYPERLINK("https://d28ji4sm1vmprj.cloudfront.net/464215be55b88773f54b8cd83354babd/02eaaeba9564da889c4ba5d284544147.jpeg", "Ссылка на план")</f>
        <v>Ссылка на план</v>
      </c>
      <c r="S163" s="1">
        <v>43652.624837962961</v>
      </c>
      <c r="T163" s="1">
        <v>43685.428229166668</v>
      </c>
      <c r="U163" s="1">
        <v>43685.588101851848</v>
      </c>
      <c r="W163" s="1">
        <v>43685.588113425925</v>
      </c>
      <c r="Z163" t="s">
        <v>1379</v>
      </c>
      <c r="BF163" t="s">
        <v>191</v>
      </c>
      <c r="BG163" t="s">
        <v>1380</v>
      </c>
      <c r="BH163" t="s">
        <v>1381</v>
      </c>
      <c r="BI163" t="s">
        <v>1342</v>
      </c>
      <c r="BJ163" t="s">
        <v>1343</v>
      </c>
      <c r="BK163" t="str">
        <f>HYPERLINK("https://d33htgqikc2pj4.cloudfront.net/a6da5028-dbf8-4c66-bcc3-fd9a5e76cc61.jpeg", "Андрей Денисов: Ссылка на изображение")</f>
        <v>Андрей Денисов: Ссылка на изображение</v>
      </c>
      <c r="BL163" t="str">
        <f>HYPERLINK("https://d33htgqikc2pj4.cloudfront.net/a4ecd61d-1ccd-4730-846d-d50f785186d4.jpeg", "Андрей Денисов: Ссылка на изображение")</f>
        <v>Андрей Денисов: Ссылка на изображение</v>
      </c>
      <c r="BM163" t="s">
        <v>1103</v>
      </c>
      <c r="BN163" t="str">
        <f>HYPERLINK("https://d33htgqikc2pj4.cloudfront.net/qvHDimMUqxZcQnsj/qqBbiGdPTAWzsbFihYzk_06e903cce73b41cd1836a1d0a193db97-file.jpg", "Maksim Sumatokhin: Ссылка на изображение")</f>
        <v>Maksim Sumatokhin: Ссылка на изображение</v>
      </c>
      <c r="BO163" t="s">
        <v>1382</v>
      </c>
      <c r="BP163" t="s">
        <v>101</v>
      </c>
      <c r="BQ163" t="str">
        <f>HYPERLINK("https://d33htgqikc2pj4.cloudfront.net/0cca29010c66f7e2c40e4b1d46c4f46e/c73b0dac1e89055e1fa9d9270f7558f2-file.jpeg", "Андрей Денисов: Ссылка на изображение")</f>
        <v>Андрей Денисов: Ссылка на изображение</v>
      </c>
      <c r="BR163" s="3" t="s">
        <v>1383</v>
      </c>
      <c r="BS163" t="s">
        <v>1384</v>
      </c>
      <c r="BT163" t="str">
        <f>HYPERLINK("https://d33htgqikc2pj4.cloudfront.net/qvHDimMUqxZcQnsj/AbcBEJz2Q22gR6eDI25x_3e772fa82c101f5901cbbbc1571df4b9-file.jpg", "Maksim Sumatokhin: Ссылка на изображение")</f>
        <v>Maksim Sumatokhin: Ссылка на изображение</v>
      </c>
      <c r="BU163" t="s">
        <v>1192</v>
      </c>
      <c r="BV163" t="s">
        <v>101</v>
      </c>
      <c r="BW163" t="s">
        <v>1315</v>
      </c>
      <c r="BX163" t="s">
        <v>1131</v>
      </c>
      <c r="BY163" t="str">
        <f>HYPERLINK("https://d33htgqikc2pj4.cloudfront.net/c5af4c30c6cd9e5e3456844b02439f5e/27ff1fb4052675a58ab06b9659c642ce-file.jpeg", "Maksim Sumatokhin: Ссылка на изображение")</f>
        <v>Maksim Sumatokhin: Ссылка на изображение</v>
      </c>
      <c r="BZ163" t="s">
        <v>1316</v>
      </c>
      <c r="CA163" t="s">
        <v>101</v>
      </c>
      <c r="CB163" t="s">
        <v>167</v>
      </c>
    </row>
    <row r="164" spans="1:93" ht="15" customHeight="1" x14ac:dyDescent="0.35">
      <c r="A164">
        <v>530</v>
      </c>
      <c r="B164" t="s">
        <v>1385</v>
      </c>
      <c r="C164">
        <v>1</v>
      </c>
      <c r="D164" t="str">
        <f>VLOOKUP(source[[#This Row],[Приоритет]],тПриоритеты[],2,0)</f>
        <v>КРИТИЧЕСКОЕ</v>
      </c>
      <c r="E1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4" t="s">
        <v>1086</v>
      </c>
      <c r="G164" t="s">
        <v>97</v>
      </c>
      <c r="H164" t="str">
        <f>VLOOKUP(source[[#This Row],[Отвественный]],тОтветственные[],2,0)</f>
        <v>Отв1</v>
      </c>
      <c r="I164" s="2">
        <v>43732</v>
      </c>
      <c r="J164" s="2">
        <v>43732</v>
      </c>
      <c r="K164" t="s">
        <v>104</v>
      </c>
      <c r="L164">
        <v>0</v>
      </c>
      <c r="M164">
        <v>0</v>
      </c>
      <c r="N164" t="s">
        <v>105</v>
      </c>
      <c r="Q164" t="s">
        <v>106</v>
      </c>
      <c r="R164" t="str">
        <f>HYPERLINK("https://d28ji4sm1vmprj.cloudfront.net/e7a526a7220c3bc5cfeeb407c455c0b3/580ffb055aff8ee0c88c6e676cfba776.jpeg", "Ссылка на план")</f>
        <v>Ссылка на план</v>
      </c>
      <c r="S164" s="1">
        <v>43732.468993055554</v>
      </c>
      <c r="T164" s="1">
        <v>43732.621527777781</v>
      </c>
      <c r="U164" s="1">
        <v>43732.621527777781</v>
      </c>
      <c r="W164" s="1">
        <v>43732.621539351851</v>
      </c>
      <c r="BF164" t="s">
        <v>118</v>
      </c>
      <c r="BG164" t="s">
        <v>1386</v>
      </c>
      <c r="BH164" t="s">
        <v>870</v>
      </c>
      <c r="BI164" t="s">
        <v>1387</v>
      </c>
      <c r="BJ164" t="s">
        <v>1388</v>
      </c>
      <c r="BK164" t="str">
        <f>HYPERLINK("https://d33htgqikc2pj4.cloudfront.net/6b36a076-3d98-42f1-9640-a76a8c4f9ef6.jpeg", "Владимир Чугунов: Ссылка на изображение")</f>
        <v>Владимир Чугунов: Ссылка на изображение</v>
      </c>
      <c r="BL164" t="s">
        <v>99</v>
      </c>
      <c r="BM164" t="str">
        <f>HYPERLINK("https://d33htgqikc2pj4.cloudfront.net/1e2a12d4-12d3-4917-bad4-afd291e4f3ca.jpeg", "Владимир Чугунов: Ссылка на изображение")</f>
        <v>Владимир Чугунов: Ссылка на изображение</v>
      </c>
      <c r="BN164" t="str">
        <f>HYPERLINK("https://d33htgqikc2pj4.cloudfront.net/9603178f-49d2-499e-8d7c-f976016b5dce.jpeg", "Владимир Чугунов: Ссылка на изображение")</f>
        <v>Владимир Чугунов: Ссылка на изображение</v>
      </c>
      <c r="BO164" t="s">
        <v>102</v>
      </c>
    </row>
    <row r="165" spans="1:93" ht="15" customHeight="1" x14ac:dyDescent="0.35">
      <c r="A165">
        <v>454</v>
      </c>
      <c r="B165" t="s">
        <v>1389</v>
      </c>
      <c r="C165">
        <v>2</v>
      </c>
      <c r="D165" t="str">
        <f>VLOOKUP(source[[#This Row],[Приоритет]],тПриоритеты[],2,0)</f>
        <v>Значительное</v>
      </c>
      <c r="E1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5" t="s">
        <v>1086</v>
      </c>
      <c r="G165" t="s">
        <v>97</v>
      </c>
      <c r="H165" t="str">
        <f>VLOOKUP(source[[#This Row],[Отвественный]],тОтветственные[],2,0)</f>
        <v>Отв1</v>
      </c>
      <c r="I165" s="2">
        <v>43717</v>
      </c>
      <c r="J165" s="2">
        <v>43717</v>
      </c>
      <c r="K165" t="s">
        <v>375</v>
      </c>
      <c r="L165">
        <v>0</v>
      </c>
      <c r="M165">
        <v>0</v>
      </c>
      <c r="N165" t="s">
        <v>159</v>
      </c>
      <c r="Q165" t="s">
        <v>106</v>
      </c>
      <c r="R165" t="str">
        <f>HYPERLINK("https://d28ji4sm1vmprj.cloudfront.net/3e7bd1b1c8123e07928556a95537ec96/b6f4ea1a4c385def2ded1a2b1779c1a4.jpeg", "Ссылка на план")</f>
        <v>Ссылка на план</v>
      </c>
      <c r="S165" s="1">
        <v>43717.745335648149</v>
      </c>
      <c r="T165" s="1">
        <v>43721.412291666667</v>
      </c>
      <c r="U165" s="1">
        <v>43725.435231481482</v>
      </c>
      <c r="W165" s="1">
        <v>43725.435243055559</v>
      </c>
      <c r="Z165" t="s">
        <v>1390</v>
      </c>
      <c r="BF165" t="s">
        <v>1113</v>
      </c>
      <c r="BG165" t="s">
        <v>1391</v>
      </c>
      <c r="BH165" t="s">
        <v>1392</v>
      </c>
      <c r="BI165" s="3" t="s">
        <v>1393</v>
      </c>
      <c r="BJ165" t="s">
        <v>1103</v>
      </c>
      <c r="BK165" t="s">
        <v>1394</v>
      </c>
      <c r="BL165" t="s">
        <v>101</v>
      </c>
      <c r="BM165" t="s">
        <v>167</v>
      </c>
    </row>
    <row r="166" spans="1:93" ht="15" customHeight="1" x14ac:dyDescent="0.35">
      <c r="A166">
        <v>566</v>
      </c>
      <c r="B166" t="s">
        <v>1395</v>
      </c>
      <c r="C166">
        <v>1</v>
      </c>
      <c r="D166" t="str">
        <f>VLOOKUP(source[[#This Row],[Приоритет]],тПриоритеты[],2,0)</f>
        <v>КРИТИЧЕСКОЕ</v>
      </c>
      <c r="E1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6" t="s">
        <v>1086</v>
      </c>
      <c r="G166" t="s">
        <v>97</v>
      </c>
      <c r="H166" t="str">
        <f>VLOOKUP(source[[#This Row],[Отвественный]],тОтветственные[],2,0)</f>
        <v>Отв1</v>
      </c>
      <c r="I166" s="2">
        <v>43741</v>
      </c>
      <c r="J166" s="2">
        <v>43742</v>
      </c>
      <c r="K166" t="s">
        <v>313</v>
      </c>
      <c r="L166">
        <v>0</v>
      </c>
      <c r="M166">
        <v>0</v>
      </c>
      <c r="N166" t="s">
        <v>213</v>
      </c>
      <c r="Q166" t="s">
        <v>106</v>
      </c>
      <c r="R166" t="str">
        <f>HYPERLINK("https://d28ji4sm1vmprj.cloudfront.net/464215be55b88773f54b8cd83354babd/02eaaeba9564da889c4ba5d284544147.jpeg", "Ссылка на план")</f>
        <v>Ссылка на план</v>
      </c>
      <c r="S166" s="1">
        <v>43741.569675925923</v>
      </c>
      <c r="T166" s="1">
        <v>43742.372129629628</v>
      </c>
      <c r="U166" s="1">
        <v>43742.376701388886</v>
      </c>
      <c r="W166" s="1">
        <v>43742.376712962963</v>
      </c>
      <c r="Z166" t="s">
        <v>1396</v>
      </c>
      <c r="BF166" t="s">
        <v>191</v>
      </c>
      <c r="BG166" t="s">
        <v>1113</v>
      </c>
      <c r="BH166" t="s">
        <v>1397</v>
      </c>
      <c r="BI166" t="s">
        <v>1398</v>
      </c>
      <c r="BJ166" t="str">
        <f>HYPERLINK("https://d33htgqikc2pj4.cloudfront.net/702a273e-34a8-4c77-bf17-ee92b2b4a2f4.jpeg", "Андрей Денисов: Ссылка на изображение")</f>
        <v>Андрей Денисов: Ссылка на изображение</v>
      </c>
      <c r="BK166" t="str">
        <f>HYPERLINK("https://d33htgqikc2pj4.cloudfront.net/e1d5cac5-a6b7-43ea-8b3c-371d2aa86b5f.jpeg", "Андрей Денисов: Ссылка на изображение")</f>
        <v>Андрей Денисов: Ссылка на изображение</v>
      </c>
      <c r="BL166" t="s">
        <v>1399</v>
      </c>
      <c r="BM166" t="s">
        <v>1103</v>
      </c>
      <c r="BN166" t="str">
        <f>HYPERLINK("https://d33htgqikc2pj4.cloudfront.net/qvHDimMUqxZcQnsj/wPWY20etTweF9G8IjgSJ_Документы о качестве смесей.pdf", "Maksim Sumatokhin: Ссылка на файл")</f>
        <v>Maksim Sumatokhin: Ссылка на файл</v>
      </c>
      <c r="BO166" t="s">
        <v>1400</v>
      </c>
      <c r="BP166" t="s">
        <v>101</v>
      </c>
      <c r="BQ166" t="s">
        <v>167</v>
      </c>
    </row>
    <row r="167" spans="1:93" ht="15" customHeight="1" x14ac:dyDescent="0.35">
      <c r="A167">
        <v>747</v>
      </c>
      <c r="B167" t="s">
        <v>1401</v>
      </c>
      <c r="C167">
        <v>1</v>
      </c>
      <c r="D167" t="str">
        <f>VLOOKUP(source[[#This Row],[Приоритет]],тПриоритеты[],2,0)</f>
        <v>КРИТИЧЕСКОЕ</v>
      </c>
      <c r="E1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7" t="s">
        <v>1086</v>
      </c>
      <c r="G167" t="s">
        <v>97</v>
      </c>
      <c r="H167" t="str">
        <f>VLOOKUP(source[[#This Row],[Отвественный]],тОтветственные[],2,0)</f>
        <v>Отв1</v>
      </c>
      <c r="I167" s="2">
        <v>43802</v>
      </c>
      <c r="J167" s="2">
        <v>43802</v>
      </c>
      <c r="K167" t="s">
        <v>158</v>
      </c>
      <c r="L167">
        <v>0</v>
      </c>
      <c r="M167">
        <v>0</v>
      </c>
      <c r="N167" t="s">
        <v>1010</v>
      </c>
      <c r="Q167" t="s">
        <v>124</v>
      </c>
      <c r="R167" t="str">
        <f>HYPERLINK("https://d28ji4sm1vmprj.cloudfront.net/09622a2bb466dfd1cdfb85ce6a712a4c/080b534903fe5ecae6d56f3611cbeb01.jpeg", "Ссылка на план")</f>
        <v>Ссылка на план</v>
      </c>
      <c r="S167" s="1">
        <v>43802.599224537036</v>
      </c>
      <c r="T167" s="1">
        <v>43808.406006944446</v>
      </c>
      <c r="U167" s="1">
        <v>43808.406006944446</v>
      </c>
      <c r="W167" s="1">
        <v>43819.582187499997</v>
      </c>
      <c r="BF167" t="s">
        <v>1402</v>
      </c>
      <c r="BG167" t="s">
        <v>1403</v>
      </c>
      <c r="BH167" t="s">
        <v>1404</v>
      </c>
      <c r="BI167" t="s">
        <v>118</v>
      </c>
      <c r="BJ167" s="3" t="s">
        <v>1405</v>
      </c>
      <c r="BK167" t="str">
        <f>HYPERLINK("https://d33htgqikc2pj4.cloudfront.net/0ad3cf92-11c4-4d21-8b44-69b160320486.jpeg", "Владимир Чугунов: Ссылка на изображение")</f>
        <v>Владимир Чугунов: Ссылка на изображение</v>
      </c>
      <c r="BL167" t="str">
        <f>HYPERLINK("https://d33htgqikc2pj4.cloudfront.net/951f22b9-f45a-4a01-8fb4-35d96278adf7.jpeg", "Владимир Чугунов: Ссылка на изображение")</f>
        <v>Владимир Чугунов: Ссылка на изображение</v>
      </c>
      <c r="BM167" t="str">
        <f>HYPERLINK("https://d33htgqikc2pj4.cloudfront.net/2258dad8-d4e3-4519-8c48-9cfbb76d8905.jpeg", "Владимир Чугунов: Ссылка на изображение")</f>
        <v>Владимир Чугунов: Ссылка на изображение</v>
      </c>
      <c r="BN167" t="str">
        <f>HYPERLINK("https://d33htgqikc2pj4.cloudfront.net/d03eece1-48a4-4f27-9e10-5b4eee671309.jpeg", "Владимир Чугунов: Ссылка на изображение")</f>
        <v>Владимир Чугунов: Ссылка на изображение</v>
      </c>
      <c r="BO167" t="s">
        <v>99</v>
      </c>
      <c r="BP167" t="str">
        <f>HYPERLINK("https://d33htgqikc2pj4.cloudfront.net/0dff445bb419418be6b6b057092c3d85/0a64ad963dc20f17b1f17e99b6228dae-file.jpeg", "Maksim Sumatokhin: Ссылка на изображение")</f>
        <v>Maksim Sumatokhin: Ссылка на изображение</v>
      </c>
      <c r="BQ167" t="s">
        <v>1406</v>
      </c>
      <c r="BR167" t="s">
        <v>101</v>
      </c>
      <c r="BS167" t="s">
        <v>102</v>
      </c>
    </row>
    <row r="168" spans="1:93" ht="15" customHeight="1" x14ac:dyDescent="0.35">
      <c r="A168">
        <v>674</v>
      </c>
      <c r="B168" t="s">
        <v>1407</v>
      </c>
      <c r="C168">
        <v>1</v>
      </c>
      <c r="D168" t="str">
        <f>VLOOKUP(source[[#This Row],[Приоритет]],тПриоритеты[],2,0)</f>
        <v>КРИТИЧЕСКОЕ</v>
      </c>
      <c r="E1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8" t="s">
        <v>1086</v>
      </c>
      <c r="G168" t="s">
        <v>97</v>
      </c>
      <c r="H168" t="str">
        <f>VLOOKUP(source[[#This Row],[Отвественный]],тОтветственные[],2,0)</f>
        <v>Отв1</v>
      </c>
      <c r="I168" s="2">
        <v>43771</v>
      </c>
      <c r="J168" s="2">
        <v>43774</v>
      </c>
      <c r="K168" t="s">
        <v>104</v>
      </c>
      <c r="L168">
        <v>0</v>
      </c>
      <c r="M168">
        <v>0</v>
      </c>
      <c r="N168" t="s">
        <v>105</v>
      </c>
      <c r="Q168" t="s">
        <v>106</v>
      </c>
      <c r="R168" t="str">
        <f>HYPERLINK("https://d28ji4sm1vmprj.cloudfront.net/e7a526a7220c3bc5cfeeb407c455c0b3/580ffb055aff8ee0c88c6e676cfba776.jpeg", "Ссылка на план")</f>
        <v>Ссылка на план</v>
      </c>
      <c r="S168" s="1">
        <v>43771.693506944444</v>
      </c>
      <c r="T168" s="1">
        <v>43787.631064814814</v>
      </c>
      <c r="U168" s="1">
        <v>43787.63108796296</v>
      </c>
      <c r="W168" s="1">
        <v>43787.63108796296</v>
      </c>
      <c r="BF168" t="s">
        <v>1408</v>
      </c>
      <c r="BG168" t="s">
        <v>1046</v>
      </c>
      <c r="BH168" t="s">
        <v>118</v>
      </c>
      <c r="BI168" t="s">
        <v>1409</v>
      </c>
      <c r="BJ168" t="str">
        <f>HYPERLINK("https://d33htgqikc2pj4.cloudfront.net/6b0ebd71-1099-478b-9340-198a79b5980a.jpeg", "Владимир Чугунов: Ссылка на изображение")</f>
        <v>Владимир Чугунов: Ссылка на изображение</v>
      </c>
      <c r="BK168" t="s">
        <v>1410</v>
      </c>
      <c r="BL168" t="s">
        <v>1411</v>
      </c>
      <c r="BM168" t="s">
        <v>99</v>
      </c>
      <c r="BN168" t="s">
        <v>114</v>
      </c>
      <c r="BO168" t="s">
        <v>102</v>
      </c>
      <c r="BP168" t="s">
        <v>1412</v>
      </c>
    </row>
    <row r="169" spans="1:93" ht="15" customHeight="1" x14ac:dyDescent="0.35">
      <c r="A169">
        <v>684</v>
      </c>
      <c r="B169" t="s">
        <v>1413</v>
      </c>
      <c r="C169">
        <v>2</v>
      </c>
      <c r="D169" t="str">
        <f>VLOOKUP(source[[#This Row],[Приоритет]],тПриоритеты[],2,0)</f>
        <v>Значительное</v>
      </c>
      <c r="E1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69" t="s">
        <v>1086</v>
      </c>
      <c r="G169" t="s">
        <v>97</v>
      </c>
      <c r="H169" t="str">
        <f>VLOOKUP(source[[#This Row],[Отвественный]],тОтветственные[],2,0)</f>
        <v>Отв1</v>
      </c>
      <c r="I169" s="2">
        <v>43778</v>
      </c>
      <c r="J169" s="2">
        <v>43782</v>
      </c>
      <c r="K169" t="s">
        <v>955</v>
      </c>
      <c r="L169">
        <v>0</v>
      </c>
      <c r="M169">
        <v>0</v>
      </c>
      <c r="R169" t="str">
        <f>HYPERLINK("https://d28ji4sm1vmprj.cloudfront.net/7b317170271f5a7204d7ab299c9b70f6/7d105e941831ee74b817bf0b9136a752.jpeg", "Ссылка на план")</f>
        <v>Ссылка на план</v>
      </c>
      <c r="S169" s="1">
        <v>43780.647789351853</v>
      </c>
      <c r="T169" s="1">
        <v>43798.396585648145</v>
      </c>
      <c r="U169" s="1">
        <v>43798.606909722221</v>
      </c>
      <c r="W169" s="1">
        <v>43798.606932870367</v>
      </c>
      <c r="BF169" t="s">
        <v>167</v>
      </c>
      <c r="BG169" t="s">
        <v>1157</v>
      </c>
      <c r="BH169" t="s">
        <v>1302</v>
      </c>
      <c r="BI169" t="s">
        <v>1414</v>
      </c>
      <c r="BJ169" t="s">
        <v>1415</v>
      </c>
      <c r="BK169" t="s">
        <v>1416</v>
      </c>
      <c r="BL169" t="s">
        <v>1417</v>
      </c>
      <c r="BM169" t="s">
        <v>1103</v>
      </c>
      <c r="BN169" t="s">
        <v>1418</v>
      </c>
      <c r="BO169" t="s">
        <v>101</v>
      </c>
      <c r="BP169" t="str">
        <f>HYPERLINK("https://d33htgqikc2pj4.cloudfront.net/6fcd63876c3b94cc715826c7d1dc73b7/c0dc2a2f8338b6b2cb81412d8ed5597b-file.jpeg", "Maksim Sumatokhin: Ссылка на изображение")</f>
        <v>Maksim Sumatokhin: Ссылка на изображение</v>
      </c>
      <c r="BQ169" t="s">
        <v>1419</v>
      </c>
      <c r="BR169" t="s">
        <v>167</v>
      </c>
    </row>
    <row r="170" spans="1:93" ht="15" customHeight="1" x14ac:dyDescent="0.35">
      <c r="A170">
        <v>700</v>
      </c>
      <c r="B170" t="s">
        <v>1420</v>
      </c>
      <c r="C170">
        <v>1</v>
      </c>
      <c r="D170" t="str">
        <f>VLOOKUP(source[[#This Row],[Приоритет]],тПриоритеты[],2,0)</f>
        <v>КРИТИЧЕСКОЕ</v>
      </c>
      <c r="E170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70" t="s">
        <v>1086</v>
      </c>
      <c r="G170" t="s">
        <v>1421</v>
      </c>
      <c r="H170" t="str">
        <f>VLOOKUP(source[[#This Row],[Отвественный]],тОтветственные[],2,0)</f>
        <v>Отв31</v>
      </c>
      <c r="I170" s="2">
        <v>43790</v>
      </c>
      <c r="J170" s="2">
        <v>43805</v>
      </c>
      <c r="S170" s="1">
        <v>43790.370138888888</v>
      </c>
      <c r="W170" s="1">
        <v>43790.402222222219</v>
      </c>
      <c r="BF170" t="s">
        <v>1422</v>
      </c>
      <c r="BG170" t="str">
        <f>HYPERLINK("https://d33htgqikc2pj4.cloudfront.net/f17a38f8b212a123b86059cd866e1e39/11b5afd1cca2e2119bff20f25fbb61be-file.jpeg", "Александр Олуферов: Ссылка на изображение")</f>
        <v>Александр Олуферов: Ссылка на изображение</v>
      </c>
      <c r="BH170" t="str">
        <f>HYPERLINK("https://d33htgqikc2pj4.cloudfront.net/5a219af83808fb67f0cc90184ba5ecb7/f7077e89937adbe7975a1d9b1566bf51-file.jpeg", "Александр Олуферов: Ссылка на изображение")</f>
        <v>Александр Олуферов: Ссылка на изображение</v>
      </c>
      <c r="BI170" t="str">
        <f>HYPERLINK("https://d33htgqikc2pj4.cloudfront.net/d1b39e6d06920c9e9d3acf4a445077da/441b007574c275bde64430d366f3b525-file.jpeg", "Александр Олуферов: Ссылка на изображение")</f>
        <v>Александр Олуферов: Ссылка на изображение</v>
      </c>
      <c r="BJ170" t="str">
        <f>HYPERLINK("https://d33htgqikc2pj4.cloudfront.net/8956dcb42d96e738f717ff698d8f2322/3c48d2520cbb72ca51a204aace56fbb6-file.jpeg", "Александр Олуферов: Ссылка на изображение")</f>
        <v>Александр Олуферов: Ссылка на изображение</v>
      </c>
      <c r="BK170" t="str">
        <f>HYPERLINK("https://d33htgqikc2pj4.cloudfront.net/672a6a5f67818c9bbddbf3f553035674/78b852b43043e3262a79308e7e09f0c7-file.jpeg", "Александр Олуферов: Ссылка на изображение")</f>
        <v>Александр Олуферов: Ссылка на изображение</v>
      </c>
      <c r="BL170" t="str">
        <f>HYPERLINK("https://d33htgqikc2pj4.cloudfront.net/qvHDimMUqxZcQnsj/BB0IOzAQomHlh5SV4y3Q_Учётный лист 70.pdf", "Александр Олуферов: Ссылка на файл")</f>
        <v>Александр Олуферов: Ссылка на файл</v>
      </c>
      <c r="BM170" s="3" t="s">
        <v>1423</v>
      </c>
      <c r="BN170" t="s">
        <v>1424</v>
      </c>
      <c r="BO170" t="s">
        <v>1425</v>
      </c>
      <c r="BP170" t="s">
        <v>1426</v>
      </c>
      <c r="BQ170" t="s">
        <v>1427</v>
      </c>
      <c r="BR170" t="s">
        <v>1428</v>
      </c>
    </row>
    <row r="171" spans="1:93" ht="15" customHeight="1" x14ac:dyDescent="0.35">
      <c r="A171">
        <v>781</v>
      </c>
      <c r="B171" t="s">
        <v>1429</v>
      </c>
      <c r="C171">
        <v>2</v>
      </c>
      <c r="D171" t="str">
        <f>VLOOKUP(source[[#This Row],[Приоритет]],тПриоритеты[],2,0)</f>
        <v>Значительное</v>
      </c>
      <c r="E1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1" t="s">
        <v>1086</v>
      </c>
      <c r="G171" t="s">
        <v>1421</v>
      </c>
      <c r="H171" t="str">
        <f>VLOOKUP(source[[#This Row],[Отвественный]],тОтветственные[],2,0)</f>
        <v>Отв31</v>
      </c>
      <c r="I171" s="2">
        <v>43815</v>
      </c>
      <c r="J171" s="2">
        <v>43816</v>
      </c>
      <c r="K171" t="s">
        <v>1058</v>
      </c>
      <c r="L171">
        <v>0</v>
      </c>
      <c r="M171">
        <v>0</v>
      </c>
      <c r="N171" t="s">
        <v>1088</v>
      </c>
      <c r="Q171" t="s">
        <v>124</v>
      </c>
      <c r="R171" t="str">
        <f>HYPERLINK("https://d28ji4sm1vmprj.cloudfront.net/36167089e08e1ee401f4f57d88869b74/9a4ef6d7d17215a7139533e84371548c.jpeg", "Ссылка на план")</f>
        <v>Ссылка на план</v>
      </c>
      <c r="S171" s="1">
        <v>43815.675555555557</v>
      </c>
      <c r="T171" s="1">
        <v>43816.50508101852</v>
      </c>
      <c r="U171" s="1">
        <v>43816.50508101852</v>
      </c>
      <c r="W171" s="1">
        <v>43816.505127314813</v>
      </c>
      <c r="BF171" t="s">
        <v>1430</v>
      </c>
      <c r="BG171" t="s">
        <v>1431</v>
      </c>
      <c r="BH171" t="s">
        <v>1090</v>
      </c>
      <c r="BI171" t="s">
        <v>1432</v>
      </c>
      <c r="BJ171" t="str">
        <f>HYPERLINK("https://d33htgqikc2pj4.cloudfront.net/68acc5cf-5af8-4fe6-938f-5dd6c533c24a.jpeg", "Владимир Чугунов: Ссылка на изображение")</f>
        <v>Владимир Чугунов: Ссылка на изображение</v>
      </c>
      <c r="BK171" t="str">
        <f>HYPERLINK("https://d33htgqikc2pj4.cloudfront.net/3f3ca289-1058-406d-b11c-61d2011278ba.jpeg", "Владимир Чугунов: Ссылка на изображение")</f>
        <v>Владимир Чугунов: Ссылка на изображение</v>
      </c>
      <c r="BL171" t="str">
        <f>HYPERLINK("https://d33htgqikc2pj4.cloudfront.net/404026c3-e1d2-4fd1-9608-d6b5ebf91feb.jpeg", "Владимир Чугунов: Ссылка на изображение")</f>
        <v>Владимир Чугунов: Ссылка на изображение</v>
      </c>
      <c r="BM171" t="str">
        <f>HYPERLINK("https://d33htgqikc2pj4.cloudfront.net/eaf2a7ad-2e24-41ca-8e5f-6dd50eb942d1.jpeg", "Владимир Чугунов: Ссылка на изображение")</f>
        <v>Владимир Чугунов: Ссылка на изображение</v>
      </c>
      <c r="BN171" t="s">
        <v>1433</v>
      </c>
      <c r="BO171" t="s">
        <v>127</v>
      </c>
      <c r="BP171" t="s">
        <v>127</v>
      </c>
      <c r="BQ171" t="s">
        <v>127</v>
      </c>
      <c r="BR171" t="s">
        <v>1434</v>
      </c>
      <c r="BS171" t="s">
        <v>1435</v>
      </c>
      <c r="BT171" t="str">
        <f>HYPERLINK("https://d33htgqikc2pj4.cloudfront.net/ceefa305-4bc6-4390-b780-4479716e6217.jpeg", "Владимир Чугунов: Ссылка на изображение")</f>
        <v>Владимир Чугунов: Ссылка на изображение</v>
      </c>
      <c r="BU171" t="str">
        <f>HYPERLINK("https://d33htgqikc2pj4.cloudfront.net/c71c87db-0134-4645-bf95-e6be19219707.jpeg", "Владимир Чугунов: Ссылка на изображение")</f>
        <v>Владимир Чугунов: Ссылка на изображение</v>
      </c>
      <c r="BV171" t="str">
        <f>HYPERLINK("https://d33htgqikc2pj4.cloudfront.net/a9aba1ee-ba70-4bfa-a877-81fe4f0f9c6a.jpeg", "Владимир Чугунов: Ссылка на изображение")</f>
        <v>Владимир Чугунов: Ссылка на изображение</v>
      </c>
      <c r="BW171" t="str">
        <f>HYPERLINK("https://d33htgqikc2pj4.cloudfront.net/c6b0075e-6833-49a3-b587-6f4bdbaa31f1.jpeg", "Владимир Чугунов: Ссылка на изображение")</f>
        <v>Владимир Чугунов: Ссылка на изображение</v>
      </c>
      <c r="BX171" t="str">
        <f>HYPERLINK("https://d33htgqikc2pj4.cloudfront.net/df537aeb-6561-47cd-96ba-f716421cb070.jpeg", "Владимир Чугунов: Ссылка на изображение")</f>
        <v>Владимир Чугунов: Ссылка на изображение</v>
      </c>
      <c r="BY171" t="str">
        <f>HYPERLINK("https://d33htgqikc2pj4.cloudfront.net/165c908b-dd9f-4d3e-91fc-83eb2cbb21c6.jpeg", "Владимир Чугунов: Ссылка на изображение")</f>
        <v>Владимир Чугунов: Ссылка на изображение</v>
      </c>
      <c r="BZ171" t="str">
        <f>HYPERLINK("https://d33htgqikc2pj4.cloudfront.net/3ac8ea9e-ea45-40d6-9990-96180305bbe6.jpeg", "Владимир Чугунов: Ссылка на изображение")</f>
        <v>Владимир Чугунов: Ссылка на изображение</v>
      </c>
      <c r="CA171" t="str">
        <f>HYPERLINK("https://d33htgqikc2pj4.cloudfront.net/40c0f9db-0de2-45c7-9ea6-1637dea8bf82.jpeg", "Владимир Чугунов: Ссылка на изображение")</f>
        <v>Владимир Чугунов: Ссылка на изображение</v>
      </c>
      <c r="CB171" t="s">
        <v>102</v>
      </c>
      <c r="CC171" t="s">
        <v>1436</v>
      </c>
    </row>
    <row r="172" spans="1:93" ht="15" customHeight="1" x14ac:dyDescent="0.35">
      <c r="A172">
        <v>711</v>
      </c>
      <c r="B172" t="s">
        <v>1437</v>
      </c>
      <c r="C172">
        <v>1</v>
      </c>
      <c r="D172" t="str">
        <f>VLOOKUP(source[[#This Row],[Приоритет]],тПриоритеты[],2,0)</f>
        <v>КРИТИЧЕСКОЕ</v>
      </c>
      <c r="E1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2" t="s">
        <v>1086</v>
      </c>
      <c r="G172" t="s">
        <v>1421</v>
      </c>
      <c r="H172" t="str">
        <f>VLOOKUP(source[[#This Row],[Отвественный]],тОтветственные[],2,0)</f>
        <v>Отв31</v>
      </c>
      <c r="I172" s="2">
        <v>43790</v>
      </c>
      <c r="J172" s="2">
        <v>43794</v>
      </c>
      <c r="S172" s="1">
        <v>43790.673020833332</v>
      </c>
      <c r="T172" s="1">
        <v>43817.611250000002</v>
      </c>
      <c r="U172" s="1">
        <v>43817.684849537036</v>
      </c>
      <c r="W172" s="1">
        <v>43817.684872685182</v>
      </c>
      <c r="BF172" t="str">
        <f>HYPERLINK("https://d33htgqikc2pj4.cloudfront.net/6f0d6b22bb72e2057e9582db89816683/f0381a493d8c1da637f16098c798ec33-file.jpeg", "Александр Олуферов: Ссылка на изображение")</f>
        <v>Александр Олуферов: Ссылка на изображение</v>
      </c>
      <c r="BG172" t="str">
        <f>HYPERLINK("https://d33htgqikc2pj4.cloudfront.net/29a9ac385e195e78ba3afc582dd4be7a/13cad644b656ffe528df9a247190b51b-file.jpeg", "Александр Олуферов: Ссылка на изображение")</f>
        <v>Александр Олуферов: Ссылка на изображение</v>
      </c>
      <c r="BH172" t="str">
        <f>HYPERLINK("https://d33htgqikc2pj4.cloudfront.net/f6a0adb79bc7b55f4861347d94ff95ed/a3e1db3b8c4fbeeeec140a8877388a21-file.jpeg", "Александр Олуферов: Ссылка на изображение")</f>
        <v>Александр Олуферов: Ссылка на изображение</v>
      </c>
      <c r="BI172" t="str">
        <f>HYPERLINK("https://d33htgqikc2pj4.cloudfront.net/6e0895359386646161a484def2e8ba3b/f91a51a4bcab56a378d92a4b92842b55-file.jpeg", "Александр Олуферов: Ссылка на изображение")</f>
        <v>Александр Олуферов: Ссылка на изображение</v>
      </c>
      <c r="BJ172" t="str">
        <f>HYPERLINK("https://d33htgqikc2pj4.cloudfront.net/6972ba79119b30ca2d490696733cbd5d/011f9e5c71636ae1652e705c3e8395d2-file.jpeg", "Александр Олуферов: Ссылка на изображение")</f>
        <v>Александр Олуферов: Ссылка на изображение</v>
      </c>
      <c r="BK172" t="str">
        <f>HYPERLINK("https://d33htgqikc2pj4.cloudfront.net/4a209142802c538e529cbd91c07a9dfc/09441d7bc9f9c2122035727328a4580e-file.jpeg", "Александр Олуферов: Ссылка на изображение")</f>
        <v>Александр Олуферов: Ссылка на изображение</v>
      </c>
      <c r="BL172" t="str">
        <f>HYPERLINK("https://d33htgqikc2pj4.cloudfront.net/35aa43e364366dcc8fc680a4a78d8eea/c818a681e2cbb02ce5d99522c9bb5927-file.jpeg", "Александр Олуферов: Ссылка на изображение")</f>
        <v>Александр Олуферов: Ссылка на изображение</v>
      </c>
      <c r="BM172" t="str">
        <f>HYPERLINK("https://d33htgqikc2pj4.cloudfront.net/153afd08ada9f01a5756c39769b3728a/10e747062de0c4090df1f71b93dc91e5-file.jpeg", "Александр Олуферов: Ссылка на изображение")</f>
        <v>Александр Олуферов: Ссылка на изображение</v>
      </c>
      <c r="BN172" t="str">
        <f>HYPERLINK("https://d33htgqikc2pj4.cloudfront.net/efa339bdd47c772c2bd9c7ee454c9f6d/90c382ab581b3887650da6dd8a0a777e-file.jpeg", "Александр Олуферов: Ссылка на изображение")</f>
        <v>Александр Олуферов: Ссылка на изображение</v>
      </c>
      <c r="BO172" t="str">
        <f>HYPERLINK("https://d33htgqikc2pj4.cloudfront.net/174833b76730da059947ac30959b3e71/55706213d4fcc9260c910d86686d33a4-file.jpeg", "Александр Олуферов: Ссылка на изображение")</f>
        <v>Александр Олуферов: Ссылка на изображение</v>
      </c>
      <c r="BP172" t="str">
        <f>HYPERLINK("https://d33htgqikc2pj4.cloudfront.net/6a700d86464b08caaa48dd02df41b964/19b8db5883f31dbeef78d4b773eb6935-file.jpeg", "Александр Олуферов: Ссылка на изображение")</f>
        <v>Александр Олуферов: Ссылка на изображение</v>
      </c>
      <c r="BQ172" t="str">
        <f>HYPERLINK("https://d33htgqikc2pj4.cloudfront.net/a9f91868a234b1dc7d2fff7a742c42b4/3fb0f067de89d6663f06e84b58090a64-file.jpeg", "Александр Олуферов: Ссылка на изображение")</f>
        <v>Александр Олуферов: Ссылка на изображение</v>
      </c>
      <c r="BR172" s="3" t="s">
        <v>1438</v>
      </c>
      <c r="BS172" t="s">
        <v>1439</v>
      </c>
      <c r="BT172" t="s">
        <v>1424</v>
      </c>
      <c r="BU172" t="s">
        <v>1440</v>
      </c>
      <c r="BV172" t="s">
        <v>1425</v>
      </c>
      <c r="BW172" t="s">
        <v>1441</v>
      </c>
      <c r="BX172" t="s">
        <v>1442</v>
      </c>
      <c r="BY172" t="s">
        <v>1427</v>
      </c>
      <c r="BZ172" t="str">
        <f>HYPERLINK("https://d33htgqikc2pj4.cloudfront.net/fb73096f6b9dafd16916489160a65e80/cd8d2c2633ee47e50c4ea2106eb3a168-file.jpeg", "Sergey Solodovnikov: Ссылка на изображение")</f>
        <v>Sergey Solodovnikov: Ссылка на изображение</v>
      </c>
      <c r="CA172" t="str">
        <f>HYPERLINK("https://d33htgqikc2pj4.cloudfront.net/5f73bc27932774d2c69463904cd985d6/06568f9197385d20d4c96c283b686bde-file.jpeg", "Sergey Solodovnikov: Ссылка на изображение")</f>
        <v>Sergey Solodovnikov: Ссылка на изображение</v>
      </c>
      <c r="CB172" t="str">
        <f>HYPERLINK("https://d33htgqikc2pj4.cloudfront.net/7d791c9fd92d30cc1f33c81ded42f233/347cfad5259204c70c279a24fc53df2d-file.jpeg", "Sergey Solodovnikov: Ссылка на изображение")</f>
        <v>Sergey Solodovnikov: Ссылка на изображение</v>
      </c>
      <c r="CC172" t="str">
        <f>HYPERLINK("https://d33htgqikc2pj4.cloudfront.net/936913e0d0e61e2c8a8dbbfa40a24577/93b2da6e7aaa2623d97dd657c9f7626d-file.jpeg", "Sergey Solodovnikov: Ссылка на изображение")</f>
        <v>Sergey Solodovnikov: Ссылка на изображение</v>
      </c>
      <c r="CD172" t="str">
        <f>HYPERLINK("https://d33htgqikc2pj4.cloudfront.net/518a41971aa0a0019238f784d5876032/9e814737b7f6eb32e5606bf49a97901f-file.jpeg", "Sergey Solodovnikov: Ссылка на изображение")</f>
        <v>Sergey Solodovnikov: Ссылка на изображение</v>
      </c>
      <c r="CE172" t="str">
        <f>HYPERLINK("https://d33htgqikc2pj4.cloudfront.net/0b84e34b4b49d4fef43abd96ab9bd0f3/719d3530f8d5c7d950466784004c959e-file.jpeg", "Sergey Solodovnikov: Ссылка на изображение")</f>
        <v>Sergey Solodovnikov: Ссылка на изображение</v>
      </c>
      <c r="CF172" t="str">
        <f>HYPERLINK("https://d33htgqikc2pj4.cloudfront.net/a0dfc93e595987c49cb8a7840709dd86/a78f27a3388348dd43f78041dc987d99-file.jpeg", "Sergey Solodovnikov: Ссылка на изображение")</f>
        <v>Sergey Solodovnikov: Ссылка на изображение</v>
      </c>
      <c r="CG172" t="str">
        <f>HYPERLINK("https://d33htgqikc2pj4.cloudfront.net/16aa5848a69466778cd5c3dfd2345329/07dd985d6f569b2408aaebcb1718d0f6-file.jpeg", "Sergey Solodovnikov: Ссылка на изображение")</f>
        <v>Sergey Solodovnikov: Ссылка на изображение</v>
      </c>
      <c r="CH172" t="str">
        <f>HYPERLINK("https://d33htgqikc2pj4.cloudfront.net/288a468c85193affc611ddb3e6932148/a39d7311bc5b2ff062df72f13badb57d-file.jpeg", "Sergey Solodovnikov: Ссылка на изображение")</f>
        <v>Sergey Solodovnikov: Ссылка на изображение</v>
      </c>
      <c r="CI172" t="str">
        <f>HYPERLINK("https://d33htgqikc2pj4.cloudfront.net/dcf5bec19c617c5cb882f22b61b104ad/8f76aaae9295004bd16c31efe745ca5a-file.jpeg", "Sergey Solodovnikov: Ссылка на изображение")</f>
        <v>Sergey Solodovnikov: Ссылка на изображение</v>
      </c>
      <c r="CJ172" t="str">
        <f>HYPERLINK("https://d33htgqikc2pj4.cloudfront.net/e9934e56314a8768b69882f13d244f53/6c5a11655e3bb62719633f90da19093b-file.jpeg", "Sergey Solodovnikov: Ссылка на изображение")</f>
        <v>Sergey Solodovnikov: Ссылка на изображение</v>
      </c>
      <c r="CK172" t="str">
        <f>HYPERLINK("https://d33htgqikc2pj4.cloudfront.net/d03f9a13633b895e75889ad4797a7c7c/be45f056179ef93280b0c5fa170a8fe9-file.jpeg", "Sergey Solodovnikov: Ссылка на изображение")</f>
        <v>Sergey Solodovnikov: Ссылка на изображение</v>
      </c>
      <c r="CL172" t="str">
        <f>HYPERLINK("https://d33htgqikc2pj4.cloudfront.net/9ca3809fc0af013478f83aed7974df5e/687a91a8d6bdc74c6fd5c968917267d5-file.jpeg", "Sergey Solodovnikov: Ссылка на изображение")</f>
        <v>Sergey Solodovnikov: Ссылка на изображение</v>
      </c>
      <c r="CM172" s="3" t="s">
        <v>1443</v>
      </c>
      <c r="CN172" t="s">
        <v>1444</v>
      </c>
      <c r="CO172" t="s">
        <v>102</v>
      </c>
    </row>
    <row r="173" spans="1:93" ht="15" customHeight="1" x14ac:dyDescent="0.35">
      <c r="A173">
        <v>712</v>
      </c>
      <c r="B173" t="s">
        <v>1445</v>
      </c>
      <c r="C173">
        <v>1</v>
      </c>
      <c r="D173" t="str">
        <f>VLOOKUP(source[[#This Row],[Приоритет]],тПриоритеты[],2,0)</f>
        <v>КРИТИЧЕСКОЕ</v>
      </c>
      <c r="E1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3" t="s">
        <v>1086</v>
      </c>
      <c r="G173" t="s">
        <v>1421</v>
      </c>
      <c r="H173" t="str">
        <f>VLOOKUP(source[[#This Row],[Отвественный]],тОтветственные[],2,0)</f>
        <v>Отв31</v>
      </c>
      <c r="I173" s="2">
        <v>43791</v>
      </c>
      <c r="J173" s="2">
        <v>43798</v>
      </c>
      <c r="N173" t="s">
        <v>1059</v>
      </c>
      <c r="S173" s="1">
        <v>43791.458657407406</v>
      </c>
      <c r="T173" s="1">
        <v>43817.412743055553</v>
      </c>
      <c r="U173" s="1">
        <v>43817.50545138889</v>
      </c>
      <c r="W173" s="1">
        <v>43817.505462962959</v>
      </c>
      <c r="BF173" t="s">
        <v>1446</v>
      </c>
      <c r="BG173" s="3" t="s">
        <v>1447</v>
      </c>
      <c r="BH173" t="str">
        <f>HYPERLINK("https://d33htgqikc2pj4.cloudfront.net/qvHDimMUqxZcQnsj/d2TZMSzhRYO0hFtMhjv6_0995_19-Р-АР.Р1-ТМГ-1.6[02].pdf", "Александр Олуферов: Ссылка на файл")</f>
        <v>Александр Олуферов: Ссылка на файл</v>
      </c>
      <c r="BI173" t="s">
        <v>1424</v>
      </c>
      <c r="BJ173" t="str">
        <f>HYPERLINK("https://d33htgqikc2pj4.cloudfront.net/qvHDimMUqxZcQnsj/vQ27FuTsT4SID5J2pdNu_ИС 48_2.pdf", "Александр Олуферов: Ссылка на файл")</f>
        <v>Александр Олуферов: Ссылка на файл</v>
      </c>
      <c r="BK173" t="s">
        <v>1440</v>
      </c>
      <c r="BL173" t="s">
        <v>1448</v>
      </c>
      <c r="BM173" t="s">
        <v>1449</v>
      </c>
      <c r="BN173" t="s">
        <v>1450</v>
      </c>
      <c r="BO173" t="s">
        <v>1427</v>
      </c>
      <c r="BP173" s="3" t="s">
        <v>1451</v>
      </c>
      <c r="BQ173" t="s">
        <v>1444</v>
      </c>
      <c r="BR173" t="s">
        <v>102</v>
      </c>
    </row>
    <row r="174" spans="1:93" ht="15" customHeight="1" x14ac:dyDescent="0.35">
      <c r="A174">
        <v>725</v>
      </c>
      <c r="B174" t="s">
        <v>1452</v>
      </c>
      <c r="C174">
        <v>1</v>
      </c>
      <c r="D174" t="str">
        <f>VLOOKUP(source[[#This Row],[Приоритет]],тПриоритеты[],2,0)</f>
        <v>КРИТИЧЕСКОЕ</v>
      </c>
      <c r="E1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4" t="s">
        <v>1086</v>
      </c>
      <c r="G174" t="s">
        <v>1421</v>
      </c>
      <c r="H174" t="str">
        <f>VLOOKUP(source[[#This Row],[Отвественный]],тОтветственные[],2,0)</f>
        <v>Отв31</v>
      </c>
      <c r="I174" s="2">
        <v>43795</v>
      </c>
      <c r="J174" s="2">
        <v>43801</v>
      </c>
      <c r="S174" s="1">
        <v>43795.532523148147</v>
      </c>
      <c r="T174" s="1">
        <v>43823.64266203704</v>
      </c>
      <c r="U174" s="1">
        <v>43823.64266203704</v>
      </c>
      <c r="W174" s="1">
        <v>43823.642685185187</v>
      </c>
      <c r="BF174" t="s">
        <v>1453</v>
      </c>
      <c r="BG174" s="3" t="s">
        <v>1454</v>
      </c>
      <c r="BH174" t="str">
        <f>HYPERLINK("https://d33htgqikc2pj4.cloudfront.net/e5784c698c106378f1aa446598cc04ca/0f99dfac1f6e38eda97c4e37aaed66be-file.jpeg", "Александр Олуферов: Ссылка на изображение")</f>
        <v>Александр Олуферов: Ссылка на изображение</v>
      </c>
      <c r="BI174" t="str">
        <f>HYPERLINK("https://d33htgqikc2pj4.cloudfront.net/8c5d6bd152178eb028eb45a3f4e2ecd6/3f0554fd9c2d5d4cdd3046605a8ee4b5-file.jpeg", "Александр Олуферов: Ссылка на изображение")</f>
        <v>Александр Олуферов: Ссылка на изображение</v>
      </c>
      <c r="BJ174" t="str">
        <f>HYPERLINK("https://d33htgqikc2pj4.cloudfront.net/57f8136dd5addd077c4d0caf535ccf03/9f1a87f48dff09e148857e9f2676873d-file.jpeg", "Александр Олуферов: Ссылка на изображение")</f>
        <v>Александр Олуферов: Ссылка на изображение</v>
      </c>
      <c r="BK174" t="str">
        <f>HYPERLINK("https://d33htgqikc2pj4.cloudfront.net/30027350db9935258d645ed19d02fcba/068f96a29d691e366319952fa516e78c-file.jpeg", "Александр Олуферов: Ссылка на изображение")</f>
        <v>Александр Олуферов: Ссылка на изображение</v>
      </c>
      <c r="BL174" t="str">
        <f>HYPERLINK("https://d33htgqikc2pj4.cloudfront.net/ca8d47452ac52fb19bd3f6a252dbf2fa/4e3e9efe120c802097b547e8a240202c-file.jpeg", "Александр Олуферов: Ссылка на изображение")</f>
        <v>Александр Олуферов: Ссылка на изображение</v>
      </c>
      <c r="BM174" t="str">
        <f>HYPERLINK("https://d33htgqikc2pj4.cloudfront.net/70f50f8a6ed116e51dcf2048b45ed108/75369b4bffa24d32f4a55cfd561ff1b9-file.jpeg", "Александр Олуферов: Ссылка на изображение")</f>
        <v>Александр Олуферов: Ссылка на изображение</v>
      </c>
      <c r="BN174" t="str">
        <f>HYPERLINK("https://d33htgqikc2pj4.cloudfront.net/5adfd6430a428bfc6a33adc0e1eff2dd/d6ae8b323fe7d9a1fb62d210d7ab0005-file.jpeg", "Александр Олуферов: Ссылка на изображение")</f>
        <v>Александр Олуферов: Ссылка на изображение</v>
      </c>
      <c r="BO174" t="str">
        <f>HYPERLINK("https://d33htgqikc2pj4.cloudfront.net/41a3ebd8cda00a5a1af512b7b33a8174/e3ad86a351b2d3a3aa269ab26259c4f0-file.jpeg", "Александр Олуферов: Ссылка на изображение")</f>
        <v>Александр Олуферов: Ссылка на изображение</v>
      </c>
      <c r="BP174" t="str">
        <f>HYPERLINK("https://d33htgqikc2pj4.cloudfront.net/1dcfd820f285b2fb8b8ea87213a3466d/8b4cb39bbac1f172bea3aac1a730ef36-file.jpeg", "Александр Олуферов: Ссылка на изображение")</f>
        <v>Александр Олуферов: Ссылка на изображение</v>
      </c>
      <c r="BQ174" t="str">
        <f>HYPERLINK("https://d33htgqikc2pj4.cloudfront.net/11059141d3a26557e21bd52ecd50b883/ab375f570962e163f1aef6afa563c606-file.jpeg", "Александр Олуферов: Ссылка на изображение")</f>
        <v>Александр Олуферов: Ссылка на изображение</v>
      </c>
      <c r="BR174" t="str">
        <f>HYPERLINK("https://d33htgqikc2pj4.cloudfront.net/c7d7fe79aa12f81f0e03fe8ce6090fa2/eeb12c7875b7adbec88b682ea6498275-file.jpeg", "Александр Олуферов: Ссылка на изображение")</f>
        <v>Александр Олуферов: Ссылка на изображение</v>
      </c>
      <c r="BS174" t="s">
        <v>1424</v>
      </c>
      <c r="BT174" t="s">
        <v>1455</v>
      </c>
      <c r="BU174" t="s">
        <v>1456</v>
      </c>
      <c r="BV174" t="s">
        <v>1427</v>
      </c>
      <c r="BW174" t="s">
        <v>140</v>
      </c>
    </row>
    <row r="175" spans="1:93" ht="15" customHeight="1" x14ac:dyDescent="0.35">
      <c r="A175">
        <v>647</v>
      </c>
      <c r="B175" t="s">
        <v>1457</v>
      </c>
      <c r="C175">
        <v>1</v>
      </c>
      <c r="D175" t="str">
        <f>VLOOKUP(source[[#This Row],[Приоритет]],тПриоритеты[],2,0)</f>
        <v>КРИТИЧЕСКОЕ</v>
      </c>
      <c r="E1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5" t="s">
        <v>1086</v>
      </c>
      <c r="G175" t="s">
        <v>1421</v>
      </c>
      <c r="H175" t="str">
        <f>VLOOKUP(source[[#This Row],[Отвественный]],тОтветственные[],2,0)</f>
        <v>Отв31</v>
      </c>
      <c r="I175" s="2">
        <v>43762</v>
      </c>
      <c r="J175" s="2">
        <v>43769</v>
      </c>
      <c r="N175" t="s">
        <v>1059</v>
      </c>
      <c r="S175" s="1">
        <v>43762.467650462961</v>
      </c>
      <c r="T175" s="1">
        <v>43783.697280092594</v>
      </c>
      <c r="U175" s="1">
        <v>43784.389270833337</v>
      </c>
      <c r="W175" s="1">
        <v>43784.389282407406</v>
      </c>
      <c r="BF175" t="s">
        <v>1458</v>
      </c>
      <c r="BG175" t="s">
        <v>1459</v>
      </c>
      <c r="BH175" t="s">
        <v>1460</v>
      </c>
      <c r="BI175" t="s">
        <v>1424</v>
      </c>
      <c r="BJ175" t="str">
        <f>HYPERLINK("https://www.filepicker.io/api/file/mlFwmQYeQAuVlguX8iS0", "Александр Олуферов: Ссылка на файл")</f>
        <v>Александр Олуферов: Ссылка на файл</v>
      </c>
      <c r="BK175" t="str">
        <f>HYPERLINK("https://www.filepicker.io/api/file/vo2KKWbJTYSqm8gbPRhr", "Александр Олуферов: Ссылка на файл")</f>
        <v>Александр Олуферов: Ссылка на файл</v>
      </c>
      <c r="BL175" t="str">
        <f>HYPERLINK("https://www.filepicker.io/api/file/0f2Nqn1XRD2OsQp7QsSt", "Александр Олуферов: Ссылка на файл")</f>
        <v>Александр Олуферов: Ссылка на файл</v>
      </c>
      <c r="BM175" t="str">
        <f>HYPERLINK("https://www.filepicker.io/api/file/WPGxrq5MQue9uAem4jp2", "Александр Олуферов: Ссылка на файл")</f>
        <v>Александр Олуферов: Ссылка на файл</v>
      </c>
      <c r="BN175" t="str">
        <f>HYPERLINK("https://www.filepicker.io/api/file/y7VRDQTrGb1E4L7QXeFA", "Александр Олуферов: Ссылка на файл")</f>
        <v>Александр Олуферов: Ссылка на файл</v>
      </c>
      <c r="BO175" t="str">
        <f>HYPERLINK("https://www.filepicker.io/api/file/wtD8DN3BTgGgIZpltKdW", "Александр Олуферов: Ссылка на файл")</f>
        <v>Александр Олуферов: Ссылка на файл</v>
      </c>
      <c r="BP175" t="str">
        <f>HYPERLINK("https://www.filepicker.io/api/file/AmzDPgDQROGsHgyGBMvp", "Александр Олуферов: Ссылка на файл")</f>
        <v>Александр Олуферов: Ссылка на файл</v>
      </c>
      <c r="BQ175" t="str">
        <f>HYPERLINK("https://www.filepicker.io/api/file/z4FOohPZQTWXlHFD0qMx", "Александр Олуферов: Ссылка на файл")</f>
        <v>Александр Олуферов: Ссылка на файл</v>
      </c>
      <c r="BR175" s="3" t="s">
        <v>1461</v>
      </c>
      <c r="BS175" t="s">
        <v>1448</v>
      </c>
      <c r="BT175" t="s">
        <v>1462</v>
      </c>
      <c r="BU175" t="s">
        <v>1463</v>
      </c>
      <c r="BV175" t="s">
        <v>1427</v>
      </c>
      <c r="BW175" t="s">
        <v>1464</v>
      </c>
      <c r="BX175" t="s">
        <v>1444</v>
      </c>
      <c r="BY175" t="s">
        <v>140</v>
      </c>
    </row>
    <row r="176" spans="1:93" ht="15" customHeight="1" x14ac:dyDescent="0.35">
      <c r="A176">
        <v>728</v>
      </c>
      <c r="B176" t="s">
        <v>1465</v>
      </c>
      <c r="C176">
        <v>1</v>
      </c>
      <c r="D176" t="str">
        <f>VLOOKUP(source[[#This Row],[Приоритет]],тПриоритеты[],2,0)</f>
        <v>КРИТИЧЕСКОЕ</v>
      </c>
      <c r="E1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6" t="s">
        <v>1086</v>
      </c>
      <c r="G176" t="s">
        <v>1421</v>
      </c>
      <c r="H176" t="str">
        <f>VLOOKUP(source[[#This Row],[Отвественный]],тОтветственные[],2,0)</f>
        <v>Отв31</v>
      </c>
      <c r="I176" s="2">
        <v>43797</v>
      </c>
      <c r="J176" s="2">
        <v>43819</v>
      </c>
      <c r="S176" s="1">
        <v>43797.463935185187</v>
      </c>
      <c r="T176" s="1">
        <v>43817.483749999999</v>
      </c>
      <c r="U176" s="1">
        <v>43817.510358796295</v>
      </c>
      <c r="W176" s="1">
        <v>43817.510381944441</v>
      </c>
      <c r="BF176" t="s">
        <v>1466</v>
      </c>
      <c r="BG176" t="str">
        <f>HYPERLINK("https://d33htgqikc2pj4.cloudfront.net/qvHDimMUqxZcQnsj/7aF1twkfS7i0qr7QY0pl_0995_19-Р-АР.Р1-ТМГ-1.6.pdf", "Александр Олуферов: Ссылка на файл")</f>
        <v>Александр Олуферов: Ссылка на файл</v>
      </c>
      <c r="BH176" t="s">
        <v>1467</v>
      </c>
      <c r="BI176" s="3" t="s">
        <v>1468</v>
      </c>
      <c r="BJ176" t="str">
        <f>HYPERLINK("https://d33htgqikc2pj4.cloudfront.net/cc6638dcfda621a49644200cdb04e212/b41ab3824b63a83fadfd9318077681a7-file.jpeg", "Александр Олуферов: Ссылка на изображение")</f>
        <v>Александр Олуферов: Ссылка на изображение</v>
      </c>
      <c r="BK176" t="str">
        <f>HYPERLINK("https://d33htgqikc2pj4.cloudfront.net/08484c8378636bc43c4923e98d401fd7/bd339638f1a2c7b89b60615e9f6a0d59-file.jpeg", "Александр Олуферов: Ссылка на изображение")</f>
        <v>Александр Олуферов: Ссылка на изображение</v>
      </c>
      <c r="BL176" t="s">
        <v>1424</v>
      </c>
      <c r="BM176" t="s">
        <v>1469</v>
      </c>
      <c r="BN176" t="s">
        <v>1470</v>
      </c>
      <c r="BO176" t="s">
        <v>1427</v>
      </c>
      <c r="BP176" t="s">
        <v>1471</v>
      </c>
      <c r="BQ176" t="s">
        <v>1444</v>
      </c>
      <c r="BR176" t="s">
        <v>102</v>
      </c>
    </row>
    <row r="177" spans="1:96" ht="15" customHeight="1" x14ac:dyDescent="0.35">
      <c r="A177">
        <v>737</v>
      </c>
      <c r="B177" t="s">
        <v>1472</v>
      </c>
      <c r="C177">
        <v>1</v>
      </c>
      <c r="D177" t="str">
        <f>VLOOKUP(source[[#This Row],[Приоритет]],тПриоритеты[],2,0)</f>
        <v>КРИТИЧЕСКОЕ</v>
      </c>
      <c r="E1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7" t="s">
        <v>1086</v>
      </c>
      <c r="G177" t="s">
        <v>1421</v>
      </c>
      <c r="H177" t="str">
        <f>VLOOKUP(source[[#This Row],[Отвественный]],тОтветственные[],2,0)</f>
        <v>Отв31</v>
      </c>
      <c r="I177" s="2">
        <v>43798</v>
      </c>
      <c r="J177" s="2">
        <v>43805</v>
      </c>
      <c r="S177" s="1">
        <v>43798.610833333332</v>
      </c>
      <c r="T177" s="1">
        <v>43817.412835648145</v>
      </c>
      <c r="U177" s="1">
        <v>43817.505046296297</v>
      </c>
      <c r="W177" s="1">
        <v>43817.505057870374</v>
      </c>
      <c r="BF177" t="s">
        <v>1473</v>
      </c>
      <c r="BG177" t="s">
        <v>1424</v>
      </c>
      <c r="BH177" s="3" t="s">
        <v>1474</v>
      </c>
      <c r="BI177" t="str">
        <f>HYPERLINK("https://d33htgqikc2pj4.cloudfront.net/0ce9a20f461e382cb0f2b5e2b64ff2bd/7de579de95c0b6c878734c4c7de170cc-file.jpeg", "Александр Олуферов: Ссылка на изображение")</f>
        <v>Александр Олуферов: Ссылка на изображение</v>
      </c>
      <c r="BJ177" t="s">
        <v>1475</v>
      </c>
      <c r="BK177" t="s">
        <v>1426</v>
      </c>
      <c r="BL177" t="s">
        <v>1427</v>
      </c>
      <c r="BM177" t="str">
        <f>HYPERLINK("https://d33htgqikc2pj4.cloudfront.net/415e34e79ea7fadf54a89bccb884f2dd/ced14c4cf92ecb7970a2568452438ba1-file.jpeg", "Sergey Solodovnikov: Ссылка на изображение")</f>
        <v>Sergey Solodovnikov: Ссылка на изображение</v>
      </c>
      <c r="BN177" t="str">
        <f>HYPERLINK("https://d33htgqikc2pj4.cloudfront.net/57d03c905d5300dd8ba2fdbbb16927fa/1fe094be210949cf4b594dcba7e29ee0-file.jpeg", "Sergey Solodovnikov: Ссылка на изображение")</f>
        <v>Sergey Solodovnikov: Ссылка на изображение</v>
      </c>
      <c r="BO177" t="str">
        <f>HYPERLINK("https://d33htgqikc2pj4.cloudfront.net/533e2da23e020a9bf36befab23e478c2/b572c9974d9a0fde2e1bcb6477166f07-file.jpeg", "Sergey Solodovnikov: Ссылка на изображение")</f>
        <v>Sergey Solodovnikov: Ссылка на изображение</v>
      </c>
      <c r="BP177" t="str">
        <f>HYPERLINK("https://d33htgqikc2pj4.cloudfront.net/05913fa3ccec6528ebfd559b4857b404/9dc181038006ba8437319bde33b25f5d-file.jpeg", "Sergey Solodovnikov: Ссылка на изображение")</f>
        <v>Sergey Solodovnikov: Ссылка на изображение</v>
      </c>
      <c r="BQ177" t="str">
        <f>HYPERLINK("https://d33htgqikc2pj4.cloudfront.net/326f069b99d0ab6a98ae0c4a135f3a19/209239d8b08420ded5a396752ad487d1-file.jpeg", "Sergey Solodovnikov: Ссылка на изображение")</f>
        <v>Sergey Solodovnikov: Ссылка на изображение</v>
      </c>
      <c r="BR177" t="str">
        <f>HYPERLINK("https://d33htgqikc2pj4.cloudfront.net/cc76f8fb8518fc64011a0176af4d5b6d/d16f02b9273fec9c3f792674625b1bda-file.jpeg", "Sergey Solodovnikov: Ссылка на изображение")</f>
        <v>Sergey Solodovnikov: Ссылка на изображение</v>
      </c>
      <c r="BS177" t="s">
        <v>1476</v>
      </c>
      <c r="BT177" t="s">
        <v>1444</v>
      </c>
      <c r="BU177" t="s">
        <v>102</v>
      </c>
    </row>
    <row r="178" spans="1:96" ht="15" customHeight="1" x14ac:dyDescent="0.35">
      <c r="A178">
        <v>586</v>
      </c>
      <c r="B178" t="s">
        <v>1477</v>
      </c>
      <c r="C178">
        <v>1</v>
      </c>
      <c r="D178" t="str">
        <f>VLOOKUP(source[[#This Row],[Приоритет]],тПриоритеты[],2,0)</f>
        <v>КРИТИЧЕСКОЕ</v>
      </c>
      <c r="E1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8" t="s">
        <v>1086</v>
      </c>
      <c r="G178" t="s">
        <v>1421</v>
      </c>
      <c r="H178" t="str">
        <f>VLOOKUP(source[[#This Row],[Отвественный]],тОтветственные[],2,0)</f>
        <v>Отв31</v>
      </c>
      <c r="I178" s="2">
        <v>43747</v>
      </c>
      <c r="J178" s="2">
        <v>43752</v>
      </c>
      <c r="K178" t="s">
        <v>1058</v>
      </c>
      <c r="L178">
        <v>0</v>
      </c>
      <c r="M178">
        <v>0</v>
      </c>
      <c r="Q178" t="s">
        <v>124</v>
      </c>
      <c r="R178" t="str">
        <f>HYPERLINK("https://d28ji4sm1vmprj.cloudfront.net/36167089e08e1ee401f4f57d88869b74/9a4ef6d7d17215a7139533e84371548c.jpeg", "Ссылка на план")</f>
        <v>Ссылка на план</v>
      </c>
      <c r="S178" s="1">
        <v>43747.648321759261</v>
      </c>
      <c r="T178" s="1">
        <v>43769.431932870371</v>
      </c>
      <c r="U178" s="1">
        <v>43775.610879629632</v>
      </c>
      <c r="W178" s="1">
        <v>43775.610879629632</v>
      </c>
      <c r="BF178" t="s">
        <v>1424</v>
      </c>
      <c r="BG178" t="s">
        <v>1440</v>
      </c>
      <c r="BH178" t="s">
        <v>1478</v>
      </c>
      <c r="BI178" t="s">
        <v>1478</v>
      </c>
      <c r="BJ178" t="s">
        <v>1479</v>
      </c>
      <c r="BK178" t="s">
        <v>1480</v>
      </c>
      <c r="BL178" t="str">
        <f>HYPERLINK("https://www.filepicker.io/api/file/WLxgzfuUQRulhfdqbiA1", "Александр Олуферов: Ссылка на файл")</f>
        <v>Александр Олуферов: Ссылка на файл</v>
      </c>
      <c r="BM178" t="str">
        <f>HYPERLINK("https://www.filepicker.io/api/file/Yke6G3TLSO2Y5KaC2rwT", "Александр Олуферов: Ссылка на файл")</f>
        <v>Александр Олуферов: Ссылка на файл</v>
      </c>
      <c r="BN178" t="str">
        <f>HYPERLINK("https://www.filepicker.io/api/file/wcrGeiNWT426kSyARIoL", "Александр Олуферов: Ссылка на файл")</f>
        <v>Александр Олуферов: Ссылка на файл</v>
      </c>
      <c r="BO178" t="s">
        <v>1481</v>
      </c>
      <c r="BP178" s="3" t="s">
        <v>1482</v>
      </c>
      <c r="BQ178" t="s">
        <v>1427</v>
      </c>
      <c r="BR178" t="str">
        <f>HYPERLINK("https://d33htgqikc2pj4.cloudfront.net/qvHDimMUqxZcQnsj/uPjqGtTCdQ1uETW01Zgr_ExportWorkflow-20191025_07-28_Том3.xls", "Sergey Solodovnikov: Ссылка на файл")</f>
        <v>Sergey Solodovnikov: Ссылка на файл</v>
      </c>
      <c r="BS178" t="str">
        <f>HYPERLINK("https://d33htgqikc2pj4.cloudfront.net/qvHDimMUqxZcQnsj/IepfPmAfSaec6j6BSKpW_ExportWorkflow-20191025_Том9.xls", "Sergey Solodovnikov: Ссылка на файл")</f>
        <v>Sergey Solodovnikov: Ссылка на файл</v>
      </c>
      <c r="BT178" t="s">
        <v>1483</v>
      </c>
      <c r="BU178" t="s">
        <v>1444</v>
      </c>
      <c r="BV178" t="s">
        <v>1484</v>
      </c>
      <c r="BW178" t="s">
        <v>1424</v>
      </c>
      <c r="BX178" t="str">
        <f>HYPERLINK("https://d33htgqikc2pj4.cloudfront.net/qvHDimMUqxZcQnsj/rA0LB0XQ0YgdR4BueRwi_исх 327.pdf", "Sergey Solodovnikov: Ссылка на файл")</f>
        <v>Sergey Solodovnikov: Ссылка на файл</v>
      </c>
      <c r="BY178" t="s">
        <v>1485</v>
      </c>
      <c r="BZ178" t="s">
        <v>1444</v>
      </c>
      <c r="CA178" t="s">
        <v>140</v>
      </c>
    </row>
    <row r="179" spans="1:96" ht="15" customHeight="1" x14ac:dyDescent="0.35">
      <c r="A179">
        <v>655</v>
      </c>
      <c r="B179" t="s">
        <v>1486</v>
      </c>
      <c r="C179">
        <v>1</v>
      </c>
      <c r="D179" t="str">
        <f>VLOOKUP(source[[#This Row],[Приоритет]],тПриоритеты[],2,0)</f>
        <v>КРИТИЧЕСКОЕ</v>
      </c>
      <c r="E17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79" t="s">
        <v>1086</v>
      </c>
      <c r="G179" t="s">
        <v>1421</v>
      </c>
      <c r="H179" t="str">
        <f>VLOOKUP(source[[#This Row],[Отвественный]],тОтветственные[],2,0)</f>
        <v>Отв31</v>
      </c>
      <c r="I179" s="2">
        <v>43767</v>
      </c>
      <c r="J179" s="2">
        <v>43773</v>
      </c>
      <c r="S179" s="1">
        <v>43767.354675925926</v>
      </c>
      <c r="T179" s="1">
        <v>43783.697442129633</v>
      </c>
      <c r="U179" s="1">
        <v>43784.392442129632</v>
      </c>
      <c r="W179" s="1">
        <v>43784.392442129632</v>
      </c>
      <c r="BF179" t="str">
        <f>HYPERLINK("https://d33htgqikc2pj4.cloudfront.net/c5c8e44856522d9ca0873d248f05e6a1/5e159bb8af9143a912602e4b21c4880b-file.jpeg", "Александр Олуферов: Ссылка на изображение")</f>
        <v>Александр Олуферов: Ссылка на изображение</v>
      </c>
      <c r="BG179" t="str">
        <f>HYPERLINK("https://d33htgqikc2pj4.cloudfront.net/8f8b3fa29f3485a7f546e29e41c9bba6/3a7a17475a1090030611b2ade4802bf5-file.jpeg", "Александр Олуферов: Ссылка на изображение")</f>
        <v>Александр Олуферов: Ссылка на изображение</v>
      </c>
      <c r="BH179" t="str">
        <f>HYPERLINK("https://d33htgqikc2pj4.cloudfront.net/b5f0a45d1e0160b5a02b4728b0b5a7b9/7be4ecee6800c61d98b4e4dec4189453-file.jpeg", "Александр Олуферов: Ссылка на изображение")</f>
        <v>Александр Олуферов: Ссылка на изображение</v>
      </c>
      <c r="BI179" t="str">
        <f>HYPERLINK("https://d33htgqikc2pj4.cloudfront.net/8e2f6a6db7b1cd5bb8782da7ab7c7c0d/a9162be369c593fbed83916450a4f824-file.jpeg", "Александр Олуферов: Ссылка на изображение")</f>
        <v>Александр Олуферов: Ссылка на изображение</v>
      </c>
      <c r="BJ179" t="str">
        <f>HYPERLINK("https://d33htgqikc2pj4.cloudfront.net/8bd8377f7921772bd73204f458256bee/1dd8c308b91246161087ba59981085e1-file.jpeg", "Александр Олуферов: Ссылка на изображение")</f>
        <v>Александр Олуферов: Ссылка на изображение</v>
      </c>
      <c r="BK179" t="str">
        <f>HYPERLINK("https://d33htgqikc2pj4.cloudfront.net/2936e0f019cc28d4aac53794a9d37110/a6d09e655d0721cad07036d0d33f292f-file.jpeg", "Александр Олуферов: Ссылка на изображение")</f>
        <v>Александр Олуферов: Ссылка на изображение</v>
      </c>
      <c r="BL179" t="s">
        <v>1424</v>
      </c>
      <c r="BM179" t="s">
        <v>1427</v>
      </c>
      <c r="BN179" t="s">
        <v>1487</v>
      </c>
      <c r="BO179" t="s">
        <v>1488</v>
      </c>
      <c r="BP179" s="3" t="s">
        <v>1489</v>
      </c>
      <c r="BQ179" t="s">
        <v>1490</v>
      </c>
      <c r="BR179" t="s">
        <v>1491</v>
      </c>
      <c r="BS179" t="s">
        <v>1444</v>
      </c>
      <c r="BT179" t="s">
        <v>140</v>
      </c>
    </row>
    <row r="180" spans="1:96" ht="15" customHeight="1" x14ac:dyDescent="0.35">
      <c r="A180">
        <v>665</v>
      </c>
      <c r="B180" t="s">
        <v>1492</v>
      </c>
      <c r="C180">
        <v>1</v>
      </c>
      <c r="D180" t="str">
        <f>VLOOKUP(source[[#This Row],[Приоритет]],тПриоритеты[],2,0)</f>
        <v>КРИТИЧЕСКОЕ</v>
      </c>
      <c r="E1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0" t="s">
        <v>1086</v>
      </c>
      <c r="G180" t="s">
        <v>1421</v>
      </c>
      <c r="H180" t="str">
        <f>VLOOKUP(source[[#This Row],[Отвественный]],тОтветственные[],2,0)</f>
        <v>Отв31</v>
      </c>
      <c r="I180" s="2">
        <v>43769</v>
      </c>
      <c r="J180" s="2">
        <v>43776</v>
      </c>
      <c r="N180" t="s">
        <v>1059</v>
      </c>
      <c r="S180" s="1">
        <v>43769.436365740738</v>
      </c>
      <c r="T180" s="1">
        <v>43816.736076388886</v>
      </c>
      <c r="U180" s="1">
        <v>43816.736076388886</v>
      </c>
      <c r="W180" s="1">
        <v>43816.73609953704</v>
      </c>
      <c r="BF180" t="s">
        <v>1493</v>
      </c>
      <c r="BG180" t="s">
        <v>1494</v>
      </c>
      <c r="BH180" t="str">
        <f>HYPERLINK("https://d33htgqikc2pj4.cloudfront.net/e4587858f41e00404e33f330ceb381be/2cdb21ef31c9670700180ccead4ecd2a-file.jpeg", "Александр Олуферов: Ссылка на изображение")</f>
        <v>Александр Олуферов: Ссылка на изображение</v>
      </c>
      <c r="BI180" t="str">
        <f>HYPERLINK("https://d33htgqikc2pj4.cloudfront.net/297832a190f28d5498b676cf55fdeefa/b8a9d350de4b724e96e84f82653b7633-file.jpeg", "Александр Олуферов: Ссылка на изображение")</f>
        <v>Александр Олуферов: Ссылка на изображение</v>
      </c>
      <c r="BJ180" t="str">
        <f>HYPERLINK("https://d33htgqikc2pj4.cloudfront.net/401596b6fc00c19e902d2c6d718fe4bc/5276ae66e4c067ef30676b62894807eb-file.jpeg", "Александр Олуферов: Ссылка на изображение")</f>
        <v>Александр Олуферов: Ссылка на изображение</v>
      </c>
      <c r="BK180" t="str">
        <f>HYPERLINK("https://d33htgqikc2pj4.cloudfront.net/476889100e8931cf6e8ea0b239ab68dd/11cf5be972714e80be9833c658e51ed7-file.jpeg", "Александр Олуферов: Ссылка на изображение")</f>
        <v>Александр Олуферов: Ссылка на изображение</v>
      </c>
      <c r="BL180" s="3" t="s">
        <v>1495</v>
      </c>
      <c r="BM180" t="s">
        <v>1448</v>
      </c>
      <c r="BN180" t="s">
        <v>1496</v>
      </c>
      <c r="BO180" t="s">
        <v>1496</v>
      </c>
      <c r="BP180" t="s">
        <v>1497</v>
      </c>
      <c r="BQ180" t="s">
        <v>1424</v>
      </c>
      <c r="BR180" t="s">
        <v>1427</v>
      </c>
      <c r="BS180" s="3" t="s">
        <v>1498</v>
      </c>
      <c r="BT180" t="s">
        <v>1444</v>
      </c>
      <c r="BU180" t="s">
        <v>1424</v>
      </c>
      <c r="BV180" t="s">
        <v>102</v>
      </c>
    </row>
    <row r="181" spans="1:96" ht="15" customHeight="1" x14ac:dyDescent="0.35">
      <c r="A181">
        <v>749</v>
      </c>
      <c r="B181" t="s">
        <v>1499</v>
      </c>
      <c r="C181">
        <v>1</v>
      </c>
      <c r="D181" t="str">
        <f>VLOOKUP(source[[#This Row],[Приоритет]],тПриоритеты[],2,0)</f>
        <v>КРИТИЧЕСКОЕ</v>
      </c>
      <c r="E1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1" t="s">
        <v>1086</v>
      </c>
      <c r="G181" t="s">
        <v>1421</v>
      </c>
      <c r="H181" t="str">
        <f>VLOOKUP(source[[#This Row],[Отвественный]],тОтветственные[],2,0)</f>
        <v>Отв31</v>
      </c>
      <c r="I181" s="2">
        <v>43803</v>
      </c>
      <c r="J181" s="2">
        <v>43921</v>
      </c>
      <c r="S181" s="1">
        <v>43803.586689814816</v>
      </c>
      <c r="T181" s="1">
        <v>43809.395960648151</v>
      </c>
      <c r="U181" s="1">
        <v>43809.395960648151</v>
      </c>
      <c r="W181" s="1">
        <v>43809.395972222221</v>
      </c>
      <c r="BF181" s="3" t="s">
        <v>1500</v>
      </c>
      <c r="BG181" t="s">
        <v>1501</v>
      </c>
      <c r="BH181" t="s">
        <v>1424</v>
      </c>
      <c r="BI181" t="s">
        <v>1502</v>
      </c>
      <c r="BJ181" t="s">
        <v>1503</v>
      </c>
      <c r="BK181" t="s">
        <v>1504</v>
      </c>
      <c r="BL181" t="str">
        <f>HYPERLINK("https://d33htgqikc2pj4.cloudfront.net/qvHDimMUqxZcQnsj/NMZcRXLlRcmQO9aGBg6X_Исх. 387 от 06.12.2019.pdf", "Александр Олуферов: Ссылка на файл")</f>
        <v>Александр Олуферов: Ссылка на файл</v>
      </c>
      <c r="BM181" t="s">
        <v>140</v>
      </c>
      <c r="BN181" t="s">
        <v>1505</v>
      </c>
    </row>
    <row r="182" spans="1:96" ht="15" customHeight="1" x14ac:dyDescent="0.35">
      <c r="A182">
        <v>752</v>
      </c>
      <c r="B182" t="s">
        <v>1506</v>
      </c>
      <c r="C182">
        <v>1</v>
      </c>
      <c r="D182" t="str">
        <f>VLOOKUP(source[[#This Row],[Приоритет]],тПриоритеты[],2,0)</f>
        <v>КРИТИЧЕСКОЕ</v>
      </c>
      <c r="E1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2" t="s">
        <v>1086</v>
      </c>
      <c r="G182" t="s">
        <v>1421</v>
      </c>
      <c r="H182" t="str">
        <f>VLOOKUP(source[[#This Row],[Отвественный]],тОтветственные[],2,0)</f>
        <v>Отв31</v>
      </c>
      <c r="I182" s="2">
        <v>43804</v>
      </c>
      <c r="J182" s="2">
        <v>43810</v>
      </c>
      <c r="S182" s="1">
        <v>43804.601967592593</v>
      </c>
      <c r="T182" s="1">
        <v>43817.616377314815</v>
      </c>
      <c r="U182" s="1">
        <v>43817.685682870368</v>
      </c>
      <c r="W182" s="1">
        <v>43817.685706018521</v>
      </c>
      <c r="BF182" t="s">
        <v>1507</v>
      </c>
      <c r="BG182" s="3" t="s">
        <v>1508</v>
      </c>
      <c r="BH182" t="str">
        <f>HYPERLINK("https://d33htgqikc2pj4.cloudfront.net/59401ad7efcc13b410c10e29146e6bb1/afe08a804fa023db115b7beef419dea4-file.jpeg", "Александр Олуферов: Ссылка на изображение")</f>
        <v>Александр Олуферов: Ссылка на изображение</v>
      </c>
      <c r="BI182" t="str">
        <f>HYPERLINK("https://d33htgqikc2pj4.cloudfront.net/c66f1e2d0e6dcb1fd2f5374b34af194d/b25095e6e906e82e4bdcb928ba69104f-file.jpeg", "Александр Олуферов: Ссылка на изображение")</f>
        <v>Александр Олуферов: Ссылка на изображение</v>
      </c>
      <c r="BJ182" t="str">
        <f>HYPERLINK("https://d33htgqikc2pj4.cloudfront.net/b6b5a0bf1fef44cad6c022fcff42b2b8/61707520852bf9c27f58a13d17da1780-file.jpeg", "Александр Олуферов: Ссылка на изображение")</f>
        <v>Александр Олуферов: Ссылка на изображение</v>
      </c>
      <c r="BK182" t="str">
        <f>HYPERLINK("https://d33htgqikc2pj4.cloudfront.net/a78d1d45977f5320ded4762604f38d82/3e784f57f9e14c3176ac446bdb340d0e-file.jpeg", "Александр Олуферов: Ссылка на изображение")</f>
        <v>Александр Олуферов: Ссылка на изображение</v>
      </c>
      <c r="BL182" t="s">
        <v>1424</v>
      </c>
      <c r="BM182" t="s">
        <v>1442</v>
      </c>
      <c r="BN182" t="s">
        <v>1509</v>
      </c>
      <c r="BO182" t="s">
        <v>1510</v>
      </c>
      <c r="BP182" t="s">
        <v>1504</v>
      </c>
      <c r="BQ182" t="str">
        <f>HYPERLINK("https://d33htgqikc2pj4.cloudfront.net/qvHDimMUqxZcQnsj/GTnofWqNQzK2mnFmy4Sp_Гребешки наличника Ш-11-Model.pdf", "Sergey Solodovnikov: Ссылка на файл")</f>
        <v>Sergey Solodovnikov: Ссылка на файл</v>
      </c>
      <c r="BR182" t="str">
        <f>HYPERLINK("https://d33htgqikc2pj4.cloudfront.net/43312e79b05ac5ad99939c9593161311/e270ac65f85eb911f71f17df3197de2d-file.jpeg", "Sergey Solodovnikov: Ссылка на изображение")</f>
        <v>Sergey Solodovnikov: Ссылка на изображение</v>
      </c>
      <c r="BS182" t="str">
        <f>HYPERLINK("https://d33htgqikc2pj4.cloudfront.net/02acd9792dff956b17c17fc28216209b/3fb0747f3c2f0567a9101f029476ddfa-file.jpeg", "Sergey Solodovnikov: Ссылка на изображение")</f>
        <v>Sergey Solodovnikov: Ссылка на изображение</v>
      </c>
      <c r="BT182" s="3" t="s">
        <v>1511</v>
      </c>
      <c r="BU182" t="s">
        <v>1444</v>
      </c>
      <c r="BV182" s="3" t="s">
        <v>1512</v>
      </c>
      <c r="BW182" t="s">
        <v>1424</v>
      </c>
      <c r="BX182" t="str">
        <f>HYPERLINK("https://d33htgqikc2pj4.cloudfront.net/14f4a9b7264027254d688acc928d545b/5def9cf6e2712cf347530d9f863d9a5f-file.jpeg", "Sergey Solodovnikov: Ссылка на изображение")</f>
        <v>Sergey Solodovnikov: Ссылка на изображение</v>
      </c>
      <c r="BY182" t="str">
        <f>HYPERLINK("https://d33htgqikc2pj4.cloudfront.net/5a4ce6a0589eada37e71b152cc59015a/d780e3123d7a1610fddb0a960fbbeb0a-file.jpeg", "Sergey Solodovnikov: Ссылка на изображение")</f>
        <v>Sergey Solodovnikov: Ссылка на изображение</v>
      </c>
      <c r="BZ182" t="str">
        <f>HYPERLINK("https://d33htgqikc2pj4.cloudfront.net/6bf3fbb7ce7d82050e71580cd6b44033/238a2b8ec10e39bdff6a4d00b800dd8b-file.jpeg", "Sergey Solodovnikov: Ссылка на изображение")</f>
        <v>Sergey Solodovnikov: Ссылка на изображение</v>
      </c>
      <c r="CA182" t="str">
        <f>HYPERLINK("https://d33htgqikc2pj4.cloudfront.net/a4398fc113d5c345dbc601b00d583329/1a59da34c2176311b9f04e26afca5dfa-file.jpeg", "Sergey Solodovnikov: Ссылка на изображение")</f>
        <v>Sergey Solodovnikov: Ссылка на изображение</v>
      </c>
      <c r="CB182" t="str">
        <f>HYPERLINK("https://d33htgqikc2pj4.cloudfront.net/e0594728e0adec5ead9bc3711285185e/70fed3772ccc113062a2744243226088-file.jpeg", "Sergey Solodovnikov: Ссылка на изображение")</f>
        <v>Sergey Solodovnikov: Ссылка на изображение</v>
      </c>
      <c r="CC182" t="s">
        <v>1513</v>
      </c>
      <c r="CD182" t="s">
        <v>1444</v>
      </c>
      <c r="CE182" t="s">
        <v>102</v>
      </c>
    </row>
    <row r="183" spans="1:96" ht="15" customHeight="1" x14ac:dyDescent="0.35">
      <c r="A183">
        <v>687</v>
      </c>
      <c r="B183" t="s">
        <v>1514</v>
      </c>
      <c r="C183">
        <v>1</v>
      </c>
      <c r="D183" t="str">
        <f>VLOOKUP(source[[#This Row],[Приоритет]],тПриоритеты[],2,0)</f>
        <v>КРИТИЧЕСКОЕ</v>
      </c>
      <c r="E1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3" t="s">
        <v>1086</v>
      </c>
      <c r="G183" t="s">
        <v>1421</v>
      </c>
      <c r="H183" t="str">
        <f>VLOOKUP(source[[#This Row],[Отвественный]],тОтветственные[],2,0)</f>
        <v>Отв31</v>
      </c>
      <c r="I183" s="2">
        <v>43782</v>
      </c>
      <c r="J183" s="2">
        <v>43794</v>
      </c>
      <c r="N183" t="s">
        <v>1059</v>
      </c>
      <c r="S183" s="1">
        <v>43782.590717592589</v>
      </c>
      <c r="T183" s="1">
        <v>43817.415092592593</v>
      </c>
      <c r="U183" s="1">
        <v>43817.503611111111</v>
      </c>
      <c r="W183" s="1">
        <v>43817.503622685188</v>
      </c>
      <c r="BF183" t="s">
        <v>1515</v>
      </c>
      <c r="BG183" t="str">
        <f>HYPERLINK("https://www.filepicker.io/api/file/176Lp9SSquOeQfs6jUNX", "Александр Олуферов: Ссылка на файл")</f>
        <v>Александр Олуферов: Ссылка на файл</v>
      </c>
      <c r="BH183" t="str">
        <f>HYPERLINK("https://www.filepicker.io/api/file/WptMQKZTQiGLxGD9ADUw", "Александр Олуферов: Ссылка на файл")</f>
        <v>Александр Олуферов: Ссылка на файл</v>
      </c>
      <c r="BI183" t="str">
        <f>HYPERLINK("https://www.filepicker.io/api/file/DY2l6S0GSYeAgmxGFXEC", "Александр Олуферов: Ссылка на файл")</f>
        <v>Александр Олуферов: Ссылка на файл</v>
      </c>
      <c r="BJ183" t="s">
        <v>1424</v>
      </c>
      <c r="BK183" t="s">
        <v>1448</v>
      </c>
      <c r="BL183" t="s">
        <v>1516</v>
      </c>
      <c r="BM183" t="s">
        <v>1441</v>
      </c>
      <c r="BN183" s="3" t="s">
        <v>1517</v>
      </c>
      <c r="BO183" t="s">
        <v>1427</v>
      </c>
      <c r="BP183" s="3" t="s">
        <v>1518</v>
      </c>
      <c r="BQ183" t="s">
        <v>1444</v>
      </c>
      <c r="BR183" t="s">
        <v>1519</v>
      </c>
      <c r="BS183" t="s">
        <v>1424</v>
      </c>
      <c r="BT183" s="3" t="s">
        <v>1520</v>
      </c>
      <c r="BU183" t="s">
        <v>1444</v>
      </c>
      <c r="BV183" t="s">
        <v>1521</v>
      </c>
      <c r="BW183" t="s">
        <v>1424</v>
      </c>
      <c r="BX183" t="s">
        <v>1522</v>
      </c>
      <c r="BY183" t="s">
        <v>1444</v>
      </c>
      <c r="BZ183" t="s">
        <v>102</v>
      </c>
    </row>
    <row r="184" spans="1:96" ht="15" customHeight="1" x14ac:dyDescent="0.35">
      <c r="A184">
        <v>688</v>
      </c>
      <c r="B184" t="s">
        <v>1523</v>
      </c>
      <c r="C184">
        <v>1</v>
      </c>
      <c r="D184" t="str">
        <f>VLOOKUP(source[[#This Row],[Приоритет]],тПриоритеты[],2,0)</f>
        <v>КРИТИЧЕСКОЕ</v>
      </c>
      <c r="E1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4" t="s">
        <v>1086</v>
      </c>
      <c r="G184" t="s">
        <v>1421</v>
      </c>
      <c r="H184" t="str">
        <f>VLOOKUP(source[[#This Row],[Отвественный]],тОтветственные[],2,0)</f>
        <v>Отв31</v>
      </c>
      <c r="I184" s="2">
        <v>43783</v>
      </c>
      <c r="J184" s="2">
        <v>43790</v>
      </c>
      <c r="N184" t="s">
        <v>1059</v>
      </c>
      <c r="S184" s="1">
        <v>43783.646631944444</v>
      </c>
      <c r="T184" s="1">
        <v>43817.666666666664</v>
      </c>
      <c r="U184" s="1">
        <v>43817.686064814814</v>
      </c>
      <c r="W184" s="1">
        <v>43817.686076388891</v>
      </c>
      <c r="BF184" t="s">
        <v>1424</v>
      </c>
      <c r="BG184" s="3" t="s">
        <v>1524</v>
      </c>
      <c r="BH184" t="str">
        <f>HYPERLINK("https://d33htgqikc2pj4.cloudfront.net/30ce2623043267120707aaef8f8efcdf/4c51f0f505bab4bfc4065e029bace686-file.jpeg", "Александр Олуферов: Ссылка на изображение")</f>
        <v>Александр Олуферов: Ссылка на изображение</v>
      </c>
      <c r="BI184" t="str">
        <f>HYPERLINK("https://d33htgqikc2pj4.cloudfront.net/dead11b01989ad5b8b265348c12b8400/7479861a9659d9efe1ef5138e991a7fb-file.jpeg", "Александр Олуферов: Ссылка на изображение")</f>
        <v>Александр Олуферов: Ссылка на изображение</v>
      </c>
      <c r="BJ184" t="str">
        <f>HYPERLINK("https://d33htgqikc2pj4.cloudfront.net/b5c2ff87715553fd41b5f65af8777572/dd4a2f6f0ac6a265fe48326ac8c4126e-file.jpeg", "Александр Олуферов: Ссылка на изображение")</f>
        <v>Александр Олуферов: Ссылка на изображение</v>
      </c>
      <c r="BK184" t="str">
        <f>HYPERLINK("https://d33htgqikc2pj4.cloudfront.net/2cc8499ca8bb526058d110b7ea2c17b1/5d0ac5ad617f3b7036dcaafdf313cfb8-file.jpeg", "Александр Олуферов: Ссылка на изображение")</f>
        <v>Александр Олуферов: Ссылка на изображение</v>
      </c>
      <c r="BL184" t="str">
        <f>HYPERLINK("https://d33htgqikc2pj4.cloudfront.net/9dce45f3fd673e0d18958396df185fff/7d1d712e5c1f4b0e481c103db82efe8d-file.jpeg", "Александр Олуферов: Ссылка на изображение")</f>
        <v>Александр Олуферов: Ссылка на изображение</v>
      </c>
      <c r="BM184" t="str">
        <f>HYPERLINK("https://d33htgqikc2pj4.cloudfront.net/9fa2b2aacd8d9c9f61657ca480523ec8/9c8a993476d13c82a4736c0469af0a94-file.jpeg", "Александр Олуферов: Ссылка на изображение")</f>
        <v>Александр Олуферов: Ссылка на изображение</v>
      </c>
      <c r="BN184" t="str">
        <f>HYPERLINK("https://d33htgqikc2pj4.cloudfront.net/ae6947fbfaf155d13ff4ff21a64f42d6/618639907a77848dd7e117482969531c-file.jpeg", "Александр Олуферов: Ссылка на изображение")</f>
        <v>Александр Олуферов: Ссылка на изображение</v>
      </c>
      <c r="BO184" t="s">
        <v>1525</v>
      </c>
      <c r="BP184" t="str">
        <f>HYPERLINK("https://d33htgqikc2pj4.cloudfront.net/0d0b65a250a48792d597c3f0529b6be1/bb000a4dcd1329b76373ff9d1f08d161-file.jpeg", "Александр Олуферов: Ссылка на изображение")</f>
        <v>Александр Олуферов: Ссылка на изображение</v>
      </c>
      <c r="BQ184" t="str">
        <f>HYPERLINK("https://d33htgqikc2pj4.cloudfront.net/262291febbf381a09404f5b402ef12b2/b9d0a6382fd7f15a56d5681fb21e85ef-file.jpeg", "Александр Олуферов: Ссылка на изображение")</f>
        <v>Александр Олуферов: Ссылка на изображение</v>
      </c>
      <c r="BR184" t="str">
        <f>HYPERLINK("https://d33htgqikc2pj4.cloudfront.net/abd0829b99c7bc1cb2de27ba4036747d/ca3c670a0ad5cb10cd129b611a7a9cd4-file.jpeg", "Александр Олуферов: Ссылка на изображение")</f>
        <v>Александр Олуферов: Ссылка на изображение</v>
      </c>
      <c r="BS184" t="s">
        <v>1526</v>
      </c>
      <c r="BT184" t="s">
        <v>1448</v>
      </c>
      <c r="BU184" t="s">
        <v>1527</v>
      </c>
      <c r="BV184" t="s">
        <v>1528</v>
      </c>
      <c r="BW184" t="s">
        <v>1427</v>
      </c>
      <c r="BX184" t="s">
        <v>1529</v>
      </c>
      <c r="BY184" t="str">
        <f>HYPERLINK("https://d33htgqikc2pj4.cloudfront.net/7c1d6105209c6fad68e278277ad43d6d/2df4b5cdd57300264b6e15ad47ac3c6d-file.jpeg", "Sergey Solodovnikov: Ссылка на изображение")</f>
        <v>Sergey Solodovnikov: Ссылка на изображение</v>
      </c>
      <c r="BZ184" t="str">
        <f>HYPERLINK("https://d33htgqikc2pj4.cloudfront.net/ff54052c087a4989fb6e148686baf433/29d81ece9ee7e77dc81ce2ae43c786cd-file.jpeg", "Sergey Solodovnikov: Ссылка на изображение")</f>
        <v>Sergey Solodovnikov: Ссылка на изображение</v>
      </c>
      <c r="CA184" t="str">
        <f>HYPERLINK("https://d33htgqikc2pj4.cloudfront.net/47252823b2cad6dace3acbf6ab8e076c/102f7307397faba6c392106917ee3743-file.jpeg", "Sergey Solodovnikov: Ссылка на изображение")</f>
        <v>Sergey Solodovnikov: Ссылка на изображение</v>
      </c>
      <c r="CB184" t="str">
        <f>HYPERLINK("https://d33htgqikc2pj4.cloudfront.net/d6456df61537723ddb9c450942f72553/47a9882e465adef0cd67f1b31591ac47-file.jpeg", "Sergey Solodovnikov: Ссылка на изображение")</f>
        <v>Sergey Solodovnikov: Ссылка на изображение</v>
      </c>
      <c r="CC184" t="str">
        <f>HYPERLINK("https://d33htgqikc2pj4.cloudfront.net/08a88e6f6696e9864561aad14af17b27/4a9030f9c8823d60ff047f6e7f846d58-file.jpeg", "Sergey Solodovnikov: Ссылка на изображение")</f>
        <v>Sergey Solodovnikov: Ссылка на изображение</v>
      </c>
      <c r="CD184" t="str">
        <f>HYPERLINK("https://d33htgqikc2pj4.cloudfront.net/b3c480ddc64d05d05d2be7439acfec76/68d19722eeeda0af79a7595578fa6a42-file.jpeg", "Sergey Solodovnikov: Ссылка на изображение")</f>
        <v>Sergey Solodovnikov: Ссылка на изображение</v>
      </c>
      <c r="CE184" t="str">
        <f>HYPERLINK("https://d33htgqikc2pj4.cloudfront.net/69004778bee06d21aecd0a618058e973/cc25480d060e4294166230f81704b5fe-file.jpeg", "Sergey Solodovnikov: Ссылка на изображение")</f>
        <v>Sergey Solodovnikov: Ссылка на изображение</v>
      </c>
      <c r="CF184" t="str">
        <f>HYPERLINK("https://d33htgqikc2pj4.cloudfront.net/cea9bbc688cf7a952d6503d4d8c87d07/5311275eb79095afbba3ce3c2d45b890-file.jpeg", "Sergey Solodovnikov: Ссылка на изображение")</f>
        <v>Sergey Solodovnikov: Ссылка на изображение</v>
      </c>
      <c r="CG184" t="str">
        <f>HYPERLINK("https://d33htgqikc2pj4.cloudfront.net/14e6918e036e9ba2b47e96b72f5b0e89/a94a2e984b3f2e0203bd41edddae4890-file.jpeg", "Sergey Solodovnikov: Ссылка на изображение")</f>
        <v>Sergey Solodovnikov: Ссылка на изображение</v>
      </c>
      <c r="CH184" t="str">
        <f>HYPERLINK("https://d33htgqikc2pj4.cloudfront.net/8027b8bc24d1030237212ed748d3b866/a79e859d1d89c42bfdcfb8322926562a-file.jpeg", "Sergey Solodovnikov: Ссылка на изображение")</f>
        <v>Sergey Solodovnikov: Ссылка на изображение</v>
      </c>
      <c r="CI184" t="str">
        <f>HYPERLINK("https://d33htgqikc2pj4.cloudfront.net/qvHDimMUqxZcQnsj/PyfUmwrS6ei46LSxZikD_паспорт кирпич.pdf", "Sergey Solodovnikov: Ссылка на файл")</f>
        <v>Sergey Solodovnikov: Ссылка на файл</v>
      </c>
      <c r="CJ184" s="3" t="s">
        <v>1530</v>
      </c>
      <c r="CK184" t="s">
        <v>1444</v>
      </c>
      <c r="CL184" t="s">
        <v>102</v>
      </c>
    </row>
    <row r="185" spans="1:96" ht="15" customHeight="1" x14ac:dyDescent="0.35">
      <c r="A185">
        <v>713</v>
      </c>
      <c r="B185" t="s">
        <v>1531</v>
      </c>
      <c r="C185">
        <v>2</v>
      </c>
      <c r="D185" t="str">
        <f>VLOOKUP(source[[#This Row],[Приоритет]],тПриоритеты[],2,0)</f>
        <v>Значительное</v>
      </c>
      <c r="E1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5" t="s">
        <v>1086</v>
      </c>
      <c r="G185" t="s">
        <v>132</v>
      </c>
      <c r="H185" t="str">
        <f>VLOOKUP(source[[#This Row],[Отвественный]],тОтветственные[],2,0)</f>
        <v>Отв7</v>
      </c>
      <c r="I185" s="2">
        <v>43770</v>
      </c>
      <c r="J185" s="2">
        <v>43770</v>
      </c>
      <c r="S185" s="1">
        <v>43791.651701388888</v>
      </c>
      <c r="T185" s="1">
        <v>43791.688750000001</v>
      </c>
      <c r="U185" s="1">
        <v>43791.688750000001</v>
      </c>
      <c r="W185" s="1">
        <v>43791.693703703706</v>
      </c>
      <c r="X185" t="s">
        <v>1532</v>
      </c>
      <c r="AA185" t="s">
        <v>1533</v>
      </c>
      <c r="AB185" t="s">
        <v>1534</v>
      </c>
      <c r="AC185" t="s">
        <v>1535</v>
      </c>
      <c r="AD185" t="s">
        <v>1536</v>
      </c>
      <c r="AE185" t="s">
        <v>1537</v>
      </c>
      <c r="AF185" t="s">
        <v>1538</v>
      </c>
      <c r="BF185" t="s">
        <v>140</v>
      </c>
      <c r="BG185" t="s">
        <v>1539</v>
      </c>
      <c r="BH185" t="s">
        <v>1540</v>
      </c>
      <c r="BI185" t="str">
        <f>HYPERLINK("https://d33htgqikc2pj4.cloudfront.net/qvHDimMUqxZcQnsj/wOjgElFkSmKHn5KGWGot_Песок.pdf", "Александр Олуферов: Ссылка на файл")</f>
        <v>Александр Олуферов: Ссылка на файл</v>
      </c>
    </row>
    <row r="186" spans="1:96" ht="15" customHeight="1" x14ac:dyDescent="0.35">
      <c r="A186">
        <v>760</v>
      </c>
      <c r="B186" t="s">
        <v>1541</v>
      </c>
      <c r="C186">
        <v>1</v>
      </c>
      <c r="D186" t="str">
        <f>VLOOKUP(source[[#This Row],[Приоритет]],тПриоритеты[],2,0)</f>
        <v>КРИТИЧЕСКОЕ</v>
      </c>
      <c r="E1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6" t="s">
        <v>1086</v>
      </c>
      <c r="G186" t="s">
        <v>1542</v>
      </c>
      <c r="H186" t="str">
        <f>VLOOKUP(source[[#This Row],[Отвественный]],тОтветственные[],2,0)</f>
        <v>Отв37</v>
      </c>
      <c r="I186" s="2">
        <v>43808</v>
      </c>
      <c r="J186" s="2">
        <v>43809</v>
      </c>
      <c r="K186" t="s">
        <v>274</v>
      </c>
      <c r="L186">
        <v>0</v>
      </c>
      <c r="M186">
        <v>0</v>
      </c>
      <c r="N186" t="s">
        <v>1267</v>
      </c>
      <c r="Q186" t="s">
        <v>124</v>
      </c>
      <c r="R186" t="str">
        <f>HYPERLINK("https://d28ji4sm1vmprj.cloudfront.net/355a08c081c3838ab5b858f428b86049/8945c7522deb0c15488ad801990cffed.jpeg", "Ссылка на план")</f>
        <v>Ссылка на план</v>
      </c>
      <c r="S186" s="1">
        <v>43808.451307870368</v>
      </c>
      <c r="T186" s="1">
        <v>43823.506111111114</v>
      </c>
      <c r="U186" s="1">
        <v>43823.506111111114</v>
      </c>
      <c r="W186" s="1">
        <v>43823.506111111114</v>
      </c>
      <c r="BF186" t="s">
        <v>1543</v>
      </c>
      <c r="BG186" t="s">
        <v>1544</v>
      </c>
      <c r="BH186" t="s">
        <v>114</v>
      </c>
      <c r="BI186" t="s">
        <v>118</v>
      </c>
      <c r="BJ186" t="str">
        <f>HYPERLINK("https://d33htgqikc2pj4.cloudfront.net/b17a9bc1-095a-4bb3-8610-c4fe7b2add7a.jpeg", "Владимир Чугунов: Ссылка на изображение")</f>
        <v>Владимир Чугунов: Ссылка на изображение</v>
      </c>
      <c r="BK186" t="str">
        <f>HYPERLINK("https://d33htgqikc2pj4.cloudfront.net/a899c9b5-efe2-42ed-be3c-88446c95ffed.jpeg", "Владимир Чугунов: Ссылка на изображение")</f>
        <v>Владимир Чугунов: Ссылка на изображение</v>
      </c>
      <c r="BL186" t="s">
        <v>1545</v>
      </c>
      <c r="BM186" t="s">
        <v>1546</v>
      </c>
      <c r="BN186" t="s">
        <v>1547</v>
      </c>
      <c r="BO186" t="s">
        <v>1548</v>
      </c>
      <c r="BP186" t="s">
        <v>1549</v>
      </c>
      <c r="BQ186" t="s">
        <v>1550</v>
      </c>
      <c r="BR186" t="s">
        <v>1551</v>
      </c>
      <c r="BS186" t="s">
        <v>1552</v>
      </c>
      <c r="BT186" t="s">
        <v>118</v>
      </c>
      <c r="BU186" t="str">
        <f>HYPERLINK("https://d33htgqikc2pj4.cloudfront.net/7abf664d-bb27-4624-b3d9-394f712d6c23.jpeg", "Алексей Никифоров: Ссылка на изображение")</f>
        <v>Алексей Никифоров: Ссылка на изображение</v>
      </c>
      <c r="BV186" t="s">
        <v>1553</v>
      </c>
      <c r="BW186" t="s">
        <v>102</v>
      </c>
    </row>
    <row r="187" spans="1:96" ht="15" customHeight="1" x14ac:dyDescent="0.35">
      <c r="A187">
        <v>657</v>
      </c>
      <c r="B187" t="s">
        <v>1554</v>
      </c>
      <c r="C187">
        <v>1</v>
      </c>
      <c r="D187" t="str">
        <f>VLOOKUP(source[[#This Row],[Приоритет]],тПриоритеты[],2,0)</f>
        <v>КРИТИЧЕСКОЕ</v>
      </c>
      <c r="E1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7" t="s">
        <v>1086</v>
      </c>
      <c r="G187" t="s">
        <v>1555</v>
      </c>
      <c r="H187" t="str">
        <f>VLOOKUP(source[[#This Row],[Отвественный]],тОтветственные[],2,0)</f>
        <v>Отв43</v>
      </c>
      <c r="I187" s="2">
        <v>43767</v>
      </c>
      <c r="J187" s="2">
        <v>43774</v>
      </c>
      <c r="S187" s="1">
        <v>43767.609733796293</v>
      </c>
      <c r="T187" s="1">
        <v>43817.689398148148</v>
      </c>
      <c r="U187" s="1">
        <v>43817.689780092594</v>
      </c>
      <c r="W187" s="1">
        <v>43817.689803240741</v>
      </c>
      <c r="BF187" t="s">
        <v>1556</v>
      </c>
      <c r="BG187" t="s">
        <v>1424</v>
      </c>
      <c r="BH187" t="str">
        <f>HYPERLINK("https://d33htgqikc2pj4.cloudfront.net/1a04c6056f631e78b2da61d44b8b8226/f721b041a98c1c8865304d6c5b9634f7-file.jpeg", "Александр Олуферов: Ссылка на изображение")</f>
        <v>Александр Олуферов: Ссылка на изображение</v>
      </c>
      <c r="BI187" t="str">
        <f>HYPERLINK("https://d33htgqikc2pj4.cloudfront.net/5be5fea379c415d58b56f906499922e4/6598f50b93a3863bb920016dcb99b6d5-file.jpeg", "Александр Олуферов: Ссылка на изображение")</f>
        <v>Александр Олуферов: Ссылка на изображение</v>
      </c>
      <c r="BJ187" s="3" t="s">
        <v>1557</v>
      </c>
      <c r="BK187" t="s">
        <v>1487</v>
      </c>
      <c r="BL187" t="s">
        <v>1558</v>
      </c>
      <c r="BM187" t="s">
        <v>1559</v>
      </c>
      <c r="BN187" t="s">
        <v>1442</v>
      </c>
      <c r="BO187" t="s">
        <v>1560</v>
      </c>
      <c r="BP187" t="s">
        <v>1561</v>
      </c>
      <c r="BQ187" t="str">
        <f>HYPERLINK("https://d33htgqikc2pj4.cloudfront.net/72ff7bcaf007e4734556c463f4920761/ca6316938d9a68a40146363a81e4f29e-file.jpeg", "Ольга Коновалова: Ссылка на изображение")</f>
        <v>Ольга Коновалова: Ссылка на изображение</v>
      </c>
      <c r="BR187" s="3" t="s">
        <v>1562</v>
      </c>
      <c r="BS187" t="str">
        <f>HYPERLINK("https://d33htgqikc2pj4.cloudfront.net/e59546b49395c5b9aeb6b805560f0212/d079523e99f54e17731a4cc39ffc8626-file.jpeg", "Ольга Коновалова: Ссылка на изображение")</f>
        <v>Ольга Коновалова: Ссылка на изображение</v>
      </c>
      <c r="BT187" t="s">
        <v>1563</v>
      </c>
      <c r="BU187" t="str">
        <f>HYPERLINK("https://d33htgqikc2pj4.cloudfront.net/41da36df9df75d198f0563633309d745/9a1c30e941e4cf7d20acbd8cda0b1807-file.jpeg", "Ольга Коновалова: Ссылка на изображение")</f>
        <v>Ольга Коновалова: Ссылка на изображение</v>
      </c>
      <c r="BV187" t="str">
        <f>HYPERLINK("https://d33htgqikc2pj4.cloudfront.net/0db2df39b080469de75d18a8839ccd46/a3bc925fb2cb1a11a62fd82ea7cf9875-file.jpeg", "Ольга Коновалова: Ссылка на изображение")</f>
        <v>Ольга Коновалова: Ссылка на изображение</v>
      </c>
      <c r="BW187" t="str">
        <f>HYPERLINK("https://d33htgqikc2pj4.cloudfront.net/555c6346be9905e153e0ae5a91d84f61/9325b1f6ae187fdb5f31d69001e73ed4-file.jpeg", "Ольга Коновалова: Ссылка на изображение")</f>
        <v>Ольга Коновалова: Ссылка на изображение</v>
      </c>
      <c r="BX187" t="str">
        <f>HYPERLINK("https://d33htgqikc2pj4.cloudfront.net/98164ea7a4b7614de320ca2a39753295/a63ca9c73da35506ea3a62a18add3c19-file.jpeg", "Ольга Коновалова: Ссылка на изображение")</f>
        <v>Ольга Коновалова: Ссылка на изображение</v>
      </c>
      <c r="BY187" t="str">
        <f>HYPERLINK("https://d33htgqikc2pj4.cloudfront.net/947e930d9e1d1c66f980194adc5494e5/597bdb5993feb6265d419971099e2b52-file.jpeg", "Ольга Коновалова: Ссылка на изображение")</f>
        <v>Ольга Коновалова: Ссылка на изображение</v>
      </c>
      <c r="BZ187" s="3" t="s">
        <v>1564</v>
      </c>
      <c r="CA187" t="str">
        <f>HYPERLINK("https://d33htgqikc2pj4.cloudfront.net/ed7e11542692ec90a2f0171add44c5c6/0009136e1f3bab61d57f69e5e443bb5f-file.jpeg", "Ольга Коновалова: Ссылка на изображение")</f>
        <v>Ольга Коновалова: Ссылка на изображение</v>
      </c>
      <c r="CB187" t="s">
        <v>1565</v>
      </c>
      <c r="CC187" t="s">
        <v>1566</v>
      </c>
      <c r="CD187" t="s">
        <v>1565</v>
      </c>
      <c r="CE187" t="s">
        <v>1565</v>
      </c>
      <c r="CF187" t="s">
        <v>102</v>
      </c>
    </row>
    <row r="188" spans="1:96" ht="15" customHeight="1" x14ac:dyDescent="0.35">
      <c r="A188">
        <v>459</v>
      </c>
      <c r="B188" t="s">
        <v>1567</v>
      </c>
      <c r="C188">
        <v>1</v>
      </c>
      <c r="D188" t="str">
        <f>VLOOKUP(source[[#This Row],[Приоритет]],тПриоритеты[],2,0)</f>
        <v>КРИТИЧЕСКОЕ</v>
      </c>
      <c r="E1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8" t="s">
        <v>1086</v>
      </c>
      <c r="G188" t="s">
        <v>1555</v>
      </c>
      <c r="H188" t="str">
        <f>VLOOKUP(source[[#This Row],[Отвественный]],тОтветственные[],2,0)</f>
        <v>Отв43</v>
      </c>
      <c r="I188" s="2">
        <v>43719</v>
      </c>
      <c r="J188" s="2">
        <v>43722</v>
      </c>
      <c r="K188" t="s">
        <v>1568</v>
      </c>
      <c r="L188">
        <v>0</v>
      </c>
      <c r="M188">
        <v>0</v>
      </c>
      <c r="N188" t="s">
        <v>1569</v>
      </c>
      <c r="Q188" t="s">
        <v>124</v>
      </c>
      <c r="R188" t="str">
        <f>HYPERLINK("https://d28ji4sm1vmprj.cloudfront.net/74acd58c545fb81bbfb16cdaa30be636/c30efaefb159877c0e68adf6f87985c4.jpeg", "Ссылка на план")</f>
        <v>Ссылка на план</v>
      </c>
      <c r="S188" s="1">
        <v>43719.47011574074</v>
      </c>
      <c r="T188" s="1">
        <v>43739.610555555555</v>
      </c>
      <c r="U188" s="1">
        <v>43739.610555555555</v>
      </c>
      <c r="W188" s="1">
        <v>43739.610567129632</v>
      </c>
      <c r="BF188" t="s">
        <v>114</v>
      </c>
      <c r="BG188" t="s">
        <v>1570</v>
      </c>
      <c r="BH188" t="s">
        <v>1571</v>
      </c>
      <c r="BI188" t="s">
        <v>1572</v>
      </c>
      <c r="BJ188" t="s">
        <v>1573</v>
      </c>
      <c r="BK188" t="str">
        <f>HYPERLINK("https://d33htgqikc2pj4.cloudfront.net/9278c4b8-0e0c-4b44-a04d-61778cffd4f6.jpeg", "Владимир Чугунов: Ссылка на изображение")</f>
        <v>Владимир Чугунов: Ссылка на изображение</v>
      </c>
      <c r="BL188" t="str">
        <f>HYPERLINK("https://d33htgqikc2pj4.cloudfront.net/9021d7fa-ef78-48b2-9db8-64af50d30390.jpeg", "Владимир Чугунов: Ссылка на изображение")</f>
        <v>Владимир Чугунов: Ссылка на изображение</v>
      </c>
      <c r="BM188" t="str">
        <f>HYPERLINK("https://d33htgqikc2pj4.cloudfront.net/2c2457d9-ee64-458b-8d14-f8f1d2a7c9f5.jpeg", "Владимир Чугунов: Ссылка на изображение")</f>
        <v>Владимир Чугунов: Ссылка на изображение</v>
      </c>
      <c r="BN188" t="str">
        <f>HYPERLINK("https://d33htgqikc2pj4.cloudfront.net/67128d4d-5105-40de-97b1-36d4ae71edc0.jpeg", "Владимир Чугунов: Ссылка на изображение")</f>
        <v>Владимир Чугунов: Ссылка на изображение</v>
      </c>
      <c r="BO188" t="str">
        <f>HYPERLINK("https://d33htgqikc2pj4.cloudfront.net/daeef2f8-48d0-4e6c-9a2b-2f66b73c0961.jpeg", "Владимир Чугунов: Ссылка на изображение")</f>
        <v>Владимир Чугунов: Ссылка на изображение</v>
      </c>
      <c r="BP188" t="str">
        <f>HYPERLINK("https://d33htgqikc2pj4.cloudfront.net/afd5b035-265e-4679-86fa-2f975bdf12dc.jpeg", "Владимир Чугунов: Ссылка на изображение")</f>
        <v>Владимир Чугунов: Ссылка на изображение</v>
      </c>
      <c r="BQ188" t="str">
        <f>HYPERLINK("https://d33htgqikc2pj4.cloudfront.net/de01a84e-6ad0-4dfe-a991-9bc7041cd82b.jpeg", "Владимир Чугунов: Ссылка на изображение")</f>
        <v>Владимир Чугунов: Ссылка на изображение</v>
      </c>
      <c r="BR188" t="str">
        <f>HYPERLINK("https://d33htgqikc2pj4.cloudfront.net/a136c25a-96a6-49d0-8b2e-40b7b0387d29.jpeg", "Владимир Чугунов: Ссылка на изображение")</f>
        <v>Владимир Чугунов: Ссылка на изображение</v>
      </c>
      <c r="BS188" t="s">
        <v>117</v>
      </c>
      <c r="BT188" t="s">
        <v>118</v>
      </c>
      <c r="BU188" t="s">
        <v>1574</v>
      </c>
      <c r="BV188" t="s">
        <v>1575</v>
      </c>
      <c r="BW188" t="s">
        <v>102</v>
      </c>
    </row>
    <row r="189" spans="1:96" ht="15" customHeight="1" x14ac:dyDescent="0.35">
      <c r="A189">
        <v>633</v>
      </c>
      <c r="B189" t="s">
        <v>1576</v>
      </c>
      <c r="C189">
        <v>1</v>
      </c>
      <c r="D189" t="str">
        <f>VLOOKUP(source[[#This Row],[Приоритет]],тПриоритеты[],2,0)</f>
        <v>КРИТИЧЕСКОЕ</v>
      </c>
      <c r="E1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89" t="s">
        <v>1086</v>
      </c>
      <c r="G189" t="s">
        <v>1555</v>
      </c>
      <c r="H189" t="str">
        <f>VLOOKUP(source[[#This Row],[Отвественный]],тОтветственные[],2,0)</f>
        <v>Отв43</v>
      </c>
      <c r="I189" s="2">
        <v>43755</v>
      </c>
      <c r="J189" s="2">
        <v>43759</v>
      </c>
      <c r="N189" t="s">
        <v>1577</v>
      </c>
      <c r="S189" s="1">
        <v>43755.677187499998</v>
      </c>
      <c r="T189" s="1">
        <v>43803.545960648145</v>
      </c>
      <c r="U189" s="1">
        <v>43803.545960648145</v>
      </c>
      <c r="W189" s="1">
        <v>43803.545960648145</v>
      </c>
      <c r="BF189" t="s">
        <v>1578</v>
      </c>
      <c r="BG189" t="s">
        <v>1424</v>
      </c>
      <c r="BH189" s="3" t="s">
        <v>1579</v>
      </c>
      <c r="BI189" t="str">
        <f>HYPERLINK("https://www.filepicker.io/api/file/41EP2OjcQhOoMha2BcG2", "Александр Олуферов: Ссылка на файл")</f>
        <v>Александр Олуферов: Ссылка на файл</v>
      </c>
      <c r="BJ189" t="s">
        <v>1580</v>
      </c>
      <c r="BK189" t="s">
        <v>1581</v>
      </c>
      <c r="BL189" t="s">
        <v>1582</v>
      </c>
      <c r="BM189" t="s">
        <v>1559</v>
      </c>
      <c r="BN189" t="s">
        <v>1583</v>
      </c>
      <c r="BO189" t="s">
        <v>1584</v>
      </c>
      <c r="BP189" t="s">
        <v>140</v>
      </c>
    </row>
    <row r="190" spans="1:96" ht="15" customHeight="1" x14ac:dyDescent="0.35">
      <c r="A190">
        <v>730</v>
      </c>
      <c r="B190" t="s">
        <v>1585</v>
      </c>
      <c r="C190">
        <v>1</v>
      </c>
      <c r="D190" t="str">
        <f>VLOOKUP(source[[#This Row],[Приоритет]],тПриоритеты[],2,0)</f>
        <v>КРИТИЧЕСКОЕ</v>
      </c>
      <c r="E1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0" t="s">
        <v>1086</v>
      </c>
      <c r="G190" t="s">
        <v>1555</v>
      </c>
      <c r="H190" t="str">
        <f>VLOOKUP(source[[#This Row],[Отвественный]],тОтветственные[],2,0)</f>
        <v>Отв43</v>
      </c>
      <c r="I190" s="2">
        <v>43797</v>
      </c>
      <c r="J190" s="2">
        <v>43819</v>
      </c>
      <c r="S190" s="1">
        <v>43798.38863425926</v>
      </c>
      <c r="T190" s="1">
        <v>43817.690023148149</v>
      </c>
      <c r="U190" s="1">
        <v>43817.691666666666</v>
      </c>
      <c r="W190" s="1">
        <v>43817.691678240742</v>
      </c>
      <c r="BF190" t="s">
        <v>1424</v>
      </c>
      <c r="BG190" t="s">
        <v>1586</v>
      </c>
      <c r="BH190" t="str">
        <f>HYPERLINK("https://d33htgqikc2pj4.cloudfront.net/c4ee1b56eef8ba8c100cc8463b4285cf/c48413d8b551450ef1b256d4c8242196-file.jpeg", "Александр Олуферов: Ссылка на изображение")</f>
        <v>Александр Олуферов: Ссылка на изображение</v>
      </c>
      <c r="BI190" t="str">
        <f>HYPERLINK("https://d33htgqikc2pj4.cloudfront.net/4434b7e4ca908a846873853f7ba2a65e/214925a4e54f5e63898d9e15d54b9f7d-file.jpeg", "Александр Олуферов: Ссылка на изображение")</f>
        <v>Александр Олуферов: Ссылка на изображение</v>
      </c>
      <c r="BJ190" t="str">
        <f>HYPERLINK("https://d33htgqikc2pj4.cloudfront.net/d340455d310010835f976d78c052f221/80ceba6c985bbd2515585f2188ff0cfd-file.jpeg", "Александр Олуферов: Ссылка на изображение")</f>
        <v>Александр Олуферов: Ссылка на изображение</v>
      </c>
      <c r="BK190" t="str">
        <f>HYPERLINK("https://d33htgqikc2pj4.cloudfront.net/afb27e596cdb9d78177168666ce36ad7/71a960a38edc7dbdafebe1d9df62071a-file.jpeg", "Александр Олуферов: Ссылка на изображение")</f>
        <v>Александр Олуферов: Ссылка на изображение</v>
      </c>
      <c r="BL190" s="3" t="s">
        <v>1587</v>
      </c>
      <c r="BM190" t="s">
        <v>1525</v>
      </c>
      <c r="BN190" t="s">
        <v>1525</v>
      </c>
      <c r="BO190" t="s">
        <v>1525</v>
      </c>
      <c r="BP190" t="str">
        <f>HYPERLINK("https://d33htgqikc2pj4.cloudfront.net/660339950f8c8cfa28a807c9e8505e11/2c9bfbfd18608dd227ab6e8d3485d042-file.jpeg", "Александр Олуферов: Ссылка на изображение")</f>
        <v>Александр Олуферов: Ссылка на изображение</v>
      </c>
      <c r="BQ190" t="str">
        <f>HYPERLINK("https://d33htgqikc2pj4.cloudfront.net/b569e9d045cd4c859ab2201b96a3437f/17a9acd121516c76803ccc05b6060803-file.jpeg", "Александр Олуферов: Ссылка на изображение")</f>
        <v>Александр Олуферов: Ссылка на изображение</v>
      </c>
      <c r="BR190" t="str">
        <f>HYPERLINK("https://d33htgqikc2pj4.cloudfront.net/e169f10b275ba88d9e44ee52e8cefa05/7b2478724fa8b452203736cea4ef0eb6-file.jpeg", "Александр Олуферов: Ссылка на изображение")</f>
        <v>Александр Олуферов: Ссылка на изображение</v>
      </c>
      <c r="BS190" t="str">
        <f>HYPERLINK("https://d33htgqikc2pj4.cloudfront.net/30d1b918c64d06b4750f75821e6f062c/ce2cf6b13685318460fef0ecdd71e830-file.jpeg", "Александр Олуферов: Ссылка на изображение")</f>
        <v>Александр Олуферов: Ссылка на изображение</v>
      </c>
      <c r="BT190" t="str">
        <f>HYPERLINK("https://d33htgqikc2pj4.cloudfront.net/c7506599d3bd0cf5adefbb85b9709ef4/75ae8a7c1c8cac98cb26e082e10a3742-file.jpeg", "Александр Олуферов: Ссылка на изображение")</f>
        <v>Александр Олуферов: Ссылка на изображение</v>
      </c>
      <c r="BU190" t="str">
        <f>HYPERLINK("https://d33htgqikc2pj4.cloudfront.net/100bceb7a9ed0356f9fd8cc09f493b78/e315c9ccb2ff9bdeaf5b1635a74597a0-file.jpeg", "Александр Олуферов: Ссылка на изображение")</f>
        <v>Александр Олуферов: Ссылка на изображение</v>
      </c>
      <c r="BV190" t="str">
        <f>HYPERLINK("https://d33htgqikc2pj4.cloudfront.net/26d763f127ecbb2e5ba9a85850155562/4751d0080e2098132d0473018cbae9e6-file.jpeg", "Александр Олуферов: Ссылка на изображение")</f>
        <v>Александр Олуферов: Ссылка на изображение</v>
      </c>
      <c r="BW190" t="s">
        <v>1442</v>
      </c>
      <c r="BX190" t="s">
        <v>1442</v>
      </c>
      <c r="BY190" t="s">
        <v>1469</v>
      </c>
      <c r="BZ190" t="s">
        <v>1470</v>
      </c>
      <c r="CA190" t="s">
        <v>1559</v>
      </c>
      <c r="CB190" s="3" t="s">
        <v>1588</v>
      </c>
      <c r="CC190" t="s">
        <v>1589</v>
      </c>
      <c r="CD190" t="str">
        <f>HYPERLINK("https://d33htgqikc2pj4.cloudfront.net/551edc2b4b05b85c0ede1383fc1b8e81/78500c738f27760fbaa1544b944e2269-file.jpeg", "Ольга Коновалова: Ссылка на изображение")</f>
        <v>Ольга Коновалова: Ссылка на изображение</v>
      </c>
      <c r="CE190" t="str">
        <f>HYPERLINK("https://d33htgqikc2pj4.cloudfront.net/73b883cb9109bf9f3ed3492e8338198b/f9e8239d017f0d129305e4e18ab54219-file.jpeg", "Ольга Коновалова: Ссылка на изображение")</f>
        <v>Ольга Коновалова: Ссылка на изображение</v>
      </c>
      <c r="CF190" s="3" t="s">
        <v>1590</v>
      </c>
      <c r="CG190" t="str">
        <f>HYPERLINK("https://d33htgqikc2pj4.cloudfront.net/db1944bbfc457ee92f3fc59a014b9eda/10648e904cc52200c111ec99753374b5-file.jpeg", "Ольга Коновалова: Ссылка на изображение")</f>
        <v>Ольга Коновалова: Ссылка на изображение</v>
      </c>
      <c r="CH190" t="str">
        <f>HYPERLINK("https://d33htgqikc2pj4.cloudfront.net/63701491de6102d8309e7773385940ae/1abc2633de94b5d48e5f2167fb73bdea-file.jpeg", "Ольга Коновалова: Ссылка на изображение")</f>
        <v>Ольга Коновалова: Ссылка на изображение</v>
      </c>
      <c r="CI190" t="s">
        <v>1591</v>
      </c>
      <c r="CJ190" t="str">
        <f>HYPERLINK("https://d33htgqikc2pj4.cloudfront.net/6e0b02435c1ecb15e47bc28d509dfb45/dcfb818c98fca85ffc939ca23d617aa3-file.jpeg", "Ольга Коновалова: Ссылка на изображение")</f>
        <v>Ольга Коновалова: Ссылка на изображение</v>
      </c>
      <c r="CK190" t="str">
        <f>HYPERLINK("https://d33htgqikc2pj4.cloudfront.net/996aa0831dee33bc3a678f17745e7f67/c7a585f9e363d3baaf6f3dee195f8349-file.jpeg", "Ольга Коновалова: Ссылка на изображение")</f>
        <v>Ольга Коновалова: Ссылка на изображение</v>
      </c>
      <c r="CL190" t="str">
        <f>HYPERLINK("https://d33htgqikc2pj4.cloudfront.net/d85c7976595a5fc689dee460b176aa61/0fbc970e02b1b046b959922d89434e3c-file.jpeg", "Ольга Коновалова: Ссылка на изображение")</f>
        <v>Ольга Коновалова: Ссылка на изображение</v>
      </c>
      <c r="CM190" t="str">
        <f>HYPERLINK("https://d33htgqikc2pj4.cloudfront.net/2de06d52fa35e67988523c4416ae43ee/b10df267b83a18e709d85be2d1f0a02c-file.jpeg", "Ольга Коновалова: Ссылка на изображение")</f>
        <v>Ольга Коновалова: Ссылка на изображение</v>
      </c>
      <c r="CN190" t="str">
        <f>HYPERLINK("https://d33htgqikc2pj4.cloudfront.net/6d9b380fc6f86fb10379d3daeb0b6025/7ed24ed6d2fae7bb67c660dc56997c15-file.jpeg", "Ольга Коновалова: Ссылка на изображение")</f>
        <v>Ольга Коновалова: Ссылка на изображение</v>
      </c>
      <c r="CO190" t="str">
        <f>HYPERLINK("https://d33htgqikc2pj4.cloudfront.net/cad5cb48d6b44733278ff0e48a4cb342/825e97070258e51a0a4b90efa4c4f1f6-file.jpeg", "Ольга Коновалова: Ссылка на изображение")</f>
        <v>Ольга Коновалова: Ссылка на изображение</v>
      </c>
      <c r="CP190" t="str">
        <f>HYPERLINK("https://d33htgqikc2pj4.cloudfront.net/3bd9f327eb8c68201dba80994b4502ff/99001e0293c263d75bbe4ba86c126d00-file.jpeg", "Ольга Коновалова: Ссылка на изображение")</f>
        <v>Ольга Коновалова: Ссылка на изображение</v>
      </c>
      <c r="CQ190" t="s">
        <v>1565</v>
      </c>
      <c r="CR190" t="s">
        <v>102</v>
      </c>
    </row>
    <row r="191" spans="1:96" ht="15" customHeight="1" x14ac:dyDescent="0.35">
      <c r="A191">
        <v>668</v>
      </c>
      <c r="B191" t="s">
        <v>1592</v>
      </c>
      <c r="C191">
        <v>1</v>
      </c>
      <c r="D191" t="str">
        <f>VLOOKUP(source[[#This Row],[Приоритет]],тПриоритеты[],2,0)</f>
        <v>КРИТИЧЕСКОЕ</v>
      </c>
      <c r="E1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1" t="s">
        <v>1086</v>
      </c>
      <c r="G191" t="s">
        <v>1555</v>
      </c>
      <c r="H191" t="str">
        <f>VLOOKUP(source[[#This Row],[Отвественный]],тОтветственные[],2,0)</f>
        <v>Отв43</v>
      </c>
      <c r="I191" s="2">
        <v>43769</v>
      </c>
      <c r="J191" s="2">
        <v>43776</v>
      </c>
      <c r="N191" t="s">
        <v>1593</v>
      </c>
      <c r="S191" s="1">
        <v>43769.683657407404</v>
      </c>
      <c r="T191" s="1">
        <v>43817.68990740741</v>
      </c>
      <c r="U191" s="1">
        <v>43817.690844907411</v>
      </c>
      <c r="W191" s="1">
        <v>43817.690868055557</v>
      </c>
      <c r="BF191" t="s">
        <v>1594</v>
      </c>
      <c r="BG191" t="str">
        <f>HYPERLINK("https://d33htgqikc2pj4.cloudfront.net/aa9377591c1006f14818d24bc92351ef/af54a1345487b2534013e2f4f34af9ad-file.jpeg", "Александр Олуферов: Ссылка на изображение")</f>
        <v>Александр Олуферов: Ссылка на изображение</v>
      </c>
      <c r="BH191" t="s">
        <v>1525</v>
      </c>
      <c r="BI191" t="s">
        <v>1525</v>
      </c>
      <c r="BJ191" t="str">
        <f>HYPERLINK("https://d33htgqikc2pj4.cloudfront.net/3879ed49631eb84d7155aca4d123c0c0/c5724dc8d0a9c250ef6fe5fa2a1df0cb-file.jpeg", "Александр Олуферов: Ссылка на изображение")</f>
        <v>Александр Олуферов: Ссылка на изображение</v>
      </c>
      <c r="BK191" t="str">
        <f>HYPERLINK("https://d33htgqikc2pj4.cloudfront.net/088d29e5cf826d50b4fe289966cd10c9/6bb3ec4960dc51c4a80afc1bb597a31d-file.jpeg", "Александр Олуферов: Ссылка на изображение")</f>
        <v>Александр Олуферов: Ссылка на изображение</v>
      </c>
      <c r="BL191" t="str">
        <f>HYPERLINK("https://d33htgqikc2pj4.cloudfront.net/82d04fab8b3b4a5f7e34e2b51876d39c/a30c958a360f3d0bf8d30556d04a0b18-file.jpeg", "Александр Олуферов: Ссылка на изображение")</f>
        <v>Александр Олуферов: Ссылка на изображение</v>
      </c>
      <c r="BM191" t="str">
        <f>HYPERLINK("https://d33htgqikc2pj4.cloudfront.net/4371fe557f9b8ec0f25bc3d499ea3954/47bd5aca443dac0f35c6871956f1a853-file.jpeg", "Александр Олуферов: Ссылка на изображение")</f>
        <v>Александр Олуферов: Ссылка на изображение</v>
      </c>
      <c r="BN191" t="s">
        <v>1525</v>
      </c>
      <c r="BO191" t="str">
        <f>HYPERLINK("https://d33htgqikc2pj4.cloudfront.net/d2d68dcaf59eda2ad3fe7369f56edea6/6f9594741d4f10fadecbeb5d6b80fc45-file.jpeg", "Александр Олуферов: Ссылка на изображение")</f>
        <v>Александр Олуферов: Ссылка на изображение</v>
      </c>
      <c r="BP191" t="s">
        <v>1525</v>
      </c>
      <c r="BQ191" t="s">
        <v>1525</v>
      </c>
      <c r="BR191" t="str">
        <f>HYPERLINK("https://d33htgqikc2pj4.cloudfront.net/d5f5829184712669f71dd4bbb57dd346/86f1ebbf5a93f1260a0166ee2d0e98a8-file.jpeg", "Александр Олуферов: Ссылка на изображение")</f>
        <v>Александр Олуферов: Ссылка на изображение</v>
      </c>
      <c r="BS191" t="str">
        <f>HYPERLINK("https://d33htgqikc2pj4.cloudfront.net/b0073d2b5ca0f3422b66f0e3ec0ecd4d/7311f2175eae36e77f638aea7d195258-file.jpeg", "Александр Олуферов: Ссылка на изображение")</f>
        <v>Александр Олуферов: Ссылка на изображение</v>
      </c>
      <c r="BT191" t="str">
        <f>HYPERLINK("https://d33htgqikc2pj4.cloudfront.net/65640a27d4e83fdede731a2552964f42/d98acc7dbd4b7a58e93df4d24313f23a-file.jpeg", "Александр Олуферов: Ссылка на изображение")</f>
        <v>Александр Олуферов: Ссылка на изображение</v>
      </c>
      <c r="BU191" t="str">
        <f>HYPERLINK("https://d33htgqikc2pj4.cloudfront.net/fea63f27e7c9113f895afee27248e34d/7ce3316111c4160db2964a4715caf356-file.jpeg", "Александр Олуферов: Ссылка на изображение")</f>
        <v>Александр Олуферов: Ссылка на изображение</v>
      </c>
      <c r="BV191" t="str">
        <f>HYPERLINK("https://d33htgqikc2pj4.cloudfront.net/0120e277be27b9264caed0c3985af330/66fc67231cadfde7723018c85ed5933e-file.jpeg", "Александр Олуферов: Ссылка на изображение")</f>
        <v>Александр Олуферов: Ссылка на изображение</v>
      </c>
      <c r="BW191" t="str">
        <f>HYPERLINK("https://d33htgqikc2pj4.cloudfront.net/694b5e6448a399c6e994d26428d0ed13/11631839d8e50f967b17812b93c8411d-file.jpeg", "Александр Олуферов: Ссылка на изображение")</f>
        <v>Александр Олуферов: Ссылка на изображение</v>
      </c>
      <c r="BX191" t="str">
        <f>HYPERLINK("https://d33htgqikc2pj4.cloudfront.net/3c8b25f17bcdee71b6d7a1903c6982e1/5a0f2b0e2f07b2db450ac2ebb9e20bcb-file.jpeg", "Александр Олуферов: Ссылка на изображение")</f>
        <v>Александр Олуферов: Ссылка на изображение</v>
      </c>
      <c r="BY191" t="str">
        <f>HYPERLINK("https://d33htgqikc2pj4.cloudfront.net/274e7d9f35f4ba6ae9830ddd0c28731c/8c3db2c00cbe5b94d11750d1ddc175cf-file.jpeg", "Александр Олуферов: Ссылка на изображение")</f>
        <v>Александр Олуферов: Ссылка на изображение</v>
      </c>
      <c r="BZ191" t="str">
        <f>HYPERLINK("https://d33htgqikc2pj4.cloudfront.net/89316feedd762526db101095fd5a87b6/dee63a35debd0fa01f2062a48b911e3b-file.jpeg", "Александр Олуферов: Ссылка на изображение")</f>
        <v>Александр Олуферов: Ссылка на изображение</v>
      </c>
      <c r="CA191" t="str">
        <f>HYPERLINK("https://d33htgqikc2pj4.cloudfront.net/4415b2d58ed091cb55a3496731ca90fc/21be16ac84a40c03b2abc1a46b6fc52e-file.jpeg", "Александр Олуферов: Ссылка на изображение")</f>
        <v>Александр Олуферов: Ссылка на изображение</v>
      </c>
      <c r="CB191" s="3" t="s">
        <v>1595</v>
      </c>
      <c r="CC191" t="s">
        <v>1424</v>
      </c>
      <c r="CD191" t="s">
        <v>1580</v>
      </c>
      <c r="CE191" t="s">
        <v>1596</v>
      </c>
      <c r="CF191" t="s">
        <v>1496</v>
      </c>
      <c r="CG191" t="s">
        <v>1497</v>
      </c>
      <c r="CH191" t="s">
        <v>1559</v>
      </c>
      <c r="CI191" s="3" t="s">
        <v>1597</v>
      </c>
      <c r="CJ191" t="s">
        <v>1598</v>
      </c>
      <c r="CK191" t="s">
        <v>1599</v>
      </c>
      <c r="CL191" t="s">
        <v>1600</v>
      </c>
      <c r="CM191" s="3" t="s">
        <v>1601</v>
      </c>
      <c r="CN191" t="s">
        <v>1565</v>
      </c>
      <c r="CO191" t="s">
        <v>102</v>
      </c>
    </row>
    <row r="192" spans="1:96" ht="15" customHeight="1" x14ac:dyDescent="0.35">
      <c r="A192">
        <v>745</v>
      </c>
      <c r="B192" t="s">
        <v>1602</v>
      </c>
      <c r="C192">
        <v>1</v>
      </c>
      <c r="D192" t="str">
        <f>VLOOKUP(source[[#This Row],[Приоритет]],тПриоритеты[],2,0)</f>
        <v>КРИТИЧЕСКОЕ</v>
      </c>
      <c r="E1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2" t="s">
        <v>1086</v>
      </c>
      <c r="G192" t="s">
        <v>1555</v>
      </c>
      <c r="H192" t="str">
        <f>VLOOKUP(source[[#This Row],[Отвественный]],тОтветственные[],2,0)</f>
        <v>Отв43</v>
      </c>
      <c r="I192" s="2">
        <v>43802</v>
      </c>
      <c r="J192" s="2">
        <v>43819</v>
      </c>
      <c r="S192" s="1">
        <v>43802.500011574077</v>
      </c>
      <c r="T192" s="1">
        <v>43817.690081018518</v>
      </c>
      <c r="U192" s="1">
        <v>43817.692442129628</v>
      </c>
      <c r="W192" s="1">
        <v>43817.692465277774</v>
      </c>
      <c r="BF192" t="str">
        <f>HYPERLINK("https://d33htgqikc2pj4.cloudfront.net/qvHDimMUqxZcQnsj/1LNSeqqtSaCAARuPvvf2_0995_19-Р-АР.Р1-СВОД-2.8.pdf", "Александр Олуферов: Ссылка на файл")</f>
        <v>Александр Олуферов: Ссылка на файл</v>
      </c>
      <c r="BG192" t="str">
        <f>HYPERLINK("https://d33htgqikc2pj4.cloudfront.net/2d2e64492ede290fcd024d690a775b73/0f3690c9cd1ae646c6d95ed4c693bd46-file.jpeg", "Александр Олуферов: Ссылка на изображение")</f>
        <v>Александр Олуферов: Ссылка на изображение</v>
      </c>
      <c r="BH192" t="str">
        <f>HYPERLINK("https://d33htgqikc2pj4.cloudfront.net/ac5c6c0ef387f15ad0837781b0c4f8af/061358156914dc2f8e1ddad0ee783c47-file.jpeg", "Александр Олуферов: Ссылка на изображение")</f>
        <v>Александр Олуферов: Ссылка на изображение</v>
      </c>
      <c r="BI192" t="str">
        <f>HYPERLINK("https://d33htgqikc2pj4.cloudfront.net/8a6021ce5caeb56cda744e41285b12ca/2e9dc1f9ee7c5dc5f6b3d09564d78bcf-file.jpeg", "Александр Олуферов: Ссылка на изображение")</f>
        <v>Александр Олуферов: Ссылка на изображение</v>
      </c>
      <c r="BJ192" s="3" t="s">
        <v>1603</v>
      </c>
      <c r="BK192" t="s">
        <v>1604</v>
      </c>
      <c r="BL192" t="s">
        <v>1424</v>
      </c>
      <c r="BM192" t="s">
        <v>1605</v>
      </c>
      <c r="BN192" t="s">
        <v>1470</v>
      </c>
      <c r="BO192" t="s">
        <v>1559</v>
      </c>
      <c r="BP192" s="3" t="s">
        <v>1606</v>
      </c>
      <c r="BQ192" t="s">
        <v>1607</v>
      </c>
      <c r="BR192" t="s">
        <v>1565</v>
      </c>
      <c r="BS192" t="s">
        <v>102</v>
      </c>
    </row>
    <row r="193" spans="1:77" ht="15" customHeight="1" x14ac:dyDescent="0.35">
      <c r="A193">
        <v>748</v>
      </c>
      <c r="B193" t="s">
        <v>1608</v>
      </c>
      <c r="C193">
        <v>1</v>
      </c>
      <c r="D193" t="str">
        <f>VLOOKUP(source[[#This Row],[Приоритет]],тПриоритеты[],2,0)</f>
        <v>КРИТИЧЕСКОЕ</v>
      </c>
      <c r="E1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3" t="s">
        <v>1086</v>
      </c>
      <c r="G193" t="s">
        <v>1555</v>
      </c>
      <c r="H193" t="str">
        <f>VLOOKUP(source[[#This Row],[Отвественный]],тОтветственные[],2,0)</f>
        <v>Отв43</v>
      </c>
      <c r="I193" s="2">
        <v>43802</v>
      </c>
      <c r="J193" s="2">
        <v>43810</v>
      </c>
      <c r="S193" s="1">
        <v>43803.462696759256</v>
      </c>
      <c r="T193" s="1">
        <v>43817.689976851849</v>
      </c>
      <c r="U193" s="1">
        <v>43817.690509259257</v>
      </c>
      <c r="W193" s="1">
        <v>43817.690532407411</v>
      </c>
      <c r="BF193" t="s">
        <v>1609</v>
      </c>
      <c r="BG193" t="str">
        <f>HYPERLINK("https://d33htgqikc2pj4.cloudfront.net/df461eff3954551afc146f38af53fd13/65b4c4e6f60d706791fc5318526223ac-file.jpeg", "Александр Олуферов: Ссылка на изображение")</f>
        <v>Александр Олуферов: Ссылка на изображение</v>
      </c>
      <c r="BH193" t="str">
        <f>HYPERLINK("https://d33htgqikc2pj4.cloudfront.net/805f12df3b2dd4c0a89c9c8264b2cf9d/394ceb8f665f5a3570f661cf181631a0-file.jpeg", "Александр Олуферов: Ссылка на изображение")</f>
        <v>Александр Олуферов: Ссылка на изображение</v>
      </c>
      <c r="BI193" t="str">
        <f>HYPERLINK("https://d33htgqikc2pj4.cloudfront.net/a6c362fc33f74b178fa940617fbdf18d/575b1c7a32f5b74f579e22967b009835-file.jpeg", "Александр Олуферов: Ссылка на изображение")</f>
        <v>Александр Олуферов: Ссылка на изображение</v>
      </c>
      <c r="BJ193" t="str">
        <f>HYPERLINK("https://d33htgqikc2pj4.cloudfront.net/eeb878f0bc46c243b59a2547297e6687/c476f62867bf30d827098fe6da59eff5-file.jpeg", "Александр Олуферов: Ссылка на изображение")</f>
        <v>Александр Олуферов: Ссылка на изображение</v>
      </c>
      <c r="BK193" s="3" t="s">
        <v>1610</v>
      </c>
      <c r="BL193" t="s">
        <v>1424</v>
      </c>
      <c r="BM193" t="s">
        <v>1605</v>
      </c>
      <c r="BN193" t="s">
        <v>1510</v>
      </c>
      <c r="BO193" t="s">
        <v>1559</v>
      </c>
      <c r="BP193" t="s">
        <v>1611</v>
      </c>
      <c r="BQ193" t="str">
        <f>HYPERLINK("https://d33htgqikc2pj4.cloudfront.net/30eda089185bc99449da8395190957e8/95ce0555f7da26e201b421f8ca32e358-file.jpeg", "Ольга Коновалова: Ссылка на изображение")</f>
        <v>Ольга Коновалова: Ссылка на изображение</v>
      </c>
      <c r="BR193" t="str">
        <f>HYPERLINK("https://d33htgqikc2pj4.cloudfront.net/b049f3069bd57d6d5d0248aadc1cda27/5c3be92a316a2cda72bee0057033ead5-file.jpeg", "Ольга Коновалова: Ссылка на изображение")</f>
        <v>Ольга Коновалова: Ссылка на изображение</v>
      </c>
      <c r="BS193" t="str">
        <f>HYPERLINK("https://d33htgqikc2pj4.cloudfront.net/cda9c2cbc85c5cc869fd0f0254537478/963016b99f63416639dfe3a3b92a0dc3-file.jpeg", "Ольга Коновалова: Ссылка на изображение")</f>
        <v>Ольга Коновалова: Ссылка на изображение</v>
      </c>
      <c r="BT193" t="str">
        <f>HYPERLINK("https://d33htgqikc2pj4.cloudfront.net/e8201402f00e8eb6798aaeae03eb7d25/2d0585021a752743fb279e6f8458483e-file.jpeg", "Ольга Коновалова: Ссылка на изображение")</f>
        <v>Ольга Коновалова: Ссылка на изображение</v>
      </c>
      <c r="BU193" t="str">
        <f>HYPERLINK("https://d33htgqikc2pj4.cloudfront.net/02e8ed38c477317aec7a2ecba19b9c3a/8c3ed0677addea6cd65f4ce3b32f976d-file.jpeg", "Ольга Коновалова: Ссылка на изображение")</f>
        <v>Ольга Коновалова: Ссылка на изображение</v>
      </c>
      <c r="BV193" t="str">
        <f>HYPERLINK("https://d33htgqikc2pj4.cloudfront.net/09c3cbce9e45d3c04187283b37cc3146/763e7bfd6e458e7f6b7e45947c86cb01-file.jpeg", "Ольга Коновалова: Ссылка на изображение")</f>
        <v>Ольга Коновалова: Ссылка на изображение</v>
      </c>
      <c r="BW193" t="str">
        <f>HYPERLINK("https://d33htgqikc2pj4.cloudfront.net/4e039098b7fed9785e276ac2fa268aed/378a2e48ccc236f582daf528a485dc78-file.jpeg", "Ольга Коновалова: Ссылка на изображение")</f>
        <v>Ольга Коновалова: Ссылка на изображение</v>
      </c>
      <c r="BX193" t="s">
        <v>1565</v>
      </c>
      <c r="BY193" t="s">
        <v>102</v>
      </c>
    </row>
    <row r="194" spans="1:77" ht="15" customHeight="1" x14ac:dyDescent="0.35">
      <c r="A194">
        <v>646</v>
      </c>
      <c r="B194" t="s">
        <v>1612</v>
      </c>
      <c r="C194">
        <v>1</v>
      </c>
      <c r="D194" t="str">
        <f>VLOOKUP(source[[#This Row],[Приоритет]],тПриоритеты[],2,0)</f>
        <v>КРИТИЧЕСКОЕ</v>
      </c>
      <c r="E194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94" t="s">
        <v>1613</v>
      </c>
      <c r="G194" t="s">
        <v>1087</v>
      </c>
      <c r="H194" t="str">
        <f>VLOOKUP(source[[#This Row],[Отвественный]],тОтветственные[],2,0)</f>
        <v>Отв25</v>
      </c>
      <c r="I194" s="2">
        <v>43761</v>
      </c>
      <c r="J194" s="2">
        <v>43761</v>
      </c>
      <c r="S194" s="1">
        <v>43761.52553240741</v>
      </c>
      <c r="W194" s="1">
        <v>43808.634525462963</v>
      </c>
      <c r="BF194" t="s">
        <v>1614</v>
      </c>
      <c r="BG194" t="s">
        <v>1615</v>
      </c>
      <c r="BH194" t="s">
        <v>1616</v>
      </c>
      <c r="BI194" t="str">
        <f>HYPERLINK("https://d33htgqikc2pj4.cloudfront.net/20c12795604cbbdca3693c71cc4c33c0/67f4d96eae17dd64b93c52664236c815-file.jpeg", "Алексей Александров: Ссылка на изображение")</f>
        <v>Алексей Александров: Ссылка на изображение</v>
      </c>
      <c r="BJ194" t="str">
        <f>HYPERLINK("https://d33htgqikc2pj4.cloudfront.net/8f108e63715d4eb0c7f31c968100a859/b4c339c7ecbb82c8b35cd782fbef01cc-file.jpeg", "Алексей Александров: Ссылка на изображение")</f>
        <v>Алексей Александров: Ссылка на изображение</v>
      </c>
      <c r="BK194" t="str">
        <f>HYPERLINK("https://d33htgqikc2pj4.cloudfront.net/25f350711d80dbc531eb28709446bafb/1d632ad9bb19b02c848a28d27839be91-file.jpeg", "Алексей Александров: Ссылка на изображение")</f>
        <v>Алексей Александров: Ссылка на изображение</v>
      </c>
      <c r="BL194" t="str">
        <f>HYPERLINK("https://d33htgqikc2pj4.cloudfront.net/4c3cc139dac57b4e54fd1b8950e42175/3085295541b35429a3c6bf096ef0ac5a-file.jpeg", "Алексей Александров: Ссылка на изображение")</f>
        <v>Алексей Александров: Ссылка на изображение</v>
      </c>
      <c r="BM194" t="str">
        <f>HYPERLINK("https://d33htgqikc2pj4.cloudfront.net/2c28802e34273a94c01ce4e351c346e4/f92e33ad69263338b91482c8b61587c0-file.jpeg", "Алексей Александров: Ссылка на изображение")</f>
        <v>Алексей Александров: Ссылка на изображение</v>
      </c>
      <c r="BN194" t="str">
        <f>HYPERLINK("https://d33htgqikc2pj4.cloudfront.net/9b5df24d24bade474084c6679e3d67d1/180d931466f5e0e939ebb073d825e2e2-file.jpeg", "Алексей Александров: Ссылка на изображение")</f>
        <v>Алексей Александров: Ссылка на изображение</v>
      </c>
      <c r="BO194" t="str">
        <f>HYPERLINK("https://d33htgqikc2pj4.cloudfront.net/adf2eae6a4352c4b0e3bfe19886bebd9/294e97e0af0c26a239485766d15ce588-file.jpeg", "Алексей Александров: Ссылка на изображение")</f>
        <v>Алексей Александров: Ссылка на изображение</v>
      </c>
      <c r="BP194" t="str">
        <f>HYPERLINK("https://d33htgqikc2pj4.cloudfront.net/27b5879deaeebe6a0b0a99c59d18c2f5/df76b6ae9a2ca89cf0a2c5652ac1cd3b-file.jpeg", "Алексей Александров: Ссылка на изображение")</f>
        <v>Алексей Александров: Ссылка на изображение</v>
      </c>
      <c r="BQ194" t="str">
        <f>HYPERLINK("https://d33htgqikc2pj4.cloudfront.net/cbb97b21fbed3224721df4304cbde9bb/6f54e9280a33bf43511f89e98f24c96b-file.jpeg", "Алексей Александров: Ссылка на изображение")</f>
        <v>Алексей Александров: Ссылка на изображение</v>
      </c>
      <c r="BR194" t="str">
        <f>HYPERLINK("https://d33htgqikc2pj4.cloudfront.net/953f02aab4597930040ca10da9a855b2/2d9fed947a31025942222e90c36527d6-file.jpeg", "Алексей Александров: Ссылка на изображение")</f>
        <v>Алексей Александров: Ссылка на изображение</v>
      </c>
      <c r="BS194" t="str">
        <f>HYPERLINK("https://d33htgqikc2pj4.cloudfront.net/8522d95393ffc5970c261a61d3ac19fc/970e009947d824cde73fa413d73bef5d-file.jpeg", "Алексей Александров: Ссылка на изображение")</f>
        <v>Алексей Александров: Ссылка на изображение</v>
      </c>
      <c r="BT194" t="str">
        <f>HYPERLINK("https://d33htgqikc2pj4.cloudfront.net/f8e3c2eefd6a9480823360c148149ae4/7fb7a212e04ce6abfdaa9e788586ecad-file.jpeg", "Алексей Александров: Ссылка на изображение")</f>
        <v>Алексей Александров: Ссылка на изображение</v>
      </c>
      <c r="BU194" t="s">
        <v>1617</v>
      </c>
      <c r="BV194" t="s">
        <v>1618</v>
      </c>
      <c r="BW194" t="s">
        <v>1619</v>
      </c>
      <c r="BX194" t="s">
        <v>1620</v>
      </c>
      <c r="BY194" t="s">
        <v>1615</v>
      </c>
    </row>
    <row r="195" spans="1:77" ht="15" customHeight="1" x14ac:dyDescent="0.35">
      <c r="A195">
        <v>746</v>
      </c>
      <c r="B195" t="s">
        <v>1621</v>
      </c>
      <c r="C195">
        <v>1</v>
      </c>
      <c r="D195" t="str">
        <f>VLOOKUP(source[[#This Row],[Приоритет]],тПриоритеты[],2,0)</f>
        <v>КРИТИЧЕСКОЕ</v>
      </c>
      <c r="E195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95" t="s">
        <v>1613</v>
      </c>
      <c r="G195" t="s">
        <v>1087</v>
      </c>
      <c r="H195" t="str">
        <f>VLOOKUP(source[[#This Row],[Отвественный]],тОтветственные[],2,0)</f>
        <v>Отв25</v>
      </c>
      <c r="I195" s="2">
        <v>43802</v>
      </c>
      <c r="J195" s="2">
        <v>43802</v>
      </c>
      <c r="S195" s="1">
        <v>43802.591990740744</v>
      </c>
      <c r="W195" s="1">
        <v>43808.393831018519</v>
      </c>
      <c r="BF195" t="s">
        <v>1622</v>
      </c>
      <c r="BG195" t="s">
        <v>1615</v>
      </c>
      <c r="BH195" t="s">
        <v>1623</v>
      </c>
      <c r="BI195" t="s">
        <v>1616</v>
      </c>
      <c r="BJ195" s="3" t="s">
        <v>1624</v>
      </c>
      <c r="BK195" s="3" t="s">
        <v>1625</v>
      </c>
      <c r="BL195" t="s">
        <v>1620</v>
      </c>
      <c r="BM195" t="s">
        <v>1615</v>
      </c>
      <c r="BN195" s="3" t="s">
        <v>1626</v>
      </c>
    </row>
    <row r="196" spans="1:77" ht="15" customHeight="1" x14ac:dyDescent="0.35">
      <c r="A196">
        <v>761</v>
      </c>
      <c r="B196" t="s">
        <v>1627</v>
      </c>
      <c r="C196">
        <v>1</v>
      </c>
      <c r="D196" t="str">
        <f>VLOOKUP(source[[#This Row],[Приоритет]],тПриоритеты[],2,0)</f>
        <v>КРИТИЧЕСКОЕ</v>
      </c>
      <c r="E196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196" t="s">
        <v>1613</v>
      </c>
      <c r="G196" t="s">
        <v>1087</v>
      </c>
      <c r="H196" t="str">
        <f>VLOOKUP(source[[#This Row],[Отвественный]],тОтветственные[],2,0)</f>
        <v>Отв25</v>
      </c>
      <c r="I196" s="2">
        <v>43809</v>
      </c>
      <c r="J196" s="2">
        <v>43815</v>
      </c>
      <c r="S196" s="1">
        <v>43809.380057870374</v>
      </c>
      <c r="W196" s="1">
        <v>43809.553703703707</v>
      </c>
      <c r="BF196" t="s">
        <v>1628</v>
      </c>
      <c r="BG196" t="s">
        <v>1615</v>
      </c>
      <c r="BH196" s="3" t="s">
        <v>1629</v>
      </c>
      <c r="BI196" t="s">
        <v>1616</v>
      </c>
      <c r="BJ196" t="s">
        <v>1630</v>
      </c>
      <c r="BK196" t="s">
        <v>1630</v>
      </c>
      <c r="BL196" t="s">
        <v>1631</v>
      </c>
    </row>
    <row r="197" spans="1:77" ht="15" customHeight="1" x14ac:dyDescent="0.35">
      <c r="A197">
        <v>616</v>
      </c>
      <c r="B197" t="s">
        <v>1632</v>
      </c>
      <c r="C197">
        <v>1</v>
      </c>
      <c r="D197" t="str">
        <f>VLOOKUP(source[[#This Row],[Приоритет]],тПриоритеты[],2,0)</f>
        <v>КРИТИЧЕСКОЕ</v>
      </c>
      <c r="E1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7" t="s">
        <v>1613</v>
      </c>
      <c r="G197" t="s">
        <v>1087</v>
      </c>
      <c r="H197" t="str">
        <f>VLOOKUP(source[[#This Row],[Отвественный]],тОтветственные[],2,0)</f>
        <v>Отв25</v>
      </c>
      <c r="I197" s="2">
        <v>43804</v>
      </c>
      <c r="J197" s="2">
        <v>43804</v>
      </c>
      <c r="S197" s="1">
        <v>43753.750810185185</v>
      </c>
      <c r="T197" s="1">
        <v>43809.633576388886</v>
      </c>
      <c r="U197" s="1">
        <v>43816.709768518522</v>
      </c>
      <c r="W197" s="1">
        <v>43816.709768518522</v>
      </c>
      <c r="BF197" t="s">
        <v>1633</v>
      </c>
      <c r="BG197" t="str">
        <f>HYPERLINK("https://d33htgqikc2pj4.cloudfront.net/bcb9736b2a0f4efea063652f54ee1901/90d44f4fae62c6b8f89379e24d3d2700-file.jpeg", "Алексей Александров: Ссылка на изображение")</f>
        <v>Алексей Александров: Ссылка на изображение</v>
      </c>
      <c r="BH197" t="s">
        <v>1615</v>
      </c>
      <c r="BI197" t="s">
        <v>1634</v>
      </c>
      <c r="BJ197" s="3" t="s">
        <v>1635</v>
      </c>
      <c r="BK197" t="str">
        <f>HYPERLINK("https://d33htgqikc2pj4.cloudfront.net/a65f2d1519a348e4386d55f4a0305445/26a697f67564db9fdb170548368960af-file.jpeg", "Алексей Александров: Ссылка на изображение")</f>
        <v>Алексей Александров: Ссылка на изображение</v>
      </c>
      <c r="BL197" t="s">
        <v>1623</v>
      </c>
      <c r="BM197" t="s">
        <v>1636</v>
      </c>
      <c r="BN197" t="s">
        <v>1637</v>
      </c>
      <c r="BO197" t="s">
        <v>1638</v>
      </c>
      <c r="BP197" t="s">
        <v>1639</v>
      </c>
      <c r="BQ197" t="s">
        <v>1620</v>
      </c>
      <c r="BR197" t="s">
        <v>1640</v>
      </c>
    </row>
    <row r="198" spans="1:77" ht="15" customHeight="1" x14ac:dyDescent="0.35">
      <c r="A198">
        <v>615</v>
      </c>
      <c r="B198" t="s">
        <v>1641</v>
      </c>
      <c r="C198">
        <v>1</v>
      </c>
      <c r="D198" t="str">
        <f>VLOOKUP(source[[#This Row],[Приоритет]],тПриоритеты[],2,0)</f>
        <v>КРИТИЧЕСКОЕ</v>
      </c>
      <c r="E1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8" t="s">
        <v>1613</v>
      </c>
      <c r="G198" t="s">
        <v>1087</v>
      </c>
      <c r="H198" t="str">
        <f>VLOOKUP(source[[#This Row],[Отвественный]],тОтветственные[],2,0)</f>
        <v>Отв25</v>
      </c>
      <c r="I198" s="2">
        <v>43802</v>
      </c>
      <c r="J198" s="2">
        <v>43805</v>
      </c>
      <c r="P198">
        <v>0</v>
      </c>
      <c r="S198" s="1">
        <v>43753.747719907406</v>
      </c>
      <c r="T198" s="1">
        <v>43805.655844907407</v>
      </c>
      <c r="U198" s="1">
        <v>43808.404027777775</v>
      </c>
      <c r="W198" s="1">
        <v>43808.404027777775</v>
      </c>
      <c r="BF198" t="s">
        <v>1642</v>
      </c>
      <c r="BG198" t="str">
        <f>HYPERLINK("https://d33htgqikc2pj4.cloudfront.net/4d049cb75cca0c28c061087b3932ea0d/baadc5241097e45040883b8346cadf72-file.jpeg", "Алексей Александров: Ссылка на изображение")</f>
        <v>Алексей Александров: Ссылка на изображение</v>
      </c>
      <c r="BH198" t="s">
        <v>1615</v>
      </c>
      <c r="BI198" t="s">
        <v>1634</v>
      </c>
      <c r="BJ198" t="s">
        <v>1643</v>
      </c>
      <c r="BK198" t="s">
        <v>1623</v>
      </c>
      <c r="BL198" t="s">
        <v>1644</v>
      </c>
      <c r="BM198" t="s">
        <v>1645</v>
      </c>
      <c r="BN198" t="s">
        <v>1646</v>
      </c>
      <c r="BO198" t="s">
        <v>1620</v>
      </c>
      <c r="BP198" t="s">
        <v>1640</v>
      </c>
    </row>
    <row r="199" spans="1:77" ht="15" customHeight="1" x14ac:dyDescent="0.35">
      <c r="A199">
        <v>717</v>
      </c>
      <c r="B199" t="s">
        <v>1647</v>
      </c>
      <c r="C199">
        <v>1</v>
      </c>
      <c r="D199" t="str">
        <f>VLOOKUP(source[[#This Row],[Приоритет]],тПриоритеты[],2,0)</f>
        <v>КРИТИЧЕСКОЕ</v>
      </c>
      <c r="E1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199" t="s">
        <v>1613</v>
      </c>
      <c r="G199" t="s">
        <v>1087</v>
      </c>
      <c r="H199" t="str">
        <f>VLOOKUP(source[[#This Row],[Отвественный]],тОтветственные[],2,0)</f>
        <v>Отв25</v>
      </c>
      <c r="I199" s="2">
        <v>43791</v>
      </c>
      <c r="J199" s="2">
        <v>43794</v>
      </c>
      <c r="S199" s="1">
        <v>43791.724050925928</v>
      </c>
      <c r="T199" s="1">
        <v>43805.655844907407</v>
      </c>
      <c r="U199" s="1">
        <v>43816.709872685184</v>
      </c>
      <c r="W199" s="1">
        <v>43816.709872685184</v>
      </c>
      <c r="BF199" t="str">
        <f>HYPERLINK("https://d33htgqikc2pj4.cloudfront.net/0a85986e6b9d174ed4b0a9e301dee50b/c56c9f009827015e0b8afd3880c1982b-file.jpeg", "Алексей Александров: Ссылка на изображение")</f>
        <v>Алексей Александров: Ссылка на изображение</v>
      </c>
      <c r="BG199" t="str">
        <f>HYPERLINK("https://d33htgqikc2pj4.cloudfront.net/459a26a82b1ac300ea0598d25b3ad0ed/557d6adc605f3dfb9e1920a38a582d01-file.jpeg", "Алексей Александров: Ссылка на изображение")</f>
        <v>Алексей Александров: Ссылка на изображение</v>
      </c>
      <c r="BH199" t="str">
        <f>HYPERLINK("https://d33htgqikc2pj4.cloudfront.net/47ecd750954e620ba6fa6a23e03d59b9/841797298aa43006d00cf4a9a08188d4-file.jpeg", "Алексей Александров: Ссылка на изображение")</f>
        <v>Алексей Александров: Ссылка на изображение</v>
      </c>
      <c r="BI199" t="s">
        <v>1648</v>
      </c>
      <c r="BJ199" t="s">
        <v>1615</v>
      </c>
      <c r="BK199" t="s">
        <v>1616</v>
      </c>
      <c r="BL199" t="s">
        <v>1649</v>
      </c>
      <c r="BM199" t="s">
        <v>1650</v>
      </c>
      <c r="BN199" t="s">
        <v>1651</v>
      </c>
      <c r="BO199" t="s">
        <v>1652</v>
      </c>
      <c r="BP199" t="s">
        <v>1620</v>
      </c>
      <c r="BQ199" t="s">
        <v>1640</v>
      </c>
    </row>
    <row r="200" spans="1:77" ht="15" customHeight="1" x14ac:dyDescent="0.35">
      <c r="A200">
        <v>638</v>
      </c>
      <c r="B200" t="s">
        <v>1653</v>
      </c>
      <c r="C200">
        <v>1</v>
      </c>
      <c r="D200" t="str">
        <f>VLOOKUP(source[[#This Row],[Приоритет]],тПриоритеты[],2,0)</f>
        <v>КРИТИЧЕСКОЕ</v>
      </c>
      <c r="E2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0" t="s">
        <v>1613</v>
      </c>
      <c r="G200" t="s">
        <v>1087</v>
      </c>
      <c r="H200" t="str">
        <f>VLOOKUP(source[[#This Row],[Отвественный]],тОтветственные[],2,0)</f>
        <v>Отв25</v>
      </c>
      <c r="I200" s="2">
        <v>43760</v>
      </c>
      <c r="J200" s="2">
        <v>43760</v>
      </c>
      <c r="S200" s="1">
        <v>43760.507175925923</v>
      </c>
      <c r="T200" s="1">
        <v>43769.418680555558</v>
      </c>
      <c r="U200" s="1">
        <v>43769.418680555558</v>
      </c>
      <c r="W200" s="1">
        <v>43769.418680555558</v>
      </c>
      <c r="BF200" t="s">
        <v>1654</v>
      </c>
      <c r="BG200" t="s">
        <v>1615</v>
      </c>
      <c r="BH200" t="s">
        <v>1616</v>
      </c>
      <c r="BI200" t="str">
        <f>HYPERLINK("https://d33htgqikc2pj4.cloudfront.net/0ad39003c0038d66df3a0f0d01bf08b6/047e6dc779b2e43bf038ccfa0bb3e05e-file.jpeg", "Алексей Александров: Ссылка на изображение")</f>
        <v>Алексей Александров: Ссылка на изображение</v>
      </c>
      <c r="BJ200" t="str">
        <f>HYPERLINK("https://d33htgqikc2pj4.cloudfront.net/db44f95e77870db031842d0f7c468dca/3acb9cfd2066fc237bf89d9c859dade3-file.jpeg", "Алексей Александров: Ссылка на изображение")</f>
        <v>Алексей Александров: Ссылка на изображение</v>
      </c>
      <c r="BK200" t="str">
        <f>HYPERLINK("https://d33htgqikc2pj4.cloudfront.net/4098404263e89f53b431fcb1f767d579/f3132a8648da03a3c5a81341f54cb1fa-file.jpeg", "Алексей Александров: Ссылка на изображение")</f>
        <v>Алексей Александров: Ссылка на изображение</v>
      </c>
      <c r="BL200" t="str">
        <f>HYPERLINK("https://d33htgqikc2pj4.cloudfront.net/b0d36709b122be9f4fa963d722596c20/67f3a5c6f2c3f9e2d105846948679e56-file.jpeg", "Алексей Александров: Ссылка на изображение")</f>
        <v>Алексей Александров: Ссылка на изображение</v>
      </c>
      <c r="BM200" t="str">
        <f>HYPERLINK("https://d33htgqikc2pj4.cloudfront.net/5a22e5da9c30be0e7542862e72e7449a/747a65b35d9001c4a5198c14ce799705-file.jpeg", "Алексей Александров: Ссылка на изображение")</f>
        <v>Алексей Александров: Ссылка на изображение</v>
      </c>
      <c r="BN200" t="s">
        <v>1655</v>
      </c>
      <c r="BO200" t="s">
        <v>1656</v>
      </c>
      <c r="BP200" t="s">
        <v>1640</v>
      </c>
      <c r="BQ200" t="s">
        <v>1639</v>
      </c>
    </row>
    <row r="201" spans="1:77" ht="15" customHeight="1" x14ac:dyDescent="0.35">
      <c r="A201">
        <v>613</v>
      </c>
      <c r="B201" t="s">
        <v>1621</v>
      </c>
      <c r="C201">
        <v>1</v>
      </c>
      <c r="D201" t="str">
        <f>VLOOKUP(source[[#This Row],[Приоритет]],тПриоритеты[],2,0)</f>
        <v>КРИТИЧЕСКОЕ</v>
      </c>
      <c r="E2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1" t="s">
        <v>1613</v>
      </c>
      <c r="G201" t="s">
        <v>1087</v>
      </c>
      <c r="H201" t="str">
        <f>VLOOKUP(source[[#This Row],[Отвественный]],тОтветственные[],2,0)</f>
        <v>Отв25</v>
      </c>
      <c r="I201" s="2">
        <v>43753</v>
      </c>
      <c r="J201" s="2">
        <v>43755</v>
      </c>
      <c r="P201">
        <v>0</v>
      </c>
      <c r="S201" s="1">
        <v>43753.742326388892</v>
      </c>
      <c r="T201" s="1">
        <v>43805.655844907407</v>
      </c>
      <c r="U201" s="1">
        <v>43808.403784722221</v>
      </c>
      <c r="W201" s="1">
        <v>43808.403784722221</v>
      </c>
      <c r="BF201" t="s">
        <v>1634</v>
      </c>
      <c r="BG201" t="s">
        <v>1657</v>
      </c>
      <c r="BH201" t="s">
        <v>1622</v>
      </c>
      <c r="BI201" t="str">
        <f>HYPERLINK("https://d33htgqikc2pj4.cloudfront.net/46dc65ab5919c840efdca18e1b76f958/877c04d2f89375fd191b863f9b7bfe82-file.jpeg", "Алексей Александров: Ссылка на изображение")</f>
        <v>Алексей Александров: Ссылка на изображение</v>
      </c>
      <c r="BJ201" t="s">
        <v>1615</v>
      </c>
      <c r="BK201" s="3" t="s">
        <v>1658</v>
      </c>
      <c r="BL201" t="s">
        <v>1659</v>
      </c>
      <c r="BM201" t="s">
        <v>1660</v>
      </c>
      <c r="BN201" t="s">
        <v>1645</v>
      </c>
      <c r="BO201" t="s">
        <v>1661</v>
      </c>
      <c r="BP201" t="s">
        <v>1620</v>
      </c>
      <c r="BQ201" t="s">
        <v>1640</v>
      </c>
    </row>
    <row r="202" spans="1:77" ht="15" customHeight="1" x14ac:dyDescent="0.35">
      <c r="A202">
        <v>818</v>
      </c>
      <c r="B202" t="s">
        <v>1662</v>
      </c>
      <c r="C202">
        <v>1</v>
      </c>
      <c r="D202" t="str">
        <f>VLOOKUP(source[[#This Row],[Приоритет]],тПриоритеты[],2,0)</f>
        <v>КРИТИЧЕСКОЕ</v>
      </c>
      <c r="E202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202" t="s">
        <v>1613</v>
      </c>
      <c r="G202" t="s">
        <v>97</v>
      </c>
      <c r="H202" t="str">
        <f>VLOOKUP(source[[#This Row],[Отвественный]],тОтветственные[],2,0)</f>
        <v>Отв1</v>
      </c>
      <c r="I202" s="2">
        <v>43822</v>
      </c>
      <c r="J202" s="2">
        <v>43823</v>
      </c>
      <c r="S202" s="1">
        <v>43822.710289351853</v>
      </c>
      <c r="W202" s="1">
        <v>43822.710972222223</v>
      </c>
      <c r="BF202" t="s">
        <v>1663</v>
      </c>
      <c r="BG202" t="s">
        <v>1664</v>
      </c>
      <c r="BH202" t="s">
        <v>1615</v>
      </c>
      <c r="BI202" t="s">
        <v>1665</v>
      </c>
      <c r="BJ202" t="s">
        <v>1666</v>
      </c>
      <c r="BK202" t="str">
        <f>HYPERLINK("https://d33htgqikc2pj4.cloudfront.net/3a9945bffec25c15a478ed3089a91e38/d2dd197a89511371d5814266e772cd65-file.jpeg", "Алексей Александров: Ссылка на изображение")</f>
        <v>Алексей Александров: Ссылка на изображение</v>
      </c>
      <c r="BL202" t="s">
        <v>1667</v>
      </c>
    </row>
    <row r="203" spans="1:77" ht="15" customHeight="1" x14ac:dyDescent="0.35">
      <c r="A203">
        <v>819</v>
      </c>
      <c r="B203" t="s">
        <v>1668</v>
      </c>
      <c r="C203">
        <v>1</v>
      </c>
      <c r="D203" t="str">
        <f>VLOOKUP(source[[#This Row],[Приоритет]],тПриоритеты[],2,0)</f>
        <v>КРИТИЧЕСКОЕ</v>
      </c>
      <c r="E203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203" t="s">
        <v>1613</v>
      </c>
      <c r="G203" t="s">
        <v>97</v>
      </c>
      <c r="H203" t="str">
        <f>VLOOKUP(source[[#This Row],[Отвественный]],тОтветственные[],2,0)</f>
        <v>Отв1</v>
      </c>
      <c r="S203" s="1">
        <v>43822.712210648147</v>
      </c>
      <c r="W203" s="1">
        <v>43822.714884259258</v>
      </c>
      <c r="BF203" t="s">
        <v>1669</v>
      </c>
      <c r="BG203" t="str">
        <f>HYPERLINK("https://d33htgqikc2pj4.cloudfront.net/b753aedf3cdcba5af7a191e6f26ea721/bf8ddcbac61c4be8debdc096fc068e01-file.jpeg", "Алексей Александров: Ссылка на изображение")</f>
        <v>Алексей Александров: Ссылка на изображение</v>
      </c>
      <c r="BH203" t="str">
        <f>HYPERLINK("https://d33htgqikc2pj4.cloudfront.net/1d30363a3e88386fc08dc28df282db35/e004fe6b82cfad077224a06993a1cb46-file.jpeg", "Алексей Александров: Ссылка на изображение")</f>
        <v>Алексей Александров: Ссылка на изображение</v>
      </c>
      <c r="BI203" t="str">
        <f>HYPERLINK("https://d33htgqikc2pj4.cloudfront.net/f3f96115e32e2a40947c4c75796400c7/f83480b49f85e92330b8d5eba20b85e5-file.jpeg", "Алексей Александров: Ссылка на изображение")</f>
        <v>Алексей Александров: Ссылка на изображение</v>
      </c>
      <c r="BJ203" t="str">
        <f>HYPERLINK("https://d33htgqikc2pj4.cloudfront.net/71087e923cfd1687a0958e1e9264904e/ab68942a9dc6dc1dc34c80fe31f0dee3-file.jpeg", "Алексей Александров: Ссылка на изображение")</f>
        <v>Алексей Александров: Ссылка на изображение</v>
      </c>
      <c r="BK203" t="str">
        <f>HYPERLINK("https://d33htgqikc2pj4.cloudfront.net/125f14b97a64326a3444b1b523cd3c47/58759a09547618efb0d42c6304445f6a-file.jpeg", "Алексей Александров: Ссылка на изображение")</f>
        <v>Алексей Александров: Ссылка на изображение</v>
      </c>
      <c r="BL203" t="s">
        <v>1670</v>
      </c>
      <c r="BM203" t="s">
        <v>1664</v>
      </c>
      <c r="BN203" t="s">
        <v>1615</v>
      </c>
    </row>
    <row r="204" spans="1:77" ht="15" customHeight="1" x14ac:dyDescent="0.35">
      <c r="A204">
        <v>762</v>
      </c>
      <c r="B204" t="s">
        <v>1671</v>
      </c>
      <c r="C204">
        <v>1</v>
      </c>
      <c r="D204" t="str">
        <f>VLOOKUP(source[[#This Row],[Приоритет]],тПриоритеты[],2,0)</f>
        <v>КРИТИЧЕСКОЕ</v>
      </c>
      <c r="E204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204" t="s">
        <v>1613</v>
      </c>
      <c r="G204" t="s">
        <v>97</v>
      </c>
      <c r="H204" t="str">
        <f>VLOOKUP(source[[#This Row],[Отвественный]],тОтветственные[],2,0)</f>
        <v>Отв1</v>
      </c>
      <c r="S204" s="1">
        <v>43809.552048611113</v>
      </c>
      <c r="W204" s="1">
        <v>43809.553900462961</v>
      </c>
      <c r="BF204" t="s">
        <v>1672</v>
      </c>
      <c r="BG204" t="s">
        <v>1664</v>
      </c>
      <c r="BH204" t="s">
        <v>1615</v>
      </c>
      <c r="BI204" t="s">
        <v>1673</v>
      </c>
    </row>
    <row r="205" spans="1:77" ht="15" customHeight="1" x14ac:dyDescent="0.35">
      <c r="A205">
        <v>463</v>
      </c>
      <c r="B205" t="s">
        <v>1674</v>
      </c>
      <c r="C205">
        <v>2</v>
      </c>
      <c r="D205" t="str">
        <f>VLOOKUP(source[[#This Row],[Приоритет]],тПриоритеты[],2,0)</f>
        <v>Значительное</v>
      </c>
      <c r="E2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5" t="s">
        <v>1613</v>
      </c>
      <c r="G205" t="s">
        <v>97</v>
      </c>
      <c r="H205" t="str">
        <f>VLOOKUP(source[[#This Row],[Отвественный]],тОтветственные[],2,0)</f>
        <v>Отв1</v>
      </c>
      <c r="I205" s="2">
        <v>43719</v>
      </c>
      <c r="J205" s="2">
        <v>43720</v>
      </c>
      <c r="S205" s="1">
        <v>43719.637256944443</v>
      </c>
      <c r="T205" s="1">
        <v>43725.716215277775</v>
      </c>
      <c r="U205" s="1">
        <v>43725.716215277775</v>
      </c>
      <c r="W205" s="1">
        <v>43725.716215277775</v>
      </c>
      <c r="BF205" t="s">
        <v>1675</v>
      </c>
      <c r="BG205" t="str">
        <f>HYPERLINK("https://d33htgqikc2pj4.cloudfront.net/f1a214a81c0bed9365f2af3dbc3b5adc/9901d6f0d8d0c71e6e9d934f35a0d1b4-file.jpeg", "Алексей Александров: Ссылка на изображение")</f>
        <v>Алексей Александров: Ссылка на изображение</v>
      </c>
      <c r="BH205" t="s">
        <v>1615</v>
      </c>
      <c r="BI205" t="s">
        <v>1676</v>
      </c>
      <c r="BJ205" t="s">
        <v>1677</v>
      </c>
      <c r="BK205" t="s">
        <v>1664</v>
      </c>
      <c r="BL205" t="s">
        <v>1678</v>
      </c>
      <c r="BM205" t="str">
        <f>HYPERLINK("https://d33htgqikc2pj4.cloudfront.net/d07f2de6a69f3b5180b52035056d9962/90e86c8b1c4305cbb3231bd858b8195b-file.jpeg", "Maksim Sumatokhin: Ссылка на изображение")</f>
        <v>Maksim Sumatokhin: Ссылка на изображение</v>
      </c>
      <c r="BN205" t="str">
        <f>HYPERLINK("https://d33htgqikc2pj4.cloudfront.net/0ca24606f3f80434fbc332ae05c5d4ad/fa35aef3909a041e3c5e1dcd4e2c149a-file.jpeg", "Maksim Sumatokhin: Ссылка на изображение")</f>
        <v>Maksim Sumatokhin: Ссылка на изображение</v>
      </c>
      <c r="BO205" t="s">
        <v>1679</v>
      </c>
      <c r="BP205" t="s">
        <v>101</v>
      </c>
      <c r="BQ205" t="s">
        <v>1680</v>
      </c>
      <c r="BR205" t="s">
        <v>1640</v>
      </c>
    </row>
    <row r="206" spans="1:77" ht="15" customHeight="1" x14ac:dyDescent="0.35">
      <c r="A206">
        <v>21</v>
      </c>
      <c r="B206" t="s">
        <v>1681</v>
      </c>
      <c r="C206">
        <v>2</v>
      </c>
      <c r="D206" t="str">
        <f>VLOOKUP(source[[#This Row],[Приоритет]],тПриоритеты[],2,0)</f>
        <v>Значительное</v>
      </c>
      <c r="E2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6" t="s">
        <v>1613</v>
      </c>
      <c r="G206" t="s">
        <v>97</v>
      </c>
      <c r="H206" t="str">
        <f>VLOOKUP(source[[#This Row],[Отвественный]],тОтветственные[],2,0)</f>
        <v>Отв1</v>
      </c>
      <c r="I206" s="2">
        <v>43557</v>
      </c>
      <c r="J206" s="2">
        <v>43558</v>
      </c>
      <c r="K206" t="s">
        <v>438</v>
      </c>
      <c r="L206">
        <v>0</v>
      </c>
      <c r="M206">
        <v>0</v>
      </c>
      <c r="N206" t="s">
        <v>1152</v>
      </c>
      <c r="Q206" t="s">
        <v>124</v>
      </c>
      <c r="R206" t="str">
        <f>HYPERLINK("https://d28ji4sm1vmprj.cloudfront.net/acfc9aa0097603f62cea0f398f3db1cc/12b88cc06de177b1006ee0f4fecb634c.jpeg", "Ссылка на план")</f>
        <v>Ссылка на план</v>
      </c>
      <c r="S206" s="1">
        <v>43557.634016203701</v>
      </c>
      <c r="T206" s="1">
        <v>43581.510601851849</v>
      </c>
      <c r="U206" s="1">
        <v>43581.510601851849</v>
      </c>
      <c r="W206" s="1">
        <v>43581.730833333335</v>
      </c>
      <c r="BF206" t="s">
        <v>1682</v>
      </c>
      <c r="BG206" t="s">
        <v>99</v>
      </c>
      <c r="BH206" t="s">
        <v>1683</v>
      </c>
      <c r="BI206" t="s">
        <v>1172</v>
      </c>
      <c r="BJ206" t="s">
        <v>1684</v>
      </c>
      <c r="BK206" t="str">
        <f>HYPERLINK("https://d33htgqikc2pj4.cloudfront.net/qvHDimMUqxZcQnsj/3P9wWmq0QUKyag32rchU_UuPlKjraRnG4ibPZ6pdy_xKXKvVBCQQef7QrRh8ls_638952c7-da8b-451b-9a3e-c7bb8230cec3.jpg", "Владимир Чугунов: Ссылка на изображение")</f>
        <v>Владимир Чугунов: Ссылка на изображение</v>
      </c>
      <c r="BL206" s="3" t="s">
        <v>1685</v>
      </c>
      <c r="BM206" s="3" t="s">
        <v>1686</v>
      </c>
      <c r="BN206" t="str">
        <f>HYPERLINK("https://d33htgqikc2pj4.cloudfront.net/19a6094e42e13a5177350419f3d9e512/ff7c08e5ea2fc7273a6377904af10265-file.jpeg", "Maksim Sumatokhin: Ссылка на изображение")</f>
        <v>Maksim Sumatokhin: Ссылка на изображение</v>
      </c>
      <c r="BO206" t="str">
        <f>HYPERLINK("https://d33htgqikc2pj4.cloudfront.net/f56dbbf0011e6dfbe88e5ce3c9e88dea/875cfbb03c21fd2c34a2de57b353a2f6-file.jpeg", "Maksim Sumatokhin: Ссылка на изображение")</f>
        <v>Maksim Sumatokhin: Ссылка на изображение</v>
      </c>
      <c r="BP206" t="s">
        <v>102</v>
      </c>
    </row>
    <row r="207" spans="1:77" ht="15" customHeight="1" x14ac:dyDescent="0.35">
      <c r="A207">
        <v>76</v>
      </c>
      <c r="B207" t="s">
        <v>1687</v>
      </c>
      <c r="C207">
        <v>3</v>
      </c>
      <c r="D207" t="str">
        <f>VLOOKUP(source[[#This Row],[Приоритет]],тПриоритеты[],2,0)</f>
        <v>Малозначительное</v>
      </c>
      <c r="E2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7" t="s">
        <v>1613</v>
      </c>
      <c r="G207" t="s">
        <v>97</v>
      </c>
      <c r="H207" t="str">
        <f>VLOOKUP(source[[#This Row],[Отвественный]],тОтветственные[],2,0)</f>
        <v>Отв1</v>
      </c>
      <c r="I207" s="2">
        <v>43600</v>
      </c>
      <c r="J207" s="2">
        <v>43602</v>
      </c>
      <c r="S207" s="1">
        <v>43600.44798611111</v>
      </c>
      <c r="T207" s="1">
        <v>43620.647233796299</v>
      </c>
      <c r="U207" s="1">
        <v>43620.647233796299</v>
      </c>
      <c r="W207" s="1">
        <v>43620.647546296299</v>
      </c>
      <c r="BF207" t="s">
        <v>1688</v>
      </c>
      <c r="BG207" t="s">
        <v>1664</v>
      </c>
      <c r="BH207" t="s">
        <v>1689</v>
      </c>
      <c r="BI207" t="s">
        <v>1690</v>
      </c>
      <c r="BJ207" t="s">
        <v>1615</v>
      </c>
      <c r="BK207" s="3" t="s">
        <v>1691</v>
      </c>
      <c r="BL207" t="s">
        <v>1692</v>
      </c>
      <c r="BM207" t="s">
        <v>1693</v>
      </c>
      <c r="BN207" t="s">
        <v>1640</v>
      </c>
    </row>
    <row r="208" spans="1:77" ht="15" customHeight="1" x14ac:dyDescent="0.35">
      <c r="A208">
        <v>78</v>
      </c>
      <c r="B208" t="s">
        <v>1687</v>
      </c>
      <c r="C208">
        <v>3</v>
      </c>
      <c r="D208" t="str">
        <f>VLOOKUP(source[[#This Row],[Приоритет]],тПриоритеты[],2,0)</f>
        <v>Малозначительное</v>
      </c>
      <c r="E2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8" t="s">
        <v>1613</v>
      </c>
      <c r="G208" t="s">
        <v>97</v>
      </c>
      <c r="H208" t="str">
        <f>VLOOKUP(source[[#This Row],[Отвественный]],тОтветственные[],2,0)</f>
        <v>Отв1</v>
      </c>
      <c r="I208" s="2">
        <v>43600</v>
      </c>
      <c r="J208" s="2">
        <v>43616</v>
      </c>
      <c r="S208" s="1">
        <v>43600.481388888889</v>
      </c>
      <c r="T208" s="1">
        <v>43620.64739583333</v>
      </c>
      <c r="U208" s="1">
        <v>43620.64739583333</v>
      </c>
      <c r="W208" s="1">
        <v>43620.647696759261</v>
      </c>
      <c r="BF208" s="3" t="s">
        <v>1694</v>
      </c>
      <c r="BG208" t="s">
        <v>1688</v>
      </c>
      <c r="BH208" t="s">
        <v>1664</v>
      </c>
      <c r="BI208" t="s">
        <v>1689</v>
      </c>
      <c r="BJ208" t="s">
        <v>1695</v>
      </c>
      <c r="BK208" t="s">
        <v>1615</v>
      </c>
      <c r="BL208" t="s">
        <v>1692</v>
      </c>
      <c r="BM208" t="s">
        <v>1693</v>
      </c>
      <c r="BN208" t="s">
        <v>1696</v>
      </c>
      <c r="BO208" t="s">
        <v>1640</v>
      </c>
    </row>
    <row r="209" spans="1:82" ht="15" customHeight="1" x14ac:dyDescent="0.35">
      <c r="A209">
        <v>77</v>
      </c>
      <c r="B209" t="s">
        <v>1687</v>
      </c>
      <c r="C209">
        <v>1</v>
      </c>
      <c r="D209" t="str">
        <f>VLOOKUP(source[[#This Row],[Приоритет]],тПриоритеты[],2,0)</f>
        <v>КРИТИЧЕСКОЕ</v>
      </c>
      <c r="E2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09" t="s">
        <v>1613</v>
      </c>
      <c r="G209" t="s">
        <v>97</v>
      </c>
      <c r="H209" t="str">
        <f>VLOOKUP(source[[#This Row],[Отвественный]],тОтветственные[],2,0)</f>
        <v>Отв1</v>
      </c>
      <c r="O209">
        <v>0</v>
      </c>
      <c r="S209" s="1">
        <v>43600.468275462961</v>
      </c>
      <c r="T209" s="1">
        <v>43608.534456018519</v>
      </c>
      <c r="U209" s="1">
        <v>43609.491365740738</v>
      </c>
      <c r="W209" s="1">
        <v>43609.491435185184</v>
      </c>
      <c r="BF209" t="s">
        <v>1688</v>
      </c>
      <c r="BG209" t="str">
        <f>HYPERLINK("https://d33htgqikc2pj4.cloudfront.net/f049b39d6f37f1dc0a780ffbc3f5cc79/230e40e527b48285af643477d7cfe07c-file.jpeg", "Алексей Александров: Ссылка на изображение")</f>
        <v>Алексей Александров: Ссылка на изображение</v>
      </c>
      <c r="BH209" t="str">
        <f>HYPERLINK("https://d33htgqikc2pj4.cloudfront.net/69758da4452fd87731ff583e3f321460/7613f41224207c0af18eeb4df922ff9a-file.jpeg", "Алексей Александров: Ссылка на изображение")</f>
        <v>Алексей Александров: Ссылка на изображение</v>
      </c>
      <c r="BI209" t="str">
        <f>HYPERLINK("https://d33htgqikc2pj4.cloudfront.net/289381d06d3b499cfe2e4a8dc234a647/2b419af28fb3b444232e68d10191f2c0-file.jpeg", "Алексей Александров: Ссылка на изображение")</f>
        <v>Алексей Александров: Ссылка на изображение</v>
      </c>
      <c r="BJ209" s="3" t="s">
        <v>1697</v>
      </c>
      <c r="BK209" t="s">
        <v>1664</v>
      </c>
      <c r="BL209" t="s">
        <v>1615</v>
      </c>
      <c r="BM209" t="s">
        <v>334</v>
      </c>
      <c r="BN209" t="s">
        <v>1692</v>
      </c>
      <c r="BO209" t="s">
        <v>1640</v>
      </c>
    </row>
    <row r="210" spans="1:82" ht="15" customHeight="1" x14ac:dyDescent="0.35">
      <c r="A210">
        <v>95</v>
      </c>
      <c r="B210" t="s">
        <v>1698</v>
      </c>
      <c r="C210">
        <v>2</v>
      </c>
      <c r="D210" t="str">
        <f>VLOOKUP(source[[#This Row],[Приоритет]],тПриоритеты[],2,0)</f>
        <v>Значительное</v>
      </c>
      <c r="E2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0" t="s">
        <v>1613</v>
      </c>
      <c r="G210" t="s">
        <v>97</v>
      </c>
      <c r="H210" t="str">
        <f>VLOOKUP(source[[#This Row],[Отвественный]],тОтветственные[],2,0)</f>
        <v>Отв1</v>
      </c>
      <c r="S210" s="1">
        <v>43606.685740740744</v>
      </c>
      <c r="T210" s="1">
        <v>43608.534918981481</v>
      </c>
      <c r="U210" s="1">
        <v>43609.4921412037</v>
      </c>
      <c r="W210" s="1">
        <v>43609.492210648146</v>
      </c>
      <c r="BF210" t="s">
        <v>1699</v>
      </c>
      <c r="BG210" t="s">
        <v>1664</v>
      </c>
      <c r="BH210" t="str">
        <f>HYPERLINK("https://d33htgqikc2pj4.cloudfront.net/edd9a9a1e83a127c0ba8f0d28ac7316a/2555d7c41945a42540cca4442e9a1ee5-file.jpeg", "Алексей Александров: Ссылка на изображение")</f>
        <v>Алексей Александров: Ссылка на изображение</v>
      </c>
      <c r="BI210" t="str">
        <f>HYPERLINK("https://d33htgqikc2pj4.cloudfront.net/2f844d6e4cd8d1271804a849ca89b6f8/c280e42f7b7ebf062d97f820bed5293e-file.jpeg", "Алексей Александров: Ссылка на изображение")</f>
        <v>Алексей Александров: Ссылка на изображение</v>
      </c>
      <c r="BJ210" t="str">
        <f>HYPERLINK("https://d33htgqikc2pj4.cloudfront.net/bbc492b7953803dbbde78741634e17ed/2364e23c1635116cb047e8dcae052dbb-file.jpeg", "Алексей Александров: Ссылка на изображение")</f>
        <v>Алексей Александров: Ссылка на изображение</v>
      </c>
      <c r="BK210" s="3" t="s">
        <v>1700</v>
      </c>
      <c r="BL210" t="s">
        <v>1692</v>
      </c>
      <c r="BM210" t="s">
        <v>1640</v>
      </c>
    </row>
    <row r="211" spans="1:82" ht="15" customHeight="1" x14ac:dyDescent="0.35">
      <c r="A211">
        <v>236</v>
      </c>
      <c r="B211" t="s">
        <v>1701</v>
      </c>
      <c r="C211">
        <v>1</v>
      </c>
      <c r="D211" t="str">
        <f>VLOOKUP(source[[#This Row],[Приоритет]],тПриоритеты[],2,0)</f>
        <v>КРИТИЧЕСКОЕ</v>
      </c>
      <c r="E2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1" t="s">
        <v>1613</v>
      </c>
      <c r="G211" t="s">
        <v>97</v>
      </c>
      <c r="H211" t="str">
        <f>VLOOKUP(source[[#This Row],[Отвественный]],тОтветственные[],2,0)</f>
        <v>Отв1</v>
      </c>
      <c r="I211" s="2">
        <v>43657</v>
      </c>
      <c r="J211" s="2">
        <v>43658</v>
      </c>
      <c r="S211" s="1">
        <v>43657.711087962962</v>
      </c>
      <c r="T211" s="1">
        <v>43661.684895833336</v>
      </c>
      <c r="U211" s="1">
        <v>43661.7108912037</v>
      </c>
      <c r="W211" s="1">
        <v>43661.7108912037</v>
      </c>
      <c r="BF211" t="s">
        <v>1664</v>
      </c>
      <c r="BG211" t="s">
        <v>1702</v>
      </c>
      <c r="BH211" t="str">
        <f>HYPERLINK("https://d33htgqikc2pj4.cloudfront.net/13d4d6714eb564eb6d1e50474c9eb0b2/9d1bb48817c1ee708c8e9777ab301e3a-file.jpeg", "Алексей Александров: Ссылка на изображение")</f>
        <v>Алексей Александров: Ссылка на изображение</v>
      </c>
      <c r="BI211" t="str">
        <f>HYPERLINK("https://d33htgqikc2pj4.cloudfront.net/3557f28994b60f6381460dc0f779dad0/45ff451f8498229aba938be0a67577b6-file.jpeg", "Алексей Александров: Ссылка на изображение")</f>
        <v>Алексей Александров: Ссылка на изображение</v>
      </c>
      <c r="BJ211" t="str">
        <f>HYPERLINK("https://d33htgqikc2pj4.cloudfront.net/2f5d323c79c2524fe756be97d7872c5b/142b71bc3649b74709e65e4c6906cf80-file.jpeg", "Алексей Александров: Ссылка на изображение")</f>
        <v>Алексей Александров: Ссылка на изображение</v>
      </c>
      <c r="BK211" t="s">
        <v>1615</v>
      </c>
      <c r="BL211" s="3" t="s">
        <v>1703</v>
      </c>
      <c r="BM211" t="s">
        <v>1704</v>
      </c>
      <c r="BN211" t="s">
        <v>1705</v>
      </c>
      <c r="BO211" t="s">
        <v>1706</v>
      </c>
      <c r="BP211" t="s">
        <v>101</v>
      </c>
      <c r="BQ211" t="s">
        <v>1640</v>
      </c>
    </row>
    <row r="212" spans="1:82" ht="15" customHeight="1" x14ac:dyDescent="0.35">
      <c r="A212">
        <v>190</v>
      </c>
      <c r="B212" t="s">
        <v>1707</v>
      </c>
      <c r="C212">
        <v>3</v>
      </c>
      <c r="D212" t="str">
        <f>VLOOKUP(source[[#This Row],[Приоритет]],тПриоритеты[],2,0)</f>
        <v>Малозначительное</v>
      </c>
      <c r="E2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2" t="s">
        <v>1613</v>
      </c>
      <c r="G212" t="s">
        <v>97</v>
      </c>
      <c r="H212" t="str">
        <f>VLOOKUP(source[[#This Row],[Отвественный]],тОтветственные[],2,0)</f>
        <v>Отв1</v>
      </c>
      <c r="I212" s="2">
        <v>43647</v>
      </c>
      <c r="J212" s="2">
        <v>43648</v>
      </c>
      <c r="S212" s="1">
        <v>43647.680879629632</v>
      </c>
      <c r="T212" s="1">
        <v>43650.470462962963</v>
      </c>
      <c r="U212" s="1">
        <v>43650.470462962963</v>
      </c>
      <c r="W212" s="1">
        <v>43650.470497685186</v>
      </c>
      <c r="BF212" t="s">
        <v>1708</v>
      </c>
      <c r="BG212" t="str">
        <f>HYPERLINK("https://d33htgqikc2pj4.cloudfront.net/9f3ddf2e7b08a432f3cd48a0e74622ea/542ea047d789590ce90531ea5e881c86-file.jpeg", "Алексей Александров: Ссылка на изображение")</f>
        <v>Алексей Александров: Ссылка на изображение</v>
      </c>
      <c r="BH212" t="str">
        <f>HYPERLINK("https://d33htgqikc2pj4.cloudfront.net/3126d670a738827828f52b64594bcafc/1d47f1b3440ca756f351e645a7d6476a-file.jpeg", "Алексей Александров: Ссылка на изображение")</f>
        <v>Алексей Александров: Ссылка на изображение</v>
      </c>
      <c r="BI212" s="3" t="s">
        <v>1709</v>
      </c>
      <c r="BJ212" t="s">
        <v>1664</v>
      </c>
      <c r="BK212" t="s">
        <v>1710</v>
      </c>
      <c r="BL212" t="s">
        <v>1711</v>
      </c>
      <c r="BM212" t="s">
        <v>1615</v>
      </c>
      <c r="BN212" t="s">
        <v>1693</v>
      </c>
      <c r="BO212" t="s">
        <v>1640</v>
      </c>
    </row>
    <row r="213" spans="1:82" ht="15" customHeight="1" x14ac:dyDescent="0.35">
      <c r="A213">
        <v>191</v>
      </c>
      <c r="B213" t="s">
        <v>1707</v>
      </c>
      <c r="C213">
        <v>2</v>
      </c>
      <c r="D213" t="str">
        <f>VLOOKUP(source[[#This Row],[Приоритет]],тПриоритеты[],2,0)</f>
        <v>Значительное</v>
      </c>
      <c r="E2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3" t="s">
        <v>1613</v>
      </c>
      <c r="G213" t="s">
        <v>97</v>
      </c>
      <c r="H213" t="str">
        <f>VLOOKUP(source[[#This Row],[Отвественный]],тОтветственные[],2,0)</f>
        <v>Отв1</v>
      </c>
      <c r="I213" s="2">
        <v>43647</v>
      </c>
      <c r="J213" s="2">
        <v>43654</v>
      </c>
      <c r="S213" s="1">
        <v>43647.690833333334</v>
      </c>
      <c r="T213" s="1">
        <v>43658.572256944448</v>
      </c>
      <c r="U213" s="1">
        <v>43658.572256944448</v>
      </c>
      <c r="W213" s="1">
        <v>43658.572268518517</v>
      </c>
      <c r="BF213" t="s">
        <v>1712</v>
      </c>
      <c r="BG213" t="s">
        <v>1664</v>
      </c>
      <c r="BH213" t="s">
        <v>1710</v>
      </c>
      <c r="BI213" t="s">
        <v>1713</v>
      </c>
      <c r="BJ213" t="s">
        <v>1714</v>
      </c>
      <c r="BK213" t="s">
        <v>1708</v>
      </c>
      <c r="BL213" t="s">
        <v>1640</v>
      </c>
    </row>
    <row r="214" spans="1:82" ht="15" customHeight="1" x14ac:dyDescent="0.35">
      <c r="A214">
        <v>243</v>
      </c>
      <c r="B214" t="s">
        <v>1715</v>
      </c>
      <c r="C214">
        <v>2</v>
      </c>
      <c r="D214" t="str">
        <f>VLOOKUP(source[[#This Row],[Приоритет]],тПриоритеты[],2,0)</f>
        <v>Значительное</v>
      </c>
      <c r="E2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4" t="s">
        <v>1613</v>
      </c>
      <c r="G214" t="s">
        <v>97</v>
      </c>
      <c r="H214" t="str">
        <f>VLOOKUP(source[[#This Row],[Отвественный]],тОтветственные[],2,0)</f>
        <v>Отв1</v>
      </c>
      <c r="S214" s="1">
        <v>43658.57230324074</v>
      </c>
      <c r="T214" s="1">
        <v>43661.680358796293</v>
      </c>
      <c r="U214" s="1">
        <v>43661.686516203707</v>
      </c>
      <c r="W214" s="1">
        <v>43661.686527777776</v>
      </c>
      <c r="BF214" t="s">
        <v>1664</v>
      </c>
      <c r="BG214" t="s">
        <v>1716</v>
      </c>
      <c r="BH214" t="str">
        <f>HYPERLINK("https://d33htgqikc2pj4.cloudfront.net/b7b123bd9188baadd1fdbe676f24f1a6/c8a70e9d337b0b01cbe10be8b30c4dd8-file.jpeg", "Алексей Александров: Ссылка на изображение")</f>
        <v>Алексей Александров: Ссылка на изображение</v>
      </c>
      <c r="BI214" t="s">
        <v>1717</v>
      </c>
      <c r="BJ214" t="str">
        <f>HYPERLINK("https://d33htgqikc2pj4.cloudfront.net/acdc2b45033b4a1e540b678981c9e375/9195e6c747d811792776e632924b6780-file.jpeg", "Maksim Sumatokhin: Ссылка на изображение")</f>
        <v>Maksim Sumatokhin: Ссылка на изображение</v>
      </c>
      <c r="BK214" t="s">
        <v>1718</v>
      </c>
      <c r="BL214" t="s">
        <v>1719</v>
      </c>
      <c r="BM214" t="s">
        <v>101</v>
      </c>
      <c r="BN214" t="s">
        <v>1640</v>
      </c>
    </row>
    <row r="215" spans="1:82" ht="15" customHeight="1" x14ac:dyDescent="0.35">
      <c r="A215">
        <v>146</v>
      </c>
      <c r="B215" t="s">
        <v>1720</v>
      </c>
      <c r="C215">
        <v>3</v>
      </c>
      <c r="D215" t="str">
        <f>VLOOKUP(source[[#This Row],[Приоритет]],тПриоритеты[],2,0)</f>
        <v>Малозначительное</v>
      </c>
      <c r="E2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5" t="s">
        <v>1613</v>
      </c>
      <c r="G215" t="s">
        <v>97</v>
      </c>
      <c r="H215" t="str">
        <f>VLOOKUP(source[[#This Row],[Отвественный]],тОтветственные[],2,0)</f>
        <v>Отв1</v>
      </c>
      <c r="S215" s="1">
        <v>43634.569537037038</v>
      </c>
      <c r="T215" s="1">
        <v>43637.619247685187</v>
      </c>
      <c r="U215" s="1">
        <v>43637.627280092594</v>
      </c>
      <c r="W215" s="1">
        <v>43637.627951388888</v>
      </c>
      <c r="BF215" t="s">
        <v>1664</v>
      </c>
      <c r="BG215" t="s">
        <v>1721</v>
      </c>
      <c r="BH215" t="str">
        <f>HYPERLINK("https://d33htgqikc2pj4.cloudfront.net/0d4f1a7dc91ce300dcf044a84a234317/3bdfd5dec8218972f4e1d63ebafb0ca3-file.jpeg", "Алексей Александров: Ссылка на изображение")</f>
        <v>Алексей Александров: Ссылка на изображение</v>
      </c>
      <c r="BI215" t="str">
        <f>HYPERLINK("https://d33htgqikc2pj4.cloudfront.net/55654c26115285f79aaf66460b65476a/a94c182eb5c7508a2f9e55c425014905-file.jpeg", "Алексей Александров: Ссылка на изображение")</f>
        <v>Алексей Александров: Ссылка на изображение</v>
      </c>
      <c r="BJ215" s="3" t="s">
        <v>1722</v>
      </c>
      <c r="BK215" t="s">
        <v>1615</v>
      </c>
      <c r="BL215" t="s">
        <v>1615</v>
      </c>
      <c r="BM215" t="s">
        <v>1723</v>
      </c>
      <c r="BN215" t="s">
        <v>1723</v>
      </c>
      <c r="BO215" t="s">
        <v>1615</v>
      </c>
      <c r="BP215" t="s">
        <v>1615</v>
      </c>
      <c r="BQ215" t="s">
        <v>1664</v>
      </c>
      <c r="BR215" t="s">
        <v>1664</v>
      </c>
      <c r="BS215" t="s">
        <v>1664</v>
      </c>
      <c r="BT215" t="s">
        <v>1724</v>
      </c>
      <c r="BU215" t="s">
        <v>1724</v>
      </c>
      <c r="BV215" t="s">
        <v>1664</v>
      </c>
      <c r="BW215" t="str">
        <f>HYPERLINK("https://d33htgqikc2pj4.cloudfront.net/3a90263d1d1592c4fb090d63868f7126/708f95ff02f83161a396ee92a8067d69-file.jpeg", "Maksim Sumatokhin: Ссылка на изображение")</f>
        <v>Maksim Sumatokhin: Ссылка на изображение</v>
      </c>
      <c r="BX215" s="3" t="s">
        <v>1725</v>
      </c>
      <c r="BY215" t="s">
        <v>1726</v>
      </c>
      <c r="BZ215" t="str">
        <f>HYPERLINK("https://d33htgqikc2pj4.cloudfront.net/f52dec6e34b1225b44b477b96b0cc239/1c73c1272346eaf881a974fcac1ada53-file.jpeg", "Maksim Sumatokhin: Ссылка на изображение")</f>
        <v>Maksim Sumatokhin: Ссылка на изображение</v>
      </c>
      <c r="CA215" t="str">
        <f>HYPERLINK("https://d33htgqikc2pj4.cloudfront.net/ea5df10b69f87d8089776178e6b2fcba/17033a641ed052be82a54ab1aaa9b303-file.jpeg", "Maksim Sumatokhin: Ссылка на изображение")</f>
        <v>Maksim Sumatokhin: Ссылка на изображение</v>
      </c>
      <c r="CB215" t="s">
        <v>1727</v>
      </c>
      <c r="CC215" t="s">
        <v>101</v>
      </c>
      <c r="CD215" t="s">
        <v>1640</v>
      </c>
    </row>
    <row r="216" spans="1:82" ht="15" customHeight="1" x14ac:dyDescent="0.35">
      <c r="A216">
        <v>79</v>
      </c>
      <c r="B216" t="s">
        <v>1687</v>
      </c>
      <c r="C216">
        <v>3</v>
      </c>
      <c r="D216" t="str">
        <f>VLOOKUP(source[[#This Row],[Приоритет]],тПриоритеты[],2,0)</f>
        <v>Малозначительное</v>
      </c>
      <c r="E2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6" t="s">
        <v>1613</v>
      </c>
      <c r="G216" t="s">
        <v>97</v>
      </c>
      <c r="H216" t="str">
        <f>VLOOKUP(source[[#This Row],[Отвественный]],тОтветственные[],2,0)</f>
        <v>Отв1</v>
      </c>
      <c r="S216" s="1">
        <v>43600.485937500001</v>
      </c>
      <c r="T216" s="1">
        <v>43608.535949074074</v>
      </c>
      <c r="U216" s="1">
        <v>43609.491886574076</v>
      </c>
      <c r="W216" s="1">
        <v>43609.491956018515</v>
      </c>
      <c r="BF216" t="s">
        <v>1688</v>
      </c>
      <c r="BG216" t="s">
        <v>1664</v>
      </c>
      <c r="BH216" t="s">
        <v>1615</v>
      </c>
      <c r="BI216" t="str">
        <f>HYPERLINK("https://d33htgqikc2pj4.cloudfront.net/6aa90365aa04e78befb3b276a633a4b3/75fd4674327d98d15ff1fde82b5f35c3-file.jpeg", "Алексей Александров: Ссылка на изображение")</f>
        <v>Алексей Александров: Ссылка на изображение</v>
      </c>
      <c r="BJ216" t="str">
        <f>HYPERLINK("https://d33htgqikc2pj4.cloudfront.net/c11b6e4783d08bdb583b81a07df71d80/acc8806c079f5b2e3b21b90a3e953ec7-file.jpeg", "Алексей Александров: Ссылка на изображение")</f>
        <v>Алексей Александров: Ссылка на изображение</v>
      </c>
      <c r="BK216" t="str">
        <f>HYPERLINK("https://d33htgqikc2pj4.cloudfront.net/486545eee51a95bdff08893a530a1644/dd4f30f3aba8a79e470eef5cfbca1ffd-file.jpeg", "Алексей Александров: Ссылка на изображение")</f>
        <v>Алексей Александров: Ссылка на изображение</v>
      </c>
      <c r="BL216" s="3" t="s">
        <v>1728</v>
      </c>
      <c r="BM216" t="s">
        <v>1693</v>
      </c>
      <c r="BN216" t="s">
        <v>1692</v>
      </c>
      <c r="BO216" t="s">
        <v>1640</v>
      </c>
    </row>
    <row r="217" spans="1:82" ht="15" customHeight="1" x14ac:dyDescent="0.35">
      <c r="A217">
        <v>148</v>
      </c>
      <c r="B217" t="s">
        <v>1729</v>
      </c>
      <c r="C217">
        <v>1</v>
      </c>
      <c r="D217" t="str">
        <f>VLOOKUP(source[[#This Row],[Приоритет]],тПриоритеты[],2,0)</f>
        <v>КРИТИЧЕСКОЕ</v>
      </c>
      <c r="E2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7" t="s">
        <v>1613</v>
      </c>
      <c r="G217" t="s">
        <v>97</v>
      </c>
      <c r="H217" t="str">
        <f>VLOOKUP(source[[#This Row],[Отвественный]],тОтветственные[],2,0)</f>
        <v>Отв1</v>
      </c>
      <c r="S217" s="1">
        <v>43634.610196759262</v>
      </c>
      <c r="T217" s="1">
        <v>43635.417314814818</v>
      </c>
      <c r="U217" s="1">
        <v>43635.423842592594</v>
      </c>
      <c r="W217" s="1">
        <v>43635.424467592595</v>
      </c>
      <c r="BF217" t="s">
        <v>1730</v>
      </c>
      <c r="BG217" t="s">
        <v>1664</v>
      </c>
      <c r="BH217" t="s">
        <v>1615</v>
      </c>
      <c r="BI217" t="str">
        <f>HYPERLINK("https://d33htgqikc2pj4.cloudfront.net/ae3f52f39651fb35fcee952917757370/41fa708a3daa68dae04242de25d06d28-file.jpeg", "Алексей Александров: Ссылка на изображение")</f>
        <v>Алексей Александров: Ссылка на изображение</v>
      </c>
      <c r="BJ217" t="s">
        <v>1731</v>
      </c>
      <c r="BK217" t="s">
        <v>1732</v>
      </c>
      <c r="BL217" t="s">
        <v>1615</v>
      </c>
      <c r="BM217" t="s">
        <v>1615</v>
      </c>
      <c r="BN217" t="s">
        <v>1664</v>
      </c>
      <c r="BO217" t="s">
        <v>1664</v>
      </c>
      <c r="BP217" t="s">
        <v>1664</v>
      </c>
      <c r="BQ217" t="str">
        <f>HYPERLINK("https://d33htgqikc2pj4.cloudfront.net/aae5db521806734ec6a007c95f7199d8/ceb7b4499306f2d69a13bf2e2cf9b249-file.jpeg", "Maksim Sumatokhin: Ссылка на изображение")</f>
        <v>Maksim Sumatokhin: Ссылка на изображение</v>
      </c>
      <c r="BR217" t="s">
        <v>1733</v>
      </c>
      <c r="BS217" t="s">
        <v>101</v>
      </c>
      <c r="BT217" t="s">
        <v>1640</v>
      </c>
    </row>
    <row r="218" spans="1:82" ht="15" customHeight="1" x14ac:dyDescent="0.35">
      <c r="A218">
        <v>150</v>
      </c>
      <c r="B218" t="s">
        <v>1734</v>
      </c>
      <c r="C218">
        <v>2</v>
      </c>
      <c r="D218" t="str">
        <f>VLOOKUP(source[[#This Row],[Приоритет]],тПриоритеты[],2,0)</f>
        <v>Значительное</v>
      </c>
      <c r="E2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8" t="s">
        <v>1613</v>
      </c>
      <c r="G218" t="s">
        <v>97</v>
      </c>
      <c r="H218" t="str">
        <f>VLOOKUP(source[[#This Row],[Отвественный]],тОтветственные[],2,0)</f>
        <v>Отв1</v>
      </c>
      <c r="I218" s="2">
        <v>43640</v>
      </c>
      <c r="J218" s="2">
        <v>43641</v>
      </c>
      <c r="S218" s="1">
        <v>43634.632152777776</v>
      </c>
      <c r="T218" s="1">
        <v>43642.621481481481</v>
      </c>
      <c r="U218" s="1">
        <v>43642.732523148145</v>
      </c>
      <c r="W218" s="1">
        <v>43642.733310185184</v>
      </c>
      <c r="BF218" t="s">
        <v>1664</v>
      </c>
      <c r="BG218" t="s">
        <v>1735</v>
      </c>
      <c r="BH218" t="s">
        <v>1736</v>
      </c>
      <c r="BI218" t="s">
        <v>1737</v>
      </c>
      <c r="BJ218" t="s">
        <v>1664</v>
      </c>
      <c r="BK218" t="s">
        <v>1738</v>
      </c>
      <c r="BL218" t="s">
        <v>1739</v>
      </c>
      <c r="BM218" t="s">
        <v>1740</v>
      </c>
      <c r="BN218" t="s">
        <v>101</v>
      </c>
      <c r="BO218" t="s">
        <v>1640</v>
      </c>
    </row>
    <row r="219" spans="1:82" ht="15" customHeight="1" x14ac:dyDescent="0.35">
      <c r="A219">
        <v>149</v>
      </c>
      <c r="B219" t="s">
        <v>1741</v>
      </c>
      <c r="C219">
        <v>2</v>
      </c>
      <c r="D219" t="str">
        <f>VLOOKUP(source[[#This Row],[Приоритет]],тПриоритеты[],2,0)</f>
        <v>Значительное</v>
      </c>
      <c r="E2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19" t="s">
        <v>1613</v>
      </c>
      <c r="G219" t="s">
        <v>97</v>
      </c>
      <c r="H219" t="str">
        <f>VLOOKUP(source[[#This Row],[Отвественный]],тОтветственные[],2,0)</f>
        <v>Отв1</v>
      </c>
      <c r="S219" s="1">
        <v>43634.626932870371</v>
      </c>
      <c r="T219" s="1">
        <v>43636.644386574073</v>
      </c>
      <c r="U219" s="1">
        <v>43637.492002314815</v>
      </c>
      <c r="W219" s="1">
        <v>43637.492673611108</v>
      </c>
      <c r="BF219" t="s">
        <v>1615</v>
      </c>
      <c r="BG219" t="s">
        <v>1742</v>
      </c>
      <c r="BH219" t="str">
        <f>HYPERLINK("https://d33htgqikc2pj4.cloudfront.net/a9d69556d4128f100383dbf192f791db/780276524ba61df6a13af533204b031e-file.jpeg", "Алексей Александров: Ссылка на изображение")</f>
        <v>Алексей Александров: Ссылка на изображение</v>
      </c>
      <c r="BI219" t="s">
        <v>1664</v>
      </c>
      <c r="BJ219" t="s">
        <v>1743</v>
      </c>
      <c r="BK219" t="s">
        <v>1744</v>
      </c>
      <c r="BL219" t="str">
        <f>HYPERLINK("https://d33htgqikc2pj4.cloudfront.net/a284318748c5aa75b846b8680b53a175/bcbb0a972322242bb3a5f93b4795fe61-file.jpeg", "Maksim Sumatokhin: Ссылка на изображение")</f>
        <v>Maksim Sumatokhin: Ссылка на изображение</v>
      </c>
      <c r="BM219" t="str">
        <f>HYPERLINK("https://d33htgqikc2pj4.cloudfront.net/f53dc91d5b9bc10cc39d5871a9dfcc66/92fe6b14c32fb64280c553ba187e7443-file.jpeg", "Maksim Sumatokhin: Ссылка на изображение")</f>
        <v>Maksim Sumatokhin: Ссылка на изображение</v>
      </c>
      <c r="BN219" t="s">
        <v>1745</v>
      </c>
      <c r="BO219" t="s">
        <v>101</v>
      </c>
      <c r="BP219" t="s">
        <v>1640</v>
      </c>
    </row>
    <row r="220" spans="1:82" ht="15" customHeight="1" x14ac:dyDescent="0.35">
      <c r="A220">
        <v>100</v>
      </c>
      <c r="B220" t="s">
        <v>1746</v>
      </c>
      <c r="C220">
        <v>1</v>
      </c>
      <c r="D220" t="str">
        <f>VLOOKUP(source[[#This Row],[Приоритет]],тПриоритеты[],2,0)</f>
        <v>КРИТИЧЕСКОЕ</v>
      </c>
      <c r="E2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0" t="s">
        <v>1613</v>
      </c>
      <c r="G220" t="s">
        <v>97</v>
      </c>
      <c r="H220" t="str">
        <f>VLOOKUP(source[[#This Row],[Отвественный]],тОтветственные[],2,0)</f>
        <v>Отв1</v>
      </c>
      <c r="I220" s="2">
        <v>43608</v>
      </c>
      <c r="J220" s="2">
        <v>43612</v>
      </c>
      <c r="S220" s="1">
        <v>43608.538888888892</v>
      </c>
      <c r="T220" s="1">
        <v>43609.492858796293</v>
      </c>
      <c r="U220" s="1">
        <v>43609.492858796293</v>
      </c>
      <c r="W220" s="1">
        <v>43609.492928240739</v>
      </c>
      <c r="BF220" t="s">
        <v>1747</v>
      </c>
      <c r="BG220" t="s">
        <v>1664</v>
      </c>
      <c r="BH220" t="str">
        <f>HYPERLINK("https://d33htgqikc2pj4.cloudfront.net/775cc391a690bb9c865a731972a9f03b/bc99c9cc6f5f7ee084d65bf6b7e37b92-file.jpeg", "Алексей Александров: Ссылка на изображение")</f>
        <v>Алексей Александров: Ссылка на изображение</v>
      </c>
      <c r="BI220" t="str">
        <f>HYPERLINK("https://d33htgqikc2pj4.cloudfront.net/a6bdacb9bcf6a55a9e1dc2df659edab3/8fbc3894cb9bd3e32f060ede2ebe40ab-file.jpeg", "Алексей Александров: Ссылка на изображение")</f>
        <v>Алексей Александров: Ссылка на изображение</v>
      </c>
      <c r="BJ220" t="str">
        <f>HYPERLINK("https://d33htgqikc2pj4.cloudfront.net/4b33b471c573da928917b6ba9e994575/c6294c4fd161651ed6925760d872afb9-file.jpeg", "Алексей Александров: Ссылка на изображение")</f>
        <v>Алексей Александров: Ссылка на изображение</v>
      </c>
      <c r="BK220" t="str">
        <f>HYPERLINK("https://d33htgqikc2pj4.cloudfront.net/44e40c54d7d1be9c1f77e67a1114ef31/38455e2db2b6e51d760fde57bba69f12-file.jpeg", "Алексей Александров: Ссылка на изображение")</f>
        <v>Алексей Александров: Ссылка на изображение</v>
      </c>
      <c r="BL220" t="str">
        <f>HYPERLINK("https://d33htgqikc2pj4.cloudfront.net/dc744790b751aa5494f0cbed0180369b/c109285def4fcd6786c0ab2e5c8ca38b-file.jpeg", "Алексей Александров: Ссылка на изображение")</f>
        <v>Алексей Александров: Ссылка на изображение</v>
      </c>
      <c r="BM220" t="s">
        <v>1615</v>
      </c>
      <c r="BN220" t="s">
        <v>1748</v>
      </c>
      <c r="BO220" t="s">
        <v>1749</v>
      </c>
      <c r="BP220" t="s">
        <v>1750</v>
      </c>
      <c r="BQ220" t="s">
        <v>1640</v>
      </c>
    </row>
    <row r="221" spans="1:82" ht="15" customHeight="1" x14ac:dyDescent="0.35">
      <c r="A221">
        <v>81</v>
      </c>
      <c r="B221" t="s">
        <v>1751</v>
      </c>
      <c r="C221">
        <v>1</v>
      </c>
      <c r="D221" t="str">
        <f>VLOOKUP(source[[#This Row],[Приоритет]],тПриоритеты[],2,0)</f>
        <v>КРИТИЧЕСКОЕ</v>
      </c>
      <c r="E2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1" t="s">
        <v>1613</v>
      </c>
      <c r="G221" t="s">
        <v>97</v>
      </c>
      <c r="H221" t="str">
        <f>VLOOKUP(source[[#This Row],[Отвественный]],тОтветственные[],2,0)</f>
        <v>Отв1</v>
      </c>
      <c r="S221" s="1">
        <v>43602.449166666665</v>
      </c>
      <c r="T221" s="1">
        <v>43608.535069444442</v>
      </c>
      <c r="U221" s="1">
        <v>43609.492002314815</v>
      </c>
      <c r="W221" s="1">
        <v>43609.492071759261</v>
      </c>
      <c r="BF221" t="s">
        <v>1688</v>
      </c>
      <c r="BG221" t="s">
        <v>1664</v>
      </c>
      <c r="BH221" t="s">
        <v>1752</v>
      </c>
      <c r="BI221" t="s">
        <v>1615</v>
      </c>
      <c r="BJ221" s="3" t="s">
        <v>1753</v>
      </c>
      <c r="BK221" t="s">
        <v>1692</v>
      </c>
      <c r="BL221" t="s">
        <v>1640</v>
      </c>
    </row>
    <row r="222" spans="1:82" ht="15" customHeight="1" x14ac:dyDescent="0.35">
      <c r="A222">
        <v>134</v>
      </c>
      <c r="B222" t="s">
        <v>1754</v>
      </c>
      <c r="C222">
        <v>1</v>
      </c>
      <c r="D222" t="str">
        <f>VLOOKUP(source[[#This Row],[Приоритет]],тПриоритеты[],2,0)</f>
        <v>КРИТИЧЕСКОЕ</v>
      </c>
      <c r="E2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2" t="s">
        <v>1613</v>
      </c>
      <c r="G222" t="s">
        <v>97</v>
      </c>
      <c r="H222" t="str">
        <f>VLOOKUP(source[[#This Row],[Отвественный]],тОтветственные[],2,0)</f>
        <v>Отв1</v>
      </c>
      <c r="S222" s="1">
        <v>43629.44903935185</v>
      </c>
      <c r="T222" s="1">
        <v>43634.732870370368</v>
      </c>
      <c r="U222" s="1">
        <v>43634.745081018518</v>
      </c>
      <c r="W222" s="1">
        <v>43634.745682870373</v>
      </c>
      <c r="BF222" t="s">
        <v>1664</v>
      </c>
      <c r="BG222" t="s">
        <v>1755</v>
      </c>
      <c r="BH222" t="str">
        <f>HYPERLINK("https://d33htgqikc2pj4.cloudfront.net/57b7817b9cf1e7f4da5589aca672994b/d9528d873242335323ec28ece31cb56a-file.jpeg", "Алексей Александров: Ссылка на изображение")</f>
        <v>Алексей Александров: Ссылка на изображение</v>
      </c>
      <c r="BI222" t="str">
        <f>HYPERLINK("https://d33htgqikc2pj4.cloudfront.net/5851ec450177e23243278728d587ba3d/3869d40dcdc5f51ef38810e41ca1f050-file.jpeg", "Алексей Александров: Ссылка на изображение")</f>
        <v>Алексей Александров: Ссылка на изображение</v>
      </c>
      <c r="BJ222" t="str">
        <f>HYPERLINK("https://d33htgqikc2pj4.cloudfront.net/150de9e364cec74434e31ffa0309b5fd/3446dcee2fc79c5ee1fd8f5262283722-file.jpeg", "Алексей Александров: Ссылка на изображение")</f>
        <v>Алексей Александров: Ссылка на изображение</v>
      </c>
      <c r="BK222" t="s">
        <v>1756</v>
      </c>
      <c r="BL222" t="s">
        <v>1615</v>
      </c>
      <c r="BM222" t="s">
        <v>1692</v>
      </c>
      <c r="BN222" t="s">
        <v>1640</v>
      </c>
      <c r="BO222" t="s">
        <v>1640</v>
      </c>
    </row>
    <row r="223" spans="1:82" ht="15" customHeight="1" x14ac:dyDescent="0.35">
      <c r="A223">
        <v>127</v>
      </c>
      <c r="B223" t="s">
        <v>1757</v>
      </c>
      <c r="C223">
        <v>2</v>
      </c>
      <c r="D223" t="str">
        <f>VLOOKUP(source[[#This Row],[Приоритет]],тПриоритеты[],2,0)</f>
        <v>Значительное</v>
      </c>
      <c r="E2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3" t="s">
        <v>1613</v>
      </c>
      <c r="G223" t="s">
        <v>97</v>
      </c>
      <c r="H223" t="str">
        <f>VLOOKUP(source[[#This Row],[Отвественный]],тОтветственные[],2,0)</f>
        <v>Отв1</v>
      </c>
      <c r="I223" s="2">
        <v>43626</v>
      </c>
      <c r="J223" s="2">
        <v>43626</v>
      </c>
      <c r="S223" s="1">
        <v>43626.698275462964</v>
      </c>
      <c r="T223" s="1">
        <v>43634.745358796295</v>
      </c>
      <c r="U223" s="1">
        <v>43634.745358796295</v>
      </c>
      <c r="W223" s="1">
        <v>43634.74596064815</v>
      </c>
      <c r="BF223" t="s">
        <v>1758</v>
      </c>
      <c r="BG223" t="s">
        <v>1664</v>
      </c>
      <c r="BH223" t="s">
        <v>1759</v>
      </c>
      <c r="BI223" t="s">
        <v>1760</v>
      </c>
      <c r="BJ223" t="s">
        <v>1640</v>
      </c>
    </row>
    <row r="224" spans="1:82" ht="15" customHeight="1" x14ac:dyDescent="0.35">
      <c r="A224">
        <v>103</v>
      </c>
      <c r="B224" t="s">
        <v>1761</v>
      </c>
      <c r="C224">
        <v>1</v>
      </c>
      <c r="D224" t="str">
        <f>VLOOKUP(source[[#This Row],[Приоритет]],тПриоритеты[],2,0)</f>
        <v>КРИТИЧЕСКОЕ</v>
      </c>
      <c r="E2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4" t="s">
        <v>1613</v>
      </c>
      <c r="G224" t="s">
        <v>97</v>
      </c>
      <c r="H224" t="str">
        <f>VLOOKUP(source[[#This Row],[Отвественный]],тОтветственные[],2,0)</f>
        <v>Отв1</v>
      </c>
      <c r="I224" s="2">
        <v>43620</v>
      </c>
      <c r="J224" s="2">
        <v>43626</v>
      </c>
      <c r="S224" s="1">
        <v>43609.667430555557</v>
      </c>
      <c r="T224" s="1">
        <v>43635.60465277778</v>
      </c>
      <c r="U224" s="1">
        <v>43635.60465277778</v>
      </c>
      <c r="W224" s="1">
        <v>43635.60527777778</v>
      </c>
      <c r="BF224" t="s">
        <v>1664</v>
      </c>
      <c r="BG224" t="s">
        <v>1762</v>
      </c>
      <c r="BH224" s="3" t="s">
        <v>1763</v>
      </c>
      <c r="BI224" t="s">
        <v>1615</v>
      </c>
      <c r="BJ224" t="s">
        <v>1764</v>
      </c>
      <c r="BK224" t="s">
        <v>1765</v>
      </c>
      <c r="BL224" t="s">
        <v>1766</v>
      </c>
      <c r="BM224" t="str">
        <f>HYPERLINK("https://d33htgqikc2pj4.cloudfront.net/e18faa1563bad2fe2e2109e86e2af978/227c7cf4d576b2b5607d23ac811fe771-file.jpeg", "Maksim Sumatokhin: Ссылка на изображение")</f>
        <v>Maksim Sumatokhin: Ссылка на изображение</v>
      </c>
      <c r="BN224" t="s">
        <v>1767</v>
      </c>
      <c r="BO224" t="s">
        <v>1640</v>
      </c>
    </row>
    <row r="225" spans="1:70" ht="15" customHeight="1" x14ac:dyDescent="0.35">
      <c r="A225">
        <v>102</v>
      </c>
      <c r="B225" t="s">
        <v>1768</v>
      </c>
      <c r="C225">
        <v>1</v>
      </c>
      <c r="D225" t="str">
        <f>VLOOKUP(source[[#This Row],[Приоритет]],тПриоритеты[],2,0)</f>
        <v>КРИТИЧЕСКОЕ</v>
      </c>
      <c r="E2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5" t="s">
        <v>1613</v>
      </c>
      <c r="G225" t="s">
        <v>97</v>
      </c>
      <c r="H225" t="str">
        <f>VLOOKUP(source[[#This Row],[Отвественный]],тОтветственные[],2,0)</f>
        <v>Отв1</v>
      </c>
      <c r="S225" s="1">
        <v>43609.658518518518</v>
      </c>
      <c r="T225" s="1">
        <v>43620.647511574076</v>
      </c>
      <c r="U225" s="1">
        <v>43620.647511574076</v>
      </c>
      <c r="W225" s="1">
        <v>43620.647824074076</v>
      </c>
      <c r="BF225" t="s">
        <v>1615</v>
      </c>
      <c r="BG225" t="s">
        <v>1769</v>
      </c>
      <c r="BH225" t="s">
        <v>1664</v>
      </c>
      <c r="BI225" t="s">
        <v>1770</v>
      </c>
      <c r="BJ225" t="s">
        <v>1640</v>
      </c>
    </row>
    <row r="226" spans="1:70" ht="15" customHeight="1" x14ac:dyDescent="0.35">
      <c r="A226">
        <v>128</v>
      </c>
      <c r="B226" t="s">
        <v>1771</v>
      </c>
      <c r="C226">
        <v>2</v>
      </c>
      <c r="D226" t="str">
        <f>VLOOKUP(source[[#This Row],[Приоритет]],тПриоритеты[],2,0)</f>
        <v>Значительное</v>
      </c>
      <c r="E2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6" t="s">
        <v>1613</v>
      </c>
      <c r="G226" t="s">
        <v>97</v>
      </c>
      <c r="H226" t="str">
        <f>VLOOKUP(source[[#This Row],[Отвественный]],тОтветственные[],2,0)</f>
        <v>Отв1</v>
      </c>
      <c r="I226" s="2">
        <v>43626</v>
      </c>
      <c r="J226" s="2">
        <v>43637</v>
      </c>
      <c r="S226" s="1">
        <v>43626.700578703705</v>
      </c>
      <c r="T226" s="1">
        <v>43636.639733796299</v>
      </c>
      <c r="U226" s="1">
        <v>43637.4919212963</v>
      </c>
      <c r="W226" s="1">
        <v>43637.492581018516</v>
      </c>
      <c r="BF226" t="s">
        <v>1772</v>
      </c>
      <c r="BG226" t="s">
        <v>1664</v>
      </c>
      <c r="BH226" t="s">
        <v>1759</v>
      </c>
      <c r="BI226" t="s">
        <v>1773</v>
      </c>
      <c r="BJ226" t="str">
        <f>HYPERLINK("https://d33htgqikc2pj4.cloudfront.net/85a41d7743fef24db0245a9c54fc6c2d/1e9b217b5840e42d6397ece849391814-file.jpeg", "Алексей Александров: Ссылка на изображение")</f>
        <v>Алексей Александров: Ссылка на изображение</v>
      </c>
      <c r="BK226" t="str">
        <f>HYPERLINK("https://d33htgqikc2pj4.cloudfront.net/0f2d63fc27f6d11107eb05068c938f97/a803b2bf202a421669da62d9fc3a5d23-file.jpeg", "Алексей Александров: Ссылка на изображение")</f>
        <v>Алексей Александров: Ссылка на изображение</v>
      </c>
      <c r="BL226" t="str">
        <f>HYPERLINK("https://d33htgqikc2pj4.cloudfront.net/9ed43ca2d579b50d4cb071866ea5f576/873f980dc3f1e7a6ce48356f99b74925-file.jpeg", "Алексей Александров: Ссылка на изображение")</f>
        <v>Алексей Александров: Ссылка на изображение</v>
      </c>
      <c r="BM226" s="3" t="s">
        <v>1774</v>
      </c>
      <c r="BN226" t="s">
        <v>1775</v>
      </c>
      <c r="BO226" t="str">
        <f>HYPERLINK("https://d33htgqikc2pj4.cloudfront.net/ea1e5c2bd1055509f395585b3d0339fd/c2048b3771b63ecb7f65c3fee47f28b5-file.jpeg", "Maksim Sumatokhin: Ссылка на изображение")</f>
        <v>Maksim Sumatokhin: Ссылка на изображение</v>
      </c>
      <c r="BP226" t="s">
        <v>1776</v>
      </c>
      <c r="BQ226" t="s">
        <v>101</v>
      </c>
      <c r="BR226" t="s">
        <v>1640</v>
      </c>
    </row>
    <row r="227" spans="1:70" ht="15" customHeight="1" x14ac:dyDescent="0.35">
      <c r="A227">
        <v>461</v>
      </c>
      <c r="B227" t="s">
        <v>1777</v>
      </c>
      <c r="C227">
        <v>2</v>
      </c>
      <c r="D227" t="str">
        <f>VLOOKUP(source[[#This Row],[Приоритет]],тПриоритеты[],2,0)</f>
        <v>Значительное</v>
      </c>
      <c r="E2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7" t="s">
        <v>1613</v>
      </c>
      <c r="G227" t="s">
        <v>97</v>
      </c>
      <c r="H227" t="str">
        <f>VLOOKUP(source[[#This Row],[Отвественный]],тОтветственные[],2,0)</f>
        <v>Отв1</v>
      </c>
      <c r="I227" s="2">
        <v>43719</v>
      </c>
      <c r="J227" s="2">
        <v>43724</v>
      </c>
      <c r="S227" s="1">
        <v>43719.589780092596</v>
      </c>
      <c r="T227" s="1">
        <v>43721.577372685184</v>
      </c>
      <c r="U227" s="1">
        <v>43725.608530092592</v>
      </c>
      <c r="W227" s="1">
        <v>43725.608541666668</v>
      </c>
      <c r="BF227" t="s">
        <v>1778</v>
      </c>
      <c r="BG227" t="s">
        <v>1779</v>
      </c>
      <c r="BH227" t="s">
        <v>1664</v>
      </c>
      <c r="BI227" t="s">
        <v>1676</v>
      </c>
      <c r="BJ227" t="s">
        <v>1780</v>
      </c>
      <c r="BK227" t="s">
        <v>1781</v>
      </c>
      <c r="BL227" s="3" t="s">
        <v>1782</v>
      </c>
      <c r="BM227" t="s">
        <v>101</v>
      </c>
      <c r="BN227" t="s">
        <v>1640</v>
      </c>
    </row>
    <row r="228" spans="1:70" ht="15" customHeight="1" x14ac:dyDescent="0.35">
      <c r="A228">
        <v>154</v>
      </c>
      <c r="B228" t="s">
        <v>1783</v>
      </c>
      <c r="C228">
        <v>1</v>
      </c>
      <c r="D228" t="str">
        <f>VLOOKUP(source[[#This Row],[Приоритет]],тПриоритеты[],2,0)</f>
        <v>КРИТИЧЕСКОЕ</v>
      </c>
      <c r="E2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8" t="s">
        <v>1613</v>
      </c>
      <c r="G228" t="s">
        <v>97</v>
      </c>
      <c r="H228" t="str">
        <f>VLOOKUP(source[[#This Row],[Отвественный]],тОтветственные[],2,0)</f>
        <v>Отв1</v>
      </c>
      <c r="S228" s="1">
        <v>43636.502627314818</v>
      </c>
      <c r="T228" s="1">
        <v>43640.545474537037</v>
      </c>
      <c r="U228" s="1">
        <v>43640.545474537037</v>
      </c>
      <c r="W228" s="1">
        <v>43640.546203703707</v>
      </c>
      <c r="BF228" t="s">
        <v>1615</v>
      </c>
      <c r="BG228" t="s">
        <v>1664</v>
      </c>
      <c r="BH228" t="s">
        <v>1784</v>
      </c>
      <c r="BI228" t="str">
        <f>HYPERLINK("https://d33htgqikc2pj4.cloudfront.net/e49e17246133926e31769ffaac507bbf/a65d6f3c53a0c7d740b9639b9b17ab37-file.jpeg", "Алексей Александров: Ссылка на изображение")</f>
        <v>Алексей Александров: Ссылка на изображение</v>
      </c>
      <c r="BJ228" s="3" t="s">
        <v>1785</v>
      </c>
      <c r="BK228" t="s">
        <v>1640</v>
      </c>
    </row>
    <row r="229" spans="1:70" ht="15" customHeight="1" x14ac:dyDescent="0.35">
      <c r="A229">
        <v>159</v>
      </c>
      <c r="B229" t="s">
        <v>1786</v>
      </c>
      <c r="C229">
        <v>1</v>
      </c>
      <c r="D229" t="str">
        <f>VLOOKUP(source[[#This Row],[Приоритет]],тПриоритеты[],2,0)</f>
        <v>КРИТИЧЕСКОЕ</v>
      </c>
      <c r="E2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29" t="s">
        <v>1613</v>
      </c>
      <c r="G229" t="s">
        <v>97</v>
      </c>
      <c r="H229" t="str">
        <f>VLOOKUP(source[[#This Row],[Отвественный]],тОтветственные[],2,0)</f>
        <v>Отв1</v>
      </c>
      <c r="I229" s="2">
        <v>43640</v>
      </c>
      <c r="J229" s="2">
        <v>43644</v>
      </c>
      <c r="S229" s="1">
        <v>43640.559155092589</v>
      </c>
      <c r="T229" s="1">
        <v>43642.731203703705</v>
      </c>
      <c r="U229" s="1">
        <v>43642.731203703705</v>
      </c>
      <c r="W229" s="1">
        <v>43642.731990740744</v>
      </c>
      <c r="BF229" t="s">
        <v>1787</v>
      </c>
      <c r="BG229" t="str">
        <f>HYPERLINK("https://d33htgqikc2pj4.cloudfront.net/406798059e73178d09159c0c771b7aac/e8702bd5e5005d52e5649b9eeb4b4d6c-file.jpeg", "Алексей Александров: Ссылка на изображение")</f>
        <v>Алексей Александров: Ссылка на изображение</v>
      </c>
      <c r="BH229" t="str">
        <f>HYPERLINK("https://d33htgqikc2pj4.cloudfront.net/fc36c9dc47155eaab97a821a99aa1dee/4e7dd5deedde4b67c0f9454adbfcfa93-file.jpeg", "Алексей Александров: Ссылка на изображение")</f>
        <v>Алексей Александров: Ссылка на изображение</v>
      </c>
      <c r="BI229" t="s">
        <v>1664</v>
      </c>
      <c r="BJ229" t="s">
        <v>1615</v>
      </c>
      <c r="BK229" t="s">
        <v>1788</v>
      </c>
      <c r="BL229" t="s">
        <v>1738</v>
      </c>
      <c r="BM229" t="s">
        <v>1789</v>
      </c>
      <c r="BN229" t="s">
        <v>1790</v>
      </c>
      <c r="BO229" t="s">
        <v>1640</v>
      </c>
    </row>
    <row r="230" spans="1:70" ht="15" customHeight="1" x14ac:dyDescent="0.35">
      <c r="A230">
        <v>162</v>
      </c>
      <c r="B230" t="s">
        <v>1791</v>
      </c>
      <c r="C230">
        <v>1</v>
      </c>
      <c r="D230" t="str">
        <f>VLOOKUP(source[[#This Row],[Приоритет]],тПриоритеты[],2,0)</f>
        <v>КРИТИЧЕСКОЕ</v>
      </c>
      <c r="E2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0" t="s">
        <v>1613</v>
      </c>
      <c r="G230" t="s">
        <v>97</v>
      </c>
      <c r="H230" t="str">
        <f>VLOOKUP(source[[#This Row],[Отвественный]],тОтветственные[],2,0)</f>
        <v>Отв1</v>
      </c>
      <c r="S230" s="1">
        <v>43640.569282407407</v>
      </c>
      <c r="T230" s="1">
        <v>43654.704699074071</v>
      </c>
      <c r="U230" s="1">
        <v>43654.712442129632</v>
      </c>
      <c r="W230" s="1">
        <v>43654.712442129632</v>
      </c>
      <c r="BF230" t="s">
        <v>1792</v>
      </c>
      <c r="BG230" t="s">
        <v>1664</v>
      </c>
      <c r="BH230" t="str">
        <f>HYPERLINK("https://d33htgqikc2pj4.cloudfront.net/eb9ae4102e69a29fb87f8477cb4e0ea3/83bd3ac98122294e4b15922bd64aff9f-file.jpeg", "Алексей Александров: Ссылка на изображение")</f>
        <v>Алексей Александров: Ссылка на изображение</v>
      </c>
      <c r="BI230" t="str">
        <f>HYPERLINK("https://d33htgqikc2pj4.cloudfront.net/e0c00306563a147c5a71ea5fc3ce5506/533bd26af34dd433dd63c35d70a1eb73-file.jpeg", "Алексей Александров: Ссылка на изображение")</f>
        <v>Алексей Александров: Ссылка на изображение</v>
      </c>
      <c r="BJ230" s="3" t="s">
        <v>1793</v>
      </c>
      <c r="BK230" t="s">
        <v>1615</v>
      </c>
      <c r="BL230" t="s">
        <v>1794</v>
      </c>
      <c r="BM230" t="s">
        <v>101</v>
      </c>
      <c r="BN230" t="s">
        <v>1640</v>
      </c>
    </row>
    <row r="231" spans="1:70" ht="15" customHeight="1" x14ac:dyDescent="0.35">
      <c r="A231">
        <v>164</v>
      </c>
      <c r="B231" t="s">
        <v>1707</v>
      </c>
      <c r="C231">
        <v>2</v>
      </c>
      <c r="D231" t="str">
        <f>VLOOKUP(source[[#This Row],[Приоритет]],тПриоритеты[],2,0)</f>
        <v>Значительное</v>
      </c>
      <c r="E2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1" t="s">
        <v>1613</v>
      </c>
      <c r="G231" t="s">
        <v>97</v>
      </c>
      <c r="H231" t="str">
        <f>VLOOKUP(source[[#This Row],[Отвественный]],тОтветственные[],2,0)</f>
        <v>Отв1</v>
      </c>
      <c r="I231" s="2">
        <v>43640</v>
      </c>
      <c r="J231" s="2">
        <v>43658</v>
      </c>
      <c r="S231" s="1">
        <v>43640.586793981478</v>
      </c>
      <c r="T231" s="1">
        <v>43661.703761574077</v>
      </c>
      <c r="U231" s="1">
        <v>43661.710995370369</v>
      </c>
      <c r="W231" s="1">
        <v>43661.710995370369</v>
      </c>
      <c r="BF231" t="s">
        <v>1712</v>
      </c>
      <c r="BG231" t="str">
        <f>HYPERLINK("https://d33htgqikc2pj4.cloudfront.net/80b63ecd6663bd688683a4a3cf8bb41a/e90df0776bae626c171fd796b93b3aa6-file.jpeg", "Алексей Александров: Ссылка на изображение")</f>
        <v>Алексей Александров: Ссылка на изображение</v>
      </c>
      <c r="BH231" t="s">
        <v>1664</v>
      </c>
      <c r="BI231" t="s">
        <v>1795</v>
      </c>
      <c r="BJ231" t="s">
        <v>1796</v>
      </c>
      <c r="BK231" t="s">
        <v>1738</v>
      </c>
      <c r="BL231" t="s">
        <v>1797</v>
      </c>
      <c r="BM231" t="s">
        <v>1705</v>
      </c>
      <c r="BN231" t="s">
        <v>1708</v>
      </c>
      <c r="BO231" t="s">
        <v>1798</v>
      </c>
      <c r="BP231" t="s">
        <v>101</v>
      </c>
      <c r="BQ231" t="s">
        <v>1640</v>
      </c>
    </row>
    <row r="232" spans="1:70" ht="15" customHeight="1" x14ac:dyDescent="0.35">
      <c r="A232">
        <v>165</v>
      </c>
      <c r="B232" t="s">
        <v>1799</v>
      </c>
      <c r="C232">
        <v>2</v>
      </c>
      <c r="D232" t="str">
        <f>VLOOKUP(source[[#This Row],[Приоритет]],тПриоритеты[],2,0)</f>
        <v>Значительное</v>
      </c>
      <c r="E2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2" t="s">
        <v>1613</v>
      </c>
      <c r="G232" t="s">
        <v>97</v>
      </c>
      <c r="H232" t="str">
        <f>VLOOKUP(source[[#This Row],[Отвественный]],тОтветственные[],2,0)</f>
        <v>Отв1</v>
      </c>
      <c r="S232" s="1">
        <v>43640.588819444441</v>
      </c>
      <c r="T232" s="1">
        <v>43642.731898148151</v>
      </c>
      <c r="U232" s="1">
        <v>43642.731898148151</v>
      </c>
      <c r="W232" s="1">
        <v>43642.732673611114</v>
      </c>
      <c r="BF232" t="s">
        <v>1800</v>
      </c>
      <c r="BG232" t="s">
        <v>1664</v>
      </c>
      <c r="BH232" t="s">
        <v>1801</v>
      </c>
      <c r="BI232" t="s">
        <v>1640</v>
      </c>
    </row>
    <row r="233" spans="1:70" ht="15" customHeight="1" x14ac:dyDescent="0.35">
      <c r="A233">
        <v>116</v>
      </c>
      <c r="B233" t="s">
        <v>1802</v>
      </c>
      <c r="C233">
        <v>1</v>
      </c>
      <c r="D233" t="str">
        <f>VLOOKUP(source[[#This Row],[Приоритет]],тПриоритеты[],2,0)</f>
        <v>КРИТИЧЕСКОЕ</v>
      </c>
      <c r="E2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3" t="s">
        <v>1613</v>
      </c>
      <c r="G233" t="s">
        <v>97</v>
      </c>
      <c r="H233" t="str">
        <f>VLOOKUP(source[[#This Row],[Отвественный]],тОтветственные[],2,0)</f>
        <v>Отв1</v>
      </c>
      <c r="I233" s="2">
        <v>43620</v>
      </c>
      <c r="J233" s="2">
        <v>43626</v>
      </c>
      <c r="S233" s="1">
        <v>43620.648912037039</v>
      </c>
      <c r="T233" s="1">
        <v>43626.514236111114</v>
      </c>
      <c r="U233" s="1">
        <v>43626.514236111114</v>
      </c>
      <c r="W233" s="1">
        <v>43626.514664351853</v>
      </c>
      <c r="BF233" t="str">
        <f>HYPERLINK("https://d33htgqikc2pj4.cloudfront.net/1bb08bb1dd1093aeba7364d3f3d1159e/651ba1262b6643639f42d1a7143057ec-file.jpeg", "Алексей Александров: Ссылка на изображение")</f>
        <v>Алексей Александров: Ссылка на изображение</v>
      </c>
      <c r="BG233" t="str">
        <f>HYPERLINK("https://d33htgqikc2pj4.cloudfront.net/403316cae6eda1b2d5fa0c81b93376ac/949faa17487af147f7b01f6b757aba32-file.jpeg", "Алексей Александров: Ссылка на изображение")</f>
        <v>Алексей Александров: Ссылка на изображение</v>
      </c>
      <c r="BH233" t="str">
        <f>HYPERLINK("https://d33htgqikc2pj4.cloudfront.net/0104b8096b0153d95e5b7143498e4a9a/f3e6da756e315596f6ae52d517e8f6d8-file.jpeg", "Алексей Александров: Ссылка на изображение")</f>
        <v>Алексей Александров: Ссылка на изображение</v>
      </c>
      <c r="BI233" t="str">
        <f>HYPERLINK("https://d33htgqikc2pj4.cloudfront.net/999e5d0997a20534a8983773b77ed6bd/ad6a80e81a53c99d370a15e018c37df3-file.jpeg", "Алексей Александров: Ссылка на изображение")</f>
        <v>Алексей Александров: Ссылка на изображение</v>
      </c>
      <c r="BJ233" t="s">
        <v>1803</v>
      </c>
      <c r="BK233" t="s">
        <v>1804</v>
      </c>
      <c r="BL233" t="s">
        <v>1664</v>
      </c>
      <c r="BM233" t="s">
        <v>1615</v>
      </c>
      <c r="BN233" t="s">
        <v>1765</v>
      </c>
      <c r="BO233" t="s">
        <v>1764</v>
      </c>
      <c r="BP233" s="3" t="s">
        <v>1805</v>
      </c>
      <c r="BQ233" t="s">
        <v>1640</v>
      </c>
    </row>
    <row r="234" spans="1:70" ht="15" customHeight="1" x14ac:dyDescent="0.35">
      <c r="A234">
        <v>118</v>
      </c>
      <c r="B234" t="s">
        <v>1806</v>
      </c>
      <c r="C234">
        <v>1</v>
      </c>
      <c r="D234" t="str">
        <f>VLOOKUP(source[[#This Row],[Приоритет]],тПриоритеты[],2,0)</f>
        <v>КРИТИЧЕСКОЕ</v>
      </c>
      <c r="E2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4" t="s">
        <v>1613</v>
      </c>
      <c r="G234" t="s">
        <v>97</v>
      </c>
      <c r="H234" t="str">
        <f>VLOOKUP(source[[#This Row],[Отвественный]],тОтветственные[],2,0)</f>
        <v>Отв1</v>
      </c>
      <c r="I234" s="2">
        <v>43620</v>
      </c>
      <c r="J234" s="2">
        <v>43622</v>
      </c>
      <c r="S234" s="1">
        <v>43620.737766203703</v>
      </c>
      <c r="T234" s="1">
        <v>43626.51284722222</v>
      </c>
      <c r="U234" s="1">
        <v>43626.51284722222</v>
      </c>
      <c r="W234" s="1">
        <v>43626.513275462959</v>
      </c>
      <c r="BF234" t="str">
        <f>HYPERLINK("https://d33htgqikc2pj4.cloudfront.net/f9bd0fa4ce7135aa7f097d09bc693cb5/9b42229c37308b16850bc9da97bb56ec-file.jpeg", "Алексей Александров: Ссылка на изображение")</f>
        <v>Алексей Александров: Ссылка на изображение</v>
      </c>
      <c r="BG234" t="s">
        <v>1807</v>
      </c>
      <c r="BH234" t="s">
        <v>1664</v>
      </c>
      <c r="BI234" t="s">
        <v>1765</v>
      </c>
      <c r="BJ234" t="s">
        <v>1808</v>
      </c>
      <c r="BK234" t="s">
        <v>1809</v>
      </c>
      <c r="BL234" t="s">
        <v>1615</v>
      </c>
      <c r="BM234" t="s">
        <v>1640</v>
      </c>
    </row>
    <row r="235" spans="1:70" ht="15" customHeight="1" x14ac:dyDescent="0.35">
      <c r="A235">
        <v>167</v>
      </c>
      <c r="B235" t="s">
        <v>1810</v>
      </c>
      <c r="C235">
        <v>2</v>
      </c>
      <c r="D235" t="str">
        <f>VLOOKUP(source[[#This Row],[Приоритет]],тПриоритеты[],2,0)</f>
        <v>Значительное</v>
      </c>
      <c r="E2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5" t="s">
        <v>1613</v>
      </c>
      <c r="G235" t="s">
        <v>97</v>
      </c>
      <c r="H235" t="str">
        <f>VLOOKUP(source[[#This Row],[Отвественный]],тОтветственные[],2,0)</f>
        <v>Отв1</v>
      </c>
      <c r="I235" s="2">
        <v>43641</v>
      </c>
      <c r="J235" s="2">
        <v>43648</v>
      </c>
      <c r="S235" s="1">
        <v>43641.40357638889</v>
      </c>
      <c r="T235" s="1">
        <v>43648.65415509259</v>
      </c>
      <c r="U235" s="1">
        <v>43649.487650462965</v>
      </c>
      <c r="W235" s="1">
        <v>43649.487662037034</v>
      </c>
      <c r="BF235" t="s">
        <v>1811</v>
      </c>
      <c r="BG235" t="s">
        <v>1664</v>
      </c>
      <c r="BH235" t="s">
        <v>1812</v>
      </c>
      <c r="BI235" t="s">
        <v>1813</v>
      </c>
      <c r="BJ235" t="s">
        <v>1711</v>
      </c>
      <c r="BK235" t="str">
        <f>HYPERLINK("https://d33htgqikc2pj4.cloudfront.net/ce52fa677bfedf7ce7b0d3f06e509831/c588f0f63fd1276008a9ba4587359999-file.jpeg", "Maksim Sumatokhin: Ссылка на изображение")</f>
        <v>Maksim Sumatokhin: Ссылка на изображение</v>
      </c>
      <c r="BL235" t="s">
        <v>1814</v>
      </c>
      <c r="BM235" t="s">
        <v>101</v>
      </c>
      <c r="BN235" t="s">
        <v>1640</v>
      </c>
    </row>
    <row r="236" spans="1:70" ht="15" customHeight="1" x14ac:dyDescent="0.35">
      <c r="A236">
        <v>608</v>
      </c>
      <c r="B236" t="s">
        <v>1815</v>
      </c>
      <c r="C236">
        <v>1</v>
      </c>
      <c r="D236" t="str">
        <f>VLOOKUP(source[[#This Row],[Приоритет]],тПриоритеты[],2,0)</f>
        <v>КРИТИЧЕСКОЕ</v>
      </c>
      <c r="E2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6" t="s">
        <v>1613</v>
      </c>
      <c r="G236" t="s">
        <v>97</v>
      </c>
      <c r="H236" t="str">
        <f>VLOOKUP(source[[#This Row],[Отвественный]],тОтветственные[],2,0)</f>
        <v>Отв1</v>
      </c>
      <c r="S236" s="1">
        <v>43753.723437499997</v>
      </c>
      <c r="T236" s="1">
        <v>43754.509293981479</v>
      </c>
      <c r="U236" s="1">
        <v>43755.633703703701</v>
      </c>
      <c r="W236" s="1">
        <v>43755.633703703701</v>
      </c>
      <c r="BF236" t="s">
        <v>1816</v>
      </c>
      <c r="BG236" t="str">
        <f>HYPERLINK("https://d33htgqikc2pj4.cloudfront.net/49e47467c4f206262f379eb3cc138dc3/72d7f26f3adba974194132d80c2fe8cc-file.jpeg", "Алексей Александров: Ссылка на изображение")</f>
        <v>Алексей Александров: Ссылка на изображение</v>
      </c>
      <c r="BH236" t="s">
        <v>1817</v>
      </c>
      <c r="BI236" t="s">
        <v>1615</v>
      </c>
      <c r="BJ236" t="s">
        <v>1664</v>
      </c>
      <c r="BK236" t="str">
        <f>HYPERLINK("https://d33htgqikc2pj4.cloudfront.net/42528f17978b4ead01806f81fca105b7/b40dbbc1bd07b8963ca4ddf8fda6ce26-file.jpeg", "Maksim Sumatokhin: Ссылка на изображение")</f>
        <v>Maksim Sumatokhin: Ссылка на изображение</v>
      </c>
      <c r="BL236" t="s">
        <v>1818</v>
      </c>
      <c r="BM236" t="s">
        <v>101</v>
      </c>
      <c r="BN236" t="s">
        <v>1640</v>
      </c>
    </row>
    <row r="237" spans="1:70" ht="15" customHeight="1" x14ac:dyDescent="0.35">
      <c r="A237">
        <v>609</v>
      </c>
      <c r="B237" t="s">
        <v>1819</v>
      </c>
      <c r="C237">
        <v>1</v>
      </c>
      <c r="D237" t="str">
        <f>VLOOKUP(source[[#This Row],[Приоритет]],тПриоритеты[],2,0)</f>
        <v>КРИТИЧЕСКОЕ</v>
      </c>
      <c r="E2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7" t="s">
        <v>1613</v>
      </c>
      <c r="G237" t="s">
        <v>97</v>
      </c>
      <c r="H237" t="str">
        <f>VLOOKUP(source[[#This Row],[Отвественный]],тОтветственные[],2,0)</f>
        <v>Отв1</v>
      </c>
      <c r="S237" s="1">
        <v>43753.725381944445</v>
      </c>
      <c r="T237" s="1">
        <v>43755.691516203704</v>
      </c>
      <c r="U237" s="1">
        <v>43755.702256944445</v>
      </c>
      <c r="W237" s="1">
        <v>43755.702268518522</v>
      </c>
      <c r="BF237" t="s">
        <v>1820</v>
      </c>
      <c r="BG237" t="str">
        <f>HYPERLINK("https://d33htgqikc2pj4.cloudfront.net/0a6b6133d7105a7a8ef3b17b71479956/495ec69329815887952d9a13e31e6cb0-file.jpeg", "Алексей Александров: Ссылка на изображение")</f>
        <v>Алексей Александров: Ссылка на изображение</v>
      </c>
      <c r="BH237" t="str">
        <f>HYPERLINK("https://d33htgqikc2pj4.cloudfront.net/b8dc0fcf409dde66ae99606e65e704c9/b51b307e4d0bf4e7915bb1791545d6bd-file.jpeg", "Алексей Александров: Ссылка на изображение")</f>
        <v>Алексей Александров: Ссылка на изображение</v>
      </c>
      <c r="BI237" t="str">
        <f>HYPERLINK("https://d33htgqikc2pj4.cloudfront.net/c6258867bd05dc860298d703cae41fef/cf1b6bbd9d516f92e5a1fc3cb72b79e6-file.jpeg", "Алексей Александров: Ссылка на изображение")</f>
        <v>Алексей Александров: Ссылка на изображение</v>
      </c>
      <c r="BJ237" t="s">
        <v>1615</v>
      </c>
      <c r="BK237" t="s">
        <v>1664</v>
      </c>
      <c r="BL237" t="s">
        <v>1821</v>
      </c>
      <c r="BM237" t="str">
        <f>HYPERLINK("https://d33htgqikc2pj4.cloudfront.net/fa76fa8756969a6efc6bd0042807c529/3c498ebe77a14d747f755d5fb89e3e51-file.jpeg", "Maksim Sumatokhin: Ссылка на изображение")</f>
        <v>Maksim Sumatokhin: Ссылка на изображение</v>
      </c>
      <c r="BN237" t="s">
        <v>1822</v>
      </c>
      <c r="BO237" t="s">
        <v>101</v>
      </c>
      <c r="BP237" t="s">
        <v>1640</v>
      </c>
    </row>
    <row r="238" spans="1:70" ht="15" customHeight="1" x14ac:dyDescent="0.35">
      <c r="A238">
        <v>185</v>
      </c>
      <c r="B238" t="s">
        <v>1823</v>
      </c>
      <c r="C238">
        <v>1</v>
      </c>
      <c r="D238" t="str">
        <f>VLOOKUP(source[[#This Row],[Приоритет]],тПриоритеты[],2,0)</f>
        <v>КРИТИЧЕСКОЕ</v>
      </c>
      <c r="E2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8" t="s">
        <v>1613</v>
      </c>
      <c r="G238" t="s">
        <v>97</v>
      </c>
      <c r="H238" t="str">
        <f>VLOOKUP(source[[#This Row],[Отвественный]],тОтветственные[],2,0)</f>
        <v>Отв1</v>
      </c>
      <c r="I238" s="2">
        <v>43647</v>
      </c>
      <c r="J238" s="2">
        <v>43647</v>
      </c>
      <c r="S238" s="1">
        <v>43647.668923611112</v>
      </c>
      <c r="T238" s="1">
        <v>43649.483553240738</v>
      </c>
      <c r="U238" s="1">
        <v>43649.494421296295</v>
      </c>
      <c r="W238" s="1">
        <v>43649.494432870371</v>
      </c>
      <c r="BF238" t="s">
        <v>1824</v>
      </c>
      <c r="BG238" t="s">
        <v>1710</v>
      </c>
      <c r="BH238" t="s">
        <v>1664</v>
      </c>
      <c r="BI238" t="s">
        <v>1615</v>
      </c>
      <c r="BJ238" s="3" t="s">
        <v>1825</v>
      </c>
      <c r="BK238" t="str">
        <f>HYPERLINK("https://d33htgqikc2pj4.cloudfront.net/1392d31e5101908a9f26efec964a8da7/aaa9a66ab8f9f6a56378999bb05a25c2-file.jpeg", "Maksim Sumatokhin: Ссылка на изображение")</f>
        <v>Maksim Sumatokhin: Ссылка на изображение</v>
      </c>
      <c r="BL238" t="str">
        <f>HYPERLINK("https://d33htgqikc2pj4.cloudfront.net/9345cc6bd9b46a391d2b996fb3e2e5fd/2a596f7b6196dd1262ef57442d1b14b6-file.jpeg", "Maksim Sumatokhin: Ссылка на изображение")</f>
        <v>Maksim Sumatokhin: Ссылка на изображение</v>
      </c>
      <c r="BM238" t="s">
        <v>1826</v>
      </c>
      <c r="BN238" t="s">
        <v>101</v>
      </c>
      <c r="BO238" t="s">
        <v>1640</v>
      </c>
    </row>
    <row r="239" spans="1:70" ht="15" customHeight="1" x14ac:dyDescent="0.35">
      <c r="A239">
        <v>192</v>
      </c>
      <c r="B239" t="s">
        <v>1827</v>
      </c>
      <c r="C239">
        <v>2</v>
      </c>
      <c r="D239" t="str">
        <f>VLOOKUP(source[[#This Row],[Приоритет]],тПриоритеты[],2,0)</f>
        <v>Значительное</v>
      </c>
      <c r="E2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39" t="s">
        <v>1613</v>
      </c>
      <c r="G239" t="s">
        <v>97</v>
      </c>
      <c r="H239" t="str">
        <f>VLOOKUP(source[[#This Row],[Отвественный]],тОтветственные[],2,0)</f>
        <v>Отв1</v>
      </c>
      <c r="I239" s="2">
        <v>43647</v>
      </c>
      <c r="J239" s="2">
        <v>43648</v>
      </c>
      <c r="S239" s="1">
        <v>43647.692060185182</v>
      </c>
      <c r="T239" s="1">
        <v>43648.659166666665</v>
      </c>
      <c r="U239" s="1">
        <v>43649.494328703702</v>
      </c>
      <c r="W239" s="1">
        <v>43649.494340277779</v>
      </c>
      <c r="BF239" t="s">
        <v>1828</v>
      </c>
      <c r="BG239" t="s">
        <v>1664</v>
      </c>
      <c r="BH239" t="s">
        <v>1710</v>
      </c>
      <c r="BI239" t="s">
        <v>1711</v>
      </c>
      <c r="BJ239" t="s">
        <v>1829</v>
      </c>
      <c r="BK239" t="str">
        <f>HYPERLINK("https://d33htgqikc2pj4.cloudfront.net/ee4e40251005a8e570c9da6fee7b61f7/17eac470c5af7d84d158dc986b262506-file.jpeg", "Алексей Александров: Ссылка на изображение")</f>
        <v>Алексей Александров: Ссылка на изображение</v>
      </c>
      <c r="BL239" t="str">
        <f>HYPERLINK("https://d33htgqikc2pj4.cloudfront.net/9068ef828484510381270e0cc45f5317/4c2dc0c9da68b766833ffdb2bdd39af1-file.jpeg", "Maksim Sumatokhin: Ссылка на изображение")</f>
        <v>Maksim Sumatokhin: Ссылка на изображение</v>
      </c>
      <c r="BM239" t="s">
        <v>1830</v>
      </c>
      <c r="BN239" t="s">
        <v>101</v>
      </c>
      <c r="BO239" t="s">
        <v>1640</v>
      </c>
    </row>
    <row r="240" spans="1:70" ht="15" customHeight="1" x14ac:dyDescent="0.35">
      <c r="A240">
        <v>286</v>
      </c>
      <c r="B240" t="s">
        <v>1831</v>
      </c>
      <c r="C240">
        <v>1</v>
      </c>
      <c r="D240" t="str">
        <f>VLOOKUP(source[[#This Row],[Приоритет]],тПриоритеты[],2,0)</f>
        <v>КРИТИЧЕСКОЕ</v>
      </c>
      <c r="E2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0" t="s">
        <v>1613</v>
      </c>
      <c r="G240" t="s">
        <v>97</v>
      </c>
      <c r="H240" t="str">
        <f>VLOOKUP(source[[#This Row],[Отвественный]],тОтветственные[],2,0)</f>
        <v>Отв1</v>
      </c>
      <c r="I240" s="2">
        <v>43668</v>
      </c>
      <c r="J240" s="2">
        <v>43668</v>
      </c>
      <c r="S240" s="1">
        <v>43668.709456018521</v>
      </c>
      <c r="T240" s="1">
        <v>43670.57917824074</v>
      </c>
      <c r="U240" s="1">
        <v>43670.612604166665</v>
      </c>
      <c r="W240" s="1">
        <v>43670.612604166665</v>
      </c>
      <c r="BF240" t="s">
        <v>1664</v>
      </c>
      <c r="BG240" t="s">
        <v>1832</v>
      </c>
      <c r="BH240" t="str">
        <f>HYPERLINK("https://d33htgqikc2pj4.cloudfront.net/49b9b11341b56eb132f5baed99453d22/4368eee046fce33c98bec94158cd1226-file.jpeg", "Алексей Александров: Ссылка на изображение")</f>
        <v>Алексей Александров: Ссылка на изображение</v>
      </c>
      <c r="BI240" t="s">
        <v>1615</v>
      </c>
      <c r="BJ240" t="s">
        <v>1833</v>
      </c>
      <c r="BK240" t="s">
        <v>1834</v>
      </c>
      <c r="BL240" t="str">
        <f>HYPERLINK("https://d33htgqikc2pj4.cloudfront.net/fe014ee4299236963daa252df1ee31db/6daed35d98807542b7f6d661a51f019a-file.jpeg", "Maksim Sumatokhin: Ссылка на изображение")</f>
        <v>Maksim Sumatokhin: Ссылка на изображение</v>
      </c>
      <c r="BM240" t="s">
        <v>1835</v>
      </c>
      <c r="BN240" t="s">
        <v>101</v>
      </c>
      <c r="BO240" t="s">
        <v>1640</v>
      </c>
    </row>
    <row r="241" spans="1:81" ht="15" customHeight="1" x14ac:dyDescent="0.35">
      <c r="A241">
        <v>288</v>
      </c>
      <c r="B241" t="s">
        <v>1836</v>
      </c>
      <c r="C241">
        <v>1</v>
      </c>
      <c r="D241" t="str">
        <f>VLOOKUP(source[[#This Row],[Приоритет]],тПриоритеты[],2,0)</f>
        <v>КРИТИЧЕСКОЕ</v>
      </c>
      <c r="E2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1" t="s">
        <v>1613</v>
      </c>
      <c r="G241" t="s">
        <v>97</v>
      </c>
      <c r="H241" t="str">
        <f>VLOOKUP(source[[#This Row],[Отвественный]],тОтветственные[],2,0)</f>
        <v>Отв1</v>
      </c>
      <c r="I241" s="2">
        <v>43668</v>
      </c>
      <c r="J241" s="2">
        <v>43668</v>
      </c>
      <c r="S241" s="1">
        <v>43668.717662037037</v>
      </c>
      <c r="T241" s="1">
        <v>43671.611585648148</v>
      </c>
      <c r="U241" s="1">
        <v>43675.733356481483</v>
      </c>
      <c r="W241" s="1">
        <v>43675.733356481483</v>
      </c>
      <c r="BF241" t="s">
        <v>1837</v>
      </c>
      <c r="BG241" t="str">
        <f>HYPERLINK("https://d33htgqikc2pj4.cloudfront.net/5cd1d1416413d0aeb42fc5339e33b07c/ae500d3eee770856b2cdb7c9ca7a40db-file.jpeg", "Алексей Александров: Ссылка на изображение")</f>
        <v>Алексей Александров: Ссылка на изображение</v>
      </c>
      <c r="BH241" t="str">
        <f>HYPERLINK("https://d33htgqikc2pj4.cloudfront.net/7b1b0dc9d296403d40b94b7072ffd579/52ea98938e52883c9d206307ae00ce4b-file.jpeg", "Алексей Александров: Ссылка на изображение")</f>
        <v>Алексей Александров: Ссылка на изображение</v>
      </c>
      <c r="BI241" t="s">
        <v>1664</v>
      </c>
      <c r="BJ241" t="s">
        <v>1834</v>
      </c>
      <c r="BK241" t="s">
        <v>1838</v>
      </c>
      <c r="BL241" t="s">
        <v>1839</v>
      </c>
      <c r="BM241" t="s">
        <v>1615</v>
      </c>
      <c r="BN241" s="3" t="s">
        <v>1840</v>
      </c>
      <c r="BO241" t="str">
        <f>HYPERLINK("https://d33htgqikc2pj4.cloudfront.net/9e220544a8281ebe78bac70b5d2d8ea7/d164d09b92236cb530c9b975fceb8af6-file.jpeg", "Maksim Sumatokhin: Ссылка на изображение")</f>
        <v>Maksim Sumatokhin: Ссылка на изображение</v>
      </c>
      <c r="BP241" t="str">
        <f>HYPERLINK("https://d33htgqikc2pj4.cloudfront.net/159afadf2815b789b27f8c9f522256d8/77896bbce0a1f041472d00da77891c17-file.jpeg", "Maksim Sumatokhin: Ссылка на изображение")</f>
        <v>Maksim Sumatokhin: Ссылка на изображение</v>
      </c>
      <c r="BQ241" t="s">
        <v>1841</v>
      </c>
      <c r="BR241" t="s">
        <v>101</v>
      </c>
      <c r="BS241" t="s">
        <v>1640</v>
      </c>
    </row>
    <row r="242" spans="1:81" ht="15" customHeight="1" x14ac:dyDescent="0.35">
      <c r="A242">
        <v>287</v>
      </c>
      <c r="B242" t="s">
        <v>1842</v>
      </c>
      <c r="C242">
        <v>1</v>
      </c>
      <c r="D242" t="str">
        <f>VLOOKUP(source[[#This Row],[Приоритет]],тПриоритеты[],2,0)</f>
        <v>КРИТИЧЕСКОЕ</v>
      </c>
      <c r="E2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2" t="s">
        <v>1613</v>
      </c>
      <c r="G242" t="s">
        <v>97</v>
      </c>
      <c r="H242" t="str">
        <f>VLOOKUP(source[[#This Row],[Отвественный]],тОтветственные[],2,0)</f>
        <v>Отв1</v>
      </c>
      <c r="I242" s="2">
        <v>43668</v>
      </c>
      <c r="J242" s="2">
        <v>43668</v>
      </c>
      <c r="S242" s="1">
        <v>43668.713969907411</v>
      </c>
      <c r="T242" s="1">
        <v>43671.543611111112</v>
      </c>
      <c r="U242" s="1">
        <v>43675.733287037037</v>
      </c>
      <c r="W242" s="1">
        <v>43675.733287037037</v>
      </c>
      <c r="BF242" t="s">
        <v>1843</v>
      </c>
      <c r="BG242" t="s">
        <v>1615</v>
      </c>
      <c r="BH242" t="s">
        <v>1664</v>
      </c>
      <c r="BI242" t="str">
        <f>HYPERLINK("https://d33htgqikc2pj4.cloudfront.net/9a0eb1ac91095f927051e606bab2d359/ed67a883368d65cf83ee87f5971f2020-file.jpeg", "Алексей Александров: Ссылка на изображение")</f>
        <v>Алексей Александров: Ссылка на изображение</v>
      </c>
      <c r="BJ242" t="s">
        <v>1834</v>
      </c>
      <c r="BK242" t="str">
        <f>HYPERLINK("https://d33htgqikc2pj4.cloudfront.net/012e885bbfd515bd4aecf7339cc0c0f5/28acb03f2880d10db801f937ae6c97d0-file.jpeg", "Maksim Sumatokhin: Ссылка на изображение")</f>
        <v>Maksim Sumatokhin: Ссылка на изображение</v>
      </c>
      <c r="BL242" t="s">
        <v>1844</v>
      </c>
      <c r="BM242" t="s">
        <v>101</v>
      </c>
      <c r="BN242" t="s">
        <v>1640</v>
      </c>
    </row>
    <row r="243" spans="1:81" ht="15" customHeight="1" x14ac:dyDescent="0.35">
      <c r="A243">
        <v>327</v>
      </c>
      <c r="B243" t="s">
        <v>1845</v>
      </c>
      <c r="C243">
        <v>1</v>
      </c>
      <c r="D243" t="str">
        <f>VLOOKUP(source[[#This Row],[Приоритет]],тПриоритеты[],2,0)</f>
        <v>КРИТИЧЕСКОЕ</v>
      </c>
      <c r="E2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3" t="s">
        <v>1613</v>
      </c>
      <c r="G243" t="s">
        <v>97</v>
      </c>
      <c r="H243" t="str">
        <f>VLOOKUP(source[[#This Row],[Отвественный]],тОтветственные[],2,0)</f>
        <v>Отв1</v>
      </c>
      <c r="I243" s="2">
        <v>43677</v>
      </c>
      <c r="J243" s="2">
        <v>43684</v>
      </c>
      <c r="S243" s="1">
        <v>43677.578356481485</v>
      </c>
      <c r="T243" s="1">
        <v>43677.599305555559</v>
      </c>
      <c r="U243" s="1">
        <v>43677.647523148145</v>
      </c>
      <c r="W243" s="1">
        <v>43677.647557870368</v>
      </c>
      <c r="BF243" t="s">
        <v>1846</v>
      </c>
      <c r="BG243" t="s">
        <v>1664</v>
      </c>
      <c r="BH243" t="str">
        <f>HYPERLINK("https://d33htgqikc2pj4.cloudfront.net/f679cb3212dd39714dec9ac3deaf6058/2b8b2c6c47596c46a881dfe6c0cd6719-file.jpeg", "Алексей Александров: Ссылка на изображение")</f>
        <v>Алексей Александров: Ссылка на изображение</v>
      </c>
      <c r="BI243" t="str">
        <f>HYPERLINK("https://d33htgqikc2pj4.cloudfront.net/387269f5840e360ad2412cabf3f0b84f/ad021d5d13e05ee37419f6625cd093e5-file.jpeg", "Алексей Александров: Ссылка на изображение")</f>
        <v>Алексей Александров: Ссылка на изображение</v>
      </c>
      <c r="BJ243" t="str">
        <f>HYPERLINK("https://d33htgqikc2pj4.cloudfront.net/dc8a568286d49daaa641c9ffcf7f89d3/cdbdba3a537767e58756bd61a944c801-file.jpeg", "Алексей Александров: Ссылка на изображение")</f>
        <v>Алексей Александров: Ссылка на изображение</v>
      </c>
      <c r="BK243" t="str">
        <f>HYPERLINK("https://d33htgqikc2pj4.cloudfront.net/613a5f23119b6c0f3d3c05c592bb3bb7/6ff7ca22f5139514ee9b796dcacd116b-file.jpeg", "Алексей Александров: Ссылка на изображение")</f>
        <v>Алексей Александров: Ссылка на изображение</v>
      </c>
      <c r="BL243" t="str">
        <f>HYPERLINK("https://d33htgqikc2pj4.cloudfront.net/50d9d8268f7b30978a428e3a5dc9ed8c/8e1507066e4a20dfcd9b0e620f4cfe9c-file.jpeg", "Алексей Александров: Ссылка на изображение")</f>
        <v>Алексей Александров: Ссылка на изображение</v>
      </c>
      <c r="BM243" t="str">
        <f>HYPERLINK("https://d33htgqikc2pj4.cloudfront.net/ef1c878cc14b2f1e78ab2c53b008c7f1/c413640eb51f93a744c05db066b5ae24-file.jpeg", "Алексей Александров: Ссылка на изображение")</f>
        <v>Алексей Александров: Ссылка на изображение</v>
      </c>
      <c r="BN243" t="str">
        <f>HYPERLINK("https://d33htgqikc2pj4.cloudfront.net/e37c1575afd12bc7a82e662214732b6a/edd914a3e5b618ee86e016894f1d8036-file.jpeg", "Алексей Александров: Ссылка на изображение")</f>
        <v>Алексей Александров: Ссылка на изображение</v>
      </c>
      <c r="BO243" t="s">
        <v>1615</v>
      </c>
      <c r="BP243" t="s">
        <v>1847</v>
      </c>
      <c r="BQ243" t="s">
        <v>1848</v>
      </c>
      <c r="BR243" s="3" t="s">
        <v>1849</v>
      </c>
      <c r="BS243" t="s">
        <v>1850</v>
      </c>
      <c r="BT243" t="s">
        <v>101</v>
      </c>
      <c r="BU243" t="s">
        <v>1640</v>
      </c>
    </row>
    <row r="244" spans="1:81" ht="15" customHeight="1" x14ac:dyDescent="0.35">
      <c r="A244">
        <v>724</v>
      </c>
      <c r="B244" t="s">
        <v>1851</v>
      </c>
      <c r="C244">
        <v>1</v>
      </c>
      <c r="D244" t="str">
        <f>VLOOKUP(source[[#This Row],[Приоритет]],тПриоритеты[],2,0)</f>
        <v>КРИТИЧЕСКОЕ</v>
      </c>
      <c r="E2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4" t="s">
        <v>1613</v>
      </c>
      <c r="G244" t="s">
        <v>97</v>
      </c>
      <c r="H244" t="str">
        <f>VLOOKUP(source[[#This Row],[Отвественный]],тОтветственные[],2,0)</f>
        <v>Отв1</v>
      </c>
      <c r="I244" s="2">
        <v>43794</v>
      </c>
      <c r="J244" s="2">
        <v>43801</v>
      </c>
      <c r="S244" s="1">
        <v>43794.472604166665</v>
      </c>
      <c r="T244" s="1">
        <v>43804.589201388888</v>
      </c>
      <c r="U244" s="1">
        <v>43804.589201388888</v>
      </c>
      <c r="W244" s="1">
        <v>43804.589201388888</v>
      </c>
      <c r="BF244" t="s">
        <v>1852</v>
      </c>
      <c r="BG244" t="s">
        <v>1615</v>
      </c>
      <c r="BH244" t="s">
        <v>1664</v>
      </c>
      <c r="BI244" t="s">
        <v>1853</v>
      </c>
      <c r="BJ244" t="s">
        <v>1854</v>
      </c>
      <c r="BK244" t="s">
        <v>1855</v>
      </c>
      <c r="BL244" s="3" t="s">
        <v>1856</v>
      </c>
      <c r="BM244" t="s">
        <v>1640</v>
      </c>
    </row>
    <row r="245" spans="1:81" ht="15" customHeight="1" x14ac:dyDescent="0.35">
      <c r="A245">
        <v>522</v>
      </c>
      <c r="B245" t="s">
        <v>1857</v>
      </c>
      <c r="C245">
        <v>1</v>
      </c>
      <c r="D245" t="str">
        <f>VLOOKUP(source[[#This Row],[Приоритет]],тПриоритеты[],2,0)</f>
        <v>КРИТИЧЕСКОЕ</v>
      </c>
      <c r="E2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5" t="s">
        <v>1613</v>
      </c>
      <c r="G245" t="s">
        <v>97</v>
      </c>
      <c r="H245" t="str">
        <f>VLOOKUP(source[[#This Row],[Отвественный]],тОтветственные[],2,0)</f>
        <v>Отв1</v>
      </c>
      <c r="I245" s="2">
        <v>43731</v>
      </c>
      <c r="J245" s="2">
        <v>43731</v>
      </c>
      <c r="S245" s="1">
        <v>43731.721319444441</v>
      </c>
      <c r="T245" s="1">
        <v>43732.607361111113</v>
      </c>
      <c r="U245" s="1">
        <v>43732.607361111113</v>
      </c>
      <c r="W245" s="1">
        <v>43732.607361111113</v>
      </c>
      <c r="BF245" t="str">
        <f>HYPERLINK("https://d33htgqikc2pj4.cloudfront.net/027db2f813a1fff814d7de3b7d48bf3a/a2fdabf697314fc5a7eb7519bdeb1d60-file.jpeg", "Алексей Александров: Ссылка на изображение")</f>
        <v>Алексей Александров: Ссылка на изображение</v>
      </c>
      <c r="BG245" t="s">
        <v>1858</v>
      </c>
      <c r="BH245" t="s">
        <v>1615</v>
      </c>
      <c r="BI245" t="s">
        <v>1664</v>
      </c>
      <c r="BJ245" s="3" t="s">
        <v>1859</v>
      </c>
      <c r="BK245" t="s">
        <v>1860</v>
      </c>
      <c r="BL245" t="s">
        <v>1861</v>
      </c>
      <c r="BM245" t="s">
        <v>1640</v>
      </c>
    </row>
    <row r="246" spans="1:81" ht="15" customHeight="1" x14ac:dyDescent="0.35">
      <c r="A246">
        <v>520</v>
      </c>
      <c r="B246" s="3" t="s">
        <v>1862</v>
      </c>
      <c r="C246">
        <v>1</v>
      </c>
      <c r="D246" t="str">
        <f>VLOOKUP(source[[#This Row],[Приоритет]],тПриоритеты[],2,0)</f>
        <v>КРИТИЧЕСКОЕ</v>
      </c>
      <c r="E2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6" t="s">
        <v>1613</v>
      </c>
      <c r="G246" t="s">
        <v>97</v>
      </c>
      <c r="H246" t="str">
        <f>VLOOKUP(source[[#This Row],[Отвественный]],тОтветственные[],2,0)</f>
        <v>Отв1</v>
      </c>
      <c r="I246" s="2">
        <v>43731</v>
      </c>
      <c r="J246" s="2">
        <v>43735</v>
      </c>
      <c r="S246" s="1">
        <v>43731.711921296293</v>
      </c>
      <c r="T246" s="1">
        <v>43734.48165509259</v>
      </c>
      <c r="U246" s="1">
        <v>43753.741678240738</v>
      </c>
      <c r="W246" s="1">
        <v>43753.741689814815</v>
      </c>
      <c r="BF246" t="s">
        <v>1863</v>
      </c>
      <c r="BG246" s="3" t="s">
        <v>1864</v>
      </c>
      <c r="BH246" t="s">
        <v>1664</v>
      </c>
      <c r="BI246" t="s">
        <v>1865</v>
      </c>
      <c r="BJ246" t="s">
        <v>1615</v>
      </c>
      <c r="BK246" t="s">
        <v>1860</v>
      </c>
      <c r="BL246" t="s">
        <v>1866</v>
      </c>
      <c r="BM246" t="s">
        <v>1867</v>
      </c>
      <c r="BN246" t="s">
        <v>101</v>
      </c>
      <c r="BO246" t="s">
        <v>1640</v>
      </c>
    </row>
    <row r="247" spans="1:81" ht="15" customHeight="1" x14ac:dyDescent="0.35">
      <c r="A247">
        <v>521</v>
      </c>
      <c r="B247" s="3" t="s">
        <v>1868</v>
      </c>
      <c r="C247">
        <v>1</v>
      </c>
      <c r="D247" t="str">
        <f>VLOOKUP(source[[#This Row],[Приоритет]],тПриоритеты[],2,0)</f>
        <v>КРИТИЧЕСКОЕ</v>
      </c>
      <c r="E2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7" t="s">
        <v>1613</v>
      </c>
      <c r="G247" t="s">
        <v>97</v>
      </c>
      <c r="H247" t="str">
        <f>VLOOKUP(source[[#This Row],[Отвественный]],тОтветственные[],2,0)</f>
        <v>Отв1</v>
      </c>
      <c r="I247" s="2">
        <v>43731</v>
      </c>
      <c r="J247" s="2">
        <v>43733</v>
      </c>
      <c r="S247" s="1">
        <v>43731.716203703705</v>
      </c>
      <c r="T247" s="1">
        <v>43734.481145833335</v>
      </c>
      <c r="U247" s="1">
        <v>43753.741539351853</v>
      </c>
      <c r="W247" s="1">
        <v>43753.741539351853</v>
      </c>
      <c r="BF247" t="str">
        <f>HYPERLINK("https://d33htgqikc2pj4.cloudfront.net/998ab76d90077f7a8916e348638e68d5/cd1246da216cf6198ef0bd94e16df8e5-file.jpeg", "Алексей Александров: Ссылка на изображение")</f>
        <v>Алексей Александров: Ссылка на изображение</v>
      </c>
      <c r="BG247" t="s">
        <v>1869</v>
      </c>
      <c r="BH247" s="3" t="s">
        <v>1870</v>
      </c>
      <c r="BI247" t="s">
        <v>1664</v>
      </c>
      <c r="BJ247" t="s">
        <v>1860</v>
      </c>
      <c r="BK247" t="s">
        <v>1871</v>
      </c>
      <c r="BL247" s="3" t="s">
        <v>1872</v>
      </c>
      <c r="BM247" t="s">
        <v>1615</v>
      </c>
      <c r="BN247" t="s">
        <v>1873</v>
      </c>
      <c r="BO247" t="s">
        <v>1874</v>
      </c>
      <c r="BP247" t="s">
        <v>101</v>
      </c>
      <c r="BQ247" t="s">
        <v>1640</v>
      </c>
    </row>
    <row r="248" spans="1:81" ht="15" customHeight="1" x14ac:dyDescent="0.35">
      <c r="A248">
        <v>523</v>
      </c>
      <c r="B248" t="s">
        <v>1875</v>
      </c>
      <c r="C248">
        <v>1</v>
      </c>
      <c r="D248" t="str">
        <f>VLOOKUP(source[[#This Row],[Приоритет]],тПриоритеты[],2,0)</f>
        <v>КРИТИЧЕСКОЕ</v>
      </c>
      <c r="E2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8" t="s">
        <v>1613</v>
      </c>
      <c r="G248" t="s">
        <v>97</v>
      </c>
      <c r="H248" t="str">
        <f>VLOOKUP(source[[#This Row],[Отвественный]],тОтветственные[],2,0)</f>
        <v>Отв1</v>
      </c>
      <c r="S248" s="1">
        <v>43731.723865740743</v>
      </c>
      <c r="T248" s="1">
        <v>43742.42454861111</v>
      </c>
      <c r="U248" s="1">
        <v>43742.42454861111</v>
      </c>
      <c r="W248" s="1">
        <v>43742.42459490741</v>
      </c>
      <c r="BF248" t="s">
        <v>1876</v>
      </c>
      <c r="BG248" t="s">
        <v>1615</v>
      </c>
      <c r="BH248" t="s">
        <v>1664</v>
      </c>
      <c r="BI248" t="str">
        <f>HYPERLINK("https://d33htgqikc2pj4.cloudfront.net/02121824d4fa1fd7429056072ffe44b9/eb873ab85c2bc97ae92159545b4ec132-file.jpeg", "Алексей Александров: Ссылка на изображение")</f>
        <v>Алексей Александров: Ссылка на изображение</v>
      </c>
      <c r="BJ248" t="str">
        <f>HYPERLINK("https://d33htgqikc2pj4.cloudfront.net/422a744288dca8ce619049c9ed611008/ea0b03c24f4b67f122409df5ea6accf3-file.jpeg", "Алексей Александров: Ссылка на изображение")</f>
        <v>Алексей Александров: Ссылка на изображение</v>
      </c>
      <c r="BK248" t="str">
        <f>HYPERLINK("https://d33htgqikc2pj4.cloudfront.net/edd91a44cf4770c841120273c75a8cf4/0cecbc905b601e639669a83436773192-file.jpeg", "Алексей Александров: Ссылка на изображение")</f>
        <v>Алексей Александров: Ссылка на изображение</v>
      </c>
      <c r="BL248" t="str">
        <f>HYPERLINK("https://d33htgqikc2pj4.cloudfront.net/db65e4cd48aceb7a9b90e63efdbfa3ce/baed84708d4675a3a2978cec16d005cf-file.jpeg", "Алексей Александров: Ссылка на изображение")</f>
        <v>Алексей Александров: Ссылка на изображение</v>
      </c>
      <c r="BM248" s="3" t="s">
        <v>1877</v>
      </c>
      <c r="BN248" t="s">
        <v>1640</v>
      </c>
    </row>
    <row r="249" spans="1:81" ht="15" customHeight="1" x14ac:dyDescent="0.35">
      <c r="A249">
        <v>433</v>
      </c>
      <c r="B249" t="s">
        <v>1878</v>
      </c>
      <c r="C249">
        <v>1</v>
      </c>
      <c r="D249" t="str">
        <f>VLOOKUP(source[[#This Row],[Приоритет]],тПриоритеты[],2,0)</f>
        <v>КРИТИЧЕСКОЕ</v>
      </c>
      <c r="E2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49" t="s">
        <v>1613</v>
      </c>
      <c r="G249" t="s">
        <v>97</v>
      </c>
      <c r="H249" t="str">
        <f>VLOOKUP(source[[#This Row],[Отвественный]],тОтветственные[],2,0)</f>
        <v>Отв1</v>
      </c>
      <c r="I249" s="2">
        <v>43713</v>
      </c>
      <c r="J249" s="2">
        <v>43714</v>
      </c>
      <c r="S249" s="1">
        <v>43713.753009259257</v>
      </c>
      <c r="T249" s="1">
        <v>43721.388252314813</v>
      </c>
      <c r="U249" s="1">
        <v>43721.407361111109</v>
      </c>
      <c r="W249" s="1">
        <v>43721.407384259262</v>
      </c>
      <c r="BF249" t="s">
        <v>1879</v>
      </c>
      <c r="BG249" t="str">
        <f>HYPERLINK("https://d33htgqikc2pj4.cloudfront.net/9c7097943b8858888b5260e3dd7c729f/d7cbabe3936c7cc888293d3fae52e51e-file.jpeg", "Алексей Александров: Ссылка на изображение")</f>
        <v>Алексей Александров: Ссылка на изображение</v>
      </c>
      <c r="BH249" t="s">
        <v>1615</v>
      </c>
      <c r="BI249" t="s">
        <v>1880</v>
      </c>
      <c r="BJ249" t="s">
        <v>1881</v>
      </c>
      <c r="BK249" t="s">
        <v>1664</v>
      </c>
      <c r="BL249" t="s">
        <v>1882</v>
      </c>
      <c r="BM249" t="s">
        <v>1883</v>
      </c>
      <c r="BN249" t="str">
        <f>HYPERLINK("https://d33htgqikc2pj4.cloudfront.net/e0a8f6a1f4cc833f6c16f2708481ecb0/f47e94505ac8c82da8dfd46710d766e3-file.jpeg", "Maksim Sumatokhin: Ссылка на изображение")</f>
        <v>Maksim Sumatokhin: Ссылка на изображение</v>
      </c>
      <c r="BO249" t="s">
        <v>1884</v>
      </c>
      <c r="BP249" t="s">
        <v>101</v>
      </c>
      <c r="BQ249" t="s">
        <v>1640</v>
      </c>
    </row>
    <row r="250" spans="1:81" ht="15" customHeight="1" x14ac:dyDescent="0.35">
      <c r="A250">
        <v>434</v>
      </c>
      <c r="B250" t="s">
        <v>1885</v>
      </c>
      <c r="C250">
        <v>1</v>
      </c>
      <c r="D250" t="str">
        <f>VLOOKUP(source[[#This Row],[Приоритет]],тПриоритеты[],2,0)</f>
        <v>КРИТИЧЕСКОЕ</v>
      </c>
      <c r="E2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0" t="s">
        <v>1613</v>
      </c>
      <c r="G250" t="s">
        <v>97</v>
      </c>
      <c r="H250" t="str">
        <f>VLOOKUP(source[[#This Row],[Отвественный]],тОтветственные[],2,0)</f>
        <v>Отв1</v>
      </c>
      <c r="I250" s="2">
        <v>43713</v>
      </c>
      <c r="J250" s="2">
        <v>43713</v>
      </c>
      <c r="S250" s="1">
        <v>43713.760023148148</v>
      </c>
      <c r="T250" s="1">
        <v>43714.542025462964</v>
      </c>
      <c r="U250" s="1">
        <v>43714.579050925924</v>
      </c>
      <c r="W250" s="1">
        <v>43714.579050925924</v>
      </c>
      <c r="BF250" t="s">
        <v>1886</v>
      </c>
      <c r="BG250" t="s">
        <v>1615</v>
      </c>
      <c r="BH250" t="s">
        <v>1664</v>
      </c>
      <c r="BI250" t="str">
        <f>HYPERLINK("https://d33htgqikc2pj4.cloudfront.net/2528d8fabb1c6c3b11cf69c70d750a94/13f053ce35daaf6be12133e19c14796b-file.jpeg", "Алексей Александров: Ссылка на изображение")</f>
        <v>Алексей Александров: Ссылка на изображение</v>
      </c>
      <c r="BJ250" t="str">
        <f>HYPERLINK("https://d33htgqikc2pj4.cloudfront.net/684bee31e03e3ead58eefec48e5c34e2/b640f4ef8f8498e74666cdb857b6dedf-file.jpeg", "Алексей Александров: Ссылка на изображение")</f>
        <v>Алексей Александров: Ссылка на изображение</v>
      </c>
      <c r="BK250" t="s">
        <v>1880</v>
      </c>
      <c r="BL250" s="3" t="s">
        <v>1887</v>
      </c>
      <c r="BM250" t="s">
        <v>1888</v>
      </c>
      <c r="BN250" t="s">
        <v>101</v>
      </c>
      <c r="BO250" t="s">
        <v>1640</v>
      </c>
    </row>
    <row r="251" spans="1:81" ht="15" customHeight="1" x14ac:dyDescent="0.35">
      <c r="A251">
        <v>524</v>
      </c>
      <c r="B251" t="s">
        <v>1889</v>
      </c>
      <c r="C251">
        <v>1</v>
      </c>
      <c r="D251" t="str">
        <f>VLOOKUP(source[[#This Row],[Приоритет]],тПриоритеты[],2,0)</f>
        <v>КРИТИЧЕСКОЕ</v>
      </c>
      <c r="E2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1" t="s">
        <v>1613</v>
      </c>
      <c r="G251" t="s">
        <v>97</v>
      </c>
      <c r="H251" t="str">
        <f>VLOOKUP(source[[#This Row],[Отвественный]],тОтветственные[],2,0)</f>
        <v>Отв1</v>
      </c>
      <c r="I251" s="2">
        <v>43731</v>
      </c>
      <c r="J251" s="2">
        <v>43754</v>
      </c>
      <c r="S251" s="1">
        <v>43731.727314814816</v>
      </c>
      <c r="T251" s="1">
        <v>43760.658402777779</v>
      </c>
      <c r="U251" s="1">
        <v>43760.658425925925</v>
      </c>
      <c r="W251" s="1">
        <v>43760.658425925925</v>
      </c>
      <c r="BF251" t="s">
        <v>1890</v>
      </c>
      <c r="BG251" t="str">
        <f>HYPERLINK("https://d33htgqikc2pj4.cloudfront.net/74e43ce39868b6cb0e2ec4c58fddd4c0/67e66ea3118a86b72607ba52974590a6-file.jpeg", "Алексей Александров: Ссылка на изображение")</f>
        <v>Алексей Александров: Ссылка на изображение</v>
      </c>
      <c r="BH251" t="str">
        <f>HYPERLINK("https://d33htgqikc2pj4.cloudfront.net/3534d1fef3f31be69943d0c683829fa5/0e95ba351589392654a9441f18f964a9-file.jpeg", "Алексей Александров: Ссылка на изображение")</f>
        <v>Алексей Александров: Ссылка на изображение</v>
      </c>
      <c r="BI251" t="str">
        <f>HYPERLINK("https://d33htgqikc2pj4.cloudfront.net/ad85b5fd4ab35d5188deb4ec1c660641/bbd0b35f926b715a88b7b59d3e845e00-file.jpeg", "Алексей Александров: Ссылка на изображение")</f>
        <v>Алексей Александров: Ссылка на изображение</v>
      </c>
      <c r="BJ251" t="str">
        <f>HYPERLINK("https://d33htgqikc2pj4.cloudfront.net/dfd5df6eb3b1d3ae4cbb0a4bdf158743/c1015fdaa1ca3f5840acca6839fcb23b-file.jpeg", "Алексей Александров: Ссылка на изображение")</f>
        <v>Алексей Александров: Ссылка на изображение</v>
      </c>
      <c r="BK251" t="s">
        <v>1664</v>
      </c>
      <c r="BL251" t="s">
        <v>1891</v>
      </c>
      <c r="BM251" t="s">
        <v>1860</v>
      </c>
      <c r="BN251" t="s">
        <v>1892</v>
      </c>
      <c r="BO251" t="s">
        <v>1615</v>
      </c>
      <c r="BP251" t="s">
        <v>1893</v>
      </c>
      <c r="BQ251" t="s">
        <v>101</v>
      </c>
      <c r="BR251" t="s">
        <v>1615</v>
      </c>
      <c r="BS251" t="str">
        <f>HYPERLINK("https://d33htgqikc2pj4.cloudfront.net/d70b8a9d0b478b7d674359a4fe0370e1/30466b32d5ec5054c6a6ea1a0ccb4c0c-file.jpeg", "Maksim Sumatokhin: Ссылка на изображение")</f>
        <v>Maksim Sumatokhin: Ссылка на изображение</v>
      </c>
      <c r="BT251" t="s">
        <v>1894</v>
      </c>
      <c r="BU251" t="s">
        <v>101</v>
      </c>
      <c r="BV251" t="s">
        <v>1615</v>
      </c>
      <c r="BW251" t="s">
        <v>1895</v>
      </c>
      <c r="BX251" t="str">
        <f>HYPERLINK("https://d33htgqikc2pj4.cloudfront.net/6e4569a8e8016fd67f4da58ac692476c/d5e94c527e294a8464a4254b8fb504ae-file.jpeg", "Maksim Sumatokhin: Ссылка на изображение")</f>
        <v>Maksim Sumatokhin: Ссылка на изображение</v>
      </c>
      <c r="BY251" t="s">
        <v>1896</v>
      </c>
      <c r="BZ251" t="s">
        <v>101</v>
      </c>
      <c r="CA251" t="s">
        <v>1640</v>
      </c>
      <c r="CB251" t="s">
        <v>1692</v>
      </c>
      <c r="CC251" t="s">
        <v>1640</v>
      </c>
    </row>
    <row r="252" spans="1:81" ht="15" customHeight="1" x14ac:dyDescent="0.35">
      <c r="A252">
        <v>438</v>
      </c>
      <c r="B252" t="s">
        <v>1897</v>
      </c>
      <c r="C252">
        <v>1</v>
      </c>
      <c r="D252" t="str">
        <f>VLOOKUP(source[[#This Row],[Приоритет]],тПриоритеты[],2,0)</f>
        <v>КРИТИЧЕСКОЕ</v>
      </c>
      <c r="E2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2" t="s">
        <v>1613</v>
      </c>
      <c r="G252" t="s">
        <v>97</v>
      </c>
      <c r="H252" t="str">
        <f>VLOOKUP(source[[#This Row],[Отвественный]],тОтветственные[],2,0)</f>
        <v>Отв1</v>
      </c>
      <c r="I252" s="2">
        <v>43714</v>
      </c>
      <c r="J252" s="2">
        <v>43714</v>
      </c>
      <c r="S252" s="1">
        <v>43714.603807870371</v>
      </c>
      <c r="T252" s="1">
        <v>43717.482499999998</v>
      </c>
      <c r="U252" s="1">
        <v>43717.713321759256</v>
      </c>
      <c r="W252" s="1">
        <v>43717.713333333333</v>
      </c>
      <c r="BF252" t="s">
        <v>1898</v>
      </c>
      <c r="BG252" t="s">
        <v>1615</v>
      </c>
      <c r="BH252" t="s">
        <v>1664</v>
      </c>
      <c r="BI252" t="s">
        <v>1899</v>
      </c>
      <c r="BJ252" t="s">
        <v>1900</v>
      </c>
      <c r="BK252" t="s">
        <v>1680</v>
      </c>
      <c r="BL252" t="s">
        <v>1615</v>
      </c>
      <c r="BM252" t="s">
        <v>101</v>
      </c>
      <c r="BN252" t="s">
        <v>1640</v>
      </c>
    </row>
    <row r="253" spans="1:81" ht="15" customHeight="1" x14ac:dyDescent="0.35">
      <c r="A253">
        <v>455</v>
      </c>
      <c r="B253" t="s">
        <v>1901</v>
      </c>
      <c r="C253">
        <v>3</v>
      </c>
      <c r="D253" t="str">
        <f>VLOOKUP(source[[#This Row],[Приоритет]],тПриоритеты[],2,0)</f>
        <v>Малозначительное</v>
      </c>
      <c r="E2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3" t="s">
        <v>1613</v>
      </c>
      <c r="G253" t="s">
        <v>97</v>
      </c>
      <c r="H253" t="str">
        <f>VLOOKUP(source[[#This Row],[Отвественный]],тОтветственные[],2,0)</f>
        <v>Отв1</v>
      </c>
      <c r="I253" s="2">
        <v>43718</v>
      </c>
      <c r="J253" s="2">
        <v>43735</v>
      </c>
      <c r="S253" s="1">
        <v>43718.492673611108</v>
      </c>
      <c r="T253" s="1">
        <v>43731.726782407408</v>
      </c>
      <c r="U253" s="1">
        <v>43731.726782407408</v>
      </c>
      <c r="W253" s="1">
        <v>43731.726782407408</v>
      </c>
      <c r="BF253" t="s">
        <v>1902</v>
      </c>
      <c r="BG253" t="s">
        <v>1664</v>
      </c>
      <c r="BH253" t="s">
        <v>1903</v>
      </c>
      <c r="BI253" t="s">
        <v>1615</v>
      </c>
      <c r="BJ253" t="s">
        <v>1904</v>
      </c>
      <c r="BK253" t="s">
        <v>1883</v>
      </c>
      <c r="BL253" t="s">
        <v>1905</v>
      </c>
      <c r="BM253" t="s">
        <v>101</v>
      </c>
      <c r="BN253" t="s">
        <v>1693</v>
      </c>
      <c r="BO253" t="s">
        <v>1866</v>
      </c>
      <c r="BP253" t="s">
        <v>1640</v>
      </c>
    </row>
    <row r="254" spans="1:81" ht="15" customHeight="1" x14ac:dyDescent="0.35">
      <c r="A254">
        <v>589</v>
      </c>
      <c r="B254" t="s">
        <v>1906</v>
      </c>
      <c r="C254">
        <v>2</v>
      </c>
      <c r="D254" t="str">
        <f>VLOOKUP(source[[#This Row],[Приоритет]],тПриоритеты[],2,0)</f>
        <v>Значительное</v>
      </c>
      <c r="E2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4" t="s">
        <v>1613</v>
      </c>
      <c r="G254" t="s">
        <v>97</v>
      </c>
      <c r="H254" t="str">
        <f>VLOOKUP(source[[#This Row],[Отвественный]],тОтветственные[],2,0)</f>
        <v>Отв1</v>
      </c>
      <c r="I254" s="2">
        <v>43748</v>
      </c>
      <c r="J254" s="2">
        <v>43749</v>
      </c>
      <c r="S254" s="1">
        <v>43748.461747685185</v>
      </c>
      <c r="T254" s="1">
        <v>43748.611192129632</v>
      </c>
      <c r="U254" s="1">
        <v>43753.740844907406</v>
      </c>
      <c r="W254" s="1">
        <v>43753.740844907406</v>
      </c>
      <c r="BF254" t="s">
        <v>1907</v>
      </c>
      <c r="BG254" t="s">
        <v>1664</v>
      </c>
      <c r="BH254" t="s">
        <v>1908</v>
      </c>
      <c r="BI254" t="s">
        <v>1909</v>
      </c>
      <c r="BJ254" t="s">
        <v>1910</v>
      </c>
      <c r="BK254" t="str">
        <f>HYPERLINK("https://d33htgqikc2pj4.cloudfront.net/qvHDimMUqxZcQnsj/CaNvFnIR8OWvSPjTcMPw_doc02375320191010140514.pdf", "Maksim Sumatokhin: Ссылка на файл")</f>
        <v>Maksim Sumatokhin: Ссылка на файл</v>
      </c>
      <c r="BL254" t="s">
        <v>1911</v>
      </c>
      <c r="BM254" t="s">
        <v>101</v>
      </c>
      <c r="BN254" t="s">
        <v>1640</v>
      </c>
    </row>
    <row r="255" spans="1:81" ht="15" customHeight="1" x14ac:dyDescent="0.35">
      <c r="A255">
        <v>682</v>
      </c>
      <c r="B255" t="s">
        <v>1662</v>
      </c>
      <c r="C255">
        <v>1</v>
      </c>
      <c r="D255" t="str">
        <f>VLOOKUP(source[[#This Row],[Приоритет]],тПриоритеты[],2,0)</f>
        <v>КРИТИЧЕСКОЕ</v>
      </c>
      <c r="E2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55" t="s">
        <v>1613</v>
      </c>
      <c r="G255" t="s">
        <v>97</v>
      </c>
      <c r="H255" t="str">
        <f>VLOOKUP(source[[#This Row],[Отвественный]],тОтветственные[],2,0)</f>
        <v>Отв1</v>
      </c>
      <c r="I255" s="2">
        <v>43802</v>
      </c>
      <c r="J255" s="2">
        <v>43803</v>
      </c>
      <c r="S255" s="1">
        <v>43777.607407407406</v>
      </c>
      <c r="T255" s="1">
        <v>43808.389305555553</v>
      </c>
      <c r="U255" s="1">
        <v>43808.404317129629</v>
      </c>
      <c r="W255" s="1">
        <v>43808.404317129629</v>
      </c>
      <c r="BF255" t="s">
        <v>1663</v>
      </c>
      <c r="BG255" t="s">
        <v>1615</v>
      </c>
      <c r="BH255" t="s">
        <v>1664</v>
      </c>
      <c r="BI255" t="str">
        <f>HYPERLINK("https://d33htgqikc2pj4.cloudfront.net/6ec05b06dce8f6cbf9a6bb4af5451292/2af068d76fc5ed7ebeec0807f11636b9-file.jpeg", "Алексей Александров: Ссылка на изображение")</f>
        <v>Алексей Александров: Ссылка на изображение</v>
      </c>
      <c r="BJ255" t="str">
        <f>HYPERLINK("https://d33htgqikc2pj4.cloudfront.net/07e8c2dc54b96203e3a1389705dff642/753f723e0dca55ce63c31edee93019a4-file.jpeg", "Алексей Александров: Ссылка на изображение")</f>
        <v>Алексей Александров: Ссылка на изображение</v>
      </c>
      <c r="BK255" t="s">
        <v>1912</v>
      </c>
      <c r="BL255" t="s">
        <v>1623</v>
      </c>
      <c r="BM255" t="s">
        <v>1913</v>
      </c>
      <c r="BN255" t="s">
        <v>1914</v>
      </c>
      <c r="BO255" t="s">
        <v>101</v>
      </c>
      <c r="BP255" t="s">
        <v>1640</v>
      </c>
    </row>
    <row r="256" spans="1:81" ht="15" customHeight="1" x14ac:dyDescent="0.35">
      <c r="A256">
        <v>791</v>
      </c>
      <c r="B256" t="s">
        <v>1915</v>
      </c>
      <c r="C256">
        <v>1</v>
      </c>
      <c r="D256" t="str">
        <f>VLOOKUP(source[[#This Row],[Приоритет]],тПриоритеты[],2,0)</f>
        <v>КРИТИЧЕСКОЕ</v>
      </c>
      <c r="E256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256" t="s">
        <v>1613</v>
      </c>
      <c r="G256" t="s">
        <v>1421</v>
      </c>
      <c r="H256" t="str">
        <f>VLOOKUP(source[[#This Row],[Отвественный]],тОтветственные[],2,0)</f>
        <v>Отв31</v>
      </c>
      <c r="I256" s="2">
        <v>43819</v>
      </c>
      <c r="J256" s="2">
        <v>43822</v>
      </c>
      <c r="S256" s="1">
        <v>43819.706018518518</v>
      </c>
      <c r="W256" s="1">
        <v>43822.716736111113</v>
      </c>
      <c r="BF256" t="s">
        <v>1916</v>
      </c>
      <c r="BG256" t="str">
        <f>HYPERLINK("https://d33htgqikc2pj4.cloudfront.net/6fcbc699866d33733ac2c74c9a579dff/6ecd88274c7087da0263bf69863c9c31-file.jpeg", "Алексей Александров: Ссылка на изображение")</f>
        <v>Алексей Александров: Ссылка на изображение</v>
      </c>
      <c r="BH256" t="str">
        <f>HYPERLINK("https://d33htgqikc2pj4.cloudfront.net/d2faa47bcf6a664195c3515a3f9d4fd7/4eb0e263809022e452c2fccaa3b9784e-file.jpeg", "Алексей Александров: Ссылка на изображение")</f>
        <v>Алексей Александров: Ссылка на изображение</v>
      </c>
      <c r="BI256" t="str">
        <f>HYPERLINK("https://d33htgqikc2pj4.cloudfront.net/418d3b8bcebae74c3e09d475a91d6d62/3ff779aa2cabae0569c306b9d4d4bed1-file.jpeg", "Алексей Александров: Ссылка на изображение")</f>
        <v>Алексей Александров: Ссылка на изображение</v>
      </c>
      <c r="BJ256" t="str">
        <f>HYPERLINK("https://d33htgqikc2pj4.cloudfront.net/dc0cf7085083b303365fa28b5277738c/ef9798885c5d08b074d7ebf9d37f1751-file.jpeg", "Алексей Александров: Ссылка на изображение")</f>
        <v>Алексей Александров: Ссылка на изображение</v>
      </c>
      <c r="BK256" t="s">
        <v>1917</v>
      </c>
      <c r="BL256" t="s">
        <v>1918</v>
      </c>
      <c r="BM256" t="s">
        <v>1919</v>
      </c>
      <c r="BN256" t="s">
        <v>1920</v>
      </c>
      <c r="BO256" t="s">
        <v>1921</v>
      </c>
      <c r="BP256" t="s">
        <v>1444</v>
      </c>
      <c r="BQ256" t="s">
        <v>1615</v>
      </c>
    </row>
    <row r="257" spans="1:72" ht="15" customHeight="1" x14ac:dyDescent="0.35">
      <c r="A257">
        <v>814</v>
      </c>
      <c r="B257" t="s">
        <v>1922</v>
      </c>
      <c r="C257">
        <v>1</v>
      </c>
      <c r="D257" t="str">
        <f>VLOOKUP(source[[#This Row],[Приоритет]],тПриоритеты[],2,0)</f>
        <v>КРИТИЧЕСКОЕ</v>
      </c>
      <c r="E257" t="str">
        <f>IF(ISBLANK(source[[#This Row],[Проверенные]]),IF(ISBLANK(source[[#This Row],[Завершенные]]),source[[#This Row],[Приоритет_]],"Завершено"),"Проверено")</f>
        <v>КРИТИЧЕСКОЕ</v>
      </c>
      <c r="F257" t="s">
        <v>1613</v>
      </c>
      <c r="G257" t="s">
        <v>1421</v>
      </c>
      <c r="H257" t="str">
        <f>VLOOKUP(source[[#This Row],[Отвественный]],тОтветственные[],2,0)</f>
        <v>Отв31</v>
      </c>
      <c r="I257" s="2">
        <v>43822</v>
      </c>
      <c r="J257" s="2">
        <v>43845</v>
      </c>
      <c r="S257" s="1">
        <v>43822.42633101852</v>
      </c>
      <c r="W257" s="1">
        <v>43822.718425925923</v>
      </c>
      <c r="BF257" t="s">
        <v>1923</v>
      </c>
      <c r="BG257" t="s">
        <v>1615</v>
      </c>
      <c r="BH257" t="s">
        <v>1920</v>
      </c>
      <c r="BI257" t="s">
        <v>1665</v>
      </c>
      <c r="BJ257" t="s">
        <v>1924</v>
      </c>
      <c r="BK257" t="s">
        <v>1925</v>
      </c>
      <c r="BL257" t="s">
        <v>1926</v>
      </c>
      <c r="BM257" t="s">
        <v>1927</v>
      </c>
      <c r="BN257" t="s">
        <v>1615</v>
      </c>
      <c r="BO257" t="s">
        <v>1928</v>
      </c>
    </row>
    <row r="258" spans="1:72" ht="15" customHeight="1" x14ac:dyDescent="0.35">
      <c r="A258">
        <v>792</v>
      </c>
      <c r="B258" t="s">
        <v>1929</v>
      </c>
      <c r="C258">
        <v>2</v>
      </c>
      <c r="D258" t="str">
        <f>VLOOKUP(source[[#This Row],[Приоритет]],тПриоритеты[],2,0)</f>
        <v>Значительное</v>
      </c>
      <c r="E258" t="str">
        <f>IF(ISBLANK(source[[#This Row],[Проверенные]]),IF(ISBLANK(source[[#This Row],[Завершенные]]),source[[#This Row],[Приоритет_]],"Завершено"),"Проверено")</f>
        <v>Значительное</v>
      </c>
      <c r="F258" t="s">
        <v>1613</v>
      </c>
      <c r="G258" t="s">
        <v>1421</v>
      </c>
      <c r="H258" t="str">
        <f>VLOOKUP(source[[#This Row],[Отвественный]],тОтветственные[],2,0)</f>
        <v>Отв31</v>
      </c>
      <c r="I258" s="2">
        <v>43819</v>
      </c>
      <c r="J258" s="2">
        <v>43823</v>
      </c>
      <c r="S258" s="1">
        <v>43819.70894675926</v>
      </c>
      <c r="W258" s="1">
        <v>43822.711006944446</v>
      </c>
      <c r="BF258" t="s">
        <v>1930</v>
      </c>
      <c r="BG258" t="str">
        <f>HYPERLINK("https://d33htgqikc2pj4.cloudfront.net/73bf9eab3dd437122dc68e31dd48f101/05821f2b0a0dae6b539ca5865d3a43a4-file.jpeg", "Алексей Александров: Ссылка на изображение")</f>
        <v>Алексей Александров: Ссылка на изображение</v>
      </c>
      <c r="BH258" t="str">
        <f>HYPERLINK("https://d33htgqikc2pj4.cloudfront.net/bc77fc4a4e859b65e8a00b239aa0fe1b/7c62464fda2513b02ebc4887d8d6fc00-file.jpeg", "Алексей Александров: Ссылка на изображение")</f>
        <v>Алексей Александров: Ссылка на изображение</v>
      </c>
      <c r="BI258" t="str">
        <f>HYPERLINK("https://d33htgqikc2pj4.cloudfront.net/da3e850b57e1b49240a2f9a38357592c/9587019aa97bbbb3d4ec01e0948e8158-file.jpeg", "Алексей Александров: Ссылка на изображение")</f>
        <v>Алексей Александров: Ссылка на изображение</v>
      </c>
      <c r="BJ258" t="str">
        <f>HYPERLINK("https://d33htgqikc2pj4.cloudfront.net/2626a654c471a9a4245bc53a04a84711/1c8b950476e3dc64ea52e573d2c070a3-file.jpeg", "Алексей Александров: Ссылка на изображение")</f>
        <v>Алексей Александров: Ссылка на изображение</v>
      </c>
      <c r="BK258" t="str">
        <f>HYPERLINK("https://d33htgqikc2pj4.cloudfront.net/e9324ede1650b472059130a811e54c38/20a1798f85c65ffd3f0a4279fd8398ca-file.jpeg", "Алексей Александров: Ссылка на изображение")</f>
        <v>Алексей Александров: Ссылка на изображение</v>
      </c>
      <c r="BL258" t="str">
        <f>HYPERLINK("https://d33htgqikc2pj4.cloudfront.net/3bf89b31027d7b766f3c5cd3818004f5/7abe8fa8405175085ad57ed4e13c5f92-file.jpeg", "Алексей Александров: Ссылка на изображение")</f>
        <v>Алексей Александров: Ссылка на изображение</v>
      </c>
      <c r="BM258" t="str">
        <f>HYPERLINK("https://d33htgqikc2pj4.cloudfront.net/45ddcc31a1f61e808c4156fdbaaad60c/2874ab84801752918d0e202c75f705ec-file.jpeg", "Алексей Александров: Ссылка на изображение")</f>
        <v>Алексей Александров: Ссылка на изображение</v>
      </c>
      <c r="BN258" t="s">
        <v>1917</v>
      </c>
      <c r="BO258" t="s">
        <v>1666</v>
      </c>
      <c r="BP258" t="s">
        <v>1931</v>
      </c>
      <c r="BQ258" t="s">
        <v>1615</v>
      </c>
      <c r="BR258" t="s">
        <v>1920</v>
      </c>
      <c r="BS258" t="s">
        <v>1932</v>
      </c>
      <c r="BT258" t="s">
        <v>1927</v>
      </c>
    </row>
    <row r="259" spans="1:72" ht="15" customHeight="1" x14ac:dyDescent="0.35">
      <c r="A259">
        <v>764</v>
      </c>
      <c r="B259" t="s">
        <v>1933</v>
      </c>
      <c r="C259">
        <v>3</v>
      </c>
      <c r="D259" t="str">
        <f>VLOOKUP(source[[#This Row],[Приоритет]],тПриоритеты[],2,0)</f>
        <v>Малозначительное</v>
      </c>
      <c r="E259" t="str">
        <f>IF(ISBLANK(source[[#This Row],[Проверенные]]),IF(ISBLANK(source[[#This Row],[Завершенные]]),source[[#This Row],[Приоритет_]],"Завершено"),"Проверено")</f>
        <v>Малозначительное</v>
      </c>
      <c r="F259" t="s">
        <v>1613</v>
      </c>
      <c r="G259" t="s">
        <v>1421</v>
      </c>
      <c r="H259" t="str">
        <f>VLOOKUP(source[[#This Row],[Отвественный]],тОтветственные[],2,0)</f>
        <v>Отв31</v>
      </c>
      <c r="S259" s="1">
        <v>43809.596712962964</v>
      </c>
      <c r="W259" s="1">
        <v>43816.464999999997</v>
      </c>
      <c r="BF259" t="s">
        <v>1934</v>
      </c>
      <c r="BG259" t="s">
        <v>1920</v>
      </c>
      <c r="BH259" t="s">
        <v>1615</v>
      </c>
      <c r="BI259" s="3" t="s">
        <v>1935</v>
      </c>
      <c r="BJ259" t="s">
        <v>1936</v>
      </c>
      <c r="BK259" t="s">
        <v>1937</v>
      </c>
    </row>
    <row r="260" spans="1:72" ht="15" customHeight="1" x14ac:dyDescent="0.35">
      <c r="A260">
        <v>604</v>
      </c>
      <c r="B260" t="s">
        <v>1938</v>
      </c>
      <c r="C260">
        <v>1</v>
      </c>
      <c r="D260" t="str">
        <f>VLOOKUP(source[[#This Row],[Приоритет]],тПриоритеты[],2,0)</f>
        <v>КРИТИЧЕСКОЕ</v>
      </c>
      <c r="E2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0" t="s">
        <v>1613</v>
      </c>
      <c r="G260" t="s">
        <v>1421</v>
      </c>
      <c r="H260" t="str">
        <f>VLOOKUP(source[[#This Row],[Отвественный]],тОтветственные[],2,0)</f>
        <v>Отв31</v>
      </c>
      <c r="I260" s="2">
        <v>43752</v>
      </c>
      <c r="J260" s="2">
        <v>43756</v>
      </c>
      <c r="S260" s="1">
        <v>43752.472083333334</v>
      </c>
      <c r="T260" s="1">
        <v>43760.412199074075</v>
      </c>
      <c r="U260" s="1">
        <v>43769.632974537039</v>
      </c>
      <c r="W260" s="1">
        <v>43769.632974537039</v>
      </c>
      <c r="BF260" t="s">
        <v>1939</v>
      </c>
      <c r="BG260" t="str">
        <f>HYPERLINK("https://d33htgqikc2pj4.cloudfront.net/d4bb3f765284fad6db81ec6794c52e70/3e73a42ed8b5a3f10935d513ead4d129-file.jpeg", "Алексей Александров: Ссылка на изображение")</f>
        <v>Алексей Александров: Ссылка на изображение</v>
      </c>
      <c r="BH260" t="str">
        <f>HYPERLINK("https://d33htgqikc2pj4.cloudfront.net/9d37222ae8262fb3a131720cd7935baf/a0e2171887724d4c4e39cff24894e916-file.jpeg", "Алексей Александров: Ссылка на изображение")</f>
        <v>Алексей Александров: Ссылка на изображение</v>
      </c>
      <c r="BI260" t="s">
        <v>1920</v>
      </c>
      <c r="BJ260" t="s">
        <v>1615</v>
      </c>
      <c r="BK260" t="str">
        <f>HYPERLINK("https://d33htgqikc2pj4.cloudfront.net/7dbf118922e2ee27841af67a41ddeb10/0946fe93be85f11b4be0dab75fde1cc9-file.jpeg", "Алексей Александров: Ссылка на изображение")</f>
        <v>Алексей Александров: Ссылка на изображение</v>
      </c>
      <c r="BL260" t="str">
        <f>HYPERLINK("https://d33htgqikc2pj4.cloudfront.net/313393b5d36d52679420157177174925/1622b98c28e204bf2cce69fc35f45b9e-file.jpeg", "Алексей Александров: Ссылка на изображение")</f>
        <v>Алексей Александров: Ссылка на изображение</v>
      </c>
      <c r="BM260" t="s">
        <v>1940</v>
      </c>
      <c r="BN260" t="s">
        <v>1941</v>
      </c>
      <c r="BO260" s="3" t="s">
        <v>1942</v>
      </c>
      <c r="BP260" t="s">
        <v>1444</v>
      </c>
      <c r="BQ260" t="s">
        <v>1943</v>
      </c>
      <c r="BR260" t="s">
        <v>1640</v>
      </c>
    </row>
    <row r="261" spans="1:72" ht="15" customHeight="1" x14ac:dyDescent="0.35">
      <c r="A261">
        <v>605</v>
      </c>
      <c r="B261" t="s">
        <v>1944</v>
      </c>
      <c r="C261">
        <v>1</v>
      </c>
      <c r="D261" t="str">
        <f>VLOOKUP(source[[#This Row],[Приоритет]],тПриоритеты[],2,0)</f>
        <v>КРИТИЧЕСКОЕ</v>
      </c>
      <c r="E2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1" t="s">
        <v>1613</v>
      </c>
      <c r="G261" t="s">
        <v>1421</v>
      </c>
      <c r="H261" t="str">
        <f>VLOOKUP(source[[#This Row],[Отвественный]],тОтветственные[],2,0)</f>
        <v>Отв31</v>
      </c>
      <c r="I261" s="2">
        <v>43752</v>
      </c>
      <c r="J261" s="2">
        <v>43756</v>
      </c>
      <c r="S261" s="1">
        <v>43752.478460648148</v>
      </c>
      <c r="T261" s="1">
        <v>43760.411747685182</v>
      </c>
      <c r="U261" s="1">
        <v>43769.633032407408</v>
      </c>
      <c r="W261" s="1">
        <v>43769.633032407408</v>
      </c>
      <c r="BF261" t="s">
        <v>1945</v>
      </c>
      <c r="BG261" t="str">
        <f>HYPERLINK("https://d33htgqikc2pj4.cloudfront.net/0a763f1188e7a4a58588f65337f7967d/29ac408f61930d1b2608b40b5f5b6872-file.jpeg", "Алексей Александров: Ссылка на изображение")</f>
        <v>Алексей Александров: Ссылка на изображение</v>
      </c>
      <c r="BH261" t="str">
        <f>HYPERLINK("https://d33htgqikc2pj4.cloudfront.net/683e804626938913c5ecec04e313ea2c/c12cb45a227318f9e6e328d276335868-file.jpeg", "Алексей Александров: Ссылка на изображение")</f>
        <v>Алексей Александров: Ссылка на изображение</v>
      </c>
      <c r="BI261" t="s">
        <v>1940</v>
      </c>
      <c r="BJ261" t="s">
        <v>1941</v>
      </c>
      <c r="BK261" t="s">
        <v>1920</v>
      </c>
      <c r="BL261" t="s">
        <v>1615</v>
      </c>
      <c r="BM261" t="s">
        <v>1946</v>
      </c>
      <c r="BN261" t="s">
        <v>1444</v>
      </c>
      <c r="BO261" t="s">
        <v>1943</v>
      </c>
      <c r="BP261" t="s">
        <v>1640</v>
      </c>
    </row>
    <row r="262" spans="1:72" ht="15" customHeight="1" x14ac:dyDescent="0.35">
      <c r="A262">
        <v>355</v>
      </c>
      <c r="B262" t="s">
        <v>1938</v>
      </c>
      <c r="C262">
        <v>1</v>
      </c>
      <c r="D262" t="str">
        <f>VLOOKUP(source[[#This Row],[Приоритет]],тПриоритеты[],2,0)</f>
        <v>КРИТИЧЕСКОЕ</v>
      </c>
      <c r="E2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2" t="s">
        <v>1613</v>
      </c>
      <c r="G262" t="s">
        <v>1421</v>
      </c>
      <c r="H262" t="str">
        <f>VLOOKUP(source[[#This Row],[Отвественный]],тОтветственные[],2,0)</f>
        <v>Отв31</v>
      </c>
      <c r="I262" s="2">
        <v>43690</v>
      </c>
      <c r="J262" s="2">
        <v>43690</v>
      </c>
      <c r="S262" s="1">
        <v>43690.663090277776</v>
      </c>
      <c r="T262" s="1">
        <v>43691.606354166666</v>
      </c>
      <c r="U262" s="1">
        <v>43693.400706018518</v>
      </c>
      <c r="W262" s="1">
        <v>43693.400740740741</v>
      </c>
      <c r="BF262" t="s">
        <v>1939</v>
      </c>
      <c r="BG262" t="s">
        <v>1615</v>
      </c>
      <c r="BH262" t="s">
        <v>1920</v>
      </c>
      <c r="BI262" t="str">
        <f>HYPERLINK("https://d33htgqikc2pj4.cloudfront.net/2d76d8044a184ffece11805d00999b0f/88c1f471a6568e032bdc73ff0926c9a8-file.jpeg", "Алексей Александров: Ссылка на изображение")</f>
        <v>Алексей Александров: Ссылка на изображение</v>
      </c>
      <c r="BJ262" t="s">
        <v>1947</v>
      </c>
      <c r="BK262" t="s">
        <v>1948</v>
      </c>
      <c r="BL262" t="str">
        <f>HYPERLINK("https://d33htgqikc2pj4.cloudfront.net/4598f7a7386d195fd72daa7e228abd1e/aba84ba34d58f645e28615f3385beaac-file.jpeg", "Sergey Solodovnikov: Ссылка на изображение")</f>
        <v>Sergey Solodovnikov: Ссылка на изображение</v>
      </c>
      <c r="BM262" t="s">
        <v>1949</v>
      </c>
      <c r="BN262" t="s">
        <v>1444</v>
      </c>
      <c r="BO262" t="s">
        <v>1640</v>
      </c>
    </row>
    <row r="263" spans="1:72" ht="15" customHeight="1" x14ac:dyDescent="0.35">
      <c r="A263">
        <v>714</v>
      </c>
      <c r="B263" t="s">
        <v>1950</v>
      </c>
      <c r="C263">
        <v>3</v>
      </c>
      <c r="D263" t="str">
        <f>VLOOKUP(source[[#This Row],[Приоритет]],тПриоритеты[],2,0)</f>
        <v>Малозначительное</v>
      </c>
      <c r="E2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3" t="s">
        <v>1613</v>
      </c>
      <c r="G263" t="s">
        <v>1421</v>
      </c>
      <c r="H263" t="str">
        <f>VLOOKUP(source[[#This Row],[Отвественный]],тОтветственные[],2,0)</f>
        <v>Отв31</v>
      </c>
      <c r="I263" s="2">
        <v>43791</v>
      </c>
      <c r="J263" s="2">
        <v>43794</v>
      </c>
      <c r="S263" s="1">
        <v>43791.704085648147</v>
      </c>
      <c r="T263" s="1">
        <v>43795.578321759262</v>
      </c>
      <c r="U263" s="1">
        <v>43801.592962962961</v>
      </c>
      <c r="W263" s="1">
        <v>43801.592962962961</v>
      </c>
      <c r="BF263" t="s">
        <v>1951</v>
      </c>
      <c r="BG263" t="str">
        <f>HYPERLINK("https://d33htgqikc2pj4.cloudfront.net/a6a36e33e56cb4af06aa3cbf0d1d57e8/9b8539298291896fea27171c92a20bdd-file.jpeg", "Алексей Александров: Ссылка на изображение")</f>
        <v>Алексей Александров: Ссылка на изображение</v>
      </c>
      <c r="BH263" t="str">
        <f>HYPERLINK("https://d33htgqikc2pj4.cloudfront.net/6dbc13065a8a9be1251df0d64caacee0/d0428e96abe22ccae6acead39b120a06-file.jpeg", "Алексей Александров: Ссылка на изображение")</f>
        <v>Алексей Александров: Ссылка на изображение</v>
      </c>
      <c r="BI263" t="str">
        <f>HYPERLINK("https://d33htgqikc2pj4.cloudfront.net/93e4dca30159319a6ea42549ee211f3b/6f04fa17c1ec71275f9364ee1406791b-file.jpeg", "Алексей Александров: Ссылка на изображение")</f>
        <v>Алексей Александров: Ссылка на изображение</v>
      </c>
      <c r="BJ263" t="str">
        <f>HYPERLINK("https://d33htgqikc2pj4.cloudfront.net/9c8771b5a4db961313a2e8ebcca785f5/cacdf9a635a7293e4d90eadb406d52e0-file.jpeg", "Алексей Александров: Ссылка на изображение")</f>
        <v>Алексей Александров: Ссылка на изображение</v>
      </c>
      <c r="BK263" t="str">
        <f>HYPERLINK("https://d33htgqikc2pj4.cloudfront.net/e76925bc9de283ceaabbdd99b5d9ea86/36aca96d2451548777405187041af7c9-file.jpeg", "Алексей Александров: Ссылка на изображение")</f>
        <v>Алексей Александров: Ссылка на изображение</v>
      </c>
      <c r="BL263" t="s">
        <v>1615</v>
      </c>
      <c r="BM263" t="s">
        <v>1920</v>
      </c>
      <c r="BN263" t="s">
        <v>1649</v>
      </c>
      <c r="BO263" t="s">
        <v>1650</v>
      </c>
      <c r="BP263" s="3" t="s">
        <v>1952</v>
      </c>
      <c r="BQ263" t="s">
        <v>1937</v>
      </c>
      <c r="BR263" t="s">
        <v>1444</v>
      </c>
      <c r="BS263" t="s">
        <v>1953</v>
      </c>
      <c r="BT263" t="s">
        <v>1640</v>
      </c>
    </row>
    <row r="264" spans="1:72" ht="15" customHeight="1" x14ac:dyDescent="0.35">
      <c r="A264">
        <v>466</v>
      </c>
      <c r="B264" t="s">
        <v>1954</v>
      </c>
      <c r="C264">
        <v>2</v>
      </c>
      <c r="D264" t="str">
        <f>VLOOKUP(source[[#This Row],[Приоритет]],тПриоритеты[],2,0)</f>
        <v>Значительное</v>
      </c>
      <c r="E2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4" t="s">
        <v>1613</v>
      </c>
      <c r="G264" t="s">
        <v>1421</v>
      </c>
      <c r="H264" t="str">
        <f>VLOOKUP(source[[#This Row],[Отвественный]],тОтветственные[],2,0)</f>
        <v>Отв31</v>
      </c>
      <c r="S264" s="1">
        <v>43719.648020833331</v>
      </c>
      <c r="T264" s="1">
        <v>43721.416585648149</v>
      </c>
      <c r="U264" s="1">
        <v>43724.446064814816</v>
      </c>
      <c r="W264" s="1">
        <v>43724.446122685185</v>
      </c>
      <c r="BF264" t="s">
        <v>1955</v>
      </c>
      <c r="BG264" t="s">
        <v>1920</v>
      </c>
      <c r="BH264" s="3" t="s">
        <v>1956</v>
      </c>
      <c r="BI264" t="s">
        <v>1957</v>
      </c>
      <c r="BJ264" t="s">
        <v>1444</v>
      </c>
      <c r="BK264" t="s">
        <v>1640</v>
      </c>
    </row>
    <row r="265" spans="1:72" ht="15" customHeight="1" x14ac:dyDescent="0.35">
      <c r="A265">
        <v>329</v>
      </c>
      <c r="B265" t="s">
        <v>1958</v>
      </c>
      <c r="C265">
        <v>1</v>
      </c>
      <c r="D265" t="str">
        <f>VLOOKUP(source[[#This Row],[Приоритет]],тПриоритеты[],2,0)</f>
        <v>КРИТИЧЕСКОЕ</v>
      </c>
      <c r="E2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5" t="s">
        <v>1613</v>
      </c>
      <c r="G265" t="s">
        <v>1421</v>
      </c>
      <c r="H265" t="str">
        <f>VLOOKUP(source[[#This Row],[Отвественный]],тОтветственные[],2,0)</f>
        <v>Отв31</v>
      </c>
      <c r="I265" s="2">
        <v>43677</v>
      </c>
      <c r="J265" s="2">
        <v>43677</v>
      </c>
      <c r="S265" s="1">
        <v>43677.697847222225</v>
      </c>
      <c r="T265" s="1">
        <v>43679.439247685186</v>
      </c>
      <c r="U265" s="1">
        <v>43679.581990740742</v>
      </c>
      <c r="W265" s="1">
        <v>43679.581990740742</v>
      </c>
      <c r="BF265" t="s">
        <v>1959</v>
      </c>
      <c r="BG265" t="str">
        <f>HYPERLINK("https://d33htgqikc2pj4.cloudfront.net/8b01095955dd5f9e3549bc9073954209/3425912f3a294998b87997b74d554986-file.jpeg", "Алексей Александров: Ссылка на изображение")</f>
        <v>Алексей Александров: Ссылка на изображение</v>
      </c>
      <c r="BH265" t="str">
        <f>HYPERLINK("https://d33htgqikc2pj4.cloudfront.net/a916e75590dc0eb4afdf5e689a58fe03/576c99628f2698fb6ccfd7b7b657664a-file.jpeg", "Алексей Александров: Ссылка на изображение")</f>
        <v>Алексей Александров: Ссылка на изображение</v>
      </c>
      <c r="BI265" t="str">
        <f>HYPERLINK("https://d33htgqikc2pj4.cloudfront.net/2c01caaf6175cc671b44b7f91a2b8e7c/e2fae93fbd0859818e94254566b235a7-file.jpeg", "Алексей Александров: Ссылка на изображение")</f>
        <v>Алексей Александров: Ссылка на изображение</v>
      </c>
      <c r="BJ265" t="str">
        <f>HYPERLINK("https://d33htgqikc2pj4.cloudfront.net/6e873d05b8c5f207006e2908f18e12c0/16170f10b7b138d860d52ab5858574d8-file.jpeg", "Алексей Александров: Ссылка на изображение")</f>
        <v>Алексей Александров: Ссылка на изображение</v>
      </c>
      <c r="BK265" t="s">
        <v>1920</v>
      </c>
      <c r="BL265" t="s">
        <v>1615</v>
      </c>
      <c r="BM265" t="s">
        <v>1960</v>
      </c>
      <c r="BN265" t="s">
        <v>1847</v>
      </c>
      <c r="BO265" t="str">
        <f>HYPERLINK("https://d33htgqikc2pj4.cloudfront.net/29b633f1cee22978da2459e238b4c061/a4ff7c5648d2df7e89b635b6bcc945d0-file.jpeg", "Sergey Solodovnikov: Ссылка на изображение")</f>
        <v>Sergey Solodovnikov: Ссылка на изображение</v>
      </c>
      <c r="BP265" t="str">
        <f>HYPERLINK("https://d33htgqikc2pj4.cloudfront.net/7b8afd8ae4bcfd06538639e38bfb0883/72b29882af880ca1ef877700afc41418-file.jpeg", "Sergey Solodovnikov: Ссылка на изображение")</f>
        <v>Sergey Solodovnikov: Ссылка на изображение</v>
      </c>
      <c r="BQ265" t="s">
        <v>1961</v>
      </c>
      <c r="BR265" t="s">
        <v>1444</v>
      </c>
      <c r="BS265" t="s">
        <v>1640</v>
      </c>
    </row>
    <row r="266" spans="1:72" ht="15" customHeight="1" x14ac:dyDescent="0.35">
      <c r="A266">
        <v>344</v>
      </c>
      <c r="B266" t="s">
        <v>1962</v>
      </c>
      <c r="C266">
        <v>1</v>
      </c>
      <c r="D266" t="str">
        <f>VLOOKUP(source[[#This Row],[Приоритет]],тПриоритеты[],2,0)</f>
        <v>КРИТИЧЕСКОЕ</v>
      </c>
      <c r="E2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6" t="s">
        <v>1613</v>
      </c>
      <c r="G266" t="s">
        <v>1421</v>
      </c>
      <c r="H266" t="str">
        <f>VLOOKUP(source[[#This Row],[Отвественный]],тОтветственные[],2,0)</f>
        <v>Отв31</v>
      </c>
      <c r="I266" s="2">
        <v>43683</v>
      </c>
      <c r="J266" s="2">
        <v>43683</v>
      </c>
      <c r="S266" s="1">
        <v>43683.380972222221</v>
      </c>
      <c r="T266" s="1">
        <v>43684.698101851849</v>
      </c>
      <c r="U266" s="1">
        <v>43685.506782407407</v>
      </c>
      <c r="W266" s="1">
        <v>43685.506793981483</v>
      </c>
      <c r="BF266" t="s">
        <v>1963</v>
      </c>
      <c r="BG266" t="s">
        <v>1920</v>
      </c>
      <c r="BH266" t="s">
        <v>1964</v>
      </c>
      <c r="BI266" t="str">
        <f>HYPERLINK("https://d33htgqikc2pj4.cloudfront.net/ac74fe4ac4f7eeb574c732045ae91cb2/548de1e006988ab83dac39e12c5bc310-file.jpeg", "Алексей Александров: Ссылка на изображение")</f>
        <v>Алексей Александров: Ссылка на изображение</v>
      </c>
      <c r="BJ266" t="str">
        <f>HYPERLINK("https://d33htgqikc2pj4.cloudfront.net/508830e136b9c14d73c8cc9b691bc410/239d77106c3c7ea40deaa76f420a0c44-file.jpeg", "Алексей Александров: Ссылка на изображение")</f>
        <v>Алексей Александров: Ссылка на изображение</v>
      </c>
      <c r="BK266" t="str">
        <f>HYPERLINK("https://d33htgqikc2pj4.cloudfront.net/5302fb138c656cfedd7537a2be718156/50fb4106b0d3705d3a16c3aa7c55b404-file.jpeg", "Алексей Александров: Ссылка на изображение")</f>
        <v>Алексей Александров: Ссылка на изображение</v>
      </c>
      <c r="BL266" t="str">
        <f>HYPERLINK("https://d33htgqikc2pj4.cloudfront.net/fae356b83ec783b16902a83b140a0c9a/d458907753b9ed012785c3b93a67059e-file.jpeg", "Алексей Александров: Ссылка на изображение")</f>
        <v>Алексей Александров: Ссылка на изображение</v>
      </c>
      <c r="BM266" t="str">
        <f>HYPERLINK("https://d33htgqikc2pj4.cloudfront.net/43d4abf4765cfe16f328e118a12c9c11/a5214c7adce7f547455ec8d052c65781-file.jpeg", "Алексей Александров: Ссылка на изображение")</f>
        <v>Алексей Александров: Ссылка на изображение</v>
      </c>
      <c r="BN266" t="str">
        <f>HYPERLINK("https://d33htgqikc2pj4.cloudfront.net/68dedaf30b8694f3d853c082d411fca4/1cfe8e28c8ed27575e60df12ec134b83-file.jpeg", "Алексей Александров: Ссылка на изображение")</f>
        <v>Алексей Александров: Ссылка на изображение</v>
      </c>
      <c r="BO266" s="3" t="s">
        <v>1965</v>
      </c>
      <c r="BP266" t="s">
        <v>1615</v>
      </c>
      <c r="BQ266" s="3" t="s">
        <v>1966</v>
      </c>
      <c r="BR266" t="s">
        <v>1444</v>
      </c>
      <c r="BS266" t="s">
        <v>1640</v>
      </c>
    </row>
    <row r="267" spans="1:72" ht="15" customHeight="1" x14ac:dyDescent="0.35">
      <c r="A267">
        <v>398</v>
      </c>
      <c r="B267" t="s">
        <v>1938</v>
      </c>
      <c r="C267">
        <v>1</v>
      </c>
      <c r="D267" t="str">
        <f>VLOOKUP(source[[#This Row],[Приоритет]],тПриоритеты[],2,0)</f>
        <v>КРИТИЧЕСКОЕ</v>
      </c>
      <c r="E2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7" t="s">
        <v>1613</v>
      </c>
      <c r="G267" t="s">
        <v>1421</v>
      </c>
      <c r="H267" t="str">
        <f>VLOOKUP(source[[#This Row],[Отвественный]],тОтветственные[],2,0)</f>
        <v>Отв31</v>
      </c>
      <c r="I267" s="2">
        <v>43703</v>
      </c>
      <c r="J267" s="2">
        <v>43707</v>
      </c>
      <c r="S267" s="1">
        <v>43704.469606481478</v>
      </c>
      <c r="T267" s="1">
        <v>43705.560486111113</v>
      </c>
      <c r="U267" s="1">
        <v>43706.729629629626</v>
      </c>
      <c r="W267" s="1">
        <v>43706.729629629626</v>
      </c>
      <c r="BF267" t="s">
        <v>1939</v>
      </c>
      <c r="BG267" t="str">
        <f>HYPERLINK("https://d33htgqikc2pj4.cloudfront.net/74f94b4eca7140c5b23f151388cf5478/2a71a0432bf55e232eeeeecb540378c5-file.jpeg", "Алексей Александров: Ссылка на изображение")</f>
        <v>Алексей Александров: Ссылка на изображение</v>
      </c>
      <c r="BH267" t="str">
        <f>HYPERLINK("https://d33htgqikc2pj4.cloudfront.net/00fe9ce7f2748ff3e5f0e231c4377c42/5fc72c60848131f9237d84f7c1115293-file.jpeg", "Алексей Александров: Ссылка на изображение")</f>
        <v>Алексей Александров: Ссылка на изображение</v>
      </c>
      <c r="BI267" t="str">
        <f>HYPERLINK("https://d33htgqikc2pj4.cloudfront.net/de0931706517241b27ed195fb1fe8927/5582236adc5c4bb62067ade848fc0189-file.jpeg", "Алексей Александров: Ссылка на изображение")</f>
        <v>Алексей Александров: Ссылка на изображение</v>
      </c>
      <c r="BJ267" t="str">
        <f>HYPERLINK("https://d33htgqikc2pj4.cloudfront.net/a0d5dcef318189425aa8c4042b335d49/9b06e4838e7a1877af89d79e15b6b43b-file.jpeg", "Алексей Александров: Ссылка на изображение")</f>
        <v>Алексей Александров: Ссылка на изображение</v>
      </c>
      <c r="BK267" t="s">
        <v>1920</v>
      </c>
      <c r="BL267" t="s">
        <v>1615</v>
      </c>
      <c r="BM267" t="s">
        <v>1967</v>
      </c>
      <c r="BN267" t="s">
        <v>1968</v>
      </c>
      <c r="BO267" t="s">
        <v>1969</v>
      </c>
      <c r="BP267" t="str">
        <f>HYPERLINK("https://d33htgqikc2pj4.cloudfront.net/1c4afb89754e34fbf353238b6f79fa35/b61102305712b2335af24cd66fcfde70-file.jpeg", "Sergey Solodovnikov: Ссылка на изображение")</f>
        <v>Sergey Solodovnikov: Ссылка на изображение</v>
      </c>
      <c r="BQ267" t="str">
        <f>HYPERLINK("https://d33htgqikc2pj4.cloudfront.net/efd4b1320945d7336c70e9e20ab48e21/743ceb9c29a9e0334f1b1e3305bec6a8-file.jpeg", "Sergey Solodovnikov: Ссылка на изображение")</f>
        <v>Sergey Solodovnikov: Ссылка на изображение</v>
      </c>
      <c r="BR267" t="s">
        <v>1953</v>
      </c>
      <c r="BS267" t="s">
        <v>1444</v>
      </c>
      <c r="BT267" t="s">
        <v>1640</v>
      </c>
    </row>
    <row r="268" spans="1:72" ht="15" customHeight="1" x14ac:dyDescent="0.35">
      <c r="A268">
        <v>405</v>
      </c>
      <c r="B268" t="s">
        <v>1970</v>
      </c>
      <c r="C268">
        <v>1</v>
      </c>
      <c r="D268" t="str">
        <f>VLOOKUP(source[[#This Row],[Приоритет]],тПриоритеты[],2,0)</f>
        <v>КРИТИЧЕСКОЕ</v>
      </c>
      <c r="E2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8" t="s">
        <v>1613</v>
      </c>
      <c r="G268" t="s">
        <v>1421</v>
      </c>
      <c r="H268" t="str">
        <f>VLOOKUP(source[[#This Row],[Отвественный]],тОтветственные[],2,0)</f>
        <v>Отв31</v>
      </c>
      <c r="I268" s="2">
        <v>43706</v>
      </c>
      <c r="J268" s="2">
        <v>43706</v>
      </c>
      <c r="S268" s="1">
        <v>43706.739236111112</v>
      </c>
      <c r="T268" s="1">
        <v>43707.396296296298</v>
      </c>
      <c r="U268" s="1">
        <v>43707.633483796293</v>
      </c>
      <c r="W268" s="1">
        <v>43707.63349537037</v>
      </c>
      <c r="BF268" t="s">
        <v>1971</v>
      </c>
      <c r="BG268" t="str">
        <f>HYPERLINK("https://d33htgqikc2pj4.cloudfront.net/ecbe210d6670e44510361719260251d2/a4dc83391e7de7bde8d5a4e51295f0d8-file.jpeg", "Алексей Александров: Ссылка на изображение")</f>
        <v>Алексей Александров: Ссылка на изображение</v>
      </c>
      <c r="BH268" t="s">
        <v>1972</v>
      </c>
      <c r="BI268" t="s">
        <v>1920</v>
      </c>
      <c r="BJ268" t="s">
        <v>1615</v>
      </c>
      <c r="BK268" t="s">
        <v>1973</v>
      </c>
      <c r="BL268" t="str">
        <f>HYPERLINK("https://d33htgqikc2pj4.cloudfront.net/f7e37b6717351bcf304ad4784e6a0039/35267f7c8e0530c4625c66c395d85833-file.jpeg", "Sergey Solodovnikov: Ссылка на изображение")</f>
        <v>Sergey Solodovnikov: Ссылка на изображение</v>
      </c>
      <c r="BM268" t="str">
        <f>HYPERLINK("https://d33htgqikc2pj4.cloudfront.net/cf06e3a01fbae4296a8b0b17fcb12e63/7813bdc3dcf2ab2350a39abd7cd21f11-file.jpeg", "Sergey Solodovnikov: Ссылка на изображение")</f>
        <v>Sergey Solodovnikov: Ссылка на изображение</v>
      </c>
      <c r="BN268" t="s">
        <v>1949</v>
      </c>
      <c r="BO268" t="s">
        <v>1444</v>
      </c>
      <c r="BP268" t="s">
        <v>1640</v>
      </c>
    </row>
    <row r="269" spans="1:72" ht="15" customHeight="1" x14ac:dyDescent="0.35">
      <c r="A269">
        <v>406</v>
      </c>
      <c r="B269" t="s">
        <v>1974</v>
      </c>
      <c r="C269">
        <v>2</v>
      </c>
      <c r="D269" t="str">
        <f>VLOOKUP(source[[#This Row],[Приоритет]],тПриоритеты[],2,0)</f>
        <v>Значительное</v>
      </c>
      <c r="E2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69" t="s">
        <v>1613</v>
      </c>
      <c r="G269" t="s">
        <v>1421</v>
      </c>
      <c r="H269" t="str">
        <f>VLOOKUP(source[[#This Row],[Отвественный]],тОтветственные[],2,0)</f>
        <v>Отв31</v>
      </c>
      <c r="S269" s="1">
        <v>43706.743750000001</v>
      </c>
      <c r="T269" s="1">
        <v>43707.396493055552</v>
      </c>
      <c r="U269" s="1">
        <v>43707.633680555555</v>
      </c>
      <c r="W269" s="1">
        <v>43707.633692129632</v>
      </c>
      <c r="BF269" t="s">
        <v>1975</v>
      </c>
      <c r="BG269" t="str">
        <f>HYPERLINK("https://d33htgqikc2pj4.cloudfront.net/0c28c4f60a73cda17e51bb7ec1fe78ae/cce7867fddc2d75e7c537c460ecc60d8-file.jpeg", "Алексей Александров: Ссылка на изображение")</f>
        <v>Алексей Александров: Ссылка на изображение</v>
      </c>
      <c r="BH269" t="str">
        <f>HYPERLINK("https://d33htgqikc2pj4.cloudfront.net/f4b2772645eb3d957858bfcca1507b46/a1f41bd421deae4dfcdd1a8fdce6f575-file.jpeg", "Алексей Александров: Ссылка на изображение")</f>
        <v>Алексей Александров: Ссылка на изображение</v>
      </c>
      <c r="BI269" s="3" t="s">
        <v>1976</v>
      </c>
      <c r="BJ269" t="s">
        <v>1920</v>
      </c>
      <c r="BK269" t="s">
        <v>1977</v>
      </c>
      <c r="BL269" t="s">
        <v>1444</v>
      </c>
      <c r="BM269" t="s">
        <v>1640</v>
      </c>
    </row>
    <row r="270" spans="1:72" ht="15" customHeight="1" x14ac:dyDescent="0.35">
      <c r="A270">
        <v>525</v>
      </c>
      <c r="B270" t="s">
        <v>1978</v>
      </c>
      <c r="C270">
        <v>2</v>
      </c>
      <c r="D270" t="str">
        <f>VLOOKUP(source[[#This Row],[Приоритет]],тПриоритеты[],2,0)</f>
        <v>Значительное</v>
      </c>
      <c r="E27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0" t="s">
        <v>1613</v>
      </c>
      <c r="G270" t="s">
        <v>1421</v>
      </c>
      <c r="H270" t="str">
        <f>VLOOKUP(source[[#This Row],[Отвественный]],тОтветственные[],2,0)</f>
        <v>Отв31</v>
      </c>
      <c r="I270" s="2">
        <v>43731</v>
      </c>
      <c r="J270" s="2">
        <v>43735</v>
      </c>
      <c r="S270" s="1">
        <v>43731.729942129627</v>
      </c>
      <c r="T270" s="1">
        <v>43732.509988425925</v>
      </c>
      <c r="U270" s="1">
        <v>43732.609513888892</v>
      </c>
      <c r="W270" s="1">
        <v>43732.609513888892</v>
      </c>
      <c r="BF270" t="s">
        <v>1979</v>
      </c>
      <c r="BG270" t="s">
        <v>1920</v>
      </c>
      <c r="BH270" t="s">
        <v>1860</v>
      </c>
      <c r="BI270" t="s">
        <v>1866</v>
      </c>
      <c r="BJ270" s="3" t="s">
        <v>1980</v>
      </c>
      <c r="BK270" t="str">
        <f>HYPERLINK("https://d33htgqikc2pj4.cloudfront.net/f32a19ba64e8d92467916074332cb151/175f7453aad201f8ef69eed56755ce78-file.jpeg", "Sergey Solodovnikov: Ссылка на изображение")</f>
        <v>Sergey Solodovnikov: Ссылка на изображение</v>
      </c>
      <c r="BL270" t="str">
        <f>HYPERLINK("https://d33htgqikc2pj4.cloudfront.net/f60ed6b5c880e6e85828ba65bf9ef209/d120a9aef914f9bdde2eda29aa152bec-file.jpeg", "Sergey Solodovnikov: Ссылка на изображение")</f>
        <v>Sergey Solodovnikov: Ссылка на изображение</v>
      </c>
      <c r="BM270" t="str">
        <f>HYPERLINK("https://d33htgqikc2pj4.cloudfront.net/55c358cd416c3713db2b7778cc1df19f/077f7b032995cfb4b3a150dcf77f18bb-file.jpeg", "Sergey Solodovnikov: Ссылка на изображение")</f>
        <v>Sergey Solodovnikov: Ссылка на изображение</v>
      </c>
      <c r="BN270" t="str">
        <f>HYPERLINK("https://d33htgqikc2pj4.cloudfront.net/2d3dbc995e8a26d36e23ce5bc7f433f3/9faf8484d9d2cd623ec9df3ce337a80c-file.jpeg", "Sergey Solodovnikov: Ссылка на изображение")</f>
        <v>Sergey Solodovnikov: Ссылка на изображение</v>
      </c>
      <c r="BO270" t="str">
        <f>HYPERLINK("https://d33htgqikc2pj4.cloudfront.net/4b9855de03ac0c7b4bc793809cbc0805/c8ca1f758b28d3606ec1ac61651cae3c-file.jpeg", "Sergey Solodovnikov: Ссылка на изображение")</f>
        <v>Sergey Solodovnikov: Ссылка на изображение</v>
      </c>
      <c r="BP270" t="s">
        <v>1444</v>
      </c>
      <c r="BQ270" t="s">
        <v>1640</v>
      </c>
    </row>
    <row r="271" spans="1:72" ht="15" customHeight="1" x14ac:dyDescent="0.35">
      <c r="A271">
        <v>418</v>
      </c>
      <c r="B271" t="s">
        <v>1981</v>
      </c>
      <c r="C271">
        <v>2</v>
      </c>
      <c r="D271" t="str">
        <f>VLOOKUP(source[[#This Row],[Приоритет]],тПриоритеты[],2,0)</f>
        <v>Значительное</v>
      </c>
      <c r="E2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1" t="s">
        <v>1613</v>
      </c>
      <c r="G271" t="s">
        <v>1421</v>
      </c>
      <c r="H271" t="str">
        <f>VLOOKUP(source[[#This Row],[Отвественный]],тОтветственные[],2,0)</f>
        <v>Отв31</v>
      </c>
      <c r="I271" s="2">
        <v>43710</v>
      </c>
      <c r="J271" s="2">
        <v>43710</v>
      </c>
      <c r="S271" s="1">
        <v>43710.678865740738</v>
      </c>
      <c r="T271" s="1">
        <v>43712.640081018515</v>
      </c>
      <c r="U271" s="1">
        <v>43713.525787037041</v>
      </c>
      <c r="W271" s="1">
        <v>43713.52579861111</v>
      </c>
      <c r="BF271" t="s">
        <v>1982</v>
      </c>
      <c r="BG271" t="str">
        <f>HYPERLINK("https://d33htgqikc2pj4.cloudfront.net/c3e7b183beb4ec722e9e155d04399672/c94fbc17f527778cbafed13f8316b0e7-file.jpeg", "Алексей Александров: Ссылка на изображение")</f>
        <v>Алексей Александров: Ссылка на изображение</v>
      </c>
      <c r="BH271" t="str">
        <f>HYPERLINK("https://d33htgqikc2pj4.cloudfront.net/7038405c215b5bbb9ee9ef6f27cb5308/52dc0504e80c205a9cfdd3cc2f961b72-file.jpeg", "Алексей Александров: Ссылка на изображение")</f>
        <v>Алексей Александров: Ссылка на изображение</v>
      </c>
      <c r="BI271" t="s">
        <v>1983</v>
      </c>
      <c r="BJ271" t="s">
        <v>1920</v>
      </c>
      <c r="BK271" t="s">
        <v>1984</v>
      </c>
      <c r="BL271" t="s">
        <v>1953</v>
      </c>
      <c r="BM271" t="s">
        <v>1444</v>
      </c>
      <c r="BN271" t="s">
        <v>1640</v>
      </c>
    </row>
    <row r="272" spans="1:72" ht="15" customHeight="1" x14ac:dyDescent="0.35">
      <c r="A272">
        <v>420</v>
      </c>
      <c r="B272" t="s">
        <v>1950</v>
      </c>
      <c r="C272">
        <v>1</v>
      </c>
      <c r="D272" t="str">
        <f>VLOOKUP(source[[#This Row],[Приоритет]],тПриоритеты[],2,0)</f>
        <v>КРИТИЧЕСКОЕ</v>
      </c>
      <c r="E2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2" t="s">
        <v>1613</v>
      </c>
      <c r="G272" t="s">
        <v>1421</v>
      </c>
      <c r="H272" t="str">
        <f>VLOOKUP(source[[#This Row],[Отвественный]],тОтветственные[],2,0)</f>
        <v>Отв31</v>
      </c>
      <c r="I272" s="2">
        <v>43710</v>
      </c>
      <c r="J272" s="2">
        <v>43710</v>
      </c>
      <c r="S272" s="1">
        <v>43710.68414351852</v>
      </c>
      <c r="T272" s="1">
        <v>43712.641446759262</v>
      </c>
      <c r="U272" s="1">
        <v>43714.391909722224</v>
      </c>
      <c r="W272" s="1">
        <v>43714.391909722224</v>
      </c>
      <c r="BF272" t="str">
        <f>HYPERLINK("https://d33htgqikc2pj4.cloudfront.net/2bcb1bfe8ba8021ba7f0ff71accbc678/278ea19b07397a2cb7436259b40b9fc2-file.jpeg", "Алексей Александров: Ссылка на изображение")</f>
        <v>Алексей Александров: Ссылка на изображение</v>
      </c>
      <c r="BG272" t="str">
        <f>HYPERLINK("https://d33htgqikc2pj4.cloudfront.net/3828874bb47017e4c31b6094b904e1d6/2cd20767386fb69b35c625823d31e207-file.jpeg", "Алексей Александров: Ссылка на изображение")</f>
        <v>Алексей Александров: Ссылка на изображение</v>
      </c>
      <c r="BH272" t="s">
        <v>1951</v>
      </c>
      <c r="BI272" t="s">
        <v>1920</v>
      </c>
      <c r="BJ272" t="s">
        <v>1983</v>
      </c>
      <c r="BK272" t="s">
        <v>1985</v>
      </c>
      <c r="BL272" t="s">
        <v>1615</v>
      </c>
      <c r="BM272" t="s">
        <v>1949</v>
      </c>
      <c r="BN272" t="s">
        <v>1444</v>
      </c>
      <c r="BO272" t="s">
        <v>1640</v>
      </c>
    </row>
    <row r="273" spans="1:72" ht="15" customHeight="1" x14ac:dyDescent="0.35">
      <c r="A273">
        <v>419</v>
      </c>
      <c r="B273" t="s">
        <v>1986</v>
      </c>
      <c r="C273">
        <v>1</v>
      </c>
      <c r="D273" t="str">
        <f>VLOOKUP(source[[#This Row],[Приоритет]],тПриоритеты[],2,0)</f>
        <v>КРИТИЧЕСКОЕ</v>
      </c>
      <c r="E2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3" t="s">
        <v>1613</v>
      </c>
      <c r="G273" t="s">
        <v>1421</v>
      </c>
      <c r="H273" t="str">
        <f>VLOOKUP(source[[#This Row],[Отвественный]],тОтветственные[],2,0)</f>
        <v>Отв31</v>
      </c>
      <c r="I273" s="2">
        <v>43710</v>
      </c>
      <c r="J273" s="2">
        <v>43710</v>
      </c>
      <c r="S273" s="1">
        <v>43710.681875000002</v>
      </c>
      <c r="T273" s="1">
        <v>43712.641226851854</v>
      </c>
      <c r="U273" s="1">
        <v>43713.525902777779</v>
      </c>
      <c r="W273" s="1">
        <v>43713.525902777779</v>
      </c>
      <c r="BF273" t="s">
        <v>1987</v>
      </c>
      <c r="BG273" t="str">
        <f>HYPERLINK("https://d33htgqikc2pj4.cloudfront.net/4452a44b8cb3d20d936d7728ccbdfc43/432b1bc552022bca5cd6b338354e8e80-file.jpeg", "Алексей Александров: Ссылка на изображение")</f>
        <v>Алексей Александров: Ссылка на изображение</v>
      </c>
      <c r="BH273" t="s">
        <v>1615</v>
      </c>
      <c r="BI273" t="s">
        <v>1920</v>
      </c>
      <c r="BJ273" t="s">
        <v>1988</v>
      </c>
      <c r="BK273" t="s">
        <v>1983</v>
      </c>
      <c r="BL273" t="s">
        <v>1949</v>
      </c>
      <c r="BM273" t="s">
        <v>1444</v>
      </c>
      <c r="BN273" t="s">
        <v>1640</v>
      </c>
    </row>
    <row r="274" spans="1:72" ht="15" customHeight="1" x14ac:dyDescent="0.35">
      <c r="A274">
        <v>421</v>
      </c>
      <c r="B274" t="s">
        <v>1989</v>
      </c>
      <c r="C274">
        <v>1</v>
      </c>
      <c r="D274" t="str">
        <f>VLOOKUP(source[[#This Row],[Приоритет]],тПриоритеты[],2,0)</f>
        <v>КРИТИЧЕСКОЕ</v>
      </c>
      <c r="E2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4" t="s">
        <v>1613</v>
      </c>
      <c r="G274" t="s">
        <v>1421</v>
      </c>
      <c r="H274" t="str">
        <f>VLOOKUP(source[[#This Row],[Отвественный]],тОтветственные[],2,0)</f>
        <v>Отв31</v>
      </c>
      <c r="S274" s="1">
        <v>43710.686122685183</v>
      </c>
      <c r="T274" s="1">
        <v>43712.641712962963</v>
      </c>
      <c r="U274" s="1">
        <v>43714.392175925925</v>
      </c>
      <c r="W274" s="1">
        <v>43714.392175925925</v>
      </c>
      <c r="BF274" t="str">
        <f>HYPERLINK("https://d33htgqikc2pj4.cloudfront.net/cd7e2220cf9fb449bd215ea9dda1f91a/dd121a60837e44c7af70bdf011175933-file.jpeg", "Алексей Александров: Ссылка на изображение")</f>
        <v>Алексей Александров: Ссылка на изображение</v>
      </c>
      <c r="BG274" t="str">
        <f>HYPERLINK("https://d33htgqikc2pj4.cloudfront.net/c96e503b1ba7533893435b63f6993edd/b50f3d7e1f270880933c328c883f29c8-file.jpeg", "Алексей Александров: Ссылка на изображение")</f>
        <v>Алексей Александров: Ссылка на изображение</v>
      </c>
      <c r="BH274" t="str">
        <f>HYPERLINK("https://d33htgqikc2pj4.cloudfront.net/5afe3b4fb8515f53e268c6e10249f14e/630f28bcc81a71a998acfc4cedb8bf80-file.jpeg", "Алексей Александров: Ссылка на изображение")</f>
        <v>Алексей Александров: Ссылка на изображение</v>
      </c>
      <c r="BI274" t="s">
        <v>1990</v>
      </c>
      <c r="BJ274" t="s">
        <v>1920</v>
      </c>
      <c r="BK274" t="s">
        <v>1615</v>
      </c>
      <c r="BL274" s="3" t="s">
        <v>1991</v>
      </c>
      <c r="BM274" t="s">
        <v>1949</v>
      </c>
      <c r="BN274" t="s">
        <v>1444</v>
      </c>
      <c r="BO274" t="s">
        <v>1640</v>
      </c>
    </row>
    <row r="275" spans="1:72" ht="15" customHeight="1" x14ac:dyDescent="0.35">
      <c r="A275">
        <v>715</v>
      </c>
      <c r="B275" t="s">
        <v>1992</v>
      </c>
      <c r="C275">
        <v>1</v>
      </c>
      <c r="D275" t="str">
        <f>VLOOKUP(source[[#This Row],[Приоритет]],тПриоритеты[],2,0)</f>
        <v>КРИТИЧЕСКОЕ</v>
      </c>
      <c r="E2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5" t="s">
        <v>1613</v>
      </c>
      <c r="G275" t="s">
        <v>1421</v>
      </c>
      <c r="H275" t="str">
        <f>VLOOKUP(source[[#This Row],[Отвественный]],тОтветственные[],2,0)</f>
        <v>Отв31</v>
      </c>
      <c r="I275" s="2">
        <v>43791</v>
      </c>
      <c r="J275" s="2">
        <v>43796</v>
      </c>
      <c r="S275" s="1">
        <v>43791.71365740741</v>
      </c>
      <c r="T275" s="1">
        <v>43795.57671296296</v>
      </c>
      <c r="U275" s="1">
        <v>43801.593159722222</v>
      </c>
      <c r="W275" s="1">
        <v>43801.593159722222</v>
      </c>
      <c r="BF275" t="str">
        <f>HYPERLINK("https://d33htgqikc2pj4.cloudfront.net/f6676f4c1185e0980caad3a9a1c5d61b/9a2b4cf5a8a58fcc2cf7b5f9fcb728ca-file.jpeg", "Алексей Александров: Ссылка на изображение")</f>
        <v>Алексей Александров: Ссылка на изображение</v>
      </c>
      <c r="BG275" t="str">
        <f>HYPERLINK("https://d33htgqikc2pj4.cloudfront.net/d7363060a809e759bb301e1d6cd53d43/b42b08d196c54ba677fa550210391d50-file.jpeg", "Алексей Александров: Ссылка на изображение")</f>
        <v>Алексей Александров: Ссылка на изображение</v>
      </c>
      <c r="BH275" t="str">
        <f>HYPERLINK("https://d33htgqikc2pj4.cloudfront.net/c6241648a7b98a3741a20ff657eb6e09/54cfe96ae659c89138be71305b86512e-file.jpeg", "Алексей Александров: Ссылка на изображение")</f>
        <v>Алексей Александров: Ссылка на изображение</v>
      </c>
      <c r="BI275" t="s">
        <v>1993</v>
      </c>
      <c r="BJ275" t="s">
        <v>1615</v>
      </c>
      <c r="BK275" t="s">
        <v>1920</v>
      </c>
      <c r="BL275" t="s">
        <v>1649</v>
      </c>
      <c r="BM275" t="s">
        <v>1994</v>
      </c>
      <c r="BN275" s="3" t="s">
        <v>1995</v>
      </c>
      <c r="BO275" t="s">
        <v>1444</v>
      </c>
      <c r="BP275" t="s">
        <v>1953</v>
      </c>
      <c r="BQ275" t="s">
        <v>1640</v>
      </c>
    </row>
    <row r="276" spans="1:72" ht="15" customHeight="1" x14ac:dyDescent="0.35">
      <c r="A276">
        <v>432</v>
      </c>
      <c r="B276" t="s">
        <v>1996</v>
      </c>
      <c r="C276">
        <v>1</v>
      </c>
      <c r="D276" t="str">
        <f>VLOOKUP(source[[#This Row],[Приоритет]],тПриоритеты[],2,0)</f>
        <v>КРИТИЧЕСКОЕ</v>
      </c>
      <c r="E2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6" t="s">
        <v>1613</v>
      </c>
      <c r="G276" t="s">
        <v>1421</v>
      </c>
      <c r="H276" t="str">
        <f>VLOOKUP(source[[#This Row],[Отвественный]],тОтветственные[],2,0)</f>
        <v>Отв31</v>
      </c>
      <c r="I276" s="2">
        <v>43713</v>
      </c>
      <c r="J276" s="2">
        <v>43717</v>
      </c>
      <c r="S276" s="1">
        <v>43713.749513888892</v>
      </c>
      <c r="T276" s="1">
        <v>43719.662662037037</v>
      </c>
      <c r="U276" s="1">
        <v>43721.407141203701</v>
      </c>
      <c r="W276" s="1">
        <v>43721.407175925924</v>
      </c>
      <c r="BF276" t="s">
        <v>1997</v>
      </c>
      <c r="BG276" t="s">
        <v>1615</v>
      </c>
      <c r="BH276" t="s">
        <v>1920</v>
      </c>
      <c r="BI276" t="str">
        <f>HYPERLINK("https://d33htgqikc2pj4.cloudfront.net/08f9c1d24df126d5bf5a976fe2651242/c21550b4e1ccbaed21a8b991bbc46a9b-file.jpeg", "Алексей Александров: Ссылка на изображение")</f>
        <v>Алексей Александров: Ссылка на изображение</v>
      </c>
      <c r="BJ276" t="str">
        <f>HYPERLINK("https://d33htgqikc2pj4.cloudfront.net/78ac6cbaec6d46cfebf8ff4fa6091e27/1954113325ec4899db500f6fe0102000-file.jpeg", "Алексей Александров: Ссылка на изображение")</f>
        <v>Алексей Александров: Ссылка на изображение</v>
      </c>
      <c r="BK276" t="s">
        <v>1880</v>
      </c>
      <c r="BL276" t="s">
        <v>1998</v>
      </c>
      <c r="BM276" t="s">
        <v>1999</v>
      </c>
      <c r="BN276" t="s">
        <v>2000</v>
      </c>
      <c r="BO276" t="s">
        <v>1444</v>
      </c>
      <c r="BP276" t="s">
        <v>1615</v>
      </c>
      <c r="BQ276" t="s">
        <v>1883</v>
      </c>
      <c r="BR276" t="s">
        <v>2001</v>
      </c>
      <c r="BS276" t="s">
        <v>1444</v>
      </c>
      <c r="BT276" t="s">
        <v>1640</v>
      </c>
    </row>
    <row r="277" spans="1:72" ht="15" customHeight="1" x14ac:dyDescent="0.35">
      <c r="A277">
        <v>591</v>
      </c>
      <c r="B277" t="s">
        <v>2002</v>
      </c>
      <c r="C277">
        <v>2</v>
      </c>
      <c r="D277" t="str">
        <f>VLOOKUP(source[[#This Row],[Приоритет]],тПриоритеты[],2,0)</f>
        <v>Значительное</v>
      </c>
      <c r="E2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7" t="s">
        <v>1613</v>
      </c>
      <c r="G277" t="s">
        <v>1421</v>
      </c>
      <c r="H277" t="str">
        <f>VLOOKUP(source[[#This Row],[Отвественный]],тОтветственные[],2,0)</f>
        <v>Отв31</v>
      </c>
      <c r="I277" s="2">
        <v>43748</v>
      </c>
      <c r="J277" s="2">
        <v>43749</v>
      </c>
      <c r="S277" s="1">
        <v>43748.468993055554</v>
      </c>
      <c r="T277" s="1">
        <v>43755.735138888886</v>
      </c>
      <c r="U277" s="1">
        <v>43755.738969907405</v>
      </c>
      <c r="W277" s="1">
        <v>43755.738969907405</v>
      </c>
      <c r="BF277" t="s">
        <v>2003</v>
      </c>
      <c r="BG277" t="s">
        <v>1920</v>
      </c>
      <c r="BH277" t="s">
        <v>1908</v>
      </c>
      <c r="BI277" t="s">
        <v>1909</v>
      </c>
      <c r="BJ277" t="s">
        <v>1910</v>
      </c>
      <c r="BK277" t="s">
        <v>2004</v>
      </c>
      <c r="BL277" t="s">
        <v>2005</v>
      </c>
      <c r="BM277" t="s">
        <v>1444</v>
      </c>
      <c r="BN277" t="s">
        <v>2006</v>
      </c>
      <c r="BO277" t="s">
        <v>1640</v>
      </c>
    </row>
    <row r="278" spans="1:72" ht="15" customHeight="1" x14ac:dyDescent="0.35">
      <c r="A278">
        <v>679</v>
      </c>
      <c r="B278" t="s">
        <v>2007</v>
      </c>
      <c r="C278">
        <v>1</v>
      </c>
      <c r="D278" t="str">
        <f>VLOOKUP(source[[#This Row],[Приоритет]],тПриоритеты[],2,0)</f>
        <v>КРИТИЧЕСКОЕ</v>
      </c>
      <c r="E2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78" t="s">
        <v>1613</v>
      </c>
      <c r="G278" t="s">
        <v>1421</v>
      </c>
      <c r="H278" t="str">
        <f>VLOOKUP(source[[#This Row],[Отвественный]],тОтветственные[],2,0)</f>
        <v>Отв31</v>
      </c>
      <c r="S278" s="1">
        <v>43777.562025462961</v>
      </c>
      <c r="T278" s="1">
        <v>43782.411585648151</v>
      </c>
      <c r="U278" s="1">
        <v>43784.65351851852</v>
      </c>
      <c r="W278" s="1">
        <v>43784.65351851852</v>
      </c>
      <c r="BF278" t="s">
        <v>2008</v>
      </c>
      <c r="BG278" t="s">
        <v>1615</v>
      </c>
      <c r="BH278" t="str">
        <f>HYPERLINK("https://d33htgqikc2pj4.cloudfront.net/7a1ed3e16a7d3ce52e3d01dc43dfc389/a06c387ea4ddb23bbd7311bb84101248-file.jpeg", "Алексей Александров: Ссылка на изображение")</f>
        <v>Алексей Александров: Ссылка на изображение</v>
      </c>
      <c r="BI278" t="str">
        <f>HYPERLINK("https://d33htgqikc2pj4.cloudfront.net/9bd8c37f196e48df0a7cef6077de6491/286013b7b7bf4d5dd61d98f0bdcc1e7f-file.jpeg", "Алексей Александров: Ссылка на изображение")</f>
        <v>Алексей Александров: Ссылка на изображение</v>
      </c>
      <c r="BJ278" t="s">
        <v>1920</v>
      </c>
      <c r="BK278" t="s">
        <v>1444</v>
      </c>
      <c r="BL278" t="s">
        <v>1953</v>
      </c>
      <c r="BM278" t="s">
        <v>1640</v>
      </c>
    </row>
    <row r="279" spans="1:72" ht="15" customHeight="1" x14ac:dyDescent="0.35">
      <c r="A279">
        <v>839</v>
      </c>
      <c r="B279" t="s">
        <v>2009</v>
      </c>
      <c r="C279">
        <v>2</v>
      </c>
      <c r="D279" t="str">
        <f>VLOOKUP(source[[#This Row],[Приоритет]],тПриоритеты[],2,0)</f>
        <v>Значительное</v>
      </c>
      <c r="E279" t="str">
        <f>IF(ISBLANK(source[[#This Row],[Проверенные]]),IF(ISBLANK(source[[#This Row],[Завершенные]]),source[[#This Row],[Приоритет_]],"Завершено"),"Проверено")</f>
        <v>Значительное</v>
      </c>
      <c r="F279" t="s">
        <v>1613</v>
      </c>
      <c r="G279" t="s">
        <v>2010</v>
      </c>
      <c r="H279" t="str">
        <f>VLOOKUP(source[[#This Row],[Отвественный]],тОтветственные[],2,0)</f>
        <v>Отв49</v>
      </c>
      <c r="S279" s="1">
        <v>43824.699155092596</v>
      </c>
      <c r="W279" s="1">
        <v>43824.699664351851</v>
      </c>
      <c r="BF279" t="s">
        <v>2011</v>
      </c>
    </row>
    <row r="280" spans="1:72" ht="15" customHeight="1" x14ac:dyDescent="0.35">
      <c r="A280">
        <v>239</v>
      </c>
      <c r="B280" t="s">
        <v>2012</v>
      </c>
      <c r="C280">
        <v>2</v>
      </c>
      <c r="D280" t="str">
        <f>VLOOKUP(source[[#This Row],[Приоритет]],тПриоритеты[],2,0)</f>
        <v>Значительное</v>
      </c>
      <c r="E2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0" t="s">
        <v>1613</v>
      </c>
      <c r="G280" t="s">
        <v>2010</v>
      </c>
      <c r="H280" t="str">
        <f>VLOOKUP(source[[#This Row],[Отвественный]],тОтветственные[],2,0)</f>
        <v>Отв49</v>
      </c>
      <c r="S280" s="1">
        <v>43657.728078703702</v>
      </c>
      <c r="T280" s="1">
        <v>43669.630578703705</v>
      </c>
      <c r="U280" s="1">
        <v>43669.748148148145</v>
      </c>
      <c r="W280" s="1">
        <v>43669.748148148145</v>
      </c>
      <c r="BF280" t="s">
        <v>2013</v>
      </c>
      <c r="BG280" t="str">
        <f>HYPERLINK("https://d33htgqikc2pj4.cloudfront.net/825208462e1dbd986b7c482ce590eab2/fe650f41eb99d519dbdd6d8cd5b78059-file.jpeg", "Алексей Александров: Ссылка на изображение")</f>
        <v>Алексей Александров: Ссылка на изображение</v>
      </c>
      <c r="BH280" t="s">
        <v>2014</v>
      </c>
      <c r="BI280" t="s">
        <v>1692</v>
      </c>
      <c r="BJ280" t="s">
        <v>1640</v>
      </c>
    </row>
    <row r="281" spans="1:72" ht="15" customHeight="1" x14ac:dyDescent="0.35">
      <c r="A281">
        <v>244</v>
      </c>
      <c r="B281" t="s">
        <v>2015</v>
      </c>
      <c r="C281">
        <v>1</v>
      </c>
      <c r="D281" t="str">
        <f>VLOOKUP(source[[#This Row],[Приоритет]],тПриоритеты[],2,0)</f>
        <v>КРИТИЧЕСКОЕ</v>
      </c>
      <c r="E2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1" t="s">
        <v>1613</v>
      </c>
      <c r="G281" t="s">
        <v>2010</v>
      </c>
      <c r="H281" t="str">
        <f>VLOOKUP(source[[#This Row],[Отвественный]],тОтветственные[],2,0)</f>
        <v>Отв49</v>
      </c>
      <c r="S281" s="1">
        <v>43658.574293981481</v>
      </c>
      <c r="T281" s="1">
        <v>43668.675428240742</v>
      </c>
      <c r="U281" s="1">
        <v>43668.675428240742</v>
      </c>
      <c r="W281" s="1">
        <v>43668.675428240742</v>
      </c>
      <c r="BF281" t="s">
        <v>2016</v>
      </c>
      <c r="BG281" t="str">
        <f>HYPERLINK("https://d33htgqikc2pj4.cloudfront.net/fdfbfe1f66a5234178d14c38d522562e/fe9ba3f1e819e0095ba2aa11b9b85c71-file.jpeg", "Алексей Александров: Ссылка на изображение")</f>
        <v>Алексей Александров: Ссылка на изображение</v>
      </c>
      <c r="BH281" t="str">
        <f>HYPERLINK("https://d33htgqikc2pj4.cloudfront.net/c2d281e83b1770777761a97edd5ac6fd/47f6c8925a70efbacaeb8b38893fe973-file.jpeg", "Алексей Александров: Ссылка на изображение")</f>
        <v>Алексей Александров: Ссылка на изображение</v>
      </c>
      <c r="BI281" t="s">
        <v>1615</v>
      </c>
      <c r="BJ281" s="3" t="s">
        <v>2017</v>
      </c>
      <c r="BK281" t="s">
        <v>1640</v>
      </c>
    </row>
    <row r="282" spans="1:72" ht="15" customHeight="1" x14ac:dyDescent="0.35">
      <c r="A282">
        <v>259</v>
      </c>
      <c r="B282" t="s">
        <v>2018</v>
      </c>
      <c r="C282">
        <v>1</v>
      </c>
      <c r="D282" t="str">
        <f>VLOOKUP(source[[#This Row],[Приоритет]],тПриоритеты[],2,0)</f>
        <v>КРИТИЧЕСКОЕ</v>
      </c>
      <c r="E2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2" t="s">
        <v>1613</v>
      </c>
      <c r="G282" t="s">
        <v>2010</v>
      </c>
      <c r="H282" t="str">
        <f>VLOOKUP(source[[#This Row],[Отвественный]],тОтветственные[],2,0)</f>
        <v>Отв49</v>
      </c>
      <c r="S282" s="1">
        <v>43661.683958333335</v>
      </c>
      <c r="T282" s="1">
        <v>43668.67564814815</v>
      </c>
      <c r="U282" s="1">
        <v>43668.67564814815</v>
      </c>
      <c r="W282" s="1">
        <v>43668.67564814815</v>
      </c>
      <c r="BF282" t="s">
        <v>2019</v>
      </c>
      <c r="BG282" s="3" t="s">
        <v>2020</v>
      </c>
      <c r="BH282" t="s">
        <v>1615</v>
      </c>
      <c r="BI282" t="s">
        <v>1640</v>
      </c>
    </row>
    <row r="283" spans="1:72" ht="15" customHeight="1" x14ac:dyDescent="0.35">
      <c r="A283">
        <v>356</v>
      </c>
      <c r="B283" t="s">
        <v>2021</v>
      </c>
      <c r="C283">
        <v>1</v>
      </c>
      <c r="D283" t="str">
        <f>VLOOKUP(source[[#This Row],[Приоритет]],тПриоритеты[],2,0)</f>
        <v>КРИТИЧЕСКОЕ</v>
      </c>
      <c r="E2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3" t="s">
        <v>1613</v>
      </c>
      <c r="G283" t="s">
        <v>2010</v>
      </c>
      <c r="H283" t="str">
        <f>VLOOKUP(source[[#This Row],[Отвественный]],тОтветственные[],2,0)</f>
        <v>Отв49</v>
      </c>
      <c r="I283" s="2">
        <v>43690</v>
      </c>
      <c r="J283" s="2">
        <v>43693</v>
      </c>
      <c r="S283" s="1">
        <v>43690.697731481479</v>
      </c>
      <c r="T283" s="1">
        <v>43696.384259259263</v>
      </c>
      <c r="U283" s="1">
        <v>43696.384259259263</v>
      </c>
      <c r="W283" s="1">
        <v>43696.384270833332</v>
      </c>
      <c r="BF283" t="s">
        <v>2022</v>
      </c>
      <c r="BG283" t="s">
        <v>1615</v>
      </c>
      <c r="BH283" t="s">
        <v>1947</v>
      </c>
      <c r="BI283" t="s">
        <v>2023</v>
      </c>
      <c r="BJ283" t="s">
        <v>2024</v>
      </c>
      <c r="BK283" t="s">
        <v>1640</v>
      </c>
    </row>
    <row r="284" spans="1:72" ht="15" customHeight="1" x14ac:dyDescent="0.35">
      <c r="A284">
        <v>175</v>
      </c>
      <c r="B284" t="s">
        <v>2025</v>
      </c>
      <c r="C284">
        <v>2</v>
      </c>
      <c r="D284" t="str">
        <f>VLOOKUP(source[[#This Row],[Приоритет]],тПриоритеты[],2,0)</f>
        <v>Значительное</v>
      </c>
      <c r="E2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4" t="s">
        <v>1613</v>
      </c>
      <c r="G284" t="s">
        <v>2010</v>
      </c>
      <c r="H284" t="str">
        <f>VLOOKUP(source[[#This Row],[Отвественный]],тОтветственные[],2,0)</f>
        <v>Отв49</v>
      </c>
      <c r="I284" s="2">
        <v>43643</v>
      </c>
      <c r="J284" s="2">
        <v>43651</v>
      </c>
      <c r="S284" s="1">
        <v>43643.444490740738</v>
      </c>
      <c r="T284" s="1">
        <v>43668.674988425926</v>
      </c>
      <c r="U284" s="1">
        <v>43668.674988425926</v>
      </c>
      <c r="W284" s="1">
        <v>43668.675000000003</v>
      </c>
      <c r="BF284" t="s">
        <v>2026</v>
      </c>
      <c r="BG284" t="s">
        <v>2027</v>
      </c>
      <c r="BH284" s="3" t="s">
        <v>2028</v>
      </c>
      <c r="BI284" t="s">
        <v>2029</v>
      </c>
      <c r="BJ284" t="s">
        <v>2030</v>
      </c>
      <c r="BK284" t="s">
        <v>1640</v>
      </c>
    </row>
    <row r="285" spans="1:72" ht="15" customHeight="1" x14ac:dyDescent="0.35">
      <c r="A285">
        <v>240</v>
      </c>
      <c r="B285" t="s">
        <v>2031</v>
      </c>
      <c r="C285">
        <v>1</v>
      </c>
      <c r="D285" t="str">
        <f>VLOOKUP(source[[#This Row],[Приоритет]],тПриоритеты[],2,0)</f>
        <v>КРИТИЧЕСКОЕ</v>
      </c>
      <c r="E2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5" t="s">
        <v>1613</v>
      </c>
      <c r="G285" t="s">
        <v>2010</v>
      </c>
      <c r="H285" t="str">
        <f>VLOOKUP(source[[#This Row],[Отвественный]],тОтветственные[],2,0)</f>
        <v>Отв49</v>
      </c>
      <c r="S285" s="1">
        <v>43657.73096064815</v>
      </c>
      <c r="T285" s="1">
        <v>43668.676412037035</v>
      </c>
      <c r="U285" s="1">
        <v>43668.676412037035</v>
      </c>
      <c r="W285" s="1">
        <v>43668.676412037035</v>
      </c>
      <c r="BF285" t="s">
        <v>2032</v>
      </c>
      <c r="BG285" t="str">
        <f>HYPERLINK("https://d33htgqikc2pj4.cloudfront.net/eaaabd1e2267f4843c5509ce518fd909/e78345cd6d8437152a4eeb4724516a14-file.jpeg", "Алексей Александров: Ссылка на изображение")</f>
        <v>Алексей Александров: Ссылка на изображение</v>
      </c>
      <c r="BH285" t="s">
        <v>1615</v>
      </c>
      <c r="BI285" t="s">
        <v>1640</v>
      </c>
    </row>
    <row r="286" spans="1:72" ht="15" customHeight="1" x14ac:dyDescent="0.35">
      <c r="A286">
        <v>289</v>
      </c>
      <c r="B286" t="s">
        <v>2033</v>
      </c>
      <c r="C286">
        <v>1</v>
      </c>
      <c r="D286" t="str">
        <f>VLOOKUP(source[[#This Row],[Приоритет]],тПриоритеты[],2,0)</f>
        <v>КРИТИЧЕСКОЕ</v>
      </c>
      <c r="E2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6" t="s">
        <v>1613</v>
      </c>
      <c r="G286" t="s">
        <v>2010</v>
      </c>
      <c r="H286" t="str">
        <f>VLOOKUP(source[[#This Row],[Отвественный]],тОтветственные[],2,0)</f>
        <v>Отв49</v>
      </c>
      <c r="I286" s="2">
        <v>43668</v>
      </c>
      <c r="J286" s="2">
        <v>43668</v>
      </c>
      <c r="S286" s="1">
        <v>43668.724687499998</v>
      </c>
      <c r="T286" s="1">
        <v>43711.497245370374</v>
      </c>
      <c r="U286" s="1">
        <v>43670.612708333334</v>
      </c>
      <c r="W286" s="1">
        <v>43711.49659722222</v>
      </c>
      <c r="BF286" t="s">
        <v>2034</v>
      </c>
      <c r="BG286" t="str">
        <f>HYPERLINK("https://d33htgqikc2pj4.cloudfront.net/f7668b2e4bd9e5efd0581a56e2a6126d/16baf160fd33d926abdb2f68c9d25a76-file.jpeg", "Алексей Александров: Ссылка на изображение")</f>
        <v>Алексей Александров: Ссылка на изображение</v>
      </c>
      <c r="BH286" t="str">
        <f>HYPERLINK("https://d33htgqikc2pj4.cloudfront.net/a6de23ac9d4f83673458c8596ab34fd6/1b5c52c794e410420dbc1faa08b0af5d-file.jpeg", "Алексей Александров: Ссылка на изображение")</f>
        <v>Алексей Александров: Ссылка на изображение</v>
      </c>
      <c r="BI286" t="s">
        <v>1834</v>
      </c>
      <c r="BJ286" t="s">
        <v>1615</v>
      </c>
      <c r="BK286" t="s">
        <v>2035</v>
      </c>
      <c r="BL286" t="s">
        <v>2036</v>
      </c>
      <c r="BM286" t="s">
        <v>1692</v>
      </c>
      <c r="BN286" t="s">
        <v>1640</v>
      </c>
      <c r="BO286" t="s">
        <v>1565</v>
      </c>
    </row>
    <row r="287" spans="1:72" ht="15" customHeight="1" x14ac:dyDescent="0.35">
      <c r="A287">
        <v>160</v>
      </c>
      <c r="B287" t="s">
        <v>2037</v>
      </c>
      <c r="C287">
        <v>2</v>
      </c>
      <c r="D287" t="str">
        <f>VLOOKUP(source[[#This Row],[Приоритет]],тПриоритеты[],2,0)</f>
        <v>Значительное</v>
      </c>
      <c r="E2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7" t="s">
        <v>1613</v>
      </c>
      <c r="G287" t="s">
        <v>2010</v>
      </c>
      <c r="H287" t="str">
        <f>VLOOKUP(source[[#This Row],[Отвественный]],тОтветственные[],2,0)</f>
        <v>Отв49</v>
      </c>
      <c r="I287" s="2">
        <v>43640</v>
      </c>
      <c r="J287" s="2">
        <v>43664</v>
      </c>
      <c r="S287" s="1">
        <v>43640.566747685189</v>
      </c>
      <c r="T287" s="1">
        <v>43641.591851851852</v>
      </c>
      <c r="U287" s="1">
        <v>43641.591851851852</v>
      </c>
      <c r="W287" s="1">
        <v>43670.677893518521</v>
      </c>
      <c r="BF287" t="s">
        <v>2038</v>
      </c>
      <c r="BG287" t="s">
        <v>2039</v>
      </c>
      <c r="BH287" t="s">
        <v>2040</v>
      </c>
      <c r="BI287" t="s">
        <v>1738</v>
      </c>
      <c r="BJ287" t="s">
        <v>1640</v>
      </c>
      <c r="BK287" t="s">
        <v>1739</v>
      </c>
      <c r="BL287" t="s">
        <v>2041</v>
      </c>
      <c r="BM287" t="s">
        <v>2041</v>
      </c>
    </row>
    <row r="288" spans="1:72" ht="15" customHeight="1" x14ac:dyDescent="0.35">
      <c r="A288">
        <v>325</v>
      </c>
      <c r="B288" t="s">
        <v>2042</v>
      </c>
      <c r="C288">
        <v>1</v>
      </c>
      <c r="D288" t="str">
        <f>VLOOKUP(source[[#This Row],[Приоритет]],тПриоритеты[],2,0)</f>
        <v>КРИТИЧЕСКОЕ</v>
      </c>
      <c r="E2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8" t="s">
        <v>1613</v>
      </c>
      <c r="G288" t="s">
        <v>2010</v>
      </c>
      <c r="H288" t="str">
        <f>VLOOKUP(source[[#This Row],[Отвественный]],тОтветственные[],2,0)</f>
        <v>Отв49</v>
      </c>
      <c r="I288" s="2">
        <v>43675</v>
      </c>
      <c r="J288" s="2">
        <v>43677</v>
      </c>
      <c r="S288" s="1">
        <v>43676.728483796294</v>
      </c>
      <c r="T288" s="1">
        <v>43689.376597222225</v>
      </c>
      <c r="U288" s="1">
        <v>43689.376597222225</v>
      </c>
      <c r="W288" s="1">
        <v>43689.376655092594</v>
      </c>
      <c r="BF288" t="s">
        <v>2043</v>
      </c>
      <c r="BG288" t="str">
        <f>HYPERLINK("https://d33htgqikc2pj4.cloudfront.net/ed2789149e92b66e3a2f487226e43f3b/0b58c36af0fcc54ccf1423f996c2bfd0-file.jpeg", "Алексей Александров: Ссылка на изображение")</f>
        <v>Алексей Александров: Ссылка на изображение</v>
      </c>
      <c r="BH288" t="str">
        <f>HYPERLINK("https://d33htgqikc2pj4.cloudfront.net/246ae469943f64fa696fc1349520edf5/eae17f2a3a03c30ea0bb9cb75b805006-file.jpeg", "Алексей Александров: Ссылка на изображение")</f>
        <v>Алексей Александров: Ссылка на изображение</v>
      </c>
      <c r="BI288" t="str">
        <f>HYPERLINK("https://d33htgqikc2pj4.cloudfront.net/87f3eaa88777e8ef2088976b510ebbfb/475eaa9927b82ac40c389d9176bd40bd-file.jpeg", "Алексей Александров: Ссылка на изображение")</f>
        <v>Алексей Александров: Ссылка на изображение</v>
      </c>
      <c r="BJ288" t="s">
        <v>2044</v>
      </c>
      <c r="BK288" t="s">
        <v>1615</v>
      </c>
      <c r="BL288" t="s">
        <v>2045</v>
      </c>
      <c r="BM288" t="s">
        <v>2046</v>
      </c>
      <c r="BN288" t="s">
        <v>1640</v>
      </c>
    </row>
    <row r="289" spans="1:77" ht="15" customHeight="1" x14ac:dyDescent="0.35">
      <c r="A289">
        <v>642</v>
      </c>
      <c r="B289" t="s">
        <v>2047</v>
      </c>
      <c r="C289">
        <v>1</v>
      </c>
      <c r="D289" t="str">
        <f>VLOOKUP(source[[#This Row],[Приоритет]],тПриоритеты[],2,0)</f>
        <v>КРИТИЧЕСКОЕ</v>
      </c>
      <c r="E2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89" t="s">
        <v>1613</v>
      </c>
      <c r="G289" t="s">
        <v>2010</v>
      </c>
      <c r="H289" t="str">
        <f>VLOOKUP(source[[#This Row],[Отвественный]],тОтветственные[],2,0)</f>
        <v>Отв49</v>
      </c>
      <c r="S289" s="1">
        <v>43760.519097222219</v>
      </c>
      <c r="T289" s="1">
        <v>43788.395173611112</v>
      </c>
      <c r="U289" s="1">
        <v>43788.395173611112</v>
      </c>
      <c r="W289" s="1">
        <v>43788.395173611112</v>
      </c>
      <c r="BF289" t="s">
        <v>2048</v>
      </c>
      <c r="BG289" t="str">
        <f>HYPERLINK("https://d33htgqikc2pj4.cloudfront.net/0dc2100de067698ad5e81e45caa6ab3c/2d42e1ed98dfb5912b9ce58d81bdeac5-file.jpeg", "Алексей Александров: Ссылка на изображение")</f>
        <v>Алексей Александров: Ссылка на изображение</v>
      </c>
      <c r="BH289" t="str">
        <f>HYPERLINK("https://d33htgqikc2pj4.cloudfront.net/cefb947417c5f65a74ad8112b5c1e692/fc4b3531a98cc73ec3bd68cddfadbac5-file.jpeg", "Алексей Александров: Ссылка на изображение")</f>
        <v>Алексей Александров: Ссылка на изображение</v>
      </c>
      <c r="BI289" t="str">
        <f>HYPERLINK("https://d33htgqikc2pj4.cloudfront.net/fd7584ad9309f5b884f468569ec5253c/7d98929c466e804bf09dd0dd32265ce7-file.jpeg", "Алексей Александров: Ссылка на изображение")</f>
        <v>Алексей Александров: Ссылка на изображение</v>
      </c>
      <c r="BJ289" t="s">
        <v>1615</v>
      </c>
      <c r="BK289" t="s">
        <v>2049</v>
      </c>
      <c r="BL289" t="s">
        <v>1640</v>
      </c>
    </row>
    <row r="290" spans="1:77" ht="15" customHeight="1" x14ac:dyDescent="0.35">
      <c r="A290">
        <v>636</v>
      </c>
      <c r="B290" t="s">
        <v>2050</v>
      </c>
      <c r="C290">
        <v>1</v>
      </c>
      <c r="D290" t="str">
        <f>VLOOKUP(source[[#This Row],[Приоритет]],тПриоритеты[],2,0)</f>
        <v>КРИТИЧЕСКОЕ</v>
      </c>
      <c r="E2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0" t="s">
        <v>1613</v>
      </c>
      <c r="G290" t="s">
        <v>1542</v>
      </c>
      <c r="H290" t="str">
        <f>VLOOKUP(source[[#This Row],[Отвественный]],тОтветственные[],2,0)</f>
        <v>Отв37</v>
      </c>
      <c r="S290" s="1">
        <v>43759.644131944442</v>
      </c>
      <c r="T290" s="1">
        <v>43761.579351851855</v>
      </c>
      <c r="U290" s="1">
        <v>43761.647175925929</v>
      </c>
      <c r="W290" s="1">
        <v>43761.647175925929</v>
      </c>
      <c r="BF290" t="s">
        <v>2051</v>
      </c>
      <c r="BG290" t="str">
        <f>HYPERLINK("https://d33htgqikc2pj4.cloudfront.net/4f60204e93ad61d405fdafc17e85b74a/859e28896192fe621d34cbdd3c23d3ea-file.jpeg", "Алексей Александров: Ссылка на изображение")</f>
        <v>Алексей Александров: Ссылка на изображение</v>
      </c>
      <c r="BH290" t="str">
        <f>HYPERLINK("https://d33htgqikc2pj4.cloudfront.net/778b8a49adcd9e265370d2e579ca5b45/0cae4055cdc17b1c8325b03796848092-file.jpeg", "Алексей Александров: Ссылка на изображение")</f>
        <v>Алексей Александров: Ссылка на изображение</v>
      </c>
      <c r="BI290" t="str">
        <f>HYPERLINK("https://d33htgqikc2pj4.cloudfront.net/93390f8a8fecb98400f3ae2d6f4ce178/6693f5ac939e38a33e6220bb050c9105-file.jpeg", "Алексей Александров: Ссылка на изображение")</f>
        <v>Алексей Александров: Ссылка на изображение</v>
      </c>
      <c r="BJ290" t="s">
        <v>1615</v>
      </c>
      <c r="BK290" t="s">
        <v>2052</v>
      </c>
      <c r="BL290" s="3" t="s">
        <v>2053</v>
      </c>
      <c r="BM290" t="str">
        <f>HYPERLINK("https://d33htgqikc2pj4.cloudfront.net/3f58fbdd-6e98-4511-bbd5-f3828015a428.jpeg", "Алексей Никифоров: Ссылка на изображение")</f>
        <v>Алексей Никифоров: Ссылка на изображение</v>
      </c>
      <c r="BN290" t="str">
        <f>HYPERLINK("https://d33htgqikc2pj4.cloudfront.net/27622dda-5f1d-485f-a6f9-1c20722efb5d.jpeg", "Алексей Никифоров: Ссылка на изображение")</f>
        <v>Алексей Никифоров: Ссылка на изображение</v>
      </c>
      <c r="BO290" t="str">
        <f>HYPERLINK("https://d33htgqikc2pj4.cloudfront.net/7b374327-336a-4fb6-a363-5df19abe6361.jpeg", "Алексей Никифоров: Ссылка на изображение")</f>
        <v>Алексей Никифоров: Ссылка на изображение</v>
      </c>
      <c r="BP290" t="s">
        <v>2054</v>
      </c>
      <c r="BQ290" t="s">
        <v>2055</v>
      </c>
      <c r="BR290" t="s">
        <v>1552</v>
      </c>
      <c r="BS290" t="s">
        <v>1640</v>
      </c>
    </row>
    <row r="291" spans="1:77" ht="15" customHeight="1" x14ac:dyDescent="0.35">
      <c r="A291">
        <v>635</v>
      </c>
      <c r="B291" t="s">
        <v>2056</v>
      </c>
      <c r="C291">
        <v>1</v>
      </c>
      <c r="D291" t="str">
        <f>VLOOKUP(source[[#This Row],[Приоритет]],тПриоритеты[],2,0)</f>
        <v>КРИТИЧЕСКОЕ</v>
      </c>
      <c r="E2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1" t="s">
        <v>1613</v>
      </c>
      <c r="G291" t="s">
        <v>1542</v>
      </c>
      <c r="H291" t="str">
        <f>VLOOKUP(source[[#This Row],[Отвественный]],тОтветственные[],2,0)</f>
        <v>Отв37</v>
      </c>
      <c r="I291" s="2">
        <v>43759</v>
      </c>
      <c r="J291" s="2">
        <v>43759</v>
      </c>
      <c r="P291">
        <v>0</v>
      </c>
      <c r="S291" s="1">
        <v>43759.640451388892</v>
      </c>
      <c r="T291" s="1">
        <v>43761.553356481483</v>
      </c>
      <c r="U291" s="1">
        <v>43761.647777777776</v>
      </c>
      <c r="W291" s="1">
        <v>43761.647789351853</v>
      </c>
      <c r="BF291" t="s">
        <v>2057</v>
      </c>
      <c r="BG291" t="s">
        <v>1615</v>
      </c>
      <c r="BH291" t="str">
        <f>HYPERLINK("https://d33htgqikc2pj4.cloudfront.net/1d0a531cbd4d4fb40bbbe630eae576de/6c38136f062b1f091302e0e036fdf530-file.jpeg", "Алексей Александров: Ссылка на изображение")</f>
        <v>Алексей Александров: Ссылка на изображение</v>
      </c>
      <c r="BI291" t="str">
        <f>HYPERLINK("https://d33htgqikc2pj4.cloudfront.net/1fc8ce736e311489610b6a5a9f91bc67/3ef5b9b9f43a1ca279af55084906d58a-file.jpeg", "Алексей Александров: Ссылка на изображение")</f>
        <v>Алексей Александров: Ссылка на изображение</v>
      </c>
      <c r="BJ291" t="s">
        <v>2052</v>
      </c>
      <c r="BK291" t="s">
        <v>2058</v>
      </c>
      <c r="BL291" s="3" t="s">
        <v>2059</v>
      </c>
      <c r="BM291" t="s">
        <v>2060</v>
      </c>
      <c r="BN291" t="s">
        <v>1552</v>
      </c>
      <c r="BO291" t="s">
        <v>2061</v>
      </c>
      <c r="BP291" t="str">
        <f>HYPERLINK("https://d33htgqikc2pj4.cloudfront.net/991044e8-9d94-46ad-8986-c402c41d1650.jpeg", "Алексей Никифоров: Ссылка на изображение")</f>
        <v>Алексей Никифоров: Ссылка на изображение</v>
      </c>
      <c r="BQ291" t="str">
        <f>HYPERLINK("https://d33htgqikc2pj4.cloudfront.net/f4e752f6-51a9-4141-a110-e037a8e3764d.jpeg", "Алексей Никифоров: Ссылка на изображение")</f>
        <v>Алексей Никифоров: Ссылка на изображение</v>
      </c>
      <c r="BR291" t="str">
        <f>HYPERLINK("https://d33htgqikc2pj4.cloudfront.net/d02720ab-e71e-4e9a-806d-4e7174d3dff9.jpeg", "Алексей Никифоров: Ссылка на изображение")</f>
        <v>Алексей Никифоров: Ссылка на изображение</v>
      </c>
      <c r="BS291" t="s">
        <v>1640</v>
      </c>
    </row>
    <row r="292" spans="1:77" ht="15" customHeight="1" x14ac:dyDescent="0.35">
      <c r="A292">
        <v>718</v>
      </c>
      <c r="B292" t="s">
        <v>2062</v>
      </c>
      <c r="C292">
        <v>1</v>
      </c>
      <c r="D292" t="str">
        <f>VLOOKUP(source[[#This Row],[Приоритет]],тПриоритеты[],2,0)</f>
        <v>КРИТИЧЕСКОЕ</v>
      </c>
      <c r="E2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2" t="s">
        <v>1613</v>
      </c>
      <c r="G292" t="s">
        <v>1542</v>
      </c>
      <c r="H292" t="str">
        <f>VLOOKUP(source[[#This Row],[Отвественный]],тОтветственные[],2,0)</f>
        <v>Отв37</v>
      </c>
      <c r="S292" s="1">
        <v>43791.727048611108</v>
      </c>
      <c r="T292" s="1">
        <v>43795.446342592593</v>
      </c>
      <c r="U292" s="1">
        <v>43801.593414351853</v>
      </c>
      <c r="W292" s="1">
        <v>43801.593414351853</v>
      </c>
      <c r="BF292" t="str">
        <f>HYPERLINK("https://d33htgqikc2pj4.cloudfront.net/97b8ff955d47b5ed661d5ff8ce05d798/639a432fb3e1629aaba3f57b6afe68c9-file.jpeg", "Алексей Александров: Ссылка на изображение")</f>
        <v>Алексей Александров: Ссылка на изображение</v>
      </c>
      <c r="BG292" t="str">
        <f>HYPERLINK("https://d33htgqikc2pj4.cloudfront.net/cd9a2f872d5637dcb4c0fc9902162f77/827adfecd51eda29361558810de1ac27-file.jpeg", "Алексей Александров: Ссылка на изображение")</f>
        <v>Алексей Александров: Ссылка на изображение</v>
      </c>
      <c r="BH292" t="str">
        <f>HYPERLINK("https://d33htgqikc2pj4.cloudfront.net/c452909ec40ae058d2703b6d8df6ae12/474dd55266d16ca81332474a5ed08fe6-file.jpeg", "Алексей Александров: Ссылка на изображение")</f>
        <v>Алексей Александров: Ссылка на изображение</v>
      </c>
      <c r="BI292" t="str">
        <f>HYPERLINK("https://d33htgqikc2pj4.cloudfront.net/c78592613da6d26fb437e34adf967663/6c4845025e894e98b92d31a1690a4ea0-file.jpeg", "Алексей Александров: Ссылка на изображение")</f>
        <v>Алексей Александров: Ссылка на изображение</v>
      </c>
      <c r="BJ292" t="s">
        <v>1615</v>
      </c>
      <c r="BK292" t="s">
        <v>2063</v>
      </c>
      <c r="BL292" t="s">
        <v>2064</v>
      </c>
      <c r="BM292" t="s">
        <v>2065</v>
      </c>
      <c r="BN292" t="s">
        <v>2066</v>
      </c>
      <c r="BO292" s="3" t="s">
        <v>2067</v>
      </c>
      <c r="BP292" t="str">
        <f>HYPERLINK("https://d33htgqikc2pj4.cloudfront.net/c781e4ae-d582-4853-acda-88d4432f35bc.jpeg", "Алексей Никифоров: Ссылка на изображение")</f>
        <v>Алексей Никифоров: Ссылка на изображение</v>
      </c>
      <c r="BQ292" t="str">
        <f>HYPERLINK("https://d33htgqikc2pj4.cloudfront.net/f8530a23-16a4-4ee3-b267-5dc6c39a5879.jpeg", "Алексей Никифоров: Ссылка на изображение")</f>
        <v>Алексей Никифоров: Ссылка на изображение</v>
      </c>
      <c r="BR292" t="str">
        <f>HYPERLINK("https://d33htgqikc2pj4.cloudfront.net/496eb455-af3d-4dbc-a6d8-21f81d67bb95.jpeg", "Алексей Никифоров: Ссылка на изображение")</f>
        <v>Алексей Никифоров: Ссылка на изображение</v>
      </c>
      <c r="BS292" t="str">
        <f>HYPERLINK("https://d33htgqikc2pj4.cloudfront.net/e6821d9c-9a6b-482a-8a79-387bced0eb15.jpeg", "Алексей Никифоров: Ссылка на изображение")</f>
        <v>Алексей Никифоров: Ссылка на изображение</v>
      </c>
      <c r="BT292" t="str">
        <f>HYPERLINK("https://d33htgqikc2pj4.cloudfront.net/b26295b7-5d2f-441f-ae12-518c56bac9ab.jpeg", "Алексей Никифоров: Ссылка на изображение")</f>
        <v>Алексей Никифоров: Ссылка на изображение</v>
      </c>
      <c r="BU292" t="str">
        <f>HYPERLINK("https://d33htgqikc2pj4.cloudfront.net/d59e7500-f379-4337-997a-2fccd6617276.jpeg", "Алексей Никифоров: Ссылка на изображение")</f>
        <v>Алексей Никифоров: Ссылка на изображение</v>
      </c>
      <c r="BV292" t="str">
        <f>HYPERLINK("https://d33htgqikc2pj4.cloudfront.net/8f00b880-a9d2-4609-9626-4fbaceb8a948.jpeg", "Алексей Никифоров: Ссылка на изображение")</f>
        <v>Алексей Никифоров: Ссылка на изображение</v>
      </c>
      <c r="BW292" t="s">
        <v>2068</v>
      </c>
      <c r="BX292" t="s">
        <v>1552</v>
      </c>
      <c r="BY292" t="s">
        <v>1640</v>
      </c>
    </row>
    <row r="293" spans="1:77" ht="15" customHeight="1" x14ac:dyDescent="0.35">
      <c r="A293">
        <v>719</v>
      </c>
      <c r="B293" t="s">
        <v>2069</v>
      </c>
      <c r="C293">
        <v>1</v>
      </c>
      <c r="D293" t="str">
        <f>VLOOKUP(source[[#This Row],[Приоритет]],тПриоритеты[],2,0)</f>
        <v>КРИТИЧЕСКОЕ</v>
      </c>
      <c r="E2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3" t="s">
        <v>1613</v>
      </c>
      <c r="G293" t="s">
        <v>1542</v>
      </c>
      <c r="H293" t="str">
        <f>VLOOKUP(source[[#This Row],[Отвественный]],тОтветственные[],2,0)</f>
        <v>Отв37</v>
      </c>
      <c r="S293" s="1">
        <v>43791.732037037036</v>
      </c>
      <c r="T293" s="1">
        <v>43795.446469907409</v>
      </c>
      <c r="U293" s="1">
        <v>43801.593854166669</v>
      </c>
      <c r="W293" s="1">
        <v>43801.593854166669</v>
      </c>
      <c r="BF293" t="s">
        <v>2070</v>
      </c>
      <c r="BG293" t="str">
        <f>HYPERLINK("https://d33htgqikc2pj4.cloudfront.net/51618d79591a49dbccfb937ca44af2b7/a0d1e6494cf4c53660b7b38cb2c159e4-file.jpeg", "Алексей Александров: Ссылка на изображение")</f>
        <v>Алексей Александров: Ссылка на изображение</v>
      </c>
      <c r="BH293" t="str">
        <f>HYPERLINK("https://d33htgqikc2pj4.cloudfront.net/e1fe9a23db0693fcf691f0c615877c12/6c5848bdfef65f64a83665f76e3a2a35-file.jpeg", "Алексей Александров: Ссылка на изображение")</f>
        <v>Алексей Александров: Ссылка на изображение</v>
      </c>
      <c r="BI293" t="s">
        <v>2065</v>
      </c>
      <c r="BJ293" t="s">
        <v>1615</v>
      </c>
      <c r="BK293" t="s">
        <v>2071</v>
      </c>
      <c r="BL293" t="s">
        <v>2072</v>
      </c>
      <c r="BM293" t="s">
        <v>1552</v>
      </c>
      <c r="BN293" t="s">
        <v>1640</v>
      </c>
    </row>
    <row r="294" spans="1:77" ht="15" customHeight="1" x14ac:dyDescent="0.35">
      <c r="A294">
        <v>637</v>
      </c>
      <c r="B294" t="s">
        <v>2073</v>
      </c>
      <c r="C294">
        <v>1</v>
      </c>
      <c r="D294" t="str">
        <f>VLOOKUP(source[[#This Row],[Приоритет]],тПриоритеты[],2,0)</f>
        <v>КРИТИЧЕСКОЕ</v>
      </c>
      <c r="E29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4" t="s">
        <v>1613</v>
      </c>
      <c r="G294" t="s">
        <v>1542</v>
      </c>
      <c r="H294" t="str">
        <f>VLOOKUP(source[[#This Row],[Отвественный]],тОтветственные[],2,0)</f>
        <v>Отв37</v>
      </c>
      <c r="K294" t="s">
        <v>274</v>
      </c>
      <c r="L294">
        <v>0</v>
      </c>
      <c r="M294">
        <v>0</v>
      </c>
      <c r="Q294" t="s">
        <v>124</v>
      </c>
      <c r="R294" t="str">
        <f>HYPERLINK("https://d28ji4sm1vmprj.cloudfront.net/355a08c081c3838ab5b858f428b86049/8945c7522deb0c15488ad801990cffed.jpeg", "Ссылка на план")</f>
        <v>Ссылка на план</v>
      </c>
      <c r="S294" s="1">
        <v>43760.488657407404</v>
      </c>
      <c r="T294" s="1">
        <v>43761.579965277779</v>
      </c>
      <c r="U294" s="1">
        <v>43761.64739583333</v>
      </c>
      <c r="W294" s="1">
        <v>43770.587060185186</v>
      </c>
      <c r="BF294" t="s">
        <v>2074</v>
      </c>
      <c r="BG294" t="str">
        <f>HYPERLINK("https://d33htgqikc2pj4.cloudfront.net/94a23fb6e372ce23311432a51f8c23e9/7ac29dc3171f0e11b4b61707fad7be08-file.jpeg", "Алексей Александров: Ссылка на изображение")</f>
        <v>Алексей Александров: Ссылка на изображение</v>
      </c>
      <c r="BH294" t="s">
        <v>1615</v>
      </c>
      <c r="BI294" t="s">
        <v>2052</v>
      </c>
      <c r="BJ294" t="s">
        <v>2075</v>
      </c>
      <c r="BK294" t="s">
        <v>1552</v>
      </c>
      <c r="BL294" t="s">
        <v>1640</v>
      </c>
      <c r="BM294" s="3" t="s">
        <v>2076</v>
      </c>
    </row>
    <row r="295" spans="1:77" ht="15" customHeight="1" x14ac:dyDescent="0.35">
      <c r="A295">
        <v>641</v>
      </c>
      <c r="B295" t="s">
        <v>2077</v>
      </c>
      <c r="C295">
        <v>1</v>
      </c>
      <c r="D295" t="str">
        <f>VLOOKUP(source[[#This Row],[Приоритет]],тПриоритеты[],2,0)</f>
        <v>КРИТИЧЕСКОЕ</v>
      </c>
      <c r="E29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5" t="s">
        <v>1613</v>
      </c>
      <c r="G295" t="s">
        <v>1542</v>
      </c>
      <c r="H295" t="str">
        <f>VLOOKUP(source[[#This Row],[Отвественный]],тОтветственные[],2,0)</f>
        <v>Отв37</v>
      </c>
      <c r="S295" s="1">
        <v>43760.514849537038</v>
      </c>
      <c r="T295" s="1">
        <v>43761.621504629627</v>
      </c>
      <c r="U295" s="1">
        <v>43761.647534722222</v>
      </c>
      <c r="W295" s="1">
        <v>43761.647546296299</v>
      </c>
      <c r="BF295" t="s">
        <v>2078</v>
      </c>
      <c r="BG295" t="s">
        <v>1655</v>
      </c>
      <c r="BH295" t="s">
        <v>2079</v>
      </c>
      <c r="BI295" t="s">
        <v>1615</v>
      </c>
      <c r="BJ295" t="s">
        <v>2080</v>
      </c>
      <c r="BK295" t="s">
        <v>2052</v>
      </c>
      <c r="BL295" t="s">
        <v>2081</v>
      </c>
      <c r="BM295" t="s">
        <v>1552</v>
      </c>
      <c r="BN295" t="s">
        <v>1640</v>
      </c>
    </row>
    <row r="296" spans="1:77" ht="15" customHeight="1" x14ac:dyDescent="0.35">
      <c r="A296">
        <v>639</v>
      </c>
      <c r="B296" t="s">
        <v>2082</v>
      </c>
      <c r="C296">
        <v>1</v>
      </c>
      <c r="D296" t="str">
        <f>VLOOKUP(source[[#This Row],[Приоритет]],тПриоритеты[],2,0)</f>
        <v>КРИТИЧЕСКОЕ</v>
      </c>
      <c r="E29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6" t="s">
        <v>1613</v>
      </c>
      <c r="G296" t="s">
        <v>1542</v>
      </c>
      <c r="H296" t="str">
        <f>VLOOKUP(source[[#This Row],[Отвественный]],тОтветственные[],2,0)</f>
        <v>Отв37</v>
      </c>
      <c r="S296" s="1">
        <v>43760.509050925924</v>
      </c>
      <c r="T296" s="1">
        <v>43761.648101851853</v>
      </c>
      <c r="U296" s="1">
        <v>43761.648101851853</v>
      </c>
      <c r="W296" s="1">
        <v>43761.648113425923</v>
      </c>
      <c r="BF296" t="s">
        <v>2083</v>
      </c>
      <c r="BG296" t="s">
        <v>1615</v>
      </c>
      <c r="BH296" t="s">
        <v>2052</v>
      </c>
      <c r="BI296" t="str">
        <f>HYPERLINK("https://d33htgqikc2pj4.cloudfront.net/eb39197c3b593e26d6b1d94ce120bb61/c7dc8eeb3218a8a2999f25c5a5e14554-file.jpeg", "Алексей Александров: Ссылка на изображение")</f>
        <v>Алексей Александров: Ссылка на изображение</v>
      </c>
      <c r="BJ296" s="3" t="s">
        <v>2084</v>
      </c>
      <c r="BK296" t="s">
        <v>2085</v>
      </c>
      <c r="BL296" t="str">
        <f>HYPERLINK("https://d33htgqikc2pj4.cloudfront.net/256c952d-8e5d-4e3b-9417-89a90c3550f2.jpeg", "Алексей Никифоров: Ссылка на изображение")</f>
        <v>Алексей Никифоров: Ссылка на изображение</v>
      </c>
      <c r="BM296" t="str">
        <f>HYPERLINK("https://d33htgqikc2pj4.cloudfront.net/688a18bb-b26c-41c1-b0cf-5c1d4f7313b7.jpeg", "Алексей Никифоров: Ссылка на изображение")</f>
        <v>Алексей Никифоров: Ссылка на изображение</v>
      </c>
      <c r="BN296" t="str">
        <f>HYPERLINK("https://d33htgqikc2pj4.cloudfront.net/0a13dcdb-85f1-4408-83e9-e85773391603.jpeg", "Алексей Никифоров: Ссылка на изображение")</f>
        <v>Алексей Никифоров: Ссылка на изображение</v>
      </c>
      <c r="BO296" t="str">
        <f>HYPERLINK("https://d33htgqikc2pj4.cloudfront.net/f2364b69-ba69-4d30-b08e-5f2cb8c4afd1.jpeg", "Алексей Никифоров: Ссылка на изображение")</f>
        <v>Алексей Никифоров: Ссылка на изображение</v>
      </c>
      <c r="BP296" t="s">
        <v>1640</v>
      </c>
    </row>
    <row r="297" spans="1:77" ht="15" customHeight="1" x14ac:dyDescent="0.35">
      <c r="A297">
        <v>237</v>
      </c>
      <c r="B297" t="s">
        <v>2086</v>
      </c>
      <c r="C297">
        <v>2</v>
      </c>
      <c r="D297" t="str">
        <f>VLOOKUP(source[[#This Row],[Приоритет]],тПриоритеты[],2,0)</f>
        <v>Значительное</v>
      </c>
      <c r="E2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7" t="s">
        <v>1613</v>
      </c>
      <c r="G297" t="s">
        <v>1555</v>
      </c>
      <c r="H297" t="str">
        <f>VLOOKUP(source[[#This Row],[Отвественный]],тОтветственные[],2,0)</f>
        <v>Отв43</v>
      </c>
      <c r="I297" s="2">
        <v>43657</v>
      </c>
      <c r="J297" s="2">
        <v>43658</v>
      </c>
      <c r="S297" s="1">
        <v>43657.714953703704</v>
      </c>
      <c r="T297" s="1">
        <v>43711.497245370374</v>
      </c>
      <c r="U297" s="1">
        <v>43661.607233796298</v>
      </c>
      <c r="W297" s="1">
        <v>43711.49659722222</v>
      </c>
      <c r="BF297" t="s">
        <v>2087</v>
      </c>
      <c r="BG297" t="s">
        <v>2088</v>
      </c>
      <c r="BH297" t="str">
        <f>HYPERLINK("https://d33htgqikc2pj4.cloudfront.net/cab1f1e61bb35c38b6ecfd020df3afec/454c1e7158f29f9c72ae95115e597842-file.jpeg", "Алексей Александров: Ссылка на изображение")</f>
        <v>Алексей Александров: Ссылка на изображение</v>
      </c>
      <c r="BI297" t="s">
        <v>1704</v>
      </c>
      <c r="BJ297" t="s">
        <v>1705</v>
      </c>
      <c r="BK297" t="s">
        <v>2089</v>
      </c>
      <c r="BL297" t="s">
        <v>1640</v>
      </c>
      <c r="BM297" t="s">
        <v>1565</v>
      </c>
    </row>
    <row r="298" spans="1:77" ht="15" customHeight="1" x14ac:dyDescent="0.35">
      <c r="A298">
        <v>225</v>
      </c>
      <c r="B298" t="s">
        <v>2090</v>
      </c>
      <c r="C298">
        <v>2</v>
      </c>
      <c r="D298" t="str">
        <f>VLOOKUP(source[[#This Row],[Приоритет]],тПриоритеты[],2,0)</f>
        <v>Значительное</v>
      </c>
      <c r="E2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8" t="s">
        <v>1613</v>
      </c>
      <c r="G298" t="s">
        <v>1555</v>
      </c>
      <c r="H298" t="str">
        <f>VLOOKUP(source[[#This Row],[Отвественный]],тОтветственные[],2,0)</f>
        <v>Отв43</v>
      </c>
      <c r="I298" s="2">
        <v>43656</v>
      </c>
      <c r="J298" s="2">
        <v>43658</v>
      </c>
      <c r="S298" s="1">
        <v>43656.403923611113</v>
      </c>
      <c r="T298" s="1">
        <v>43711.497245370374</v>
      </c>
      <c r="U298" s="1">
        <v>43661.606932870367</v>
      </c>
      <c r="W298" s="1">
        <v>43711.49659722222</v>
      </c>
      <c r="BF298" t="s">
        <v>2091</v>
      </c>
      <c r="BG298" t="s">
        <v>2088</v>
      </c>
      <c r="BH298" t="s">
        <v>2092</v>
      </c>
      <c r="BI298" t="s">
        <v>1705</v>
      </c>
      <c r="BJ298" t="str">
        <f>HYPERLINK("https://d33htgqikc2pj4.cloudfront.net/ba677a19ef1ac7b7e73023dfd639c16a/48247887e1e20d0180e60c87fbead4ac-file.jpeg", "Алексей Александров: Ссылка на изображение")</f>
        <v>Алексей Александров: Ссылка на изображение</v>
      </c>
      <c r="BK298" t="str">
        <f>HYPERLINK("https://d33htgqikc2pj4.cloudfront.net/7cb331cbd3c75071b0a473adaaa0a6e9/6214683e4a0952efa07d634fb43d65c3-file.jpeg", "Алексей Александров: Ссылка на изображение")</f>
        <v>Алексей Александров: Ссылка на изображение</v>
      </c>
      <c r="BL298" t="str">
        <f>HYPERLINK("https://d33htgqikc2pj4.cloudfront.net/8c8a58e7d56c9b0f6f8e1c3a80f7c659/194b156308c27b31f839e9c68fb3ac72-file.jpeg", "Алексей Александров: Ссылка на изображение")</f>
        <v>Алексей Александров: Ссылка на изображение</v>
      </c>
      <c r="BM298" t="s">
        <v>2093</v>
      </c>
      <c r="BN298" t="s">
        <v>2094</v>
      </c>
      <c r="BO298" t="s">
        <v>1640</v>
      </c>
      <c r="BP298" t="s">
        <v>1565</v>
      </c>
    </row>
    <row r="299" spans="1:77" ht="15" customHeight="1" x14ac:dyDescent="0.35">
      <c r="A299">
        <v>464</v>
      </c>
      <c r="B299" t="s">
        <v>2095</v>
      </c>
      <c r="C299">
        <v>1</v>
      </c>
      <c r="D299" t="str">
        <f>VLOOKUP(source[[#This Row],[Приоритет]],тПриоритеты[],2,0)</f>
        <v>КРИТИЧЕСКОЕ</v>
      </c>
      <c r="E2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299" t="s">
        <v>1613</v>
      </c>
      <c r="G299" t="s">
        <v>1555</v>
      </c>
      <c r="H299" t="str">
        <f>VLOOKUP(source[[#This Row],[Отвественный]],тОтветственные[],2,0)</f>
        <v>Отв43</v>
      </c>
      <c r="S299" s="1">
        <v>43719.641018518516</v>
      </c>
      <c r="T299" s="1">
        <v>43719.986250000002</v>
      </c>
      <c r="U299" s="1">
        <v>43721.407962962963</v>
      </c>
      <c r="W299" s="1">
        <v>43721.407986111109</v>
      </c>
      <c r="BF299" t="s">
        <v>2096</v>
      </c>
      <c r="BG299" t="str">
        <f>HYPERLINK("https://d33htgqikc2pj4.cloudfront.net/b6f9870b10ca6a52f69a6fba2ea18a81/41bbd6e06e6ea734d97297cb700c3687-file.jpeg", "Алексей Александров: Ссылка на изображение")</f>
        <v>Алексей Александров: Ссылка на изображение</v>
      </c>
      <c r="BH299" t="str">
        <f>HYPERLINK("https://d33htgqikc2pj4.cloudfront.net/83e41e55780f3fd1639fbbf1cdf95221/f40e957e40f20253be90e558c67e9196-file.jpeg", "Алексей Александров: Ссылка на изображение")</f>
        <v>Алексей Александров: Ссылка на изображение</v>
      </c>
      <c r="BI299" t="str">
        <f>HYPERLINK("https://d33htgqikc2pj4.cloudfront.net/52f5ac1b6c22a8182d5cbcd741f25109/91aab6b04fe2e4875b15f7808dc2d485-file.jpeg", "Алексей Александров: Ссылка на изображение")</f>
        <v>Алексей Александров: Ссылка на изображение</v>
      </c>
      <c r="BJ299" t="str">
        <f>HYPERLINK("https://d33htgqikc2pj4.cloudfront.net/66241cd052786887dc9326e90e58c867/6afcad95c881e1cd7992d4cbcdbfe165-file.jpeg", "Алексей Александров: Ссылка на изображение")</f>
        <v>Алексей Александров: Ссылка на изображение</v>
      </c>
      <c r="BK299" t="s">
        <v>2088</v>
      </c>
      <c r="BL299" t="s">
        <v>2097</v>
      </c>
      <c r="BM299" t="s">
        <v>1615</v>
      </c>
      <c r="BN299" t="s">
        <v>2098</v>
      </c>
      <c r="BO299" t="s">
        <v>1565</v>
      </c>
      <c r="BP299" t="s">
        <v>1640</v>
      </c>
    </row>
    <row r="300" spans="1:77" ht="15" customHeight="1" x14ac:dyDescent="0.35">
      <c r="A300">
        <v>354</v>
      </c>
      <c r="B300" t="s">
        <v>2099</v>
      </c>
      <c r="C300">
        <v>1</v>
      </c>
      <c r="D300" t="str">
        <f>VLOOKUP(source[[#This Row],[Приоритет]],тПриоритеты[],2,0)</f>
        <v>КРИТИЧЕСКОЕ</v>
      </c>
      <c r="E3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0" t="s">
        <v>1613</v>
      </c>
      <c r="G300" t="s">
        <v>1555</v>
      </c>
      <c r="H300" t="str">
        <f>VLOOKUP(source[[#This Row],[Отвественный]],тОтветственные[],2,0)</f>
        <v>Отв43</v>
      </c>
      <c r="I300" s="2">
        <v>43690</v>
      </c>
      <c r="J300" s="2">
        <v>43690</v>
      </c>
      <c r="S300" s="1">
        <v>43690.646793981483</v>
      </c>
      <c r="T300" s="1">
        <v>43711.497245370374</v>
      </c>
      <c r="U300" s="1">
        <v>43696.38417824074</v>
      </c>
      <c r="W300" s="1">
        <v>43711.49659722222</v>
      </c>
      <c r="BF300" t="s">
        <v>2100</v>
      </c>
      <c r="BG300" t="s">
        <v>1615</v>
      </c>
      <c r="BH300" t="s">
        <v>2088</v>
      </c>
      <c r="BI300" t="s">
        <v>2101</v>
      </c>
      <c r="BJ300" t="str">
        <f>HYPERLINK("https://d33htgqikc2pj4.cloudfront.net/dbb810df6658a31ca29efaaa50e7c48a/5722806118e4fb30fa12bca6998a027f-file.jpeg", "Алексей Александров: Ссылка на изображение")</f>
        <v>Алексей Александров: Ссылка на изображение</v>
      </c>
      <c r="BK300" t="str">
        <f>HYPERLINK("https://d33htgqikc2pj4.cloudfront.net/2715fcb0b358e74bde4a3f41380d4126/5eb2e9759107bb3631ea23ed97d81b88-file.jpeg", "Алексей Александров: Ссылка на изображение")</f>
        <v>Алексей Александров: Ссылка на изображение</v>
      </c>
      <c r="BL300" t="str">
        <f>HYPERLINK("https://d33htgqikc2pj4.cloudfront.net/4c51169b3978c3fb18976671879e75a9/214a357ee843f9dec1cbce66d73defb6-file.jpeg", "Алексей Александров: Ссылка на изображение")</f>
        <v>Алексей Александров: Ссылка на изображение</v>
      </c>
      <c r="BM300" t="str">
        <f>HYPERLINK("https://d33htgqikc2pj4.cloudfront.net/be4706d491d592fb0708d59868b2f41a/47b6061c2bb50c876d687b2def82f61b-file.jpeg", "Алексей Александров: Ссылка на изображение")</f>
        <v>Алексей Александров: Ссылка на изображение</v>
      </c>
      <c r="BN300" t="str">
        <f>HYPERLINK("https://d33htgqikc2pj4.cloudfront.net/b953304713c732195f3b1aaef7eac7f1/8a71e6b7fd0027790991c51d0edb4f68-file.jpeg", "Алексей Александров: Ссылка на изображение")</f>
        <v>Алексей Александров: Ссылка на изображение</v>
      </c>
      <c r="BO300" t="s">
        <v>1947</v>
      </c>
      <c r="BP300" t="s">
        <v>1640</v>
      </c>
      <c r="BQ300" t="s">
        <v>1565</v>
      </c>
    </row>
    <row r="301" spans="1:77" ht="15" customHeight="1" x14ac:dyDescent="0.35">
      <c r="A301">
        <v>145</v>
      </c>
      <c r="B301" t="s">
        <v>2102</v>
      </c>
      <c r="C301">
        <v>3</v>
      </c>
      <c r="D301" t="str">
        <f>VLOOKUP(source[[#This Row],[Приоритет]],тПриоритеты[],2,0)</f>
        <v>Малозначительное</v>
      </c>
      <c r="E3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1" t="s">
        <v>1613</v>
      </c>
      <c r="G301" t="s">
        <v>1555</v>
      </c>
      <c r="H301" t="str">
        <f>VLOOKUP(source[[#This Row],[Отвественный]],тОтветственные[],2,0)</f>
        <v>Отв43</v>
      </c>
      <c r="I301" s="2">
        <v>43634</v>
      </c>
      <c r="J301" s="2">
        <v>43647</v>
      </c>
      <c r="S301" s="1">
        <v>43634.474062499998</v>
      </c>
      <c r="T301" s="1">
        <v>43711.497245370374</v>
      </c>
      <c r="U301" s="1">
        <v>43642.732407407406</v>
      </c>
      <c r="W301" s="1">
        <v>43711.49659722222</v>
      </c>
      <c r="BF301" t="s">
        <v>2088</v>
      </c>
      <c r="BG301" t="s">
        <v>2103</v>
      </c>
      <c r="BH301" t="s">
        <v>1615</v>
      </c>
      <c r="BI301" t="str">
        <f>HYPERLINK("https://d33htgqikc2pj4.cloudfront.net/cc8c7e9d87a7bea2c6a9066b42fe3a8b/4fca33974851b479e5452302a15ef905-file.jpeg", "Алексей Александров: Ссылка на изображение")</f>
        <v>Алексей Александров: Ссылка на изображение</v>
      </c>
      <c r="BJ301" t="str">
        <f>HYPERLINK("https://d33htgqikc2pj4.cloudfront.net/05627ec2e005dca656f55e9a761db298/d87c7d78ef4bf44179099481898e5850-file.jpeg", "Алексей Александров: Ссылка на изображение")</f>
        <v>Алексей Александров: Ссылка на изображение</v>
      </c>
      <c r="BK301" t="str">
        <f>HYPERLINK("https://d33htgqikc2pj4.cloudfront.net/4ab5b43cc10a5a97ace9b6563221bb6c/0bcab75c763035d6daaced48fd1f6581-file.jpeg", "Алексей Александров: Ссылка на изображение")</f>
        <v>Алексей Александров: Ссылка на изображение</v>
      </c>
      <c r="BL301" t="s">
        <v>2104</v>
      </c>
      <c r="BM301" t="str">
        <f>HYPERLINK("https://d33htgqikc2pj4.cloudfront.net/6544d094495bff83a113fdf65e0b6e16/e9a619359db52dc4ec94282e659f4f42-file.jpeg", "Алексей Александров: Ссылка на изображение")</f>
        <v>Алексей Александров: Ссылка на изображение</v>
      </c>
      <c r="BN301" t="s">
        <v>2105</v>
      </c>
      <c r="BO301" t="s">
        <v>2106</v>
      </c>
      <c r="BP301" t="s">
        <v>2088</v>
      </c>
      <c r="BQ301" t="s">
        <v>2107</v>
      </c>
      <c r="BR301" t="s">
        <v>2108</v>
      </c>
      <c r="BS301" t="s">
        <v>2109</v>
      </c>
      <c r="BT301" t="s">
        <v>1693</v>
      </c>
      <c r="BU301" t="s">
        <v>2110</v>
      </c>
      <c r="BV301" t="s">
        <v>1640</v>
      </c>
      <c r="BW301" t="s">
        <v>1565</v>
      </c>
    </row>
    <row r="302" spans="1:77" ht="15" customHeight="1" x14ac:dyDescent="0.35">
      <c r="A302">
        <v>163</v>
      </c>
      <c r="B302" t="s">
        <v>2111</v>
      </c>
      <c r="C302">
        <v>3</v>
      </c>
      <c r="D302" t="str">
        <f>VLOOKUP(source[[#This Row],[Приоритет]],тПриоритеты[],2,0)</f>
        <v>Малозначительное</v>
      </c>
      <c r="E30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2" t="s">
        <v>1613</v>
      </c>
      <c r="G302" t="s">
        <v>1555</v>
      </c>
      <c r="H302" t="str">
        <f>VLOOKUP(source[[#This Row],[Отвественный]],тОтветственные[],2,0)</f>
        <v>Отв43</v>
      </c>
      <c r="I302" s="2">
        <v>43640</v>
      </c>
      <c r="J302" s="2">
        <v>43643</v>
      </c>
      <c r="S302" s="1">
        <v>43640.572256944448</v>
      </c>
      <c r="T302" s="1">
        <v>43711.497245370374</v>
      </c>
      <c r="U302" s="1">
        <v>43644.631493055553</v>
      </c>
      <c r="W302" s="1">
        <v>43711.49659722222</v>
      </c>
      <c r="BF302" t="s">
        <v>2088</v>
      </c>
      <c r="BG302" t="s">
        <v>2039</v>
      </c>
      <c r="BH302" t="s">
        <v>2112</v>
      </c>
      <c r="BI302" t="s">
        <v>1738</v>
      </c>
      <c r="BJ302" t="s">
        <v>1739</v>
      </c>
      <c r="BK302" t="s">
        <v>2113</v>
      </c>
      <c r="BL302" t="s">
        <v>2114</v>
      </c>
      <c r="BM302" t="s">
        <v>1693</v>
      </c>
      <c r="BN302" t="s">
        <v>1797</v>
      </c>
      <c r="BO302" t="s">
        <v>1640</v>
      </c>
      <c r="BP302" t="s">
        <v>1565</v>
      </c>
    </row>
    <row r="303" spans="1:77" ht="15" customHeight="1" x14ac:dyDescent="0.35">
      <c r="A303">
        <v>611</v>
      </c>
      <c r="B303" t="s">
        <v>2115</v>
      </c>
      <c r="C303">
        <v>1</v>
      </c>
      <c r="D303" t="str">
        <f>VLOOKUP(source[[#This Row],[Приоритет]],тПриоритеты[],2,0)</f>
        <v>КРИТИЧЕСКОЕ</v>
      </c>
      <c r="E30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3" t="s">
        <v>1613</v>
      </c>
      <c r="G303" t="s">
        <v>1555</v>
      </c>
      <c r="H303" t="str">
        <f>VLOOKUP(source[[#This Row],[Отвественный]],тОтветственные[],2,0)</f>
        <v>Отв43</v>
      </c>
      <c r="S303" s="1">
        <v>43753.7341087963</v>
      </c>
      <c r="T303" s="1">
        <v>43756.567337962966</v>
      </c>
      <c r="U303" s="1">
        <v>43756.567337962966</v>
      </c>
      <c r="W303" s="1">
        <v>43756.567337962966</v>
      </c>
      <c r="BF303" t="s">
        <v>2116</v>
      </c>
      <c r="BG303" t="str">
        <f>HYPERLINK("https://d33htgqikc2pj4.cloudfront.net/21d8fdd0309e8a97cc237746b308179f/42e8093a622a75564f27294cff20b57e-file.jpeg", "Алексей Александров: Ссылка на изображение")</f>
        <v>Алексей Александров: Ссылка на изображение</v>
      </c>
      <c r="BH303" t="s">
        <v>1615</v>
      </c>
      <c r="BI303" t="s">
        <v>2088</v>
      </c>
      <c r="BJ303" t="s">
        <v>2117</v>
      </c>
      <c r="BK303" t="s">
        <v>1640</v>
      </c>
    </row>
    <row r="304" spans="1:77" ht="15" customHeight="1" x14ac:dyDescent="0.35">
      <c r="A304">
        <v>610</v>
      </c>
      <c r="B304" t="s">
        <v>2118</v>
      </c>
      <c r="C304">
        <v>3</v>
      </c>
      <c r="D304" t="str">
        <f>VLOOKUP(source[[#This Row],[Приоритет]],тПриоритеты[],2,0)</f>
        <v>Малозначительное</v>
      </c>
      <c r="E30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4" t="s">
        <v>1613</v>
      </c>
      <c r="G304" t="s">
        <v>1555</v>
      </c>
      <c r="H304" t="str">
        <f>VLOOKUP(source[[#This Row],[Отвественный]],тОтветственные[],2,0)</f>
        <v>Отв43</v>
      </c>
      <c r="S304" s="1">
        <v>43753.727337962962</v>
      </c>
      <c r="T304" s="1">
        <v>43795.645011574074</v>
      </c>
      <c r="U304" s="1">
        <v>43801.592800925922</v>
      </c>
      <c r="W304" s="1">
        <v>43801.592800925922</v>
      </c>
      <c r="BF304" t="s">
        <v>2119</v>
      </c>
      <c r="BG304" t="str">
        <f>HYPERLINK("https://d33htgqikc2pj4.cloudfront.net/60930b0619629a6abd67d1753153e7fd/85a507495e5df44854978150c49deedd-file.jpeg", "Алексей Александров: Ссылка на изображение")</f>
        <v>Алексей Александров: Ссылка на изображение</v>
      </c>
      <c r="BH304" t="str">
        <f>HYPERLINK("https://d33htgqikc2pj4.cloudfront.net/7d5274817e3906400e11f7823d8109a3/d2edc44b1d326e799488819f2d04a28e-file.jpeg", "Алексей Александров: Ссылка на изображение")</f>
        <v>Алексей Александров: Ссылка на изображение</v>
      </c>
      <c r="BI304" s="3" t="s">
        <v>2120</v>
      </c>
      <c r="BJ304" t="s">
        <v>1615</v>
      </c>
      <c r="BK304" t="s">
        <v>2088</v>
      </c>
      <c r="BL304" t="s">
        <v>1565</v>
      </c>
      <c r="BM304" t="s">
        <v>2121</v>
      </c>
      <c r="BN304" t="s">
        <v>2122</v>
      </c>
      <c r="BO304" t="s">
        <v>1565</v>
      </c>
      <c r="BP304" t="s">
        <v>2123</v>
      </c>
      <c r="BQ304" t="s">
        <v>1640</v>
      </c>
    </row>
    <row r="305" spans="1:74" ht="15" customHeight="1" x14ac:dyDescent="0.35">
      <c r="A305">
        <v>224</v>
      </c>
      <c r="B305" t="s">
        <v>2124</v>
      </c>
      <c r="C305">
        <v>1</v>
      </c>
      <c r="D305" t="str">
        <f>VLOOKUP(source[[#This Row],[Приоритет]],тПриоритеты[],2,0)</f>
        <v>КРИТИЧЕСКОЕ</v>
      </c>
      <c r="E3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5" t="s">
        <v>1613</v>
      </c>
      <c r="G305" t="s">
        <v>1555</v>
      </c>
      <c r="H305" t="str">
        <f>VLOOKUP(source[[#This Row],[Отвественный]],тОтветственные[],2,0)</f>
        <v>Отв43</v>
      </c>
      <c r="S305" s="1">
        <v>43656.383159722223</v>
      </c>
      <c r="T305" s="1">
        <v>43668.674837962964</v>
      </c>
      <c r="U305" s="1">
        <v>43668.674837962964</v>
      </c>
      <c r="W305" s="1">
        <v>43668.674837962964</v>
      </c>
      <c r="BF305" t="s">
        <v>1615</v>
      </c>
      <c r="BG305" t="s">
        <v>2088</v>
      </c>
      <c r="BH305" t="s">
        <v>2125</v>
      </c>
      <c r="BI305" t="str">
        <f>HYPERLINK("https://d33htgqikc2pj4.cloudfront.net/3c89bf94d73002f79c584753b1460840/74f49827f8e2121addcad658c40078cd-file.jpeg", "Алексей Александров: Ссылка на изображение")</f>
        <v>Алексей Александров: Ссылка на изображение</v>
      </c>
      <c r="BJ305" t="str">
        <f>HYPERLINK("https://d33htgqikc2pj4.cloudfront.net/927e9234b12658fcfffa830e194747d2/8be852147b7bf383637b34e4e456759b-file.jpeg", "Алексей Александров: Ссылка на изображение")</f>
        <v>Алексей Александров: Ссылка на изображение</v>
      </c>
      <c r="BK305" t="str">
        <f>HYPERLINK("https://d33htgqikc2pj4.cloudfront.net/8a9a1be9c25909651b442b9688fb3b5b/21cb972755d047646bff542592a5a266-file.jpeg", "Алексей Александров: Ссылка на изображение")</f>
        <v>Алексей Александров: Ссылка на изображение</v>
      </c>
      <c r="BL305" t="str">
        <f>HYPERLINK("https://d33htgqikc2pj4.cloudfront.net/d7f7a4faffa6f5f61dff33414c67095a/8b4c6fefa0d9c98e5df58c508f81a802-file.jpeg", "Алексей Александров: Ссылка на изображение")</f>
        <v>Алексей Александров: Ссылка на изображение</v>
      </c>
      <c r="BM305" t="str">
        <f>HYPERLINK("https://d33htgqikc2pj4.cloudfront.net/1d7e179c08b497f8e47d620dbb43a6c0/ea9ef65d5693fcff8c27c8663094fd15-file.jpeg", "Алексей Александров: Ссылка на изображение")</f>
        <v>Алексей Александров: Ссылка на изображение</v>
      </c>
      <c r="BN305" t="str">
        <f>HYPERLINK("https://d33htgqikc2pj4.cloudfront.net/e81a59ba286f93e78306cc8cdce8ff37/5884f9421d0e242801b7d0739fc691db-file.jpeg", "Алексей Александров: Ссылка на изображение")</f>
        <v>Алексей Александров: Ссылка на изображение</v>
      </c>
      <c r="BO305" t="str">
        <f>HYPERLINK("https://d33htgqikc2pj4.cloudfront.net/bb0bff24366aa620397da20a6fcc7605/33becbdc1bdc857091c722a67d3c9775-file.jpeg", "Алексей Александров: Ссылка на изображение")</f>
        <v>Алексей Александров: Ссылка на изображение</v>
      </c>
      <c r="BP305" s="3" t="s">
        <v>2126</v>
      </c>
      <c r="BQ305" s="3" t="s">
        <v>2127</v>
      </c>
      <c r="BR305" t="s">
        <v>1640</v>
      </c>
    </row>
    <row r="306" spans="1:74" ht="15" customHeight="1" x14ac:dyDescent="0.35">
      <c r="A306">
        <v>290</v>
      </c>
      <c r="B306" t="s">
        <v>2128</v>
      </c>
      <c r="C306">
        <v>2</v>
      </c>
      <c r="D306" t="str">
        <f>VLOOKUP(source[[#This Row],[Приоритет]],тПриоритеты[],2,0)</f>
        <v>Значительное</v>
      </c>
      <c r="E3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6" t="s">
        <v>1613</v>
      </c>
      <c r="G306" t="s">
        <v>1555</v>
      </c>
      <c r="H306" t="str">
        <f>VLOOKUP(source[[#This Row],[Отвественный]],тОтветственные[],2,0)</f>
        <v>Отв43</v>
      </c>
      <c r="S306" s="1">
        <v>43668.730636574073</v>
      </c>
      <c r="T306" s="1">
        <v>43685.506967592592</v>
      </c>
      <c r="U306" s="1">
        <v>43685.506967592592</v>
      </c>
      <c r="W306" s="1">
        <v>43685.506967592592</v>
      </c>
      <c r="BF306" t="s">
        <v>2129</v>
      </c>
      <c r="BG306" t="s">
        <v>2088</v>
      </c>
      <c r="BH306" t="str">
        <f>HYPERLINK("https://d33htgqikc2pj4.cloudfront.net/e58027d71f4bbac9601b6a76cb2caa97/499f2e59fffd755770ec9394850796f7-file.jpeg", "Алексей Александров: Ссылка на изображение")</f>
        <v>Алексей Александров: Ссылка на изображение</v>
      </c>
      <c r="BI306" t="str">
        <f>HYPERLINK("https://d33htgqikc2pj4.cloudfront.net/56f1240a390c8857610281e4c5504837/2d112b588bbc1a45d7e552e792078f63-file.jpeg", "Алексей Александров: Ссылка на изображение")</f>
        <v>Алексей Александров: Ссылка на изображение</v>
      </c>
      <c r="BJ306" t="str">
        <f>HYPERLINK("https://d33htgqikc2pj4.cloudfront.net/d7e2dee09c1f495c419e178a35729a12/45c071ea90422ca6580d9ad7c86f0a6e-file.jpeg", "Алексей Александров: Ссылка на изображение")</f>
        <v>Алексей Александров: Ссылка на изображение</v>
      </c>
      <c r="BK306" t="s">
        <v>1834</v>
      </c>
      <c r="BL306" t="s">
        <v>2130</v>
      </c>
      <c r="BM306" s="3" t="s">
        <v>2131</v>
      </c>
      <c r="BN306" s="3" t="s">
        <v>2132</v>
      </c>
      <c r="BO306" t="s">
        <v>1834</v>
      </c>
      <c r="BP306" t="s">
        <v>1640</v>
      </c>
    </row>
    <row r="307" spans="1:74" ht="15" customHeight="1" x14ac:dyDescent="0.35">
      <c r="A307">
        <v>627</v>
      </c>
      <c r="B307" t="s">
        <v>2133</v>
      </c>
      <c r="C307">
        <v>1</v>
      </c>
      <c r="D307" t="str">
        <f>VLOOKUP(source[[#This Row],[Приоритет]],тПриоритеты[],2,0)</f>
        <v>КРИТИЧЕСКОЕ</v>
      </c>
      <c r="E3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7" t="s">
        <v>1613</v>
      </c>
      <c r="G307" t="s">
        <v>1555</v>
      </c>
      <c r="H307" t="str">
        <f>VLOOKUP(source[[#This Row],[Отвественный]],тОтветственные[],2,0)</f>
        <v>Отв43</v>
      </c>
      <c r="I307" s="2">
        <v>43754</v>
      </c>
      <c r="J307" s="2">
        <v>43754</v>
      </c>
      <c r="S307" s="1">
        <v>43754.394965277781</v>
      </c>
      <c r="T307" s="1">
        <v>43755.633981481478</v>
      </c>
      <c r="U307" s="1">
        <v>43755.633981481478</v>
      </c>
      <c r="W307" s="1">
        <v>43755.633981481478</v>
      </c>
      <c r="BF307" t="s">
        <v>2134</v>
      </c>
      <c r="BG307" t="s">
        <v>2135</v>
      </c>
      <c r="BH307" t="s">
        <v>1615</v>
      </c>
      <c r="BI307" t="s">
        <v>2088</v>
      </c>
      <c r="BJ307" t="s">
        <v>2136</v>
      </c>
      <c r="BK307" t="s">
        <v>1640</v>
      </c>
    </row>
    <row r="308" spans="1:74" ht="15" customHeight="1" x14ac:dyDescent="0.35">
      <c r="A308">
        <v>716</v>
      </c>
      <c r="B308" t="s">
        <v>2137</v>
      </c>
      <c r="C308">
        <v>1</v>
      </c>
      <c r="D308" t="str">
        <f>VLOOKUP(source[[#This Row],[Приоритет]],тПриоритеты[],2,0)</f>
        <v>КРИТИЧЕСКОЕ</v>
      </c>
      <c r="E3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8" t="s">
        <v>1613</v>
      </c>
      <c r="G308" t="s">
        <v>1555</v>
      </c>
      <c r="H308" t="str">
        <f>VLOOKUP(source[[#This Row],[Отвественный]],тОтветственные[],2,0)</f>
        <v>Отв43</v>
      </c>
      <c r="I308" s="2">
        <v>43791</v>
      </c>
      <c r="J308" s="2">
        <v>43794</v>
      </c>
      <c r="S308" s="1">
        <v>43791.717106481483</v>
      </c>
      <c r="T308" s="1">
        <v>43808.393587962964</v>
      </c>
      <c r="U308" s="1">
        <v>43809.377465277779</v>
      </c>
      <c r="W308" s="1">
        <v>43809.377465277779</v>
      </c>
      <c r="BF308" t="s">
        <v>2138</v>
      </c>
      <c r="BG308" t="str">
        <f>HYPERLINK("https://d33htgqikc2pj4.cloudfront.net/c0b77664a15385352c4ee83328d14684/7bb140f9f010e49fcf0d4fd913d271ab-file.jpeg", "Алексей Александров: Ссылка на изображение")</f>
        <v>Алексей Александров: Ссылка на изображение</v>
      </c>
      <c r="BH308" t="str">
        <f>HYPERLINK("https://d33htgqikc2pj4.cloudfront.net/82153f4cc3951a037176efebe51e66d5/2047d397ba6f9c348c77107a45f05bb3-file.jpeg", "Алексей Александров: Ссылка на изображение")</f>
        <v>Алексей Александров: Ссылка на изображение</v>
      </c>
      <c r="BI308" t="str">
        <f>HYPERLINK("https://d33htgqikc2pj4.cloudfront.net/3a22148a163c065b35acdda09d2fedf9/63675a2400ce186953c6ea194092bdef-file.jpeg", "Алексей Александров: Ссылка на изображение")</f>
        <v>Алексей Александров: Ссылка на изображение</v>
      </c>
      <c r="BJ308" t="str">
        <f>HYPERLINK("https://d33htgqikc2pj4.cloudfront.net/a08f9bef94d9f46d18adf09da2844c24/2d60a3bb2e744cc1942796be51044005-file.jpeg", "Алексей Александров: Ссылка на изображение")</f>
        <v>Алексей Александров: Ссылка на изображение</v>
      </c>
      <c r="BK308" s="3" t="s">
        <v>2139</v>
      </c>
      <c r="BL308" t="s">
        <v>1615</v>
      </c>
      <c r="BM308" t="s">
        <v>2088</v>
      </c>
      <c r="BN308" t="s">
        <v>1649</v>
      </c>
      <c r="BO308" t="s">
        <v>1650</v>
      </c>
      <c r="BP308" t="s">
        <v>1565</v>
      </c>
      <c r="BQ308" t="s">
        <v>2123</v>
      </c>
      <c r="BR308" t="s">
        <v>1640</v>
      </c>
    </row>
    <row r="309" spans="1:74" ht="15" customHeight="1" x14ac:dyDescent="0.35">
      <c r="A309">
        <v>465</v>
      </c>
      <c r="B309" t="s">
        <v>2140</v>
      </c>
      <c r="C309">
        <v>3</v>
      </c>
      <c r="D309" t="str">
        <f>VLOOKUP(source[[#This Row],[Приоритет]],тПриоритеты[],2,0)</f>
        <v>Малозначительное</v>
      </c>
      <c r="E3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09" t="s">
        <v>1613</v>
      </c>
      <c r="G309" t="s">
        <v>1555</v>
      </c>
      <c r="H309" t="str">
        <f>VLOOKUP(source[[#This Row],[Отвественный]],тОтветственные[],2,0)</f>
        <v>Отв43</v>
      </c>
      <c r="I309" s="2">
        <v>43719</v>
      </c>
      <c r="J309" s="2">
        <v>43720</v>
      </c>
      <c r="S309" s="1">
        <v>43719.645127314812</v>
      </c>
      <c r="T309" s="1">
        <v>43725.372847222221</v>
      </c>
      <c r="U309" s="1">
        <v>43725.398402777777</v>
      </c>
      <c r="W309" s="1">
        <v>43725.398414351854</v>
      </c>
      <c r="BF309" t="s">
        <v>2141</v>
      </c>
      <c r="BG309" t="str">
        <f>HYPERLINK("https://d33htgqikc2pj4.cloudfront.net/699368872d54671b0ced124d3a459b2d/bc492d7c8da4c8ba6d9cd822f4a384a2-file.jpeg", "Алексей Александров: Ссылка на изображение")</f>
        <v>Алексей Александров: Ссылка на изображение</v>
      </c>
      <c r="BH309" t="str">
        <f>HYPERLINK("https://d33htgqikc2pj4.cloudfront.net/6a3850e31c31309106df0936456b77c3/2890a65c0f3af72ba3380e42a50d44bf-file.jpeg", "Алексей Александров: Ссылка на изображение")</f>
        <v>Алексей Александров: Ссылка на изображение</v>
      </c>
      <c r="BI309" t="s">
        <v>2088</v>
      </c>
      <c r="BJ309" t="s">
        <v>1615</v>
      </c>
      <c r="BK309" t="s">
        <v>2142</v>
      </c>
      <c r="BL309" t="s">
        <v>1676</v>
      </c>
      <c r="BM309" t="s">
        <v>1677</v>
      </c>
      <c r="BN309" t="s">
        <v>2143</v>
      </c>
      <c r="BO309" t="s">
        <v>1565</v>
      </c>
      <c r="BP309" t="s">
        <v>1693</v>
      </c>
      <c r="BQ309" t="s">
        <v>2144</v>
      </c>
      <c r="BR309" t="s">
        <v>1565</v>
      </c>
      <c r="BS309" t="s">
        <v>1640</v>
      </c>
    </row>
    <row r="310" spans="1:74" ht="15" customHeight="1" x14ac:dyDescent="0.35">
      <c r="A310">
        <v>353</v>
      </c>
      <c r="B310" t="s">
        <v>2140</v>
      </c>
      <c r="C310">
        <v>1</v>
      </c>
      <c r="D310" t="str">
        <f>VLOOKUP(source[[#This Row],[Приоритет]],тПриоритеты[],2,0)</f>
        <v>КРИТИЧЕСКОЕ</v>
      </c>
      <c r="E3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0" t="s">
        <v>1613</v>
      </c>
      <c r="G310" t="s">
        <v>1555</v>
      </c>
      <c r="H310" t="str">
        <f>VLOOKUP(source[[#This Row],[Отвественный]],тОтветственные[],2,0)</f>
        <v>Отв43</v>
      </c>
      <c r="I310" s="2">
        <v>43690</v>
      </c>
      <c r="J310" s="2">
        <v>43690</v>
      </c>
      <c r="S310" s="1">
        <v>43690.63554398148</v>
      </c>
      <c r="T310" s="1">
        <v>43711.497245370374</v>
      </c>
      <c r="U310" s="1">
        <v>43696.383969907409</v>
      </c>
      <c r="W310" s="1">
        <v>43711.49659722222</v>
      </c>
      <c r="BF310" t="s">
        <v>2141</v>
      </c>
      <c r="BG310" t="s">
        <v>1947</v>
      </c>
      <c r="BH310" t="s">
        <v>1615</v>
      </c>
      <c r="BI310" t="s">
        <v>2088</v>
      </c>
      <c r="BJ310" t="s">
        <v>1640</v>
      </c>
      <c r="BK310" t="s">
        <v>1565</v>
      </c>
    </row>
    <row r="311" spans="1:74" ht="15" customHeight="1" x14ac:dyDescent="0.35">
      <c r="A311">
        <v>331</v>
      </c>
      <c r="B311" t="s">
        <v>2145</v>
      </c>
      <c r="C311">
        <v>2</v>
      </c>
      <c r="D311" t="str">
        <f>VLOOKUP(source[[#This Row],[Приоритет]],тПриоритеты[],2,0)</f>
        <v>Значительное</v>
      </c>
      <c r="E3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1" t="s">
        <v>1613</v>
      </c>
      <c r="G311" t="s">
        <v>1555</v>
      </c>
      <c r="H311" t="str">
        <f>VLOOKUP(source[[#This Row],[Отвественный]],тОтветственные[],2,0)</f>
        <v>Отв43</v>
      </c>
      <c r="S311" s="1">
        <v>43677.707951388889</v>
      </c>
      <c r="T311" s="1">
        <v>43679.582511574074</v>
      </c>
      <c r="U311" s="1">
        <v>43679.582511574074</v>
      </c>
      <c r="W311" s="1">
        <v>43679.582511574074</v>
      </c>
      <c r="BF311" t="s">
        <v>2146</v>
      </c>
      <c r="BG311" t="s">
        <v>2088</v>
      </c>
      <c r="BH311" t="s">
        <v>2147</v>
      </c>
      <c r="BI311" t="s">
        <v>2148</v>
      </c>
      <c r="BJ311" t="s">
        <v>1640</v>
      </c>
    </row>
    <row r="312" spans="1:74" ht="15" customHeight="1" x14ac:dyDescent="0.35">
      <c r="A312">
        <v>330</v>
      </c>
      <c r="B312" t="s">
        <v>2149</v>
      </c>
      <c r="C312">
        <v>1</v>
      </c>
      <c r="D312" t="str">
        <f>VLOOKUP(source[[#This Row],[Приоритет]],тПриоритеты[],2,0)</f>
        <v>КРИТИЧЕСКОЕ</v>
      </c>
      <c r="E3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2" t="s">
        <v>1613</v>
      </c>
      <c r="G312" t="s">
        <v>1555</v>
      </c>
      <c r="H312" t="str">
        <f>VLOOKUP(source[[#This Row],[Отвественный]],тОтветственные[],2,0)</f>
        <v>Отв43</v>
      </c>
      <c r="S312" s="1">
        <v>43677.704710648148</v>
      </c>
      <c r="T312" s="1">
        <v>43679.582152777781</v>
      </c>
      <c r="U312" s="1">
        <v>43679.582152777781</v>
      </c>
      <c r="W312" s="1">
        <v>43679.582152777781</v>
      </c>
      <c r="BF312" t="s">
        <v>2150</v>
      </c>
      <c r="BG312" t="str">
        <f>HYPERLINK("https://d33htgqikc2pj4.cloudfront.net/e6fb5b533d52cb24fbc6a93b898d2b25/1a53db06e58f0a6463c6870542b62d0c-file.jpeg", "Алексей Александров: Ссылка на изображение")</f>
        <v>Алексей Александров: Ссылка на изображение</v>
      </c>
      <c r="BH312" t="s">
        <v>2088</v>
      </c>
      <c r="BI312" t="s">
        <v>1693</v>
      </c>
      <c r="BJ312" t="s">
        <v>2151</v>
      </c>
      <c r="BK312" t="s">
        <v>1615</v>
      </c>
      <c r="BL312" t="s">
        <v>1640</v>
      </c>
    </row>
    <row r="313" spans="1:74" ht="15" customHeight="1" x14ac:dyDescent="0.35">
      <c r="A313">
        <v>634</v>
      </c>
      <c r="B313" t="s">
        <v>2152</v>
      </c>
      <c r="C313">
        <v>2</v>
      </c>
      <c r="D313" t="str">
        <f>VLOOKUP(source[[#This Row],[Приоритет]],тПриоритеты[],2,0)</f>
        <v>Значительное</v>
      </c>
      <c r="E3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3" t="s">
        <v>1613</v>
      </c>
      <c r="G313" t="s">
        <v>1555</v>
      </c>
      <c r="H313" t="str">
        <f>VLOOKUP(source[[#This Row],[Отвественный]],тОтветственные[],2,0)</f>
        <v>Отв43</v>
      </c>
      <c r="S313" s="1">
        <v>43755.685717592591</v>
      </c>
      <c r="T313" s="1">
        <v>43774.409780092596</v>
      </c>
      <c r="U313" s="1">
        <v>43775.395266203705</v>
      </c>
      <c r="W313" s="1">
        <v>43775.395277777781</v>
      </c>
      <c r="BF313" t="s">
        <v>2153</v>
      </c>
      <c r="BG313" t="s">
        <v>2088</v>
      </c>
      <c r="BH313" t="s">
        <v>2154</v>
      </c>
      <c r="BI313" t="s">
        <v>1565</v>
      </c>
      <c r="BJ313" t="s">
        <v>2155</v>
      </c>
      <c r="BK313" t="s">
        <v>1640</v>
      </c>
    </row>
    <row r="314" spans="1:74" ht="15" customHeight="1" x14ac:dyDescent="0.35">
      <c r="A314">
        <v>328</v>
      </c>
      <c r="B314" t="s">
        <v>2156</v>
      </c>
      <c r="C314">
        <v>1</v>
      </c>
      <c r="D314" t="str">
        <f>VLOOKUP(source[[#This Row],[Приоритет]],тПриоритеты[],2,0)</f>
        <v>КРИТИЧЕСКОЕ</v>
      </c>
      <c r="E3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4" t="s">
        <v>1613</v>
      </c>
      <c r="G314" t="s">
        <v>1555</v>
      </c>
      <c r="H314" t="str">
        <f>VLOOKUP(source[[#This Row],[Отвественный]],тОтветственные[],2,0)</f>
        <v>Отв43</v>
      </c>
      <c r="I314" s="2">
        <v>43677</v>
      </c>
      <c r="J314" s="2">
        <v>43677</v>
      </c>
      <c r="S314" s="1">
        <v>43677.697280092594</v>
      </c>
      <c r="T314" s="1">
        <v>43711.497245370374</v>
      </c>
      <c r="U314" s="1">
        <v>43679.581562500003</v>
      </c>
      <c r="W314" s="1">
        <v>43711.49659722222</v>
      </c>
      <c r="BF314" t="s">
        <v>2157</v>
      </c>
      <c r="BG314" t="str">
        <f>HYPERLINK("https://d33htgqikc2pj4.cloudfront.net/3b9dced2eee467f11f9c2cf980677abe/230b8f45eab4b3f0c45c297d346f2796-file.jpeg", "Алексей Александров: Ссылка на изображение")</f>
        <v>Алексей Александров: Ссылка на изображение</v>
      </c>
      <c r="BH314" t="str">
        <f>HYPERLINK("https://d33htgqikc2pj4.cloudfront.net/c27a3c564438b00b79a577521a404a70/ac74dafbcac044ebd4c39029267f0800-file.jpeg", "Алексей Александров: Ссылка на изображение")</f>
        <v>Алексей Александров: Ссылка на изображение</v>
      </c>
      <c r="BI314" t="s">
        <v>1615</v>
      </c>
      <c r="BJ314" t="s">
        <v>2158</v>
      </c>
      <c r="BK314" t="s">
        <v>2088</v>
      </c>
      <c r="BL314" t="s">
        <v>1847</v>
      </c>
      <c r="BM314" t="s">
        <v>1640</v>
      </c>
      <c r="BN314" t="s">
        <v>1565</v>
      </c>
    </row>
    <row r="315" spans="1:74" ht="15" customHeight="1" x14ac:dyDescent="0.35">
      <c r="A315">
        <v>397</v>
      </c>
      <c r="B315" t="s">
        <v>2159</v>
      </c>
      <c r="C315">
        <v>3</v>
      </c>
      <c r="D315" t="str">
        <f>VLOOKUP(source[[#This Row],[Приоритет]],тПриоритеты[],2,0)</f>
        <v>Малозначительное</v>
      </c>
      <c r="E3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5" t="s">
        <v>1613</v>
      </c>
      <c r="G315" t="s">
        <v>1555</v>
      </c>
      <c r="H315" t="str">
        <f>VLOOKUP(source[[#This Row],[Отвественный]],тОтветственные[],2,0)</f>
        <v>Отв43</v>
      </c>
      <c r="I315" s="2">
        <v>43704</v>
      </c>
      <c r="J315" s="2">
        <v>43704</v>
      </c>
      <c r="S315" s="1">
        <v>43704.465810185182</v>
      </c>
      <c r="T315" s="1">
        <v>43711.497245370374</v>
      </c>
      <c r="U315" s="1">
        <v>43710.689733796295</v>
      </c>
      <c r="W315" s="1">
        <v>43711.49659722222</v>
      </c>
      <c r="BF315" t="s">
        <v>2160</v>
      </c>
      <c r="BG315" t="str">
        <f>HYPERLINK("https://d33htgqikc2pj4.cloudfront.net/38c6d5f894d3209d086e51fb9003c6f0/756f6286ab7f767e4080f78fa08c3ec1-file.jpeg", "Алексей Александров: Ссылка на изображение")</f>
        <v>Алексей Александров: Ссылка на изображение</v>
      </c>
      <c r="BH315" t="s">
        <v>2161</v>
      </c>
      <c r="BI315" t="s">
        <v>2088</v>
      </c>
      <c r="BJ315" t="s">
        <v>2162</v>
      </c>
      <c r="BK315" t="s">
        <v>2163</v>
      </c>
      <c r="BL315" t="s">
        <v>1693</v>
      </c>
      <c r="BM315" t="s">
        <v>1640</v>
      </c>
      <c r="BN315" t="s">
        <v>2164</v>
      </c>
      <c r="BO315" t="s">
        <v>1565</v>
      </c>
    </row>
    <row r="316" spans="1:74" ht="15" customHeight="1" x14ac:dyDescent="0.35">
      <c r="A316">
        <v>399</v>
      </c>
      <c r="B316" t="s">
        <v>2165</v>
      </c>
      <c r="C316">
        <v>1</v>
      </c>
      <c r="D316" t="str">
        <f>VLOOKUP(source[[#This Row],[Приоритет]],тПриоритеты[],2,0)</f>
        <v>КРИТИЧЕСКОЕ</v>
      </c>
      <c r="E3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6" t="s">
        <v>1613</v>
      </c>
      <c r="G316" t="s">
        <v>1555</v>
      </c>
      <c r="H316" t="str">
        <f>VLOOKUP(source[[#This Row],[Отвественный]],тОтветственные[],2,0)</f>
        <v>Отв43</v>
      </c>
      <c r="I316" s="2">
        <v>43704</v>
      </c>
      <c r="J316" s="2">
        <v>43711</v>
      </c>
      <c r="S316" s="1">
        <v>43704.478888888887</v>
      </c>
      <c r="T316" s="1">
        <v>43711.497245370374</v>
      </c>
      <c r="U316" s="1">
        <v>43710.681828703702</v>
      </c>
      <c r="W316" s="1">
        <v>43711.49659722222</v>
      </c>
      <c r="BF316" t="s">
        <v>2166</v>
      </c>
      <c r="BG316" t="s">
        <v>1615</v>
      </c>
      <c r="BH316" t="s">
        <v>2088</v>
      </c>
      <c r="BI316" t="str">
        <f>HYPERLINK("https://d33htgqikc2pj4.cloudfront.net/c6e7902e2e3cbbfd07cf4c346080356b/32da341f72e2f18bfc11c864196abeee-file.jpeg", "Алексей Александров: Ссылка на изображение")</f>
        <v>Алексей Александров: Ссылка на изображение</v>
      </c>
      <c r="BJ316" t="str">
        <f>HYPERLINK("https://d33htgqikc2pj4.cloudfront.net/a7659cbd5941ff07435b64fef409dd36/e919435d13dc65496ce06bb97f00709c-file.jpeg", "Алексей Александров: Ссылка на изображение")</f>
        <v>Алексей Александров: Ссылка на изображение</v>
      </c>
      <c r="BK316" t="str">
        <f>HYPERLINK("https://d33htgqikc2pj4.cloudfront.net/b6792b7e112d3321a88451bb2a537185/bc4b6383322b7eec25aebbab6469f4aa-file.jpeg", "Алексей Александров: Ссылка на изображение")</f>
        <v>Алексей Александров: Ссылка на изображение</v>
      </c>
      <c r="BL316" t="s">
        <v>2161</v>
      </c>
      <c r="BM316" t="s">
        <v>2167</v>
      </c>
      <c r="BN316" s="3" t="s">
        <v>2168</v>
      </c>
      <c r="BO316" t="s">
        <v>1640</v>
      </c>
      <c r="BP316" t="s">
        <v>2169</v>
      </c>
      <c r="BQ316" t="s">
        <v>1565</v>
      </c>
    </row>
    <row r="317" spans="1:74" ht="15" customHeight="1" x14ac:dyDescent="0.35">
      <c r="A317">
        <v>404</v>
      </c>
      <c r="B317" t="s">
        <v>2170</v>
      </c>
      <c r="C317">
        <v>1</v>
      </c>
      <c r="D317" t="str">
        <f>VLOOKUP(source[[#This Row],[Приоритет]],тПриоритеты[],2,0)</f>
        <v>КРИТИЧЕСКОЕ</v>
      </c>
      <c r="E3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7" t="s">
        <v>1613</v>
      </c>
      <c r="G317" t="s">
        <v>1555</v>
      </c>
      <c r="H317" t="str">
        <f>VLOOKUP(source[[#This Row],[Отвественный]],тОтветственные[],2,0)</f>
        <v>Отв43</v>
      </c>
      <c r="I317" s="2">
        <v>43706</v>
      </c>
      <c r="J317" s="2">
        <v>43706</v>
      </c>
      <c r="S317" s="1">
        <v>43706.733946759261</v>
      </c>
      <c r="T317" s="1">
        <v>43711.497245370374</v>
      </c>
      <c r="U317" s="1">
        <v>43710.681435185186</v>
      </c>
      <c r="W317" s="1">
        <v>43711.49659722222</v>
      </c>
      <c r="BF317" t="s">
        <v>2171</v>
      </c>
      <c r="BG317" t="s">
        <v>2088</v>
      </c>
      <c r="BH317" t="str">
        <f>HYPERLINK("https://d33htgqikc2pj4.cloudfront.net/74dd0c352ebe38466b5bcdca131e6e70/8a30e1a803b609dd2c11f662501ae6ac-file.jpeg", "Алексей Александров: Ссылка на изображение")</f>
        <v>Алексей Александров: Ссылка на изображение</v>
      </c>
      <c r="BI317" t="str">
        <f>HYPERLINK("https://d33htgqikc2pj4.cloudfront.net/57d5b84c640b03586ca7f571b2a6e965/e2e6adf3090f2c05b5042487e816d11a-file.jpeg", "Алексей Александров: Ссылка на изображение")</f>
        <v>Алексей Александров: Ссылка на изображение</v>
      </c>
      <c r="BJ317" t="s">
        <v>2172</v>
      </c>
      <c r="BK317" t="s">
        <v>2173</v>
      </c>
      <c r="BL317" t="s">
        <v>1615</v>
      </c>
      <c r="BM317" t="s">
        <v>1973</v>
      </c>
      <c r="BN317" t="s">
        <v>1640</v>
      </c>
      <c r="BO317" t="s">
        <v>2174</v>
      </c>
      <c r="BP317" t="s">
        <v>1565</v>
      </c>
    </row>
    <row r="318" spans="1:74" ht="15" customHeight="1" x14ac:dyDescent="0.35">
      <c r="A318">
        <v>516</v>
      </c>
      <c r="B318" t="s">
        <v>2175</v>
      </c>
      <c r="C318">
        <v>1</v>
      </c>
      <c r="D318" t="str">
        <f>VLOOKUP(source[[#This Row],[Приоритет]],тПриоритеты[],2,0)</f>
        <v>КРИТИЧЕСКОЕ</v>
      </c>
      <c r="E3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8" t="s">
        <v>1613</v>
      </c>
      <c r="G318" t="s">
        <v>1555</v>
      </c>
      <c r="H318" t="str">
        <f>VLOOKUP(source[[#This Row],[Отвественный]],тОтветственные[],2,0)</f>
        <v>Отв43</v>
      </c>
      <c r="I318" s="2">
        <v>43731</v>
      </c>
      <c r="J318" s="2">
        <v>43740</v>
      </c>
      <c r="S318" s="1">
        <v>43731.677719907406</v>
      </c>
      <c r="T318" s="1">
        <v>43732.477581018517</v>
      </c>
      <c r="U318" s="1">
        <v>43732.741412037038</v>
      </c>
      <c r="W318" s="1">
        <v>43732.741412037038</v>
      </c>
      <c r="BF318" t="s">
        <v>2176</v>
      </c>
      <c r="BG318" t="str">
        <f>HYPERLINK("https://d33htgqikc2pj4.cloudfront.net/da556f168c5746c4ff30dce9d83191f7/5159fb7ffd65d51d7f76522ef8fa6188-file.jpeg", "Алексей Александров: Ссылка на изображение")</f>
        <v>Алексей Александров: Ссылка на изображение</v>
      </c>
      <c r="BH318" t="str">
        <f>HYPERLINK("https://d33htgqikc2pj4.cloudfront.net/6bf99bf069664afc774cb4bea63a1088/59ac2205b6cb6422e35b0d90d436e72b-file.jpeg", "Алексей Александров: Ссылка на изображение")</f>
        <v>Алексей Александров: Ссылка на изображение</v>
      </c>
      <c r="BI318" t="str">
        <f>HYPERLINK("https://d33htgqikc2pj4.cloudfront.net/8ad0d39a69d6f7c639a77e03737d76e5/32a564ee4e290eaff14479a1b9509f4c-file.jpeg", "Алексей Александров: Ссылка на изображение")</f>
        <v>Алексей Александров: Ссылка на изображение</v>
      </c>
      <c r="BJ318" t="str">
        <f>HYPERLINK("https://d33htgqikc2pj4.cloudfront.net/fad43ab087adc6b4bfeca09ba4b640f8/ef9ec38b68e015cc304f9b056ae4c84f-file.jpeg", "Алексей Александров: Ссылка на изображение")</f>
        <v>Алексей Александров: Ссылка на изображение</v>
      </c>
      <c r="BK318" t="str">
        <f>HYPERLINK("https://d33htgqikc2pj4.cloudfront.net/774de875636de678905de790e275ed1a/db9cbead7d859a397ca494415519071f-file.jpeg", "Алексей Александров: Ссылка на изображение")</f>
        <v>Алексей Александров: Ссылка на изображение</v>
      </c>
      <c r="BL318" t="str">
        <f>HYPERLINK("https://d33htgqikc2pj4.cloudfront.net/8d3dafe721e4078e4e406f6cd8cbd8ec/6a31853f75db4fe1a717460c5f6068af-file.jpeg", "Алексей Александров: Ссылка на изображение")</f>
        <v>Алексей Александров: Ссылка на изображение</v>
      </c>
      <c r="BM318" t="str">
        <f>HYPERLINK("https://d33htgqikc2pj4.cloudfront.net/4e3a303af8317b727c6c6627c7e529b0/27c9f02d5eb2986bb5cd5f65aedb5365-file.jpeg", "Алексей Александров: Ссылка на изображение")</f>
        <v>Алексей Александров: Ссылка на изображение</v>
      </c>
      <c r="BN318" t="str">
        <f>HYPERLINK("https://d33htgqikc2pj4.cloudfront.net/6db8ce6646f94d6e82b3b6afd39fd3f0/c6dd631686e68041b3e09891a55e4b71-file.jpeg", "Алексей Александров: Ссылка на изображение")</f>
        <v>Алексей Александров: Ссылка на изображение</v>
      </c>
      <c r="BO318" t="s">
        <v>1615</v>
      </c>
      <c r="BP318" t="s">
        <v>2088</v>
      </c>
      <c r="BQ318" s="3" t="s">
        <v>2177</v>
      </c>
      <c r="BR318" t="s">
        <v>1860</v>
      </c>
      <c r="BS318" t="s">
        <v>2178</v>
      </c>
      <c r="BT318" t="s">
        <v>2179</v>
      </c>
      <c r="BU318" t="s">
        <v>1565</v>
      </c>
      <c r="BV318" t="s">
        <v>1640</v>
      </c>
    </row>
    <row r="319" spans="1:74" ht="15" customHeight="1" x14ac:dyDescent="0.35">
      <c r="A319">
        <v>517</v>
      </c>
      <c r="B319" t="s">
        <v>2180</v>
      </c>
      <c r="C319">
        <v>1</v>
      </c>
      <c r="D319" t="str">
        <f>VLOOKUP(source[[#This Row],[Приоритет]],тПриоритеты[],2,0)</f>
        <v>КРИТИЧЕСКОЕ</v>
      </c>
      <c r="E3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19" t="s">
        <v>1613</v>
      </c>
      <c r="G319" t="s">
        <v>1555</v>
      </c>
      <c r="H319" t="str">
        <f>VLOOKUP(source[[#This Row],[Отвественный]],тОтветственные[],2,0)</f>
        <v>Отв43</v>
      </c>
      <c r="I319" s="2">
        <v>43731</v>
      </c>
      <c r="J319" s="2">
        <v>43738</v>
      </c>
      <c r="S319" s="1">
        <v>43731.699606481481</v>
      </c>
      <c r="T319" s="1">
        <v>43747.525729166664</v>
      </c>
      <c r="U319" s="1">
        <v>43747.525729166664</v>
      </c>
      <c r="W319" s="1">
        <v>43747.525729166664</v>
      </c>
      <c r="BF319" t="s">
        <v>2181</v>
      </c>
      <c r="BG319" t="str">
        <f>HYPERLINK("https://d33htgqikc2pj4.cloudfront.net/e27c8141d8085ebc6b5f46fe80c4b926/c6806c3ffc0588c586a7b9736860d6a1-file.jpeg", "Алексей Александров: Ссылка на изображение")</f>
        <v>Алексей Александров: Ссылка на изображение</v>
      </c>
      <c r="BH319" t="str">
        <f>HYPERLINK("https://d33htgqikc2pj4.cloudfront.net/eee87a66d2f962d09d1fab56d2bef194/1549d6cff942a4c2ff3385545e6cd873-file.jpeg", "Алексей Александров: Ссылка на изображение")</f>
        <v>Алексей Александров: Ссылка на изображение</v>
      </c>
      <c r="BI319" t="s">
        <v>1615</v>
      </c>
      <c r="BJ319" t="str">
        <f>HYPERLINK("https://d33htgqikc2pj4.cloudfront.net/7ba614992450ddcd114625e82e25f419/378b0a8ef1d1b02efe37e1ae5de47d89-file.jpeg", "Алексей Александров: Ссылка на изображение")</f>
        <v>Алексей Александров: Ссылка на изображение</v>
      </c>
      <c r="BK319" t="str">
        <f>HYPERLINK("https://d33htgqikc2pj4.cloudfront.net/7727edd552c342009efa6d2adf3d3924/3f05527b6b293adf82e1705a0c3d39f1-file.jpeg", "Алексей Александров: Ссылка на изображение")</f>
        <v>Алексей Александров: Ссылка на изображение</v>
      </c>
      <c r="BL319" t="str">
        <f>HYPERLINK("https://d33htgqikc2pj4.cloudfront.net/ec6be4d1dbbec524af12b7f19372c310/961fa9de4e30f7765e8a05524acef5fa-file.jpeg", "Алексей Александров: Ссылка на изображение")</f>
        <v>Алексей Александров: Ссылка на изображение</v>
      </c>
      <c r="BM319" t="str">
        <f>HYPERLINK("https://d33htgqikc2pj4.cloudfront.net/99f802a1757f2364fc5cec6f73cea12f/2c378e260f77866e8754676902e4caa2-file.jpeg", "Алексей Александров: Ссылка на изображение")</f>
        <v>Алексей Александров: Ссылка на изображение</v>
      </c>
      <c r="BN319" t="s">
        <v>2088</v>
      </c>
      <c r="BO319" s="3" t="s">
        <v>2182</v>
      </c>
      <c r="BP319" t="s">
        <v>1860</v>
      </c>
      <c r="BQ319" t="s">
        <v>2183</v>
      </c>
      <c r="BR319" t="s">
        <v>2184</v>
      </c>
      <c r="BS319" t="s">
        <v>2185</v>
      </c>
      <c r="BT319" t="s">
        <v>1640</v>
      </c>
    </row>
    <row r="320" spans="1:74" ht="15" customHeight="1" x14ac:dyDescent="0.35">
      <c r="A320">
        <v>518</v>
      </c>
      <c r="B320" t="s">
        <v>2186</v>
      </c>
      <c r="C320">
        <v>1</v>
      </c>
      <c r="D320" t="str">
        <f>VLOOKUP(source[[#This Row],[Приоритет]],тПриоритеты[],2,0)</f>
        <v>КРИТИЧЕСКОЕ</v>
      </c>
      <c r="E3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0" t="s">
        <v>1613</v>
      </c>
      <c r="G320" t="s">
        <v>1555</v>
      </c>
      <c r="H320" t="str">
        <f>VLOOKUP(source[[#This Row],[Отвественный]],тОтветственные[],2,0)</f>
        <v>Отв43</v>
      </c>
      <c r="I320" s="2">
        <v>43731</v>
      </c>
      <c r="J320" s="2">
        <v>43732</v>
      </c>
      <c r="S320" s="1">
        <v>43731.703946759262</v>
      </c>
      <c r="T320" s="1">
        <v>43732.741597222222</v>
      </c>
      <c r="U320" s="1">
        <v>43732.741597222222</v>
      </c>
      <c r="W320" s="1">
        <v>43732.741597222222</v>
      </c>
      <c r="BF320" t="s">
        <v>2187</v>
      </c>
      <c r="BG320" t="str">
        <f>HYPERLINK("https://d33htgqikc2pj4.cloudfront.net/9c452376335f2c27a72e35341cd1dd0c/fc8e14d5090619a8fcbc20c3def793be-file.jpeg", "Алексей Александров: Ссылка на изображение")</f>
        <v>Алексей Александров: Ссылка на изображение</v>
      </c>
      <c r="BH320" t="str">
        <f>HYPERLINK("https://d33htgqikc2pj4.cloudfront.net/086aebffb5d59547690eb3c857272024/5b4bf394f830341dd39bfd8c3670e77a-file.jpeg", "Алексей Александров: Ссылка на изображение")</f>
        <v>Алексей Александров: Ссылка на изображение</v>
      </c>
      <c r="BI320" t="s">
        <v>1615</v>
      </c>
      <c r="BJ320" t="s">
        <v>2088</v>
      </c>
      <c r="BK320" t="s">
        <v>1860</v>
      </c>
      <c r="BL320" t="s">
        <v>1892</v>
      </c>
      <c r="BM320" s="3" t="s">
        <v>2188</v>
      </c>
      <c r="BN320" t="s">
        <v>2189</v>
      </c>
      <c r="BO320" t="s">
        <v>1565</v>
      </c>
      <c r="BP320" t="str">
        <f>HYPERLINK("https://d33htgqikc2pj4.cloudfront.net/cdc0e18265cf0f1203759eb12747cc0a/7c7f59ddc7ec473ee266e9c2c53d2434-file.jpeg", "Алексей Александров: Ссылка на изображение")</f>
        <v>Алексей Александров: Ссылка на изображение</v>
      </c>
      <c r="BQ320" t="s">
        <v>2190</v>
      </c>
      <c r="BR320" t="s">
        <v>1615</v>
      </c>
      <c r="BS320" t="s">
        <v>1640</v>
      </c>
    </row>
    <row r="321" spans="1:71" ht="15" customHeight="1" x14ac:dyDescent="0.35">
      <c r="A321">
        <v>519</v>
      </c>
      <c r="B321" t="s">
        <v>2191</v>
      </c>
      <c r="C321">
        <v>1</v>
      </c>
      <c r="D321" t="str">
        <f>VLOOKUP(source[[#This Row],[Приоритет]],тПриоритеты[],2,0)</f>
        <v>КРИТИЧЕСКОЕ</v>
      </c>
      <c r="E3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1" t="s">
        <v>1613</v>
      </c>
      <c r="G321" t="s">
        <v>1555</v>
      </c>
      <c r="H321" t="str">
        <f>VLOOKUP(source[[#This Row],[Отвественный]],тОтветственные[],2,0)</f>
        <v>Отв43</v>
      </c>
      <c r="I321" s="2">
        <v>43731</v>
      </c>
      <c r="J321" s="2">
        <v>43742</v>
      </c>
      <c r="S321" s="1">
        <v>43731.708275462966</v>
      </c>
      <c r="T321" s="1">
        <v>43732.478587962964</v>
      </c>
      <c r="U321" s="1">
        <v>43732.608784722222</v>
      </c>
      <c r="W321" s="1">
        <v>43732.608784722222</v>
      </c>
      <c r="BF321" t="s">
        <v>2192</v>
      </c>
      <c r="BG321" t="s">
        <v>1615</v>
      </c>
      <c r="BH321" t="s">
        <v>2088</v>
      </c>
      <c r="BI321" t="s">
        <v>1860</v>
      </c>
      <c r="BJ321" t="s">
        <v>2193</v>
      </c>
      <c r="BK321" s="3" t="s">
        <v>2194</v>
      </c>
      <c r="BL321" t="s">
        <v>2195</v>
      </c>
      <c r="BM321" t="s">
        <v>1565</v>
      </c>
      <c r="BN321" t="s">
        <v>1640</v>
      </c>
    </row>
    <row r="322" spans="1:71" ht="15" customHeight="1" x14ac:dyDescent="0.35">
      <c r="A322">
        <v>423</v>
      </c>
      <c r="B322" t="s">
        <v>2196</v>
      </c>
      <c r="C322">
        <v>2</v>
      </c>
      <c r="D322" t="str">
        <f>VLOOKUP(source[[#This Row],[Приоритет]],тПриоритеты[],2,0)</f>
        <v>Значительное</v>
      </c>
      <c r="E3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2" t="s">
        <v>1613</v>
      </c>
      <c r="G322" t="s">
        <v>1555</v>
      </c>
      <c r="H322" t="str">
        <f>VLOOKUP(source[[#This Row],[Отвественный]],тОтветственные[],2,0)</f>
        <v>Отв43</v>
      </c>
      <c r="S322" s="1">
        <v>43710.695289351854</v>
      </c>
      <c r="T322" s="1">
        <v>43728.460960648146</v>
      </c>
      <c r="U322" s="1">
        <v>43728.676932870374</v>
      </c>
      <c r="W322" s="1">
        <v>43728.676932870374</v>
      </c>
      <c r="BF322" t="str">
        <f>HYPERLINK("https://d33htgqikc2pj4.cloudfront.net/7f1eaf659b94c631a2ceee9ffdeb06aa/c954fd60e96ffde79243fc3bee0e1092-file.jpeg", "Алексей Александров: Ссылка на изображение")</f>
        <v>Алексей Александров: Ссылка на изображение</v>
      </c>
      <c r="BG322" t="s">
        <v>2197</v>
      </c>
      <c r="BH322" t="s">
        <v>1920</v>
      </c>
      <c r="BI322" t="s">
        <v>2198</v>
      </c>
      <c r="BJ322" t="s">
        <v>2088</v>
      </c>
      <c r="BK322" t="s">
        <v>2199</v>
      </c>
      <c r="BL322" t="s">
        <v>1883</v>
      </c>
      <c r="BM322" t="s">
        <v>2200</v>
      </c>
      <c r="BN322" t="s">
        <v>2201</v>
      </c>
      <c r="BO322" t="s">
        <v>1565</v>
      </c>
      <c r="BP322" t="s">
        <v>1640</v>
      </c>
    </row>
    <row r="323" spans="1:71" ht="15" customHeight="1" x14ac:dyDescent="0.35">
      <c r="A323">
        <v>422</v>
      </c>
      <c r="B323" t="s">
        <v>2202</v>
      </c>
      <c r="C323">
        <v>1</v>
      </c>
      <c r="D323" t="str">
        <f>VLOOKUP(source[[#This Row],[Приоритет]],тПриоритеты[],2,0)</f>
        <v>КРИТИЧЕСКОЕ</v>
      </c>
      <c r="E3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3" t="s">
        <v>1613</v>
      </c>
      <c r="G323" t="s">
        <v>1555</v>
      </c>
      <c r="H323" t="str">
        <f>VLOOKUP(source[[#This Row],[Отвественный]],тОтветственные[],2,0)</f>
        <v>Отв43</v>
      </c>
      <c r="S323" s="1">
        <v>43710.69222222222</v>
      </c>
      <c r="T323" s="1">
        <v>43719.986250000002</v>
      </c>
      <c r="U323" s="1">
        <v>43725.608749999999</v>
      </c>
      <c r="W323" s="1">
        <v>43725.608749999999</v>
      </c>
      <c r="BF323" t="s">
        <v>2203</v>
      </c>
      <c r="BG323" t="s">
        <v>1615</v>
      </c>
      <c r="BH323" t="s">
        <v>2088</v>
      </c>
      <c r="BI323" s="3" t="s">
        <v>2204</v>
      </c>
      <c r="BJ323" t="s">
        <v>2205</v>
      </c>
      <c r="BK323" t="s">
        <v>1883</v>
      </c>
      <c r="BL323" s="3" t="s">
        <v>2206</v>
      </c>
      <c r="BM323" t="s">
        <v>1565</v>
      </c>
      <c r="BN323" t="s">
        <v>1640</v>
      </c>
    </row>
    <row r="324" spans="1:71" ht="15" customHeight="1" x14ac:dyDescent="0.35">
      <c r="A324">
        <v>640</v>
      </c>
      <c r="B324" t="s">
        <v>2207</v>
      </c>
      <c r="C324">
        <v>1</v>
      </c>
      <c r="D324" t="str">
        <f>VLOOKUP(source[[#This Row],[Приоритет]],тПриоритеты[],2,0)</f>
        <v>КРИТИЧЕСКОЕ</v>
      </c>
      <c r="E3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4" t="s">
        <v>1613</v>
      </c>
      <c r="G324" t="s">
        <v>1555</v>
      </c>
      <c r="H324" t="str">
        <f>VLOOKUP(source[[#This Row],[Отвественный]],тОтветственные[],2,0)</f>
        <v>Отв43</v>
      </c>
      <c r="I324" s="2">
        <v>43760</v>
      </c>
      <c r="J324" s="2">
        <v>43760</v>
      </c>
      <c r="S324" s="1">
        <v>43760.511250000003</v>
      </c>
      <c r="T324" s="1">
        <v>43774.408900462964</v>
      </c>
      <c r="U324" s="1">
        <v>43775.395578703705</v>
      </c>
      <c r="W324" s="1">
        <v>43775.395590277774</v>
      </c>
      <c r="BF324" t="s">
        <v>2208</v>
      </c>
      <c r="BG324" t="str">
        <f>HYPERLINK("https://d33htgqikc2pj4.cloudfront.net/411fa9d05f7916ef7e1924117d7c07b3/0ae77c0011fb7180f57882e7b3973b36-file.jpeg", "Алексей Александров: Ссылка на изображение")</f>
        <v>Алексей Александров: Ссылка на изображение</v>
      </c>
      <c r="BH324" t="str">
        <f>HYPERLINK("https://d33htgqikc2pj4.cloudfront.net/60018c287206e81b4c24daf87a2af26b/ae8aaff814eaac8788813a29e3b3b03a-file.jpeg", "Алексей Александров: Ссылка на изображение")</f>
        <v>Алексей Александров: Ссылка на изображение</v>
      </c>
      <c r="BI324" t="str">
        <f>HYPERLINK("https://d33htgqikc2pj4.cloudfront.net/adef6919d4be6d7b4e9f8a666e6a6be4/0937a4142ef28ea6989cbbeac6211f23-file.jpeg", "Алексей Александров: Ссылка на изображение")</f>
        <v>Алексей Александров: Ссылка на изображение</v>
      </c>
      <c r="BJ324" t="s">
        <v>1615</v>
      </c>
      <c r="BK324" t="s">
        <v>2088</v>
      </c>
      <c r="BL324" s="3" t="s">
        <v>2209</v>
      </c>
      <c r="BM324" t="s">
        <v>1655</v>
      </c>
      <c r="BN324" t="s">
        <v>1565</v>
      </c>
      <c r="BO324" t="s">
        <v>2155</v>
      </c>
      <c r="BP324" t="s">
        <v>1640</v>
      </c>
    </row>
    <row r="325" spans="1:71" ht="15" customHeight="1" x14ac:dyDescent="0.35">
      <c r="A325">
        <v>436</v>
      </c>
      <c r="B325" t="s">
        <v>2210</v>
      </c>
      <c r="C325">
        <v>1</v>
      </c>
      <c r="D325" t="str">
        <f>VLOOKUP(source[[#This Row],[Приоритет]],тПриоритеты[],2,0)</f>
        <v>КРИТИЧЕСКОЕ</v>
      </c>
      <c r="E3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5" t="s">
        <v>1613</v>
      </c>
      <c r="G325" t="s">
        <v>1555</v>
      </c>
      <c r="H325" t="str">
        <f>VLOOKUP(source[[#This Row],[Отвественный]],тОтветственные[],2,0)</f>
        <v>Отв43</v>
      </c>
      <c r="I325" s="2">
        <v>43714</v>
      </c>
      <c r="J325" s="2">
        <v>43714</v>
      </c>
      <c r="S325" s="1">
        <v>43714.59814814815</v>
      </c>
      <c r="T325" s="1">
        <v>43728.461226851854</v>
      </c>
      <c r="U325" s="1">
        <v>43728.676782407405</v>
      </c>
      <c r="W325" s="1">
        <v>43728.676782407405</v>
      </c>
      <c r="BF325" t="s">
        <v>2211</v>
      </c>
      <c r="BG325" t="s">
        <v>2088</v>
      </c>
      <c r="BH325" t="str">
        <f>HYPERLINK("https://d33htgqikc2pj4.cloudfront.net/82b3a1409e63e967b38f741cae66372e/42f8494c00f29afef466c9532a6b7fe1-file.jpeg", "Алексей Александров: Ссылка на изображение")</f>
        <v>Алексей Александров: Ссылка на изображение</v>
      </c>
      <c r="BI325" t="str">
        <f>HYPERLINK("https://d33htgqikc2pj4.cloudfront.net/ebee1332b449044bedbe03eb68fbd20e/540eb07515eedfb64ad76b4f749eb838-file.jpeg", "Алексей Александров: Ссылка на изображение")</f>
        <v>Алексей Александров: Ссылка на изображение</v>
      </c>
      <c r="BJ325" t="str">
        <f>HYPERLINK("https://d33htgqikc2pj4.cloudfront.net/6ca9f102559c960dfa0623decd034897/96a84e80ffc33282970993925f2930da-file.jpeg", "Алексей Александров: Ссылка на изображение")</f>
        <v>Алексей Александров: Ссылка на изображение</v>
      </c>
      <c r="BK325" t="s">
        <v>2212</v>
      </c>
      <c r="BL325" t="s">
        <v>1899</v>
      </c>
      <c r="BM325" t="s">
        <v>1615</v>
      </c>
      <c r="BN325" t="s">
        <v>1883</v>
      </c>
      <c r="BO325" t="s">
        <v>2213</v>
      </c>
      <c r="BP325" t="s">
        <v>1565</v>
      </c>
      <c r="BQ325" t="s">
        <v>1692</v>
      </c>
      <c r="BR325" t="s">
        <v>1565</v>
      </c>
      <c r="BS325" t="s">
        <v>1640</v>
      </c>
    </row>
    <row r="326" spans="1:71" ht="15" customHeight="1" x14ac:dyDescent="0.35">
      <c r="A326">
        <v>431</v>
      </c>
      <c r="B326" t="s">
        <v>2175</v>
      </c>
      <c r="C326">
        <v>1</v>
      </c>
      <c r="D326" t="str">
        <f>VLOOKUP(source[[#This Row],[Приоритет]],тПриоритеты[],2,0)</f>
        <v>КРИТИЧЕСКОЕ</v>
      </c>
      <c r="E3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6" t="s">
        <v>1613</v>
      </c>
      <c r="G326" t="s">
        <v>1555</v>
      </c>
      <c r="H326" t="str">
        <f>VLOOKUP(source[[#This Row],[Отвественный]],тОтветственные[],2,0)</f>
        <v>Отв43</v>
      </c>
      <c r="I326" s="2">
        <v>43713</v>
      </c>
      <c r="J326" s="2">
        <v>43714</v>
      </c>
      <c r="S326" s="1">
        <v>43713.744050925925</v>
      </c>
      <c r="T326" s="1">
        <v>43719.986180555556</v>
      </c>
      <c r="U326" s="1">
        <v>43725.608981481484</v>
      </c>
      <c r="W326" s="1">
        <v>43725.608981481484</v>
      </c>
      <c r="BF326" t="s">
        <v>2176</v>
      </c>
      <c r="BG326" t="s">
        <v>2088</v>
      </c>
      <c r="BH326" t="str">
        <f>HYPERLINK("https://d33htgqikc2pj4.cloudfront.net/0ef04e413a2ae61c64fefa42c85bf7c2/e67748fc353369128885d9645df360ea-file.jpeg", "Алексей Александров: Ссылка на изображение")</f>
        <v>Алексей Александров: Ссылка на изображение</v>
      </c>
      <c r="BI326" t="str">
        <f>HYPERLINK("https://d33htgqikc2pj4.cloudfront.net/591b32b1bb24087fddac7144233a155f/efc0104e4a3f54622a53fc60fe03f53d-file.jpeg", "Алексей Александров: Ссылка на изображение")</f>
        <v>Алексей Александров: Ссылка на изображение</v>
      </c>
      <c r="BJ326" t="str">
        <f>HYPERLINK("https://d33htgqikc2pj4.cloudfront.net/62acc6e671fda390f66828219c926e73/331f074ce9cb4d2e628a5175bc2d06b5-file.jpeg", "Алексей Александров: Ссылка на изображение")</f>
        <v>Алексей Александров: Ссылка на изображение</v>
      </c>
      <c r="BK326" t="s">
        <v>1880</v>
      </c>
      <c r="BL326" t="s">
        <v>1881</v>
      </c>
      <c r="BM326" t="s">
        <v>1615</v>
      </c>
      <c r="BN326" s="3" t="s">
        <v>2214</v>
      </c>
      <c r="BO326" t="s">
        <v>1883</v>
      </c>
      <c r="BP326" t="s">
        <v>2215</v>
      </c>
      <c r="BQ326" t="s">
        <v>1565</v>
      </c>
      <c r="BR326" t="s">
        <v>1640</v>
      </c>
    </row>
    <row r="327" spans="1:71" ht="15" customHeight="1" x14ac:dyDescent="0.35">
      <c r="A327">
        <v>435</v>
      </c>
      <c r="B327" t="s">
        <v>2216</v>
      </c>
      <c r="C327">
        <v>2</v>
      </c>
      <c r="D327" t="str">
        <f>VLOOKUP(source[[#This Row],[Приоритет]],тПриоритеты[],2,0)</f>
        <v>Значительное</v>
      </c>
      <c r="E3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7" t="s">
        <v>1613</v>
      </c>
      <c r="G327" t="s">
        <v>1555</v>
      </c>
      <c r="H327" t="str">
        <f>VLOOKUP(source[[#This Row],[Отвественный]],тОтветственные[],2,0)</f>
        <v>Отв43</v>
      </c>
      <c r="S327" s="1">
        <v>43713.763541666667</v>
      </c>
      <c r="T327" s="1">
        <v>43719.987627314818</v>
      </c>
      <c r="U327" s="1">
        <v>43725.609074074076</v>
      </c>
      <c r="W327" s="1">
        <v>43725.609074074076</v>
      </c>
      <c r="BF327" t="s">
        <v>2217</v>
      </c>
      <c r="BG327" t="str">
        <f>HYPERLINK("https://d33htgqikc2pj4.cloudfront.net/231734202adaa45c3d715ec110ee3a0b/651adb22f5722b4d1708d743a5c336e7-file.jpeg", "Алексей Александров: Ссылка на изображение")</f>
        <v>Алексей Александров: Ссылка на изображение</v>
      </c>
      <c r="BH327" t="str">
        <f>HYPERLINK("https://d33htgqikc2pj4.cloudfront.net/a71eb617c4343f3a641eea1a5e9ea6bb/d734e7f7440a2829dd28bd5c6989a6c1-file.jpeg", "Алексей Александров: Ссылка на изображение")</f>
        <v>Алексей Александров: Ссылка на изображение</v>
      </c>
      <c r="BI327" t="s">
        <v>2218</v>
      </c>
      <c r="BJ327" t="s">
        <v>2088</v>
      </c>
      <c r="BK327" t="s">
        <v>2219</v>
      </c>
      <c r="BL327" t="s">
        <v>1565</v>
      </c>
      <c r="BM327" t="s">
        <v>1640</v>
      </c>
    </row>
    <row r="328" spans="1:71" ht="15" customHeight="1" x14ac:dyDescent="0.35">
      <c r="A328">
        <v>643</v>
      </c>
      <c r="B328" t="s">
        <v>2220</v>
      </c>
      <c r="C328">
        <v>1</v>
      </c>
      <c r="D328" t="str">
        <f>VLOOKUP(source[[#This Row],[Приоритет]],тПриоритеты[],2,0)</f>
        <v>КРИТИЧЕСКОЕ</v>
      </c>
      <c r="E3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8" t="s">
        <v>1613</v>
      </c>
      <c r="G328" t="s">
        <v>1555</v>
      </c>
      <c r="H328" t="str">
        <f>VLOOKUP(source[[#This Row],[Отвественный]],тОтветственные[],2,0)</f>
        <v>Отв43</v>
      </c>
      <c r="S328" s="1">
        <v>43760.651064814818</v>
      </c>
      <c r="T328" s="1">
        <v>43774.398009259261</v>
      </c>
      <c r="U328" s="1">
        <v>43775.395381944443</v>
      </c>
      <c r="W328" s="1">
        <v>43775.39539351852</v>
      </c>
      <c r="BF328" t="s">
        <v>2221</v>
      </c>
      <c r="BG328" t="s">
        <v>2222</v>
      </c>
      <c r="BH328" t="s">
        <v>1615</v>
      </c>
      <c r="BI328" t="s">
        <v>2088</v>
      </c>
      <c r="BJ328" t="s">
        <v>2223</v>
      </c>
      <c r="BK328" t="s">
        <v>1565</v>
      </c>
      <c r="BL328" t="s">
        <v>2155</v>
      </c>
      <c r="BM328" t="s">
        <v>1640</v>
      </c>
    </row>
    <row r="329" spans="1:71" ht="15" customHeight="1" x14ac:dyDescent="0.35">
      <c r="A329">
        <v>437</v>
      </c>
      <c r="B329" t="s">
        <v>2115</v>
      </c>
      <c r="C329">
        <v>2</v>
      </c>
      <c r="D329" t="str">
        <f>VLOOKUP(source[[#This Row],[Приоритет]],тПриоритеты[],2,0)</f>
        <v>Значительное</v>
      </c>
      <c r="E3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29" t="s">
        <v>1613</v>
      </c>
      <c r="G329" t="s">
        <v>1555</v>
      </c>
      <c r="H329" t="str">
        <f>VLOOKUP(source[[#This Row],[Отвественный]],тОтветственные[],2,0)</f>
        <v>Отв43</v>
      </c>
      <c r="S329" s="1">
        <v>43714.601076388892</v>
      </c>
      <c r="T329" s="1">
        <v>43719.988078703704</v>
      </c>
      <c r="U329" s="1">
        <v>43721.407835648148</v>
      </c>
      <c r="W329" s="1">
        <v>43721.407858796294</v>
      </c>
      <c r="BF329" t="s">
        <v>2116</v>
      </c>
      <c r="BG329" t="s">
        <v>2088</v>
      </c>
      <c r="BH329" t="str">
        <f>HYPERLINK("https://d33htgqikc2pj4.cloudfront.net/5ef66bc474a049866e3ab0776a542e79/04c928decf159e25a57eb9f05e4f1435-file.jpeg", "Алексей Александров: Ссылка на изображение")</f>
        <v>Алексей Александров: Ссылка на изображение</v>
      </c>
      <c r="BI329" t="s">
        <v>2224</v>
      </c>
      <c r="BJ329" t="s">
        <v>2225</v>
      </c>
      <c r="BK329" t="s">
        <v>1565</v>
      </c>
      <c r="BL329" t="s">
        <v>1640</v>
      </c>
    </row>
    <row r="330" spans="1:71" ht="15" customHeight="1" x14ac:dyDescent="0.35">
      <c r="A330">
        <v>590</v>
      </c>
      <c r="B330" t="s">
        <v>2226</v>
      </c>
      <c r="C330">
        <v>2</v>
      </c>
      <c r="D330" t="str">
        <f>VLOOKUP(source[[#This Row],[Приоритет]],тПриоритеты[],2,0)</f>
        <v>Значительное</v>
      </c>
      <c r="E3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0" t="s">
        <v>1613</v>
      </c>
      <c r="G330" t="s">
        <v>1555</v>
      </c>
      <c r="H330" t="str">
        <f>VLOOKUP(source[[#This Row],[Отвественный]],тОтветственные[],2,0)</f>
        <v>Отв43</v>
      </c>
      <c r="I330" s="2">
        <v>43748</v>
      </c>
      <c r="J330" s="2">
        <v>43749</v>
      </c>
      <c r="S330" s="1">
        <v>43748.464490740742</v>
      </c>
      <c r="T330" s="1">
        <v>43756.566967592589</v>
      </c>
      <c r="U330" s="1">
        <v>43756.566967592589</v>
      </c>
      <c r="W330" s="1">
        <v>43756.566967592589</v>
      </c>
      <c r="BF330" t="s">
        <v>2227</v>
      </c>
      <c r="BG330" t="s">
        <v>2228</v>
      </c>
      <c r="BH330" t="s">
        <v>2088</v>
      </c>
      <c r="BI330" t="s">
        <v>1908</v>
      </c>
      <c r="BJ330" t="s">
        <v>1909</v>
      </c>
      <c r="BK330" t="s">
        <v>1910</v>
      </c>
      <c r="BL330" t="s">
        <v>2005</v>
      </c>
      <c r="BM330" t="s">
        <v>1640</v>
      </c>
    </row>
    <row r="331" spans="1:71" ht="15" customHeight="1" x14ac:dyDescent="0.35">
      <c r="A331">
        <v>739</v>
      </c>
      <c r="B331" t="s">
        <v>2229</v>
      </c>
      <c r="C331">
        <v>1</v>
      </c>
      <c r="D331" t="str">
        <f>VLOOKUP(source[[#This Row],[Приоритет]],тПриоритеты[],2,0)</f>
        <v>КРИТИЧЕСКОЕ</v>
      </c>
      <c r="E3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1" t="s">
        <v>1613</v>
      </c>
      <c r="G331" t="s">
        <v>1555</v>
      </c>
      <c r="H331" t="str">
        <f>VLOOKUP(source[[#This Row],[Отвественный]],тОтветственные[],2,0)</f>
        <v>Отв43</v>
      </c>
      <c r="I331" s="2">
        <v>43801</v>
      </c>
      <c r="J331" s="2">
        <v>43805</v>
      </c>
      <c r="S331" s="1">
        <v>43801.483287037037</v>
      </c>
      <c r="T331" s="1">
        <v>43808.393946759257</v>
      </c>
      <c r="U331" s="1">
        <v>43816.709675925929</v>
      </c>
      <c r="W331" s="1">
        <v>43816.709675925929</v>
      </c>
      <c r="BF331" t="s">
        <v>2230</v>
      </c>
      <c r="BG331" t="s">
        <v>1615</v>
      </c>
      <c r="BH331" t="s">
        <v>2088</v>
      </c>
      <c r="BI331" t="s">
        <v>2231</v>
      </c>
      <c r="BJ331" t="s">
        <v>1644</v>
      </c>
      <c r="BK331" t="s">
        <v>2232</v>
      </c>
      <c r="BL331" t="s">
        <v>2123</v>
      </c>
      <c r="BM331" t="s">
        <v>1565</v>
      </c>
      <c r="BN331" t="s">
        <v>1640</v>
      </c>
    </row>
    <row r="332" spans="1:71" ht="15" customHeight="1" x14ac:dyDescent="0.35">
      <c r="A332">
        <v>606</v>
      </c>
      <c r="B332" t="s">
        <v>2233</v>
      </c>
      <c r="C332">
        <v>1</v>
      </c>
      <c r="D332" t="str">
        <f>VLOOKUP(source[[#This Row],[Приоритет]],тПриоритеты[],2,0)</f>
        <v>КРИТИЧЕСКОЕ</v>
      </c>
      <c r="E3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2" t="s">
        <v>1613</v>
      </c>
      <c r="G332" t="s">
        <v>1555</v>
      </c>
      <c r="H332" t="str">
        <f>VLOOKUP(source[[#This Row],[Отвественный]],тОтветственные[],2,0)</f>
        <v>Отв43</v>
      </c>
      <c r="S332" s="1">
        <v>43752.486886574072</v>
      </c>
      <c r="T332" s="1">
        <v>43769.421238425923</v>
      </c>
      <c r="U332" s="1">
        <v>43769.421238425923</v>
      </c>
      <c r="W332" s="1">
        <v>43769.421238425923</v>
      </c>
      <c r="BF332" t="s">
        <v>2234</v>
      </c>
      <c r="BG332" t="s">
        <v>1615</v>
      </c>
      <c r="BH332" t="s">
        <v>2088</v>
      </c>
      <c r="BI332" t="str">
        <f>HYPERLINK("https://d33htgqikc2pj4.cloudfront.net/c5c3eb6c2a9ae85df7b3820771c1c932/aa5d9a4a57b39e23ffc7ad7119956a8a-file.jpeg", "Алексей Александров: Ссылка на изображение")</f>
        <v>Алексей Александров: Ссылка на изображение</v>
      </c>
      <c r="BJ332" t="str">
        <f>HYPERLINK("https://d33htgqikc2pj4.cloudfront.net/7b8de37cc7efedc36b9bccdd939754f1/0e925986bf00f13e40f6f4c6128909c5-file.jpeg", "Алексей Александров: Ссылка на изображение")</f>
        <v>Алексей Александров: Ссылка на изображение</v>
      </c>
      <c r="BK332" t="s">
        <v>2235</v>
      </c>
      <c r="BL332" t="s">
        <v>1640</v>
      </c>
    </row>
    <row r="333" spans="1:71" ht="15" customHeight="1" x14ac:dyDescent="0.35">
      <c r="A333">
        <v>681</v>
      </c>
      <c r="B333" t="s">
        <v>2175</v>
      </c>
      <c r="C333">
        <v>1</v>
      </c>
      <c r="D333" t="str">
        <f>VLOOKUP(source[[#This Row],[Приоритет]],тПриоритеты[],2,0)</f>
        <v>КРИТИЧЕСКОЕ</v>
      </c>
      <c r="E3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3" t="s">
        <v>1613</v>
      </c>
      <c r="G333" t="s">
        <v>1555</v>
      </c>
      <c r="H333" t="str">
        <f>VLOOKUP(source[[#This Row],[Отвественный]],тОтветственные[],2,0)</f>
        <v>Отв43</v>
      </c>
      <c r="S333" s="1">
        <v>43777.603761574072</v>
      </c>
      <c r="T333" s="1">
        <v>43781.65221064815</v>
      </c>
      <c r="U333" s="1">
        <v>43784.653784722221</v>
      </c>
      <c r="W333" s="1">
        <v>43784.653784722221</v>
      </c>
      <c r="BF333" t="s">
        <v>1615</v>
      </c>
      <c r="BG333" t="s">
        <v>2088</v>
      </c>
      <c r="BH333" t="s">
        <v>2176</v>
      </c>
      <c r="BI333" t="str">
        <f>HYPERLINK("https://d33htgqikc2pj4.cloudfront.net/90cfe84834e499c6101fbc231608c264/e56b344e695718df4db05feb9b380628-file.jpeg", "Алексей Александров: Ссылка на изображение")</f>
        <v>Алексей Александров: Ссылка на изображение</v>
      </c>
      <c r="BJ333" t="str">
        <f>HYPERLINK("https://d33htgqikc2pj4.cloudfront.net/a8fc073b9b1145afe83a5717bead21b3/db30871d17363ba887d75c8d526e91a3-file.jpeg", "Алексей Александров: Ссылка на изображение")</f>
        <v>Алексей Александров: Ссылка на изображение</v>
      </c>
      <c r="BK333" t="s">
        <v>2236</v>
      </c>
      <c r="BL333" t="s">
        <v>2155</v>
      </c>
      <c r="BM333" t="s">
        <v>1565</v>
      </c>
      <c r="BN333" t="s">
        <v>1640</v>
      </c>
    </row>
    <row r="334" spans="1:71" ht="15" customHeight="1" x14ac:dyDescent="0.35">
      <c r="A334">
        <v>680</v>
      </c>
      <c r="B334" t="s">
        <v>2237</v>
      </c>
      <c r="C334">
        <v>1</v>
      </c>
      <c r="D334" t="str">
        <f>VLOOKUP(source[[#This Row],[Приоритет]],тПриоритеты[],2,0)</f>
        <v>КРИТИЧЕСКОЕ</v>
      </c>
      <c r="E3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4" t="s">
        <v>1613</v>
      </c>
      <c r="G334" t="s">
        <v>1555</v>
      </c>
      <c r="H334" t="str">
        <f>VLOOKUP(source[[#This Row],[Отвественный]],тОтветственные[],2,0)</f>
        <v>Отв43</v>
      </c>
      <c r="I334" s="2">
        <v>43777</v>
      </c>
      <c r="J334" s="2">
        <v>43777</v>
      </c>
      <c r="S334" s="1">
        <v>43777.574976851851</v>
      </c>
      <c r="T334" s="1">
        <v>43781.637916666667</v>
      </c>
      <c r="U334" s="1">
        <v>43784.653645833336</v>
      </c>
      <c r="W334" s="1">
        <v>43784.653645833336</v>
      </c>
      <c r="BF334" t="s">
        <v>2238</v>
      </c>
      <c r="BG334" t="str">
        <f>HYPERLINK("https://d33htgqikc2pj4.cloudfront.net/58ebee6721f3a0d7237aca6dfaf3291a/dc86d25f95874e1b49c5da5cb274caf2-file.jpeg", "Алексей Александров: Ссылка на изображение")</f>
        <v>Алексей Александров: Ссылка на изображение</v>
      </c>
      <c r="BH334" t="str">
        <f>HYPERLINK("https://d33htgqikc2pj4.cloudfront.net/793091e88f94d35c83bd2555c63d12d4/ce92384b2c0a40bee617d6be16f7b66b-file.jpeg", "Алексей Александров: Ссылка на изображение")</f>
        <v>Алексей Александров: Ссылка на изображение</v>
      </c>
      <c r="BI334" t="str">
        <f>HYPERLINK("https://d33htgqikc2pj4.cloudfront.net/3dd169ed30681b14ac77111e737cc67c/615fcf27a3e6075e31cc80af898165eb-file.jpeg", "Алексей Александров: Ссылка на изображение")</f>
        <v>Алексей Александров: Ссылка на изображение</v>
      </c>
      <c r="BJ334" t="str">
        <f>HYPERLINK("https://d33htgqikc2pj4.cloudfront.net/117f3785179e56ff75ebd68fb995adf2/88da6f262b226f9f08fbb8064c5d5d1b-file.jpeg", "Алексей Александров: Ссылка на изображение")</f>
        <v>Алексей Александров: Ссылка на изображение</v>
      </c>
      <c r="BK334" t="s">
        <v>1615</v>
      </c>
      <c r="BL334" t="s">
        <v>2088</v>
      </c>
      <c r="BM334" t="s">
        <v>2239</v>
      </c>
      <c r="BN334" t="s">
        <v>2240</v>
      </c>
      <c r="BO334" t="s">
        <v>2241</v>
      </c>
      <c r="BP334" t="s">
        <v>2155</v>
      </c>
      <c r="BQ334" t="s">
        <v>1565</v>
      </c>
      <c r="BR334" t="s">
        <v>1640</v>
      </c>
    </row>
    <row r="335" spans="1:71" ht="15" customHeight="1" x14ac:dyDescent="0.35">
      <c r="A335">
        <v>763</v>
      </c>
      <c r="B335" t="s">
        <v>2242</v>
      </c>
      <c r="C335">
        <v>2</v>
      </c>
      <c r="D335" t="str">
        <f>VLOOKUP(source[[#This Row],[Приоритет]],тПриоритеты[],2,0)</f>
        <v>Значительное</v>
      </c>
      <c r="E3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5" t="s">
        <v>1613</v>
      </c>
      <c r="G335" t="s">
        <v>1555</v>
      </c>
      <c r="H335" t="str">
        <f>VLOOKUP(source[[#This Row],[Отвественный]],тОтветственные[],2,0)</f>
        <v>Отв43</v>
      </c>
      <c r="I335" s="2">
        <v>43809</v>
      </c>
      <c r="J335" s="2">
        <v>43815</v>
      </c>
      <c r="S335" s="1">
        <v>43809.557037037041</v>
      </c>
      <c r="T335" s="1">
        <v>43816.479618055557</v>
      </c>
      <c r="U335" s="1">
        <v>43816.709583333337</v>
      </c>
      <c r="W335" s="1">
        <v>43816.709583333337</v>
      </c>
      <c r="BF335" t="s">
        <v>2243</v>
      </c>
      <c r="BG335" t="s">
        <v>2088</v>
      </c>
      <c r="BH335" t="s">
        <v>1630</v>
      </c>
      <c r="BI335" t="s">
        <v>1631</v>
      </c>
      <c r="BJ335" s="3" t="s">
        <v>2244</v>
      </c>
      <c r="BK335" t="s">
        <v>1565</v>
      </c>
      <c r="BL335" t="s">
        <v>2245</v>
      </c>
      <c r="BM335" t="s">
        <v>1640</v>
      </c>
    </row>
    <row r="336" spans="1:71" ht="15" customHeight="1" x14ac:dyDescent="0.35">
      <c r="A336">
        <v>326</v>
      </c>
      <c r="B336" t="s">
        <v>2246</v>
      </c>
      <c r="C336">
        <v>3</v>
      </c>
      <c r="D336" t="str">
        <f>VLOOKUP(source[[#This Row],[Приоритет]],тПриоритеты[],2,0)</f>
        <v>Малозначительное</v>
      </c>
      <c r="E336" t="str">
        <f>IF(ISBLANK(source[[#This Row],[Проверенные]]),IF(ISBLANK(source[[#This Row],[Завершенные]]),source[[#This Row],[Приоритет_]],"Завершено"),"Проверено")</f>
        <v>Малозначительное</v>
      </c>
      <c r="F336" t="s">
        <v>1613</v>
      </c>
      <c r="G336" t="s">
        <v>2247</v>
      </c>
      <c r="H336" t="str">
        <f>VLOOKUP(source[[#This Row],[Отвественный]],тОтветственные[],2,0)</f>
        <v>Отв55</v>
      </c>
      <c r="S336" s="1">
        <v>43676.731979166667</v>
      </c>
      <c r="W336" s="1">
        <v>43685.507106481484</v>
      </c>
      <c r="BF336" t="s">
        <v>2248</v>
      </c>
      <c r="BG336" t="str">
        <f>HYPERLINK("https://d33htgqikc2pj4.cloudfront.net/68099bada7a382ef6002ed06b4804043/60e7d0d54e585514650ce1aa6ef44d99-file.jpeg", "Алексей Александров: Ссылка на изображение")</f>
        <v>Алексей Александров: Ссылка на изображение</v>
      </c>
      <c r="BH336" t="str">
        <f>HYPERLINK("https://d33htgqikc2pj4.cloudfront.net/66ee5e8412dcf2e29528d474db24cf09/5a8052059001f92dd224006f30ae8817-file.jpeg", "Алексей Александров: Ссылка на изображение")</f>
        <v>Алексей Александров: Ссылка на изображение</v>
      </c>
      <c r="BI336" t="s">
        <v>1920</v>
      </c>
      <c r="BJ336" t="s">
        <v>2249</v>
      </c>
      <c r="BK336" t="s">
        <v>1693</v>
      </c>
    </row>
    <row r="337" spans="1:79" ht="15" customHeight="1" x14ac:dyDescent="0.35">
      <c r="A337">
        <v>238</v>
      </c>
      <c r="B337" t="s">
        <v>2250</v>
      </c>
      <c r="C337">
        <v>1</v>
      </c>
      <c r="D337" t="str">
        <f>VLOOKUP(source[[#This Row],[Приоритет]],тПриоритеты[],2,0)</f>
        <v>КРИТИЧЕСКОЕ</v>
      </c>
      <c r="E3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7" t="s">
        <v>1613</v>
      </c>
      <c r="G337" t="s">
        <v>2247</v>
      </c>
      <c r="H337" t="str">
        <f>VLOOKUP(source[[#This Row],[Отвественный]],тОтветственные[],2,0)</f>
        <v>Отв55</v>
      </c>
      <c r="S337" s="1">
        <v>43657.716967592591</v>
      </c>
      <c r="T337" s="1">
        <v>43658.716377314813</v>
      </c>
      <c r="U337" s="1">
        <v>43658.716377314813</v>
      </c>
      <c r="W337" s="1">
        <v>43658.71638888889</v>
      </c>
      <c r="BF337" t="s">
        <v>1920</v>
      </c>
      <c r="BG337" t="s">
        <v>2251</v>
      </c>
      <c r="BH337" t="s">
        <v>2252</v>
      </c>
      <c r="BI337" t="str">
        <f>HYPERLINK("https://d33htgqikc2pj4.cloudfront.net/5450d11da129ef3f5629e4cdf23f2a67/96f0c2b6fc0b4c16bde2ebb5696fd08c-file.jpeg", "Алексей Александров: Ссылка на изображение")</f>
        <v>Алексей Александров: Ссылка на изображение</v>
      </c>
      <c r="BJ337" t="str">
        <f>HYPERLINK("https://d33htgqikc2pj4.cloudfront.net/3dedd95a07f6f23092186e084827d44c/883705dd23220f3412c7fbf9b3bf383c-file.jpeg", "Алексей Александров: Ссылка на изображение")</f>
        <v>Алексей Александров: Ссылка на изображение</v>
      </c>
      <c r="BK337" t="s">
        <v>2253</v>
      </c>
      <c r="BL337" t="s">
        <v>1615</v>
      </c>
      <c r="BM337" t="s">
        <v>2254</v>
      </c>
      <c r="BN337" t="s">
        <v>2255</v>
      </c>
      <c r="BO337" t="s">
        <v>1640</v>
      </c>
    </row>
    <row r="338" spans="1:79" ht="15" customHeight="1" x14ac:dyDescent="0.35">
      <c r="A338">
        <v>232</v>
      </c>
      <c r="B338" t="s">
        <v>2256</v>
      </c>
      <c r="C338">
        <v>2</v>
      </c>
      <c r="D338" t="str">
        <f>VLOOKUP(source[[#This Row],[Приоритет]],тПриоритеты[],2,0)</f>
        <v>Значительное</v>
      </c>
      <c r="E3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8" t="s">
        <v>1613</v>
      </c>
      <c r="G338" t="s">
        <v>2247</v>
      </c>
      <c r="H338" t="str">
        <f>VLOOKUP(source[[#This Row],[Отвественный]],тОтветственные[],2,0)</f>
        <v>Отв55</v>
      </c>
      <c r="S338" s="1">
        <v>43657.390034722222</v>
      </c>
      <c r="T338" s="1">
        <v>43668.675995370373</v>
      </c>
      <c r="U338" s="1">
        <v>43668.675995370373</v>
      </c>
      <c r="W338" s="1">
        <v>43668.675995370373</v>
      </c>
      <c r="BF338" t="s">
        <v>1920</v>
      </c>
      <c r="BG338" t="s">
        <v>2257</v>
      </c>
      <c r="BH338" s="3" t="s">
        <v>2258</v>
      </c>
      <c r="BI338" t="str">
        <f>HYPERLINK("https://d33htgqikc2pj4.cloudfront.net/80cc2ff59d1eaab21d9b23a10fb1346e/a6f1e91f1e813f84fd16d6caa877818b-file.jpeg", "Алексей Александров: Ссылка на изображение")</f>
        <v>Алексей Александров: Ссылка на изображение</v>
      </c>
      <c r="BJ338" t="str">
        <f>HYPERLINK("https://d33htgqikc2pj4.cloudfront.net/1615bd63fca88887f54b6a4aeee5ebe3/a15955486b31e248c302e40511d2c313-file.jpeg", "Алексей Александров: Ссылка на изображение")</f>
        <v>Алексей Александров: Ссылка на изображение</v>
      </c>
      <c r="BK338" t="str">
        <f>HYPERLINK("https://d33htgqikc2pj4.cloudfront.net/10c3e09e8000e7c0e1008f803613f774/dd1bd9ff595dd16758f6aa2349880f39-file.jpeg", "Алексей Александров: Ссылка на изображение")</f>
        <v>Алексей Александров: Ссылка на изображение</v>
      </c>
      <c r="BL338" t="str">
        <f>HYPERLINK("https://d33htgqikc2pj4.cloudfront.net/6c6c750d8abbbe05e7a60a101e7a6cb3/74b8d6305256fe937941419593c90cad-file.jpeg", "Алексей Александров: Ссылка на изображение")</f>
        <v>Алексей Александров: Ссылка на изображение</v>
      </c>
      <c r="BM338" t="s">
        <v>2259</v>
      </c>
      <c r="BN338" t="s">
        <v>1640</v>
      </c>
    </row>
    <row r="339" spans="1:79" ht="15" customHeight="1" x14ac:dyDescent="0.35">
      <c r="A339">
        <v>186</v>
      </c>
      <c r="B339" t="s">
        <v>2260</v>
      </c>
      <c r="C339">
        <v>3</v>
      </c>
      <c r="D339" t="str">
        <f>VLOOKUP(source[[#This Row],[Приоритет]],тПриоритеты[],2,0)</f>
        <v>Малозначительное</v>
      </c>
      <c r="E3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39" t="s">
        <v>1613</v>
      </c>
      <c r="G339" t="s">
        <v>2247</v>
      </c>
      <c r="H339" t="str">
        <f>VLOOKUP(source[[#This Row],[Отвественный]],тОтветственные[],2,0)</f>
        <v>Отв55</v>
      </c>
      <c r="S339" s="1">
        <v>43647.676261574074</v>
      </c>
      <c r="T339" s="1">
        <v>43654.729791666665</v>
      </c>
      <c r="U339" s="1">
        <v>43654.729791666665</v>
      </c>
      <c r="W339" s="1">
        <v>43654.729791666665</v>
      </c>
      <c r="BF339" t="s">
        <v>2261</v>
      </c>
      <c r="BG339" t="s">
        <v>2262</v>
      </c>
      <c r="BH339" t="s">
        <v>1615</v>
      </c>
      <c r="BI339" t="s">
        <v>2263</v>
      </c>
      <c r="BJ339" t="s">
        <v>2264</v>
      </c>
      <c r="BK339" t="s">
        <v>1693</v>
      </c>
      <c r="BL339" t="s">
        <v>1640</v>
      </c>
    </row>
    <row r="340" spans="1:79" ht="15" customHeight="1" x14ac:dyDescent="0.35">
      <c r="A340">
        <v>188</v>
      </c>
      <c r="B340" t="s">
        <v>2265</v>
      </c>
      <c r="C340">
        <v>3</v>
      </c>
      <c r="D340" t="str">
        <f>VLOOKUP(source[[#This Row],[Приоритет]],тПриоритеты[],2,0)</f>
        <v>Малозначительное</v>
      </c>
      <c r="E3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0" t="s">
        <v>1613</v>
      </c>
      <c r="G340" t="s">
        <v>2247</v>
      </c>
      <c r="H340" t="str">
        <f>VLOOKUP(source[[#This Row],[Отвественный]],тОтветственные[],2,0)</f>
        <v>Отв55</v>
      </c>
      <c r="I340" s="2">
        <v>43647</v>
      </c>
      <c r="J340" s="2">
        <v>43651</v>
      </c>
      <c r="S340" s="1">
        <v>43647.678067129629</v>
      </c>
      <c r="T340" s="1">
        <v>43650.470694444448</v>
      </c>
      <c r="U340" s="1">
        <v>43650.470694444448</v>
      </c>
      <c r="W340" s="1">
        <v>43650.470729166664</v>
      </c>
      <c r="BF340" t="s">
        <v>2266</v>
      </c>
      <c r="BG340" t="s">
        <v>1712</v>
      </c>
      <c r="BH340" t="s">
        <v>1710</v>
      </c>
      <c r="BI340" t="s">
        <v>2030</v>
      </c>
      <c r="BJ340" t="s">
        <v>1693</v>
      </c>
      <c r="BK340" t="s">
        <v>2267</v>
      </c>
      <c r="BL340" t="s">
        <v>2262</v>
      </c>
      <c r="BM340" t="s">
        <v>1640</v>
      </c>
    </row>
    <row r="341" spans="1:79" ht="15" customHeight="1" x14ac:dyDescent="0.35">
      <c r="A341">
        <v>324</v>
      </c>
      <c r="B341" t="s">
        <v>2268</v>
      </c>
      <c r="C341">
        <v>1</v>
      </c>
      <c r="D341" t="str">
        <f>VLOOKUP(source[[#This Row],[Приоритет]],тПриоритеты[],2,0)</f>
        <v>КРИТИЧЕСКОЕ</v>
      </c>
      <c r="E3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1" t="s">
        <v>1613</v>
      </c>
      <c r="G341" t="s">
        <v>2247</v>
      </c>
      <c r="H341" t="str">
        <f>VLOOKUP(source[[#This Row],[Отвественный]],тОтветственные[],2,0)</f>
        <v>Отв55</v>
      </c>
      <c r="I341" s="2">
        <v>43675</v>
      </c>
      <c r="J341" s="2">
        <v>43682</v>
      </c>
      <c r="S341" s="1">
        <v>43676.724618055552</v>
      </c>
      <c r="T341" s="1">
        <v>43679.581770833334</v>
      </c>
      <c r="U341" s="1">
        <v>43679.581770833334</v>
      </c>
      <c r="W341" s="1">
        <v>43679.581770833334</v>
      </c>
      <c r="BF341" t="s">
        <v>1920</v>
      </c>
      <c r="BG341" t="s">
        <v>2269</v>
      </c>
      <c r="BH341" t="str">
        <f>HYPERLINK("https://d33htgqikc2pj4.cloudfront.net/292eca66cd8411eb79962f7c5dc6417e/bee58c0bdf6e5437d609718e3478e3c3-file.jpeg", "Алексей Александров: Ссылка на изображение")</f>
        <v>Алексей Александров: Ссылка на изображение</v>
      </c>
      <c r="BI341" t="str">
        <f>HYPERLINK("https://d33htgqikc2pj4.cloudfront.net/b0502ae8a5e838628b950f3aa104bf1b/244ad8c4f9f3d52b0bece66dab2bac26-file.jpeg", "Алексей Александров: Ссылка на изображение")</f>
        <v>Алексей Александров: Ссылка на изображение</v>
      </c>
      <c r="BJ341" t="str">
        <f>HYPERLINK("https://d33htgqikc2pj4.cloudfront.net/e86c3f46683e4ee8c6d6387cd64d1dc7/d7d894665b738d1fa99e1453129e56ba-file.jpeg", "Алексей Александров: Ссылка на изображение")</f>
        <v>Алексей Александров: Ссылка на изображение</v>
      </c>
      <c r="BK341" t="s">
        <v>2045</v>
      </c>
      <c r="BL341" t="s">
        <v>2270</v>
      </c>
      <c r="BM341" t="s">
        <v>2271</v>
      </c>
      <c r="BN341" t="s">
        <v>1615</v>
      </c>
      <c r="BO341" t="s">
        <v>1640</v>
      </c>
    </row>
    <row r="342" spans="1:79" ht="15" customHeight="1" x14ac:dyDescent="0.35">
      <c r="A342">
        <v>736</v>
      </c>
      <c r="B342" t="s">
        <v>2272</v>
      </c>
      <c r="C342">
        <v>3</v>
      </c>
      <c r="D342" t="str">
        <f>VLOOKUP(source[[#This Row],[Приоритет]],тПриоритеты[],2,0)</f>
        <v>Малозначительное</v>
      </c>
      <c r="E342" t="str">
        <f>IF(ISBLANK(source[[#This Row],[Проверенные]]),IF(ISBLANK(source[[#This Row],[Завершенные]]),source[[#This Row],[Приоритет_]],"Завершено"),"Проверено")</f>
        <v>Малозначительное</v>
      </c>
      <c r="F342" t="s">
        <v>2273</v>
      </c>
      <c r="G342" t="s">
        <v>97</v>
      </c>
      <c r="H342" t="str">
        <f>VLOOKUP(source[[#This Row],[Отвественный]],тОтветственные[],2,0)</f>
        <v>Отв1</v>
      </c>
      <c r="I342" s="2">
        <v>43798</v>
      </c>
      <c r="J342" s="2">
        <v>43799</v>
      </c>
      <c r="K342" t="s">
        <v>2274</v>
      </c>
      <c r="L342">
        <v>0</v>
      </c>
      <c r="M342">
        <v>0</v>
      </c>
      <c r="N342" t="s">
        <v>213</v>
      </c>
      <c r="Q342" t="s">
        <v>106</v>
      </c>
      <c r="R342" t="str">
        <f>HYPERLINK("https://d28ji4sm1vmprj.cloudfront.net/12150d1b48de98a530f90a998f465b55/5565710423da65dba9aad474ab74522e.jpeg", "Ссылка на план")</f>
        <v>Ссылка на план</v>
      </c>
      <c r="S342" s="1">
        <v>43798.50309027778</v>
      </c>
      <c r="W342" s="1">
        <v>43798.503900462965</v>
      </c>
      <c r="Z342" t="s">
        <v>2275</v>
      </c>
      <c r="BF342" t="s">
        <v>1157</v>
      </c>
      <c r="BG342" t="s">
        <v>2276</v>
      </c>
      <c r="BH342" t="s">
        <v>2277</v>
      </c>
      <c r="BI342" t="s">
        <v>1103</v>
      </c>
      <c r="BJ342" t="str">
        <f>HYPERLINK("https://d33htgqikc2pj4.cloudfront.net/68c81542-d5d1-482c-abd9-908bebf90551.jpeg", "Андрей Денисов: Ссылка на изображение")</f>
        <v>Андрей Денисов: Ссылка на изображение</v>
      </c>
    </row>
    <row r="343" spans="1:79" ht="15" customHeight="1" x14ac:dyDescent="0.35">
      <c r="A343">
        <v>260</v>
      </c>
      <c r="B343" t="s">
        <v>1257</v>
      </c>
      <c r="C343">
        <v>2</v>
      </c>
      <c r="D343" t="str">
        <f>VLOOKUP(source[[#This Row],[Приоритет]],тПриоритеты[],2,0)</f>
        <v>Значительное</v>
      </c>
      <c r="E3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3" t="s">
        <v>2273</v>
      </c>
      <c r="G343" t="s">
        <v>97</v>
      </c>
      <c r="H343" t="str">
        <f>VLOOKUP(source[[#This Row],[Отвественный]],тОтветственные[],2,0)</f>
        <v>Отв1</v>
      </c>
      <c r="I343" s="2">
        <v>43662</v>
      </c>
      <c r="J343" s="2">
        <v>43662</v>
      </c>
      <c r="K343" t="s">
        <v>104</v>
      </c>
      <c r="L343">
        <v>0</v>
      </c>
      <c r="M343">
        <v>0</v>
      </c>
      <c r="N343" t="s">
        <v>105</v>
      </c>
      <c r="Q343" t="s">
        <v>106</v>
      </c>
      <c r="R343" t="str">
        <f>HYPERLINK("https://d28ji4sm1vmprj.cloudfront.net/e7a526a7220c3bc5cfeeb407c455c0b3/580ffb055aff8ee0c88c6e676cfba776.jpeg", "Ссылка на план")</f>
        <v>Ссылка на план</v>
      </c>
      <c r="S343" s="1">
        <v>43662.410208333335</v>
      </c>
      <c r="T343" s="1">
        <v>43663.38989583333</v>
      </c>
      <c r="U343" s="1">
        <v>43665.615381944444</v>
      </c>
      <c r="W343" s="1">
        <v>43665.615393518521</v>
      </c>
      <c r="X343" t="s">
        <v>406</v>
      </c>
      <c r="Z343" t="s">
        <v>1256</v>
      </c>
      <c r="AA343" t="s">
        <v>2278</v>
      </c>
      <c r="AB343" t="s">
        <v>2279</v>
      </c>
      <c r="AC343" t="s">
        <v>2280</v>
      </c>
      <c r="AD343" t="s">
        <v>2281</v>
      </c>
      <c r="AE343" t="s">
        <v>2282</v>
      </c>
      <c r="AF343" t="s">
        <v>2283</v>
      </c>
      <c r="AG343" t="s">
        <v>2284</v>
      </c>
      <c r="BF343" t="s">
        <v>2285</v>
      </c>
      <c r="BG343" t="s">
        <v>1258</v>
      </c>
      <c r="BH343" t="s">
        <v>114</v>
      </c>
      <c r="BI343" t="str">
        <f>HYPERLINK("https://d33htgqikc2pj4.cloudfront.net/7f0ea960-c291-4d26-8c84-d1c0a9c3aded.jpeg", "Владимир Чугунов: Ссылка на изображение")</f>
        <v>Владимир Чугунов: Ссылка на изображение</v>
      </c>
      <c r="BJ343" t="str">
        <f>HYPERLINK("https://d33htgqikc2pj4.cloudfront.net/5342cb83-d9bb-42d8-b9a3-4c374b7db955.jpeg", "Владимир Чугунов: Ссылка на изображение")</f>
        <v>Владимир Чугунов: Ссылка на изображение</v>
      </c>
      <c r="BK343" t="str">
        <f>HYPERLINK("https://d33htgqikc2pj4.cloudfront.net/a99f6566-83b2-4d87-9f2d-cf11392b0b67.jpeg", "Владимир Чугунов: Ссылка на изображение")</f>
        <v>Владимир Чугунов: Ссылка на изображение</v>
      </c>
      <c r="BL343" t="str">
        <f>HYPERLINK("https://d33htgqikc2pj4.cloudfront.net/c76e1301-7e0f-4879-9b44-36208f16328b.jpeg", "Владимир Чугунов: Ссылка на изображение")</f>
        <v>Владимир Чугунов: Ссылка на изображение</v>
      </c>
      <c r="BM343" t="str">
        <f>HYPERLINK("https://d33htgqikc2pj4.cloudfront.net/b8fb6d76-54dc-422e-9119-86fac05ce21f.jpeg", "Владимир Чугунов: Ссылка на изображение")</f>
        <v>Владимир Чугунов: Ссылка на изображение</v>
      </c>
      <c r="BN343" t="s">
        <v>2286</v>
      </c>
      <c r="BO343" t="s">
        <v>99</v>
      </c>
      <c r="BP343" t="s">
        <v>117</v>
      </c>
      <c r="BQ343" t="str">
        <f>HYPERLINK("https://d33htgqikc2pj4.cloudfront.net/1b4d6dca-9a33-4c37-a3a4-003383c04695.jpeg", "Владимир Чугунов: Ссылка на изображение")</f>
        <v>Владимир Чугунов: Ссылка на изображение</v>
      </c>
      <c r="BR343" t="str">
        <f>HYPERLINK("https://d33htgqikc2pj4.cloudfront.net/ce643064-ebf5-4438-b39b-e29f9c202ea9.jpeg", "Владимир Чугунов: Ссылка на изображение")</f>
        <v>Владимир Чугунов: Ссылка на изображение</v>
      </c>
      <c r="BS343" t="str">
        <f>HYPERLINK("https://d33htgqikc2pj4.cloudfront.net/8ff2f4ad-0acc-4e9e-9589-5b51de128b44.jpeg", "Владимир Чугунов: Ссылка на изображение")</f>
        <v>Владимир Чугунов: Ссылка на изображение</v>
      </c>
      <c r="BT343" t="str">
        <f>HYPERLINK("https://d33htgqikc2pj4.cloudfront.net/c36738ed-2792-48fc-8d6e-2812809b0e24.jpeg", "Владимир Чугунов: Ссылка на изображение")</f>
        <v>Владимир Чугунов: Ссылка на изображение</v>
      </c>
      <c r="BU343" t="str">
        <f>HYPERLINK("https://d33htgqikc2pj4.cloudfront.net/34fdc7374a0f2f4c10ed8f70b298914b/df792ef4c2e2563bc984386055a029ae-file.jpeg", "Maksim Sumatokhin: Ссылка на изображение")</f>
        <v>Maksim Sumatokhin: Ссылка на изображение</v>
      </c>
      <c r="BV343" t="str">
        <f>HYPERLINK("https://d33htgqikc2pj4.cloudfront.net/0183d6e30eb1361770119da841d78876/e71d43ad952dc1e15744429be0ea57b5-file.jpeg", "Maksim Sumatokhin: Ссылка на изображение")</f>
        <v>Maksim Sumatokhin: Ссылка на изображение</v>
      </c>
      <c r="BW343" t="s">
        <v>1355</v>
      </c>
      <c r="BX343" t="s">
        <v>101</v>
      </c>
      <c r="BY343" t="s">
        <v>102</v>
      </c>
      <c r="BZ343" t="s">
        <v>114</v>
      </c>
      <c r="CA343" t="s">
        <v>102</v>
      </c>
    </row>
    <row r="344" spans="1:79" ht="15" customHeight="1" x14ac:dyDescent="0.35">
      <c r="A344">
        <v>780</v>
      </c>
      <c r="B344" t="s">
        <v>2287</v>
      </c>
      <c r="C344">
        <v>3</v>
      </c>
      <c r="D344" t="str">
        <f>VLOOKUP(source[[#This Row],[Приоритет]],тПриоритеты[],2,0)</f>
        <v>Малозначительное</v>
      </c>
      <c r="E3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4" t="s">
        <v>2273</v>
      </c>
      <c r="G344" t="s">
        <v>1421</v>
      </c>
      <c r="H344" t="str">
        <f>VLOOKUP(source[[#This Row],[Отвественный]],тОтветственные[],2,0)</f>
        <v>Отв31</v>
      </c>
      <c r="I344" s="2">
        <v>43815</v>
      </c>
      <c r="J344" s="2">
        <v>43815</v>
      </c>
      <c r="K344" t="s">
        <v>1058</v>
      </c>
      <c r="L344">
        <v>0</v>
      </c>
      <c r="M344">
        <v>0</v>
      </c>
      <c r="N344" t="s">
        <v>1088</v>
      </c>
      <c r="Q344" t="s">
        <v>124</v>
      </c>
      <c r="R344" t="str">
        <f>HYPERLINK("https://d28ji4sm1vmprj.cloudfront.net/36167089e08e1ee401f4f57d88869b74/9a4ef6d7d17215a7139533e84371548c.jpeg", "Ссылка на план")</f>
        <v>Ссылка на план</v>
      </c>
      <c r="S344" s="1">
        <v>43815.671446759261</v>
      </c>
      <c r="T344" s="1">
        <v>43822.659687500003</v>
      </c>
      <c r="U344" s="1">
        <v>43822.659687500003</v>
      </c>
      <c r="W344" s="1">
        <v>43822.659687500003</v>
      </c>
      <c r="BF344" t="s">
        <v>114</v>
      </c>
      <c r="BG344" t="s">
        <v>117</v>
      </c>
      <c r="BH344" t="s">
        <v>2288</v>
      </c>
      <c r="BI344" t="s">
        <v>1090</v>
      </c>
      <c r="BJ344" t="str">
        <f>HYPERLINK("https://d33htgqikc2pj4.cloudfront.net/6b88742f-8200-4258-bbc3-803976c9c0b1.jpeg", "Владимир Чугунов: Ссылка на изображение")</f>
        <v>Владимир Чугунов: Ссылка на изображение</v>
      </c>
      <c r="BK344" t="str">
        <f>HYPERLINK("https://d33htgqikc2pj4.cloudfront.net/eaa35862-9d2b-44ec-945d-ee102d07c444.jpeg", "Владимир Чугунов: Ссылка на изображение")</f>
        <v>Владимир Чугунов: Ссылка на изображение</v>
      </c>
      <c r="BL344" t="s">
        <v>1431</v>
      </c>
      <c r="BM344" t="s">
        <v>502</v>
      </c>
      <c r="BN344" t="s">
        <v>102</v>
      </c>
    </row>
    <row r="345" spans="1:79" ht="15" customHeight="1" x14ac:dyDescent="0.35">
      <c r="A345">
        <v>222</v>
      </c>
      <c r="B345" t="s">
        <v>2289</v>
      </c>
      <c r="C345">
        <v>2</v>
      </c>
      <c r="D345" t="str">
        <f>VLOOKUP(source[[#This Row],[Приоритет]],тПриоритеты[],2,0)</f>
        <v>Значительное</v>
      </c>
      <c r="E3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5" t="s">
        <v>2273</v>
      </c>
      <c r="G345" t="s">
        <v>157</v>
      </c>
      <c r="H345" t="str">
        <f>VLOOKUP(source[[#This Row],[Отвественный]],тОтветственные[],2,0)</f>
        <v>Отв13</v>
      </c>
      <c r="I345" s="2">
        <v>43655</v>
      </c>
      <c r="J345" s="2">
        <v>43655</v>
      </c>
      <c r="K345" t="s">
        <v>122</v>
      </c>
      <c r="L345">
        <v>12.99</v>
      </c>
      <c r="M345">
        <v>37.68</v>
      </c>
      <c r="N345" t="s">
        <v>123</v>
      </c>
      <c r="Q345" t="s">
        <v>124</v>
      </c>
      <c r="R345" t="str">
        <f>HYPERLINK("https://d28ji4sm1vmprj.cloudfront.net/78b1fbd1c87eb90dac050448d7e72c8d/a7fb9bbb452cbb899c601a0b8b67fd7d.jpeg", "Ссылка на план")</f>
        <v>Ссылка на план</v>
      </c>
      <c r="S345" s="1">
        <v>43655.712152777778</v>
      </c>
      <c r="T345" s="1">
        <v>43655.714004629626</v>
      </c>
      <c r="U345" s="1">
        <v>43655.714004629626</v>
      </c>
      <c r="W345" s="1">
        <v>43655.714247685188</v>
      </c>
      <c r="X345" t="s">
        <v>2290</v>
      </c>
      <c r="AA345" t="s">
        <v>2291</v>
      </c>
      <c r="AB345" t="s">
        <v>2292</v>
      </c>
      <c r="AC345" t="s">
        <v>2293</v>
      </c>
      <c r="AD345" t="s">
        <v>2294</v>
      </c>
      <c r="AE345" t="s">
        <v>2295</v>
      </c>
      <c r="AF345" t="s">
        <v>2296</v>
      </c>
      <c r="AG345" t="s">
        <v>2297</v>
      </c>
      <c r="AH345" t="s">
        <v>2298</v>
      </c>
      <c r="AI345" t="s">
        <v>2299</v>
      </c>
      <c r="BF345" t="str">
        <f>HYPERLINK("https://d33htgqikc2pj4.cloudfront.net/724e7e12-107f-4cfc-826f-f8e20d881ea2.jpeg", "Андрей Денисов: Ссылка на изображение")</f>
        <v>Андрей Денисов: Ссылка на изображение</v>
      </c>
      <c r="BG345" t="str">
        <f>HYPERLINK("https://d33htgqikc2pj4.cloudfront.net/20b34bc7-d6b7-4af6-af43-8c7b63360077.jpeg", "Андрей Денисов: Ссылка на изображение")</f>
        <v>Андрей Денисов: Ссылка на изображение</v>
      </c>
      <c r="BH345" t="s">
        <v>167</v>
      </c>
      <c r="BI345" t="s">
        <v>2300</v>
      </c>
      <c r="BJ345" t="s">
        <v>1312</v>
      </c>
    </row>
    <row r="346" spans="1:79" ht="15" customHeight="1" x14ac:dyDescent="0.35">
      <c r="A346">
        <v>65</v>
      </c>
      <c r="B346" t="s">
        <v>2301</v>
      </c>
      <c r="C346">
        <v>2</v>
      </c>
      <c r="D346" t="str">
        <f>VLOOKUP(source[[#This Row],[Приоритет]],тПриоритеты[],2,0)</f>
        <v>Значительное</v>
      </c>
      <c r="E3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6" t="s">
        <v>2273</v>
      </c>
      <c r="G346" t="s">
        <v>157</v>
      </c>
      <c r="H346" t="str">
        <f>VLOOKUP(source[[#This Row],[Отвественный]],тОтветственные[],2,0)</f>
        <v>Отв13</v>
      </c>
      <c r="I346" s="2">
        <v>43589</v>
      </c>
      <c r="J346" s="2">
        <v>43589</v>
      </c>
      <c r="K346" t="s">
        <v>158</v>
      </c>
      <c r="L346">
        <v>0</v>
      </c>
      <c r="M346">
        <v>0</v>
      </c>
      <c r="N346" t="s">
        <v>472</v>
      </c>
      <c r="Q346" t="s">
        <v>124</v>
      </c>
      <c r="R346" t="str">
        <f>HYPERLINK("https://d28ji4sm1vmprj.cloudfront.net/09622a2bb466dfd1cdfb85ce6a712a4c/080b534903fe5ecae6d56f3611cbeb01.jpeg", "Ссылка на план")</f>
        <v>Ссылка на план</v>
      </c>
      <c r="S346" s="1">
        <v>43589.557743055557</v>
      </c>
      <c r="T346" s="1">
        <v>43589.558611111112</v>
      </c>
      <c r="U346" s="1">
        <v>43589.558611111112</v>
      </c>
      <c r="W346" s="1">
        <v>43589.558611111112</v>
      </c>
      <c r="X346" t="s">
        <v>2302</v>
      </c>
      <c r="AA346" t="s">
        <v>2303</v>
      </c>
      <c r="AB346" t="s">
        <v>2304</v>
      </c>
      <c r="AC346" t="s">
        <v>2305</v>
      </c>
      <c r="AD346" t="s">
        <v>2306</v>
      </c>
      <c r="AE346" t="s">
        <v>2307</v>
      </c>
      <c r="AF346" t="s">
        <v>2308</v>
      </c>
      <c r="AG346" t="s">
        <v>2309</v>
      </c>
      <c r="AH346" t="s">
        <v>2310</v>
      </c>
      <c r="AI346" t="s">
        <v>2311</v>
      </c>
      <c r="BF346" t="s">
        <v>2312</v>
      </c>
      <c r="BG346" t="s">
        <v>2313</v>
      </c>
      <c r="BH346" t="s">
        <v>2314</v>
      </c>
      <c r="BI346" t="s">
        <v>167</v>
      </c>
      <c r="BJ346" t="str">
        <f>HYPERLINK("https://d33htgqikc2pj4.cloudfront.net/d27dcf89-266f-4404-bb65-6a8502078ebb.jpeg", "Андрей Денисов: Ссылка на изображение")</f>
        <v>Андрей Денисов: Ссылка на изображение</v>
      </c>
      <c r="BK346" t="str">
        <f>HYPERLINK("https://d33htgqikc2pj4.cloudfront.net/c379f6c2-b08b-402c-8a50-e5babe539edf.jpeg", "Андрей Денисов: Ссылка на изображение")</f>
        <v>Андрей Денисов: Ссылка на изображение</v>
      </c>
      <c r="BL346" t="str">
        <f>HYPERLINK("https://d33htgqikc2pj4.cloudfront.net/99523f22-780b-4abf-a99d-bde35c602cad.jpeg", "Андрей Денисов: Ссылка на изображение")</f>
        <v>Андрей Денисов: Ссылка на изображение</v>
      </c>
      <c r="BM346" t="str">
        <f>HYPERLINK("https://d33htgqikc2pj4.cloudfront.net/8b7ad27b-3e28-4aa1-8845-6ee4240d2bbb.jpeg", "Андрей Денисов: Ссылка на изображение")</f>
        <v>Андрей Денисов: Ссылка на изображение</v>
      </c>
    </row>
    <row r="347" spans="1:79" ht="15" customHeight="1" x14ac:dyDescent="0.35">
      <c r="A347">
        <v>67</v>
      </c>
      <c r="B347" t="s">
        <v>1300</v>
      </c>
      <c r="C347">
        <v>2</v>
      </c>
      <c r="D347" t="str">
        <f>VLOOKUP(source[[#This Row],[Приоритет]],тПриоритеты[],2,0)</f>
        <v>Значительное</v>
      </c>
      <c r="E3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7" t="s">
        <v>2273</v>
      </c>
      <c r="G347" t="s">
        <v>157</v>
      </c>
      <c r="H347" t="str">
        <f>VLOOKUP(source[[#This Row],[Отвественный]],тОтветственные[],2,0)</f>
        <v>Отв13</v>
      </c>
      <c r="I347" s="2">
        <v>43589</v>
      </c>
      <c r="J347" s="2">
        <v>43589</v>
      </c>
      <c r="K347" t="s">
        <v>274</v>
      </c>
      <c r="L347">
        <v>0</v>
      </c>
      <c r="M347">
        <v>0</v>
      </c>
      <c r="N347" t="s">
        <v>213</v>
      </c>
      <c r="Q347" t="s">
        <v>124</v>
      </c>
      <c r="R347" t="str">
        <f>HYPERLINK("https://d28ji4sm1vmprj.cloudfront.net/355a08c081c3838ab5b858f428b86049/8945c7522deb0c15488ad801990cffed.jpeg", "Ссылка на план")</f>
        <v>Ссылка на план</v>
      </c>
      <c r="S347" s="1">
        <v>43589.560069444444</v>
      </c>
      <c r="T347" s="1">
        <v>43589.560104166667</v>
      </c>
      <c r="U347" s="1">
        <v>43589.560104166667</v>
      </c>
      <c r="W347" s="1">
        <v>43589.560370370367</v>
      </c>
      <c r="X347" t="s">
        <v>1204</v>
      </c>
      <c r="AA347" t="s">
        <v>2315</v>
      </c>
      <c r="AB347" t="s">
        <v>2316</v>
      </c>
      <c r="AC347" t="s">
        <v>2317</v>
      </c>
      <c r="AD347" t="s">
        <v>2318</v>
      </c>
      <c r="AE347" t="s">
        <v>2319</v>
      </c>
      <c r="AF347" t="s">
        <v>2320</v>
      </c>
      <c r="BF347" t="s">
        <v>167</v>
      </c>
      <c r="BG347" t="s">
        <v>2321</v>
      </c>
      <c r="BH347" t="s">
        <v>2314</v>
      </c>
      <c r="BI347" t="str">
        <f>HYPERLINK("https://d33htgqikc2pj4.cloudfront.net/fb143e7e-8f3b-4b3a-a43c-1080b7877edd.jpeg", "Андрей Денисов: Ссылка на изображение")</f>
        <v>Андрей Денисов: Ссылка на изображение</v>
      </c>
      <c r="BJ347" t="str">
        <f>HYPERLINK("https://d33htgqikc2pj4.cloudfront.net/b304ebf7-9898-43d6-96f4-06ebcbc96f73.jpeg", "Андрей Денисов: Ссылка на изображение")</f>
        <v>Андрей Денисов: Ссылка на изображение</v>
      </c>
      <c r="BK347" t="str">
        <f>HYPERLINK("https://d33htgqikc2pj4.cloudfront.net/e108fe97-52d6-4e7f-bcc3-34faeedb39bf.jpeg", "Андрей Денисов: Ссылка на изображение")</f>
        <v>Андрей Денисов: Ссылка на изображение</v>
      </c>
    </row>
    <row r="348" spans="1:79" ht="15" customHeight="1" x14ac:dyDescent="0.35">
      <c r="A348">
        <v>597</v>
      </c>
      <c r="B348" t="s">
        <v>357</v>
      </c>
      <c r="C348">
        <v>2</v>
      </c>
      <c r="D348" t="str">
        <f>VLOOKUP(source[[#This Row],[Приоритет]],тПриоритеты[],2,0)</f>
        <v>Значительное</v>
      </c>
      <c r="E3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8" t="s">
        <v>2273</v>
      </c>
      <c r="G348" t="s">
        <v>157</v>
      </c>
      <c r="H348" t="str">
        <f>VLOOKUP(source[[#This Row],[Отвественный]],тОтветственные[],2,0)</f>
        <v>Отв13</v>
      </c>
      <c r="I348" s="2">
        <v>43749</v>
      </c>
      <c r="J348" s="2">
        <v>43749</v>
      </c>
      <c r="K348" t="s">
        <v>104</v>
      </c>
      <c r="L348">
        <v>0</v>
      </c>
      <c r="M348">
        <v>0</v>
      </c>
      <c r="N348" t="s">
        <v>105</v>
      </c>
      <c r="Q348" t="s">
        <v>106</v>
      </c>
      <c r="R348" t="str">
        <f>HYPERLINK("https://d28ji4sm1vmprj.cloudfront.net/e7a526a7220c3bc5cfeeb407c455c0b3/580ffb055aff8ee0c88c6e676cfba776.jpeg", "Ссылка на план")</f>
        <v>Ссылка на план</v>
      </c>
      <c r="S348" s="1">
        <v>43750.92769675926</v>
      </c>
      <c r="T348" s="1">
        <v>43750.927708333336</v>
      </c>
      <c r="U348" s="1">
        <v>43750.927708333336</v>
      </c>
      <c r="W348" s="1">
        <v>43750.928032407406</v>
      </c>
      <c r="X348" t="s">
        <v>2290</v>
      </c>
      <c r="AA348" t="s">
        <v>2322</v>
      </c>
      <c r="AB348" t="s">
        <v>2323</v>
      </c>
      <c r="AC348" t="s">
        <v>2324</v>
      </c>
      <c r="AD348" t="s">
        <v>2325</v>
      </c>
      <c r="AE348" t="s">
        <v>2326</v>
      </c>
      <c r="AF348" t="s">
        <v>2327</v>
      </c>
      <c r="AG348" t="s">
        <v>2328</v>
      </c>
      <c r="AH348" t="s">
        <v>2329</v>
      </c>
      <c r="AI348" t="s">
        <v>2330</v>
      </c>
      <c r="BF348" t="s">
        <v>167</v>
      </c>
      <c r="BG348" t="s">
        <v>364</v>
      </c>
      <c r="BH348" t="s">
        <v>310</v>
      </c>
      <c r="BI348" t="s">
        <v>2313</v>
      </c>
      <c r="BJ348" t="s">
        <v>2331</v>
      </c>
      <c r="BK348" t="str">
        <f>HYPERLINK("https://d33htgqikc2pj4.cloudfront.net/c833c4ef-133d-4b05-a876-b3846eaafba2.jpeg", "Андрей Денисов: Ссылка на изображение")</f>
        <v>Андрей Денисов: Ссылка на изображение</v>
      </c>
      <c r="BL348" t="str">
        <f>HYPERLINK("https://d33htgqikc2pj4.cloudfront.net/a31154dd-1bfd-41f9-9713-7cc0d919d07b.jpeg", "Андрей Денисов: Ссылка на изображение")</f>
        <v>Андрей Денисов: Ссылка на изображение</v>
      </c>
    </row>
    <row r="349" spans="1:79" ht="15" customHeight="1" x14ac:dyDescent="0.35">
      <c r="A349">
        <v>600</v>
      </c>
      <c r="B349" t="s">
        <v>2332</v>
      </c>
      <c r="C349">
        <v>2</v>
      </c>
      <c r="D349" t="str">
        <f>VLOOKUP(source[[#This Row],[Приоритет]],тПриоритеты[],2,0)</f>
        <v>Значительное</v>
      </c>
      <c r="E3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49" t="s">
        <v>2273</v>
      </c>
      <c r="G349" t="s">
        <v>157</v>
      </c>
      <c r="H349" t="str">
        <f>VLOOKUP(source[[#This Row],[Отвественный]],тОтветственные[],2,0)</f>
        <v>Отв13</v>
      </c>
      <c r="I349" s="2">
        <v>43749</v>
      </c>
      <c r="J349" s="2">
        <v>43749</v>
      </c>
      <c r="K349" t="s">
        <v>104</v>
      </c>
      <c r="L349">
        <v>0</v>
      </c>
      <c r="M349">
        <v>0</v>
      </c>
      <c r="N349" t="s">
        <v>105</v>
      </c>
      <c r="Q349" t="s">
        <v>106</v>
      </c>
      <c r="R349" t="str">
        <f>HYPERLINK("https://d28ji4sm1vmprj.cloudfront.net/e7a526a7220c3bc5cfeeb407c455c0b3/580ffb055aff8ee0c88c6e676cfba776.jpeg", "Ссылка на план")</f>
        <v>Ссылка на план</v>
      </c>
      <c r="S349" s="1">
        <v>43750.942847222221</v>
      </c>
      <c r="T349" s="1">
        <v>43750.942870370367</v>
      </c>
      <c r="U349" s="1">
        <v>43750.942870370367</v>
      </c>
      <c r="W349" s="1">
        <v>43750.94358796296</v>
      </c>
      <c r="X349" t="s">
        <v>2333</v>
      </c>
      <c r="AA349" t="s">
        <v>2334</v>
      </c>
      <c r="AB349" t="s">
        <v>2335</v>
      </c>
      <c r="AC349" t="s">
        <v>2336</v>
      </c>
      <c r="AD349" t="s">
        <v>2337</v>
      </c>
      <c r="AE349" t="s">
        <v>2338</v>
      </c>
      <c r="AF349" t="s">
        <v>2339</v>
      </c>
      <c r="AG349" t="s">
        <v>2340</v>
      </c>
      <c r="AH349" t="s">
        <v>2341</v>
      </c>
      <c r="AI349" t="s">
        <v>2342</v>
      </c>
      <c r="BF349" t="s">
        <v>167</v>
      </c>
      <c r="BG349" t="s">
        <v>2343</v>
      </c>
      <c r="BH349" t="s">
        <v>2313</v>
      </c>
      <c r="BI349" t="s">
        <v>2344</v>
      </c>
      <c r="BJ349" t="s">
        <v>2331</v>
      </c>
      <c r="BK349" t="s">
        <v>2345</v>
      </c>
      <c r="BL349" t="str">
        <f>HYPERLINK("https://d33htgqikc2pj4.cloudfront.net/3fd9726e-0118-4506-8cba-32bc2ff5cc90.jpeg", "Андрей Денисов: Ссылка на изображение")</f>
        <v>Андрей Денисов: Ссылка на изображение</v>
      </c>
      <c r="BM349" t="str">
        <f>HYPERLINK("https://d33htgqikc2pj4.cloudfront.net/8a40e570-fcb5-421c-848e-cbdde4753e44.jpeg", "Андрей Денисов: Ссылка на изображение")</f>
        <v>Андрей Денисов: Ссылка на изображение</v>
      </c>
    </row>
    <row r="350" spans="1:79" ht="15" customHeight="1" x14ac:dyDescent="0.35">
      <c r="A350">
        <v>603</v>
      </c>
      <c r="B350" t="s">
        <v>2346</v>
      </c>
      <c r="C350">
        <v>2</v>
      </c>
      <c r="D350" t="str">
        <f>VLOOKUP(source[[#This Row],[Приоритет]],тПриоритеты[],2,0)</f>
        <v>Значительное</v>
      </c>
      <c r="E3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0" t="s">
        <v>2273</v>
      </c>
      <c r="G350" t="s">
        <v>157</v>
      </c>
      <c r="H350" t="str">
        <f>VLOOKUP(source[[#This Row],[Отвественный]],тОтветственные[],2,0)</f>
        <v>Отв13</v>
      </c>
      <c r="I350" s="2">
        <v>43750</v>
      </c>
      <c r="J350" s="2">
        <v>43750</v>
      </c>
      <c r="K350" t="s">
        <v>104</v>
      </c>
      <c r="L350">
        <v>0</v>
      </c>
      <c r="M350">
        <v>0</v>
      </c>
      <c r="N350" t="s">
        <v>105</v>
      </c>
      <c r="Q350" t="s">
        <v>106</v>
      </c>
      <c r="R350" t="str">
        <f>HYPERLINK("https://d28ji4sm1vmprj.cloudfront.net/e7a526a7220c3bc5cfeeb407c455c0b3/580ffb055aff8ee0c88c6e676cfba776.jpeg", "Ссылка на план")</f>
        <v>Ссылка на план</v>
      </c>
      <c r="S350" s="1">
        <v>43750.948113425926</v>
      </c>
      <c r="T350" s="1">
        <v>43750.948125000003</v>
      </c>
      <c r="U350" s="1">
        <v>43750.948125000003</v>
      </c>
      <c r="W350" s="1">
        <v>43750.948506944442</v>
      </c>
      <c r="X350" t="s">
        <v>2333</v>
      </c>
      <c r="AA350" t="s">
        <v>2334</v>
      </c>
      <c r="AB350" t="s">
        <v>2335</v>
      </c>
      <c r="AC350" t="s">
        <v>2336</v>
      </c>
      <c r="AD350" t="s">
        <v>2337</v>
      </c>
      <c r="AE350" t="s">
        <v>2338</v>
      </c>
      <c r="AF350" t="s">
        <v>2339</v>
      </c>
      <c r="AG350" t="s">
        <v>2340</v>
      </c>
      <c r="AH350" t="s">
        <v>2341</v>
      </c>
      <c r="AI350" t="s">
        <v>2342</v>
      </c>
      <c r="BF350" t="s">
        <v>167</v>
      </c>
      <c r="BG350" t="s">
        <v>2347</v>
      </c>
      <c r="BH350" t="s">
        <v>2313</v>
      </c>
      <c r="BI350" t="s">
        <v>2344</v>
      </c>
      <c r="BJ350" t="str">
        <f>HYPERLINK("https://d33htgqikc2pj4.cloudfront.net/d68be474-c01a-4032-85a6-5bef5301fcde.jpeg", "Андрей Денисов: Ссылка на изображение")</f>
        <v>Андрей Денисов: Ссылка на изображение</v>
      </c>
      <c r="BK350" t="str">
        <f>HYPERLINK("https://d33htgqikc2pj4.cloudfront.net/6374abda-665f-49ed-a080-1f57f1310174.jpeg", "Андрей Денисов: Ссылка на изображение")</f>
        <v>Андрей Денисов: Ссылка на изображение</v>
      </c>
    </row>
    <row r="351" spans="1:79" ht="15" customHeight="1" x14ac:dyDescent="0.35">
      <c r="A351">
        <v>772</v>
      </c>
      <c r="B351" t="s">
        <v>2348</v>
      </c>
      <c r="C351">
        <v>2</v>
      </c>
      <c r="D351" t="str">
        <f>VLOOKUP(source[[#This Row],[Приоритет]],тПриоритеты[],2,0)</f>
        <v>Значительное</v>
      </c>
      <c r="E3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1" t="s">
        <v>2273</v>
      </c>
      <c r="G351" t="s">
        <v>157</v>
      </c>
      <c r="H351" t="str">
        <f>VLOOKUP(source[[#This Row],[Отвественный]],тОтветственные[],2,0)</f>
        <v>Отв13</v>
      </c>
      <c r="I351" s="2">
        <v>43811</v>
      </c>
      <c r="J351" s="2">
        <v>43811</v>
      </c>
      <c r="K351" t="s">
        <v>2349</v>
      </c>
      <c r="L351">
        <v>47.62</v>
      </c>
      <c r="M351">
        <v>16.48</v>
      </c>
      <c r="N351" t="s">
        <v>213</v>
      </c>
      <c r="Q351" t="s">
        <v>106</v>
      </c>
      <c r="R351" t="str">
        <f>HYPERLINK("https://d28ji4sm1vmprj.cloudfront.net/6b0dc9e799f98d5c9a0a0ab863394e9c/e9ac1857a23bf9d0a66df9e04e6ec937.jpeg", "Ссылка на план")</f>
        <v>Ссылка на план</v>
      </c>
      <c r="S351" s="1">
        <v>43811.776759259257</v>
      </c>
      <c r="T351" s="1">
        <v>43811.776759259257</v>
      </c>
      <c r="U351" s="1">
        <v>43811.776759259257</v>
      </c>
      <c r="W351" s="1">
        <v>43816.599004629628</v>
      </c>
      <c r="X351" t="s">
        <v>2350</v>
      </c>
      <c r="AA351" t="s">
        <v>2351</v>
      </c>
      <c r="AB351" t="s">
        <v>2352</v>
      </c>
      <c r="AC351" t="s">
        <v>2353</v>
      </c>
      <c r="AD351" t="s">
        <v>2354</v>
      </c>
      <c r="AE351" t="s">
        <v>2355</v>
      </c>
      <c r="AF351" s="3" t="s">
        <v>2356</v>
      </c>
      <c r="BF351" t="s">
        <v>167</v>
      </c>
      <c r="BG351" t="s">
        <v>2357</v>
      </c>
      <c r="BH351" t="s">
        <v>2313</v>
      </c>
      <c r="BI351" t="s">
        <v>2358</v>
      </c>
      <c r="BJ351" t="str">
        <f>HYPERLINK("https://d33htgqikc2pj4.cloudfront.net/185d0117-a850-4d70-836d-938ec89a4e20.jpeg", "Андрей Денисов: Ссылка на изображение")</f>
        <v>Андрей Денисов: Ссылка на изображение</v>
      </c>
      <c r="BK351" t="str">
        <f>HYPERLINK("https://d33htgqikc2pj4.cloudfront.net/2aef3a14-8ba6-4159-a291-37410a5c85a4.jpeg", "Андрей Денисов: Ссылка на изображение")</f>
        <v>Андрей Денисов: Ссылка на изображение</v>
      </c>
    </row>
    <row r="352" spans="1:79" ht="15" customHeight="1" x14ac:dyDescent="0.35">
      <c r="A352">
        <v>787</v>
      </c>
      <c r="B352" t="s">
        <v>2359</v>
      </c>
      <c r="C352">
        <v>2</v>
      </c>
      <c r="D352" t="str">
        <f>VLOOKUP(source[[#This Row],[Приоритет]],тПриоритеты[],2,0)</f>
        <v>Значительное</v>
      </c>
      <c r="E3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2" t="s">
        <v>2273</v>
      </c>
      <c r="G352" t="s">
        <v>157</v>
      </c>
      <c r="H352" t="str">
        <f>VLOOKUP(source[[#This Row],[Отвественный]],тОтветственные[],2,0)</f>
        <v>Отв13</v>
      </c>
      <c r="I352" s="2">
        <v>43816</v>
      </c>
      <c r="J352" s="2">
        <v>43816</v>
      </c>
      <c r="K352" t="s">
        <v>2349</v>
      </c>
      <c r="L352">
        <v>37.44</v>
      </c>
      <c r="M352">
        <v>32.17</v>
      </c>
      <c r="N352" t="s">
        <v>213</v>
      </c>
      <c r="Q352" t="s">
        <v>106</v>
      </c>
      <c r="R352" t="str">
        <f>HYPERLINK("https://d28ji4sm1vmprj.cloudfront.net/6b0dc9e799f98d5c9a0a0ab863394e9c/e9ac1857a23bf9d0a66df9e04e6ec937.jpeg", "Ссылка на план")</f>
        <v>Ссылка на план</v>
      </c>
      <c r="S352" s="1">
        <v>43816.599224537036</v>
      </c>
      <c r="T352" s="1">
        <v>43811.776759259257</v>
      </c>
      <c r="U352" s="1">
        <v>43811.776759259257</v>
      </c>
      <c r="W352" s="1">
        <v>43816.600243055553</v>
      </c>
      <c r="X352" t="s">
        <v>2350</v>
      </c>
      <c r="AA352" t="s">
        <v>2360</v>
      </c>
      <c r="AB352" t="s">
        <v>2361</v>
      </c>
      <c r="AC352" t="s">
        <v>2362</v>
      </c>
      <c r="AD352" t="s">
        <v>2363</v>
      </c>
      <c r="AE352" t="s">
        <v>2364</v>
      </c>
      <c r="AF352" s="3" t="s">
        <v>2365</v>
      </c>
      <c r="BF352" t="s">
        <v>2366</v>
      </c>
      <c r="BG352" t="s">
        <v>2367</v>
      </c>
    </row>
    <row r="353" spans="1:69" ht="15" customHeight="1" x14ac:dyDescent="0.35">
      <c r="A353">
        <v>11</v>
      </c>
      <c r="B353" t="s">
        <v>1165</v>
      </c>
      <c r="C353">
        <v>2</v>
      </c>
      <c r="D353" t="str">
        <f>VLOOKUP(source[[#This Row],[Приоритет]],тПриоритеты[],2,0)</f>
        <v>Значительное</v>
      </c>
      <c r="E3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3" t="s">
        <v>2273</v>
      </c>
      <c r="G353" t="s">
        <v>157</v>
      </c>
      <c r="H353" t="str">
        <f>VLOOKUP(source[[#This Row],[Отвественный]],тОтветственные[],2,0)</f>
        <v>Отв13</v>
      </c>
      <c r="I353" s="2">
        <v>43551</v>
      </c>
      <c r="J353" s="2">
        <v>43551</v>
      </c>
      <c r="K353" t="s">
        <v>158</v>
      </c>
      <c r="L353">
        <v>4.5199999999999996</v>
      </c>
      <c r="M353">
        <v>46.88</v>
      </c>
      <c r="N353" t="s">
        <v>472</v>
      </c>
      <c r="Q353" t="s">
        <v>124</v>
      </c>
      <c r="R353" t="str">
        <f>HYPERLINK("https://d28ji4sm1vmprj.cloudfront.net/09622a2bb466dfd1cdfb85ce6a712a4c/080b534903fe5ecae6d56f3611cbeb01.jpeg", "Ссылка на план")</f>
        <v>Ссылка на план</v>
      </c>
      <c r="S353" s="1">
        <v>43551.686365740738</v>
      </c>
      <c r="T353" s="1">
        <v>43551.686400462961</v>
      </c>
      <c r="U353" s="1">
        <v>43551.686400462961</v>
      </c>
      <c r="W353" s="1">
        <v>43551.689641203702</v>
      </c>
      <c r="X353" t="s">
        <v>2290</v>
      </c>
      <c r="Z353" t="s">
        <v>1164</v>
      </c>
      <c r="AA353" t="s">
        <v>2368</v>
      </c>
      <c r="AB353" t="s">
        <v>2369</v>
      </c>
      <c r="AC353" t="s">
        <v>2370</v>
      </c>
      <c r="AD353" t="s">
        <v>2371</v>
      </c>
      <c r="AE353" t="s">
        <v>2372</v>
      </c>
      <c r="AF353" t="s">
        <v>2373</v>
      </c>
      <c r="AG353" t="s">
        <v>2374</v>
      </c>
      <c r="AH353" t="s">
        <v>2375</v>
      </c>
      <c r="AI353" t="s">
        <v>2376</v>
      </c>
      <c r="BF353" t="s">
        <v>167</v>
      </c>
      <c r="BG353" t="s">
        <v>2377</v>
      </c>
      <c r="BH353" t="s">
        <v>2313</v>
      </c>
      <c r="BI353" t="s">
        <v>1166</v>
      </c>
      <c r="BJ353" t="str">
        <f>HYPERLINK("https://d33htgqikc2pj4.cloudfront.net/21e95ba5-fbcb-4f02-85ee-b7634ffe239e.jpeg", "Андрей Денисов: Ссылка на изображение")</f>
        <v>Андрей Денисов: Ссылка на изображение</v>
      </c>
      <c r="BK353" t="str">
        <f>HYPERLINK("https://d33htgqikc2pj4.cloudfront.net/82ecd19a-1d6a-453b-9dbe-f53d6b343247.jpeg", "Андрей Денисов: Ссылка на изображение")</f>
        <v>Андрей Денисов: Ссылка на изображение</v>
      </c>
      <c r="BL353" t="str">
        <f>HYPERLINK("https://d33htgqikc2pj4.cloudfront.net/4546d920-5493-4cfb-9011-9d2ebd4cadea.jpeg", "Андрей Денисов: Ссылка на изображение")</f>
        <v>Андрей Денисов: Ссылка на изображение</v>
      </c>
    </row>
    <row r="354" spans="1:69" ht="15" customHeight="1" x14ac:dyDescent="0.35">
      <c r="A354">
        <v>201</v>
      </c>
      <c r="B354" t="s">
        <v>2378</v>
      </c>
      <c r="C354">
        <v>2</v>
      </c>
      <c r="D354" t="str">
        <f>VLOOKUP(source[[#This Row],[Приоритет]],тПриоритеты[],2,0)</f>
        <v>Значительное</v>
      </c>
      <c r="E3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4" t="s">
        <v>2273</v>
      </c>
      <c r="G354" t="s">
        <v>157</v>
      </c>
      <c r="H354" t="str">
        <f>VLOOKUP(source[[#This Row],[Отвественный]],тОтветственные[],2,0)</f>
        <v>Отв13</v>
      </c>
      <c r="I354" s="2">
        <v>43651</v>
      </c>
      <c r="J354" s="2">
        <v>43651</v>
      </c>
      <c r="K354" t="s">
        <v>122</v>
      </c>
      <c r="L354">
        <v>0</v>
      </c>
      <c r="M354">
        <v>0</v>
      </c>
      <c r="N354" t="s">
        <v>123</v>
      </c>
      <c r="Q354" t="s">
        <v>124</v>
      </c>
      <c r="R354" t="str">
        <f>HYPERLINK("https://d28ji4sm1vmprj.cloudfront.net/78b1fbd1c87eb90dac050448d7e72c8d/a7fb9bbb452cbb899c601a0b8b67fd7d.jpeg", "Ссылка на план")</f>
        <v>Ссылка на план</v>
      </c>
      <c r="S354" s="1">
        <v>43651.61923611111</v>
      </c>
      <c r="T354" s="1">
        <v>43651.619247685187</v>
      </c>
      <c r="U354" s="1">
        <v>43651.619247685187</v>
      </c>
      <c r="W354" s="1">
        <v>43651.619583333333</v>
      </c>
      <c r="X354" t="s">
        <v>2290</v>
      </c>
      <c r="AA354" t="s">
        <v>2379</v>
      </c>
      <c r="AB354" t="s">
        <v>2380</v>
      </c>
      <c r="AC354" t="s">
        <v>2381</v>
      </c>
      <c r="AD354" t="s">
        <v>2382</v>
      </c>
      <c r="AE354" t="s">
        <v>2383</v>
      </c>
      <c r="AF354" t="s">
        <v>2384</v>
      </c>
      <c r="AG354" t="s">
        <v>2385</v>
      </c>
      <c r="AH354" t="s">
        <v>2386</v>
      </c>
      <c r="AI354" t="s">
        <v>2387</v>
      </c>
      <c r="BF354" t="s">
        <v>167</v>
      </c>
      <c r="BG354" t="s">
        <v>2388</v>
      </c>
      <c r="BH354" t="s">
        <v>2389</v>
      </c>
      <c r="BI354" t="str">
        <f>HYPERLINK("https://d33htgqikc2pj4.cloudfront.net/afe6b3d1-bb0c-4e35-955e-7991b2b826e9.jpeg", "Андрей Денисов: Ссылка на изображение")</f>
        <v>Андрей Денисов: Ссылка на изображение</v>
      </c>
      <c r="BJ354" t="str">
        <f>HYPERLINK("https://d33htgqikc2pj4.cloudfront.net/ef861325-c4b7-43d8-9c2e-514536245a05.jpeg", "Андрей Денисов: Ссылка на изображение")</f>
        <v>Андрей Денисов: Ссылка на изображение</v>
      </c>
    </row>
    <row r="355" spans="1:69" ht="15" customHeight="1" x14ac:dyDescent="0.35">
      <c r="A355">
        <v>133</v>
      </c>
      <c r="B355" t="s">
        <v>2390</v>
      </c>
      <c r="C355">
        <v>2</v>
      </c>
      <c r="D355" t="str">
        <f>VLOOKUP(source[[#This Row],[Приоритет]],тПриоритеты[],2,0)</f>
        <v>Значительное</v>
      </c>
      <c r="E3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5" t="s">
        <v>2273</v>
      </c>
      <c r="G355" t="s">
        <v>157</v>
      </c>
      <c r="H355" t="str">
        <f>VLOOKUP(source[[#This Row],[Отвественный]],тОтветственные[],2,0)</f>
        <v>Отв13</v>
      </c>
      <c r="I355" s="2">
        <v>43628</v>
      </c>
      <c r="J355" s="2">
        <v>43628</v>
      </c>
      <c r="K355" t="s">
        <v>158</v>
      </c>
      <c r="L355">
        <v>0</v>
      </c>
      <c r="M355">
        <v>0</v>
      </c>
      <c r="N355" t="s">
        <v>213</v>
      </c>
      <c r="Q355" t="s">
        <v>124</v>
      </c>
      <c r="R355" t="str">
        <f t="shared" ref="R355:R362" si="5">HYPERLINK("https://d28ji4sm1vmprj.cloudfront.net/09622a2bb466dfd1cdfb85ce6a712a4c/080b534903fe5ecae6d56f3611cbeb01.jpeg", "Ссылка на план")</f>
        <v>Ссылка на план</v>
      </c>
      <c r="S355" s="1">
        <v>43628.416412037041</v>
      </c>
      <c r="T355" s="1">
        <v>43628.416446759256</v>
      </c>
      <c r="U355" s="1">
        <v>43628.416446759256</v>
      </c>
      <c r="W355" s="1">
        <v>43628.416967592595</v>
      </c>
      <c r="X355" t="s">
        <v>1204</v>
      </c>
      <c r="AA355" t="s">
        <v>2391</v>
      </c>
      <c r="AB355" t="s">
        <v>2392</v>
      </c>
      <c r="AC355" t="s">
        <v>2393</v>
      </c>
      <c r="AD355" t="s">
        <v>2394</v>
      </c>
      <c r="AE355" t="s">
        <v>2395</v>
      </c>
      <c r="AF355" t="s">
        <v>2396</v>
      </c>
      <c r="BF355" t="s">
        <v>167</v>
      </c>
      <c r="BG355" t="s">
        <v>2397</v>
      </c>
      <c r="BH355" t="s">
        <v>2398</v>
      </c>
      <c r="BI355" t="str">
        <f>HYPERLINK("https://d33htgqikc2pj4.cloudfront.net/aa4e0427-2465-413e-a1df-a423d8b317e8.jpeg", "Андрей Денисов: Ссылка на изображение")</f>
        <v>Андрей Денисов: Ссылка на изображение</v>
      </c>
    </row>
    <row r="356" spans="1:69" ht="15" customHeight="1" x14ac:dyDescent="0.35">
      <c r="A356">
        <v>14</v>
      </c>
      <c r="B356" t="s">
        <v>2399</v>
      </c>
      <c r="C356">
        <v>2</v>
      </c>
      <c r="D356" t="str">
        <f>VLOOKUP(source[[#This Row],[Приоритет]],тПриоритеты[],2,0)</f>
        <v>Значительное</v>
      </c>
      <c r="E35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6" t="s">
        <v>2273</v>
      </c>
      <c r="G356" t="s">
        <v>157</v>
      </c>
      <c r="H356" t="str">
        <f>VLOOKUP(source[[#This Row],[Отвественный]],тОтветственные[],2,0)</f>
        <v>Отв13</v>
      </c>
      <c r="I356" s="2">
        <v>43553</v>
      </c>
      <c r="J356" s="2">
        <v>43553</v>
      </c>
      <c r="K356" t="s">
        <v>158</v>
      </c>
      <c r="L356">
        <v>4.38</v>
      </c>
      <c r="M356">
        <v>77.77</v>
      </c>
      <c r="N356" t="s">
        <v>195</v>
      </c>
      <c r="Q356" t="s">
        <v>124</v>
      </c>
      <c r="R356" t="str">
        <f t="shared" si="5"/>
        <v>Ссылка на план</v>
      </c>
      <c r="S356" s="1">
        <v>43553.423564814817</v>
      </c>
      <c r="T356" s="1">
        <v>43553.423622685186</v>
      </c>
      <c r="U356" s="1">
        <v>43553.423622685186</v>
      </c>
      <c r="W356" s="1">
        <v>43553.425763888888</v>
      </c>
      <c r="X356" t="s">
        <v>406</v>
      </c>
      <c r="AA356" t="s">
        <v>2400</v>
      </c>
      <c r="AB356" t="s">
        <v>2401</v>
      </c>
      <c r="AC356" t="s">
        <v>2402</v>
      </c>
      <c r="AD356" t="s">
        <v>2403</v>
      </c>
      <c r="BF356" t="s">
        <v>167</v>
      </c>
      <c r="BG356" t="s">
        <v>2404</v>
      </c>
      <c r="BH356" t="s">
        <v>2405</v>
      </c>
      <c r="BI356" t="s">
        <v>2406</v>
      </c>
      <c r="BJ356" t="s">
        <v>2407</v>
      </c>
      <c r="BK356" t="s">
        <v>2408</v>
      </c>
      <c r="BL356" t="str">
        <f>HYPERLINK("https://d33htgqikc2pj4.cloudfront.net/682a2739-2b98-473f-8d0b-3a7ce1facf15.jpeg", "Андрей Денисов: Ссылка на изображение")</f>
        <v>Андрей Денисов: Ссылка на изображение</v>
      </c>
      <c r="BM356" t="str">
        <f>HYPERLINK("https://d33htgqikc2pj4.cloudfront.net/1a8bfb01-23b1-4240-bd69-b994ec81d614.jpeg", "Андрей Денисов: Ссылка на изображение")</f>
        <v>Андрей Денисов: Ссылка на изображение</v>
      </c>
      <c r="BN356" t="str">
        <f>HYPERLINK("https://d33htgqikc2pj4.cloudfront.net/cb285d38-f311-41bb-94a2-1b8c365d29ac.jpeg", "Андрей Денисов: Ссылка на изображение")</f>
        <v>Андрей Денисов: Ссылка на изображение</v>
      </c>
    </row>
    <row r="357" spans="1:69" ht="15" customHeight="1" x14ac:dyDescent="0.35">
      <c r="A357">
        <v>22</v>
      </c>
      <c r="B357" t="s">
        <v>2409</v>
      </c>
      <c r="C357">
        <v>2</v>
      </c>
      <c r="D357" t="str">
        <f>VLOOKUP(source[[#This Row],[Приоритет]],тПриоритеты[],2,0)</f>
        <v>Значительное</v>
      </c>
      <c r="E35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7" t="s">
        <v>2273</v>
      </c>
      <c r="G357" t="s">
        <v>157</v>
      </c>
      <c r="H357" t="str">
        <f>VLOOKUP(source[[#This Row],[Отвественный]],тОтветственные[],2,0)</f>
        <v>Отв13</v>
      </c>
      <c r="I357" s="2">
        <v>43559</v>
      </c>
      <c r="J357" s="2">
        <v>43559</v>
      </c>
      <c r="K357" t="s">
        <v>158</v>
      </c>
      <c r="L357">
        <v>0</v>
      </c>
      <c r="M357">
        <v>0</v>
      </c>
      <c r="N357" t="s">
        <v>195</v>
      </c>
      <c r="Q357" t="s">
        <v>124</v>
      </c>
      <c r="R357" t="str">
        <f t="shared" si="5"/>
        <v>Ссылка на план</v>
      </c>
      <c r="S357" s="1">
        <v>43559.714398148149</v>
      </c>
      <c r="T357" s="1">
        <v>43559.714432870373</v>
      </c>
      <c r="U357" s="1">
        <v>43559.714432870373</v>
      </c>
      <c r="W357" s="1">
        <v>43559.715821759259</v>
      </c>
      <c r="X357" t="s">
        <v>2290</v>
      </c>
      <c r="AA357" t="s">
        <v>2410</v>
      </c>
      <c r="AB357" t="s">
        <v>2411</v>
      </c>
      <c r="AC357" t="s">
        <v>2412</v>
      </c>
      <c r="AD357" t="s">
        <v>2413</v>
      </c>
      <c r="AE357" t="s">
        <v>2414</v>
      </c>
      <c r="AF357" t="s">
        <v>2415</v>
      </c>
      <c r="AG357" t="s">
        <v>2416</v>
      </c>
      <c r="AH357" t="s">
        <v>2417</v>
      </c>
      <c r="AI357" t="s">
        <v>2418</v>
      </c>
      <c r="BF357" t="s">
        <v>167</v>
      </c>
      <c r="BG357" t="s">
        <v>2419</v>
      </c>
      <c r="BH357" t="s">
        <v>2313</v>
      </c>
      <c r="BI357" t="s">
        <v>2420</v>
      </c>
      <c r="BJ357" t="str">
        <f>HYPERLINK("https://d33htgqikc2pj4.cloudfront.net/9bc37151-c30b-497b-8ceb-99ee32160842.jpeg", "Андрей Денисов: Ссылка на изображение")</f>
        <v>Андрей Денисов: Ссылка на изображение</v>
      </c>
      <c r="BK357" t="str">
        <f>HYPERLINK("https://d33htgqikc2pj4.cloudfront.net/0fdcbaa6-4ab6-49ab-bd15-c7a75a301936.jpeg", "Андрей Денисов: Ссылка на изображение")</f>
        <v>Андрей Денисов: Ссылка на изображение</v>
      </c>
      <c r="BL357" t="str">
        <f>HYPERLINK("https://d33htgqikc2pj4.cloudfront.net/02acc567-807e-4af2-bdda-ef36fac62198.jpeg", "Андрей Денисов: Ссылка на изображение")</f>
        <v>Андрей Денисов: Ссылка на изображение</v>
      </c>
    </row>
    <row r="358" spans="1:69" ht="15" customHeight="1" x14ac:dyDescent="0.35">
      <c r="A358">
        <v>25</v>
      </c>
      <c r="B358" t="s">
        <v>1176</v>
      </c>
      <c r="C358">
        <v>2</v>
      </c>
      <c r="D358" t="str">
        <f>VLOOKUP(source[[#This Row],[Приоритет]],тПриоритеты[],2,0)</f>
        <v>Значительное</v>
      </c>
      <c r="E35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8" t="s">
        <v>2273</v>
      </c>
      <c r="G358" t="s">
        <v>157</v>
      </c>
      <c r="H358" t="str">
        <f>VLOOKUP(source[[#This Row],[Отвественный]],тОтветственные[],2,0)</f>
        <v>Отв13</v>
      </c>
      <c r="I358" s="2">
        <v>43563</v>
      </c>
      <c r="J358" s="2">
        <v>43563</v>
      </c>
      <c r="K358" t="s">
        <v>158</v>
      </c>
      <c r="L358">
        <v>0</v>
      </c>
      <c r="M358">
        <v>0</v>
      </c>
      <c r="N358" t="s">
        <v>159</v>
      </c>
      <c r="Q358" t="s">
        <v>124</v>
      </c>
      <c r="R358" t="str">
        <f t="shared" si="5"/>
        <v>Ссылка на план</v>
      </c>
      <c r="S358" s="1">
        <v>43563.595243055555</v>
      </c>
      <c r="T358" s="1">
        <v>43563.595324074071</v>
      </c>
      <c r="U358" s="1">
        <v>43563.595324074071</v>
      </c>
      <c r="W358" s="1">
        <v>43563.596921296295</v>
      </c>
      <c r="X358" t="s">
        <v>2421</v>
      </c>
      <c r="Z358" t="s">
        <v>1175</v>
      </c>
      <c r="AA358" t="s">
        <v>2422</v>
      </c>
      <c r="AB358" t="s">
        <v>2423</v>
      </c>
      <c r="AC358" t="s">
        <v>2424</v>
      </c>
      <c r="AD358" t="s">
        <v>2425</v>
      </c>
      <c r="AE358" t="s">
        <v>2426</v>
      </c>
      <c r="AF358" t="s">
        <v>2427</v>
      </c>
      <c r="AG358" t="s">
        <v>2428</v>
      </c>
      <c r="BF358" t="s">
        <v>167</v>
      </c>
      <c r="BG358" t="s">
        <v>2429</v>
      </c>
      <c r="BH358" t="s">
        <v>1177</v>
      </c>
      <c r="BI358" t="str">
        <f>HYPERLINK("https://d33htgqikc2pj4.cloudfront.net/b2d905b5-87ce-4ebe-9173-7c76b7d46e24.jpeg", "Андрей Денисов: Ссылка на изображение")</f>
        <v>Андрей Денисов: Ссылка на изображение</v>
      </c>
      <c r="BJ358" t="str">
        <f>HYPERLINK("https://d33htgqikc2pj4.cloudfront.net/99fb1074-235c-4ce3-b102-57ad9d683a25.jpeg", "Андрей Денисов: Ссылка на изображение")</f>
        <v>Андрей Денисов: Ссылка на изображение</v>
      </c>
      <c r="BK358" t="str">
        <f>HYPERLINK("https://d33htgqikc2pj4.cloudfront.net/f07073b1-a458-4428-ac18-6165bb179e59.jpeg", "Андрей Денисов: Ссылка на изображение")</f>
        <v>Андрей Денисов: Ссылка на изображение</v>
      </c>
      <c r="BL358" t="str">
        <f>HYPERLINK("https://d33htgqikc2pj4.cloudfront.net/1036d0cc-ed76-452a-ae90-c5829fd2650b.jpeg", "Андрей Денисов: Ссылка на изображение")</f>
        <v>Андрей Денисов: Ссылка на изображение</v>
      </c>
      <c r="BM358" t="str">
        <f>HYPERLINK("https://d33htgqikc2pj4.cloudfront.net/d278a81c-89a1-447d-bf84-df350b4467a6.jpeg", "Андрей Денисов: Ссылка на изображение")</f>
        <v>Андрей Денисов: Ссылка на изображение</v>
      </c>
    </row>
    <row r="359" spans="1:69" ht="15" customHeight="1" x14ac:dyDescent="0.35">
      <c r="A359">
        <v>73</v>
      </c>
      <c r="B359" t="s">
        <v>2430</v>
      </c>
      <c r="C359">
        <v>2</v>
      </c>
      <c r="D359" t="str">
        <f>VLOOKUP(source[[#This Row],[Приоритет]],тПриоритеты[],2,0)</f>
        <v>Значительное</v>
      </c>
      <c r="E35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59" t="s">
        <v>2273</v>
      </c>
      <c r="G359" t="s">
        <v>157</v>
      </c>
      <c r="H359" t="str">
        <f>VLOOKUP(source[[#This Row],[Отвественный]],тОтветственные[],2,0)</f>
        <v>Отв13</v>
      </c>
      <c r="I359" s="2">
        <v>43599</v>
      </c>
      <c r="J359" s="2">
        <v>43599</v>
      </c>
      <c r="K359" t="s">
        <v>158</v>
      </c>
      <c r="L359">
        <v>0</v>
      </c>
      <c r="M359">
        <v>0</v>
      </c>
      <c r="N359" t="s">
        <v>159</v>
      </c>
      <c r="Q359" t="s">
        <v>124</v>
      </c>
      <c r="R359" t="str">
        <f t="shared" si="5"/>
        <v>Ссылка на план</v>
      </c>
      <c r="S359" s="1">
        <v>43599.722766203704</v>
      </c>
      <c r="T359" s="1">
        <v>43599.722939814812</v>
      </c>
      <c r="U359" s="1">
        <v>43599.722939814812</v>
      </c>
      <c r="W359" s="1">
        <v>43599.730474537035</v>
      </c>
      <c r="X359" t="s">
        <v>2421</v>
      </c>
      <c r="AA359" t="s">
        <v>2431</v>
      </c>
      <c r="AB359" t="s">
        <v>2432</v>
      </c>
      <c r="AC359" t="s">
        <v>2433</v>
      </c>
      <c r="AD359" t="s">
        <v>2434</v>
      </c>
      <c r="AE359" t="s">
        <v>2435</v>
      </c>
      <c r="AF359" t="s">
        <v>2436</v>
      </c>
      <c r="AG359" t="s">
        <v>2437</v>
      </c>
      <c r="BF359" t="s">
        <v>167</v>
      </c>
      <c r="BG359" t="s">
        <v>2438</v>
      </c>
      <c r="BH359" t="s">
        <v>2313</v>
      </c>
      <c r="BI359" t="s">
        <v>2439</v>
      </c>
      <c r="BJ359" t="str">
        <f>HYPERLINK("https://d33htgqikc2pj4.cloudfront.net/1b31c35b-34d7-4e1b-a6cd-31443cf505f2.jpeg", "Андрей Денисов: Ссылка на изображение")</f>
        <v>Андрей Денисов: Ссылка на изображение</v>
      </c>
      <c r="BK359" t="str">
        <f>HYPERLINK("https://d33htgqikc2pj4.cloudfront.net/da78369c-77aa-4072-b138-6c673abf9fc7.jpeg", "Андрей Денисов: Ссылка на изображение")</f>
        <v>Андрей Денисов: Ссылка на изображение</v>
      </c>
      <c r="BL359" t="str">
        <f>HYPERLINK("https://d33htgqikc2pj4.cloudfront.net/69f77c34-9383-47f5-accd-746888aa3aef.jpeg", "Андрей Денисов: Ссылка на изображение")</f>
        <v>Андрей Денисов: Ссылка на изображение</v>
      </c>
      <c r="BM359" t="str">
        <f>HYPERLINK("https://d33htgqikc2pj4.cloudfront.net/726c2435-bb27-49bf-9128-4e842ae0ba94.jpeg", "Андрей Денисов: Ссылка на изображение")</f>
        <v>Андрей Денисов: Ссылка на изображение</v>
      </c>
      <c r="BN359" t="str">
        <f>HYPERLINK("https://d33htgqikc2pj4.cloudfront.net/a7ab5fda-9591-4c40-8691-6582a8c0df16.jpeg", "Андрей Денисов: Ссылка на изображение")</f>
        <v>Андрей Денисов: Ссылка на изображение</v>
      </c>
    </row>
    <row r="360" spans="1:69" ht="15" customHeight="1" x14ac:dyDescent="0.35">
      <c r="A360">
        <v>80</v>
      </c>
      <c r="B360" t="s">
        <v>2440</v>
      </c>
      <c r="C360">
        <v>2</v>
      </c>
      <c r="D360" t="str">
        <f>VLOOKUP(source[[#This Row],[Приоритет]],тПриоритеты[],2,0)</f>
        <v>Значительное</v>
      </c>
      <c r="E3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0" t="s">
        <v>2273</v>
      </c>
      <c r="G360" t="s">
        <v>157</v>
      </c>
      <c r="H360" t="str">
        <f>VLOOKUP(source[[#This Row],[Отвественный]],тОтветственные[],2,0)</f>
        <v>Отв13</v>
      </c>
      <c r="I360" s="2">
        <v>43600</v>
      </c>
      <c r="J360" s="2">
        <v>43600</v>
      </c>
      <c r="K360" t="s">
        <v>158</v>
      </c>
      <c r="L360">
        <v>0</v>
      </c>
      <c r="M360">
        <v>0</v>
      </c>
      <c r="N360" t="s">
        <v>213</v>
      </c>
      <c r="Q360" t="s">
        <v>124</v>
      </c>
      <c r="R360" t="str">
        <f t="shared" si="5"/>
        <v>Ссылка на план</v>
      </c>
      <c r="S360" s="1">
        <v>43600.702673611115</v>
      </c>
      <c r="T360" s="1">
        <v>43600.702719907407</v>
      </c>
      <c r="U360" s="1">
        <v>43600.702719907407</v>
      </c>
      <c r="W360" s="1">
        <v>43600.703900462962</v>
      </c>
      <c r="X360" t="s">
        <v>1204</v>
      </c>
      <c r="AA360" t="s">
        <v>2441</v>
      </c>
      <c r="AB360" t="s">
        <v>2442</v>
      </c>
      <c r="AC360" t="s">
        <v>2443</v>
      </c>
      <c r="AD360" t="s">
        <v>2444</v>
      </c>
      <c r="AE360" t="s">
        <v>2445</v>
      </c>
      <c r="AF360" t="s">
        <v>2446</v>
      </c>
      <c r="BF360" t="s">
        <v>167</v>
      </c>
      <c r="BG360" t="s">
        <v>2447</v>
      </c>
      <c r="BH360" t="s">
        <v>2448</v>
      </c>
      <c r="BI360" t="str">
        <f>HYPERLINK("https://d33htgqikc2pj4.cloudfront.net/24c21fc1-79b6-43cf-bb23-920967c70579.jpeg", "Андрей Денисов: Ссылка на изображение")</f>
        <v>Андрей Денисов: Ссылка на изображение</v>
      </c>
      <c r="BJ360" t="str">
        <f>HYPERLINK("https://d33htgqikc2pj4.cloudfront.net/c2a4eea9-5aff-4070-baed-587168a3619c.jpeg", "Андрей Денисов: Ссылка на изображение")</f>
        <v>Андрей Денисов: Ссылка на изображение</v>
      </c>
      <c r="BK360" t="str">
        <f>HYPERLINK("https://d33htgqikc2pj4.cloudfront.net/fea4773e-7183-447e-a65d-d716aa06c5e5.jpeg", "Андрей Денисов: Ссылка на изображение")</f>
        <v>Андрей Денисов: Ссылка на изображение</v>
      </c>
    </row>
    <row r="361" spans="1:69" ht="15" customHeight="1" x14ac:dyDescent="0.35">
      <c r="A361">
        <v>33</v>
      </c>
      <c r="B361" t="s">
        <v>2449</v>
      </c>
      <c r="C361">
        <v>2</v>
      </c>
      <c r="D361" t="str">
        <f>VLOOKUP(source[[#This Row],[Приоритет]],тПриоритеты[],2,0)</f>
        <v>Значительное</v>
      </c>
      <c r="E3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1" t="s">
        <v>2273</v>
      </c>
      <c r="G361" t="s">
        <v>157</v>
      </c>
      <c r="H361" t="str">
        <f>VLOOKUP(source[[#This Row],[Отвественный]],тОтветственные[],2,0)</f>
        <v>Отв13</v>
      </c>
      <c r="I361" s="2">
        <v>43566</v>
      </c>
      <c r="J361" s="2">
        <v>43566</v>
      </c>
      <c r="K361" t="s">
        <v>158</v>
      </c>
      <c r="L361">
        <v>0</v>
      </c>
      <c r="M361">
        <v>0</v>
      </c>
      <c r="N361" t="s">
        <v>159</v>
      </c>
      <c r="Q361" t="s">
        <v>124</v>
      </c>
      <c r="R361" t="str">
        <f t="shared" si="5"/>
        <v>Ссылка на план</v>
      </c>
      <c r="S361" s="1">
        <v>43566.617627314816</v>
      </c>
      <c r="T361" s="1">
        <v>43566.617685185185</v>
      </c>
      <c r="U361" s="1">
        <v>43566.617685185185</v>
      </c>
      <c r="W361" s="1">
        <v>43566.620254629626</v>
      </c>
      <c r="X361" t="s">
        <v>2421</v>
      </c>
      <c r="AA361" t="s">
        <v>2450</v>
      </c>
      <c r="AB361" t="s">
        <v>2451</v>
      </c>
      <c r="AC361" t="s">
        <v>2452</v>
      </c>
      <c r="AD361" t="s">
        <v>2453</v>
      </c>
      <c r="AE361" t="s">
        <v>2454</v>
      </c>
      <c r="AF361" t="s">
        <v>2455</v>
      </c>
      <c r="AG361" t="s">
        <v>2456</v>
      </c>
      <c r="BF361" t="s">
        <v>167</v>
      </c>
      <c r="BG361" t="s">
        <v>2457</v>
      </c>
      <c r="BH361" t="s">
        <v>2313</v>
      </c>
      <c r="BI361" t="s">
        <v>2458</v>
      </c>
      <c r="BJ361" t="str">
        <f>HYPERLINK("https://d33htgqikc2pj4.cloudfront.net/15abe6d9-b049-4b06-bc4d-55f2b4fd2c51.jpeg", "Андрей Денисов: Ссылка на изображение")</f>
        <v>Андрей Денисов: Ссылка на изображение</v>
      </c>
      <c r="BK361" t="str">
        <f>HYPERLINK("https://d33htgqikc2pj4.cloudfront.net/282c8235-e976-47c1-8662-cb8586cb0125.jpeg", "Андрей Денисов: Ссылка на изображение")</f>
        <v>Андрей Денисов: Ссылка на изображение</v>
      </c>
      <c r="BL361" t="str">
        <f>HYPERLINK("https://d33htgqikc2pj4.cloudfront.net/a0b46298-4e9c-4ead-b369-4b5b0e5b04f4.jpeg", "Андрей Денисов: Ссылка на изображение")</f>
        <v>Андрей Денисов: Ссылка на изображение</v>
      </c>
      <c r="BM361" t="str">
        <f>HYPERLINK("https://d33htgqikc2pj4.cloudfront.net/4eb8f3a5-99ba-4146-a51b-adeada069dad.jpeg", "Андрей Денисов: Ссылка на изображение")</f>
        <v>Андрей Денисов: Ссылка на изображение</v>
      </c>
      <c r="BN361" t="str">
        <f>HYPERLINK("https://d33htgqikc2pj4.cloudfront.net/e0ea9208-deb3-427e-940d-32b798315c23.jpeg", "Андрей Денисов: Ссылка на изображение")</f>
        <v>Андрей Денисов: Ссылка на изображение</v>
      </c>
      <c r="BO361" t="str">
        <f>HYPERLINK("https://d33htgqikc2pj4.cloudfront.net/6fe26178-78ba-400a-be92-038e0528cd2c.jpeg", "Андрей Денисов: Ссылка на изображение")</f>
        <v>Андрей Денисов: Ссылка на изображение</v>
      </c>
      <c r="BP361" t="str">
        <f>HYPERLINK("https://d33htgqikc2pj4.cloudfront.net/32259225-feaf-4402-a392-d92df6f16ecb.jpeg", "Андрей Денисов: Ссылка на изображение")</f>
        <v>Андрей Денисов: Ссылка на изображение</v>
      </c>
    </row>
    <row r="362" spans="1:69" ht="15" customHeight="1" x14ac:dyDescent="0.35">
      <c r="A362">
        <v>36</v>
      </c>
      <c r="B362" t="s">
        <v>2459</v>
      </c>
      <c r="C362">
        <v>2</v>
      </c>
      <c r="D362" t="str">
        <f>VLOOKUP(source[[#This Row],[Приоритет]],тПриоритеты[],2,0)</f>
        <v>Значительное</v>
      </c>
      <c r="E3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2" t="s">
        <v>2273</v>
      </c>
      <c r="G362" t="s">
        <v>157</v>
      </c>
      <c r="H362" t="str">
        <f>VLOOKUP(source[[#This Row],[Отвественный]],тОтветственные[],2,0)</f>
        <v>Отв13</v>
      </c>
      <c r="I362" s="2">
        <v>43568</v>
      </c>
      <c r="J362" s="2">
        <v>43568</v>
      </c>
      <c r="K362" t="s">
        <v>158</v>
      </c>
      <c r="L362">
        <v>0</v>
      </c>
      <c r="M362">
        <v>0</v>
      </c>
      <c r="N362" t="s">
        <v>159</v>
      </c>
      <c r="Q362" t="s">
        <v>124</v>
      </c>
      <c r="R362" t="str">
        <f t="shared" si="5"/>
        <v>Ссылка на план</v>
      </c>
      <c r="S362" s="1">
        <v>43568.405497685184</v>
      </c>
      <c r="T362" s="1">
        <v>43568.405787037038</v>
      </c>
      <c r="U362" s="1">
        <v>43568.405787037038</v>
      </c>
      <c r="W362" s="1">
        <v>43568.406319444446</v>
      </c>
      <c r="X362" t="s">
        <v>2421</v>
      </c>
      <c r="AA362" t="s">
        <v>2460</v>
      </c>
      <c r="AB362" t="s">
        <v>2461</v>
      </c>
      <c r="AC362" t="s">
        <v>2462</v>
      </c>
      <c r="AD362" t="s">
        <v>2463</v>
      </c>
      <c r="AE362" t="s">
        <v>2464</v>
      </c>
      <c r="AF362" t="s">
        <v>2465</v>
      </c>
      <c r="AG362" t="s">
        <v>2466</v>
      </c>
      <c r="BF362" t="s">
        <v>167</v>
      </c>
      <c r="BG362" t="s">
        <v>2457</v>
      </c>
      <c r="BH362" t="s">
        <v>2467</v>
      </c>
      <c r="BI362" t="s">
        <v>2468</v>
      </c>
      <c r="BJ362" t="str">
        <f>HYPERLINK("https://d33htgqikc2pj4.cloudfront.net/146efc0a-1fe4-42d6-b3a1-38469666459c.jpeg", "Андрей Денисов: Ссылка на изображение")</f>
        <v>Андрей Денисов: Ссылка на изображение</v>
      </c>
    </row>
    <row r="363" spans="1:69" ht="15" customHeight="1" x14ac:dyDescent="0.35">
      <c r="A363">
        <v>708</v>
      </c>
      <c r="B363" t="s">
        <v>2469</v>
      </c>
      <c r="C363">
        <v>2</v>
      </c>
      <c r="D363" t="str">
        <f>VLOOKUP(source[[#This Row],[Приоритет]],тПриоритеты[],2,0)</f>
        <v>Значительное</v>
      </c>
      <c r="E3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3" t="s">
        <v>2273</v>
      </c>
      <c r="G363" t="s">
        <v>157</v>
      </c>
      <c r="H363" t="str">
        <f>VLOOKUP(source[[#This Row],[Отвественный]],тОтветственные[],2,0)</f>
        <v>Отв13</v>
      </c>
      <c r="I363" s="2">
        <v>43778</v>
      </c>
      <c r="J363" s="2">
        <v>43778</v>
      </c>
      <c r="K363" t="s">
        <v>955</v>
      </c>
      <c r="L363">
        <v>49.98</v>
      </c>
      <c r="M363">
        <v>46.64</v>
      </c>
      <c r="N363" t="s">
        <v>2470</v>
      </c>
      <c r="R363" t="str">
        <f>HYPERLINK("https://d28ji4sm1vmprj.cloudfront.net/7b317170271f5a7204d7ab299c9b70f6/7d105e941831ee74b817bf0b9136a752.jpeg", "Ссылка на план")</f>
        <v>Ссылка на план</v>
      </c>
      <c r="S363" s="1">
        <v>43790.628530092596</v>
      </c>
      <c r="T363" s="1">
        <v>43790.628599537034</v>
      </c>
      <c r="U363" s="1">
        <v>43790.628599537034</v>
      </c>
      <c r="W363" s="1">
        <v>43790.630694444444</v>
      </c>
      <c r="X363" t="s">
        <v>2471</v>
      </c>
      <c r="AA363" t="s">
        <v>2472</v>
      </c>
      <c r="AB363" t="s">
        <v>2473</v>
      </c>
      <c r="AC363" t="s">
        <v>2474</v>
      </c>
      <c r="AD363" t="s">
        <v>2475</v>
      </c>
      <c r="AE363" t="s">
        <v>2476</v>
      </c>
      <c r="AF363" t="s">
        <v>2477</v>
      </c>
      <c r="AG363" t="s">
        <v>2478</v>
      </c>
      <c r="AH363" t="s">
        <v>2479</v>
      </c>
      <c r="AI363" t="s">
        <v>2480</v>
      </c>
      <c r="AJ363" t="s">
        <v>2481</v>
      </c>
      <c r="AK363" t="s">
        <v>2482</v>
      </c>
      <c r="AL363" t="s">
        <v>2483</v>
      </c>
      <c r="AM363" t="s">
        <v>2484</v>
      </c>
      <c r="AN363" t="s">
        <v>2485</v>
      </c>
      <c r="AO363" t="s">
        <v>2486</v>
      </c>
      <c r="AP363" t="s">
        <v>2487</v>
      </c>
      <c r="AQ363" t="s">
        <v>2488</v>
      </c>
      <c r="BF363" t="s">
        <v>167</v>
      </c>
      <c r="BG363" t="s">
        <v>2489</v>
      </c>
      <c r="BH363" t="s">
        <v>2490</v>
      </c>
      <c r="BI363" t="s">
        <v>310</v>
      </c>
      <c r="BJ363" t="s">
        <v>2313</v>
      </c>
      <c r="BK363" t="s">
        <v>2491</v>
      </c>
      <c r="BL363" t="str">
        <f>HYPERLINK("https://d33htgqikc2pj4.cloudfront.net/956e95a6-e317-4436-9d2d-d1efefb45f90.jpeg", "Андрей Денисов: Ссылка на изображение")</f>
        <v>Андрей Денисов: Ссылка на изображение</v>
      </c>
      <c r="BM363" t="str">
        <f>HYPERLINK("https://d33htgqikc2pj4.cloudfront.net/86b2304f-36cf-4b2f-8b42-c5940d301a20.jpeg", "Андрей Денисов: Ссылка на изображение")</f>
        <v>Андрей Денисов: Ссылка на изображение</v>
      </c>
    </row>
    <row r="364" spans="1:69" ht="15" customHeight="1" x14ac:dyDescent="0.35">
      <c r="A364">
        <v>709</v>
      </c>
      <c r="B364" t="s">
        <v>2492</v>
      </c>
      <c r="C364">
        <v>2</v>
      </c>
      <c r="D364" t="str">
        <f>VLOOKUP(source[[#This Row],[Приоритет]],тПриоритеты[],2,0)</f>
        <v>Значительное</v>
      </c>
      <c r="E3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4" t="s">
        <v>2273</v>
      </c>
      <c r="G364" t="s">
        <v>157</v>
      </c>
      <c r="H364" t="str">
        <f>VLOOKUP(source[[#This Row],[Отвественный]],тОтветственные[],2,0)</f>
        <v>Отв13</v>
      </c>
      <c r="I364" s="2">
        <v>43778</v>
      </c>
      <c r="J364" s="2">
        <v>43778</v>
      </c>
      <c r="K364" t="s">
        <v>955</v>
      </c>
      <c r="L364">
        <v>52</v>
      </c>
      <c r="M364">
        <v>46.76</v>
      </c>
      <c r="N364" t="s">
        <v>2470</v>
      </c>
      <c r="R364" t="str">
        <f>HYPERLINK("https://d28ji4sm1vmprj.cloudfront.net/7b317170271f5a7204d7ab299c9b70f6/7d105e941831ee74b817bf0b9136a752.jpeg", "Ссылка на план")</f>
        <v>Ссылка на план</v>
      </c>
      <c r="S364" s="1">
        <v>43790.633703703701</v>
      </c>
      <c r="T364" s="1">
        <v>43790.63380787037</v>
      </c>
      <c r="U364" s="1">
        <v>43790.63380787037</v>
      </c>
      <c r="W364" s="1">
        <v>43790.634143518517</v>
      </c>
      <c r="X364" t="s">
        <v>2493</v>
      </c>
      <c r="AA364" t="s">
        <v>2494</v>
      </c>
      <c r="AB364" t="s">
        <v>2495</v>
      </c>
      <c r="AC364" t="s">
        <v>2496</v>
      </c>
      <c r="AD364" t="s">
        <v>2497</v>
      </c>
      <c r="AE364" t="s">
        <v>2498</v>
      </c>
      <c r="AF364" t="s">
        <v>2499</v>
      </c>
      <c r="AG364" t="s">
        <v>2484</v>
      </c>
      <c r="AH364" t="s">
        <v>2485</v>
      </c>
      <c r="AI364" t="s">
        <v>2487</v>
      </c>
      <c r="AJ364" t="s">
        <v>2500</v>
      </c>
      <c r="BF364" t="s">
        <v>167</v>
      </c>
      <c r="BG364" t="s">
        <v>2501</v>
      </c>
      <c r="BH364" t="s">
        <v>2313</v>
      </c>
      <c r="BI364" t="s">
        <v>2491</v>
      </c>
      <c r="BJ364" t="str">
        <f>HYPERLINK("https://d33htgqikc2pj4.cloudfront.net/5af4e278-f8bf-42e9-b4a2-4f21c242b2fb.jpeg", "Андрей Денисов: Ссылка на изображение")</f>
        <v>Андрей Денисов: Ссылка на изображение</v>
      </c>
      <c r="BK364" t="str">
        <f>HYPERLINK("https://d33htgqikc2pj4.cloudfront.net/a8683368-8eaf-4180-83ea-76579e49eebb.jpeg", "Андрей Денисов: Ссылка на изображение")</f>
        <v>Андрей Денисов: Ссылка на изображение</v>
      </c>
      <c r="BL364" t="str">
        <f>HYPERLINK("https://d33htgqikc2pj4.cloudfront.net/5f102999-6d84-4060-9db6-f0b39162d1dc.jpeg", "Андрей Денисов: Ссылка на изображение")</f>
        <v>Андрей Денисов: Ссылка на изображение</v>
      </c>
      <c r="BM364" t="str">
        <f>HYPERLINK("https://d33htgqikc2pj4.cloudfront.net/00a89fda-be88-406a-a831-d11be5cfd423.jpeg", "Андрей Денисов: Ссылка на изображение")</f>
        <v>Андрей Денисов: Ссылка на изображение</v>
      </c>
    </row>
    <row r="365" spans="1:69" ht="15" customHeight="1" x14ac:dyDescent="0.35">
      <c r="A365">
        <v>88</v>
      </c>
      <c r="B365" t="s">
        <v>1205</v>
      </c>
      <c r="C365">
        <v>2</v>
      </c>
      <c r="D365" t="str">
        <f>VLOOKUP(source[[#This Row],[Приоритет]],тПриоритеты[],2,0)</f>
        <v>Значительное</v>
      </c>
      <c r="E3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5" t="s">
        <v>2273</v>
      </c>
      <c r="G365" t="s">
        <v>157</v>
      </c>
      <c r="H365" t="str">
        <f>VLOOKUP(source[[#This Row],[Отвественный]],тОтветственные[],2,0)</f>
        <v>Отв13</v>
      </c>
      <c r="I365" s="2">
        <v>43602</v>
      </c>
      <c r="J365" s="2">
        <v>43602</v>
      </c>
      <c r="K365" t="s">
        <v>158</v>
      </c>
      <c r="L365">
        <v>0</v>
      </c>
      <c r="M365">
        <v>0</v>
      </c>
      <c r="N365" t="s">
        <v>213</v>
      </c>
      <c r="Q365" t="s">
        <v>124</v>
      </c>
      <c r="R365" t="str">
        <f>HYPERLINK("https://d28ji4sm1vmprj.cloudfront.net/09622a2bb466dfd1cdfb85ce6a712a4c/080b534903fe5ecae6d56f3611cbeb01.jpeg", "Ссылка на план")</f>
        <v>Ссылка на план</v>
      </c>
      <c r="S365" s="1">
        <v>43602.671087962961</v>
      </c>
      <c r="T365" s="1">
        <v>43602.671134259261</v>
      </c>
      <c r="U365" s="1">
        <v>43602.671134259261</v>
      </c>
      <c r="W365" s="1">
        <v>43602.671319444446</v>
      </c>
      <c r="X365" t="s">
        <v>1204</v>
      </c>
      <c r="Z365" t="s">
        <v>1203</v>
      </c>
      <c r="AA365" t="s">
        <v>1206</v>
      </c>
      <c r="AB365" t="s">
        <v>1207</v>
      </c>
      <c r="AC365" t="s">
        <v>1208</v>
      </c>
      <c r="AD365" t="s">
        <v>1209</v>
      </c>
      <c r="AE365" t="s">
        <v>1210</v>
      </c>
      <c r="AF365" t="s">
        <v>1211</v>
      </c>
      <c r="BF365" t="s">
        <v>167</v>
      </c>
      <c r="BG365" t="s">
        <v>2313</v>
      </c>
      <c r="BH365" t="s">
        <v>1198</v>
      </c>
      <c r="BI365" t="str">
        <f>HYPERLINK("https://d33htgqikc2pj4.cloudfront.net/1dec0e80-d281-4d0b-b364-608528ff7edf.jpeg", "Андрей Денисов: Ссылка на изображение")</f>
        <v>Андрей Денисов: Ссылка на изображение</v>
      </c>
      <c r="BJ365" t="str">
        <f>HYPERLINK("https://d33htgqikc2pj4.cloudfront.net/aab1b9a5-7fa4-4037-a96a-019f58116339.jpeg", "Андрей Денисов: Ссылка на изображение")</f>
        <v>Андрей Денисов: Ссылка на изображение</v>
      </c>
      <c r="BK365" t="str">
        <f>HYPERLINK("https://d33htgqikc2pj4.cloudfront.net/038fe888-5293-4b8e-9332-5176e631ddd9.jpeg", "Андрей Денисов: Ссылка на изображение")</f>
        <v>Андрей Денисов: Ссылка на изображение</v>
      </c>
    </row>
    <row r="366" spans="1:69" ht="15" customHeight="1" x14ac:dyDescent="0.35">
      <c r="A366">
        <v>85</v>
      </c>
      <c r="B366" t="s">
        <v>1196</v>
      </c>
      <c r="C366">
        <v>2</v>
      </c>
      <c r="D366" t="str">
        <f>VLOOKUP(source[[#This Row],[Приоритет]],тПриоритеты[],2,0)</f>
        <v>Значительное</v>
      </c>
      <c r="E3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6" t="s">
        <v>2273</v>
      </c>
      <c r="G366" t="s">
        <v>157</v>
      </c>
      <c r="H366" t="str">
        <f>VLOOKUP(source[[#This Row],[Отвественный]],тОтветственные[],2,0)</f>
        <v>Отв13</v>
      </c>
      <c r="I366" s="2">
        <v>43602</v>
      </c>
      <c r="J366" s="2">
        <v>43602</v>
      </c>
      <c r="K366" t="s">
        <v>158</v>
      </c>
      <c r="L366">
        <v>0</v>
      </c>
      <c r="M366">
        <v>0</v>
      </c>
      <c r="N366" t="s">
        <v>159</v>
      </c>
      <c r="Q366" t="s">
        <v>124</v>
      </c>
      <c r="R366" t="str">
        <f>HYPERLINK("https://d28ji4sm1vmprj.cloudfront.net/09622a2bb466dfd1cdfb85ce6a712a4c/080b534903fe5ecae6d56f3611cbeb01.jpeg", "Ссылка на план")</f>
        <v>Ссылка на план</v>
      </c>
      <c r="S366" s="1">
        <v>43602.659363425926</v>
      </c>
      <c r="T366" s="1">
        <v>43602.659421296295</v>
      </c>
      <c r="U366" s="1">
        <v>43602.659421296295</v>
      </c>
      <c r="W366" s="1">
        <v>43602.672314814816</v>
      </c>
      <c r="X366" t="s">
        <v>2421</v>
      </c>
      <c r="Z366" t="s">
        <v>1195</v>
      </c>
      <c r="AA366" t="s">
        <v>2502</v>
      </c>
      <c r="AB366" t="s">
        <v>2503</v>
      </c>
      <c r="AC366" t="s">
        <v>2504</v>
      </c>
      <c r="AD366" t="s">
        <v>2505</v>
      </c>
      <c r="AE366" t="s">
        <v>2506</v>
      </c>
      <c r="AF366" t="s">
        <v>2507</v>
      </c>
      <c r="AG366" t="s">
        <v>2508</v>
      </c>
      <c r="BF366" t="s">
        <v>167</v>
      </c>
      <c r="BG366" t="s">
        <v>1198</v>
      </c>
      <c r="BH366" t="str">
        <f>HYPERLINK("https://d33htgqikc2pj4.cloudfront.net/1d98aab4-ce6a-4add-a54e-2fc6eefb4363.jpeg", "Андрей Денисов: Ссылка на изображение")</f>
        <v>Андрей Денисов: Ссылка на изображение</v>
      </c>
      <c r="BI366" t="str">
        <f>HYPERLINK("https://d33htgqikc2pj4.cloudfront.net/809147da-d27f-47cf-a242-ab7d6e735323.jpeg", "Андрей Денисов: Ссылка на изображение")</f>
        <v>Андрей Денисов: Ссылка на изображение</v>
      </c>
      <c r="BJ366" t="str">
        <f>HYPERLINK("https://d33htgqikc2pj4.cloudfront.net/d0922529-5bd5-498f-8f4c-25fc9a129e67.jpeg", "Андрей Денисов: Ссылка на изображение")</f>
        <v>Андрей Денисов: Ссылка на изображение</v>
      </c>
      <c r="BK366" t="str">
        <f>HYPERLINK("https://d33htgqikc2pj4.cloudfront.net/1358c292-baa5-40d6-99e4-629ed844fcee.jpeg", "Андрей Денисов: Ссылка на изображение")</f>
        <v>Андрей Денисов: Ссылка на изображение</v>
      </c>
      <c r="BL366" t="str">
        <f>HYPERLINK("https://d33htgqikc2pj4.cloudfront.net/73f582ab-7942-4ded-8241-4df226322f58.jpeg", "Андрей Денисов: Ссылка на изображение")</f>
        <v>Андрей Денисов: Ссылка на изображение</v>
      </c>
      <c r="BM366" t="str">
        <f>HYPERLINK("https://d33htgqikc2pj4.cloudfront.net/1670b999-8f6c-474e-8afb-f4190cb11ff7.jpeg", "Андрей Денисов: Ссылка на изображение")</f>
        <v>Андрей Денисов: Ссылка на изображение</v>
      </c>
      <c r="BN366" t="str">
        <f>HYPERLINK("https://d33htgqikc2pj4.cloudfront.net/b8968e2f-e826-4242-9767-de1dde68adfc.jpeg", "Андрей Денисов: Ссылка на изображение")</f>
        <v>Андрей Денисов: Ссылка на изображение</v>
      </c>
      <c r="BO366" t="str">
        <f>HYPERLINK("https://d33htgqikc2pj4.cloudfront.net/a14463f5-543b-4644-b282-c31252a6007d.jpeg", "Андрей Денисов: Ссылка на изображение")</f>
        <v>Андрей Денисов: Ссылка на изображение</v>
      </c>
      <c r="BP366" t="str">
        <f>HYPERLINK("https://d33htgqikc2pj4.cloudfront.net/a8da0cf6-546b-4a9f-9cfd-ebd6d8d89cd1.jpeg", "Андрей Денисов: Ссылка на изображение")</f>
        <v>Андрей Денисов: Ссылка на изображение</v>
      </c>
      <c r="BQ366" t="s">
        <v>2313</v>
      </c>
    </row>
    <row r="367" spans="1:69" ht="15" customHeight="1" x14ac:dyDescent="0.35">
      <c r="A367">
        <v>706</v>
      </c>
      <c r="B367" t="s">
        <v>2509</v>
      </c>
      <c r="C367">
        <v>2</v>
      </c>
      <c r="D367" t="str">
        <f>VLOOKUP(source[[#This Row],[Приоритет]],тПриоритеты[],2,0)</f>
        <v>Значительное</v>
      </c>
      <c r="E3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7" t="s">
        <v>2273</v>
      </c>
      <c r="G367" t="s">
        <v>157</v>
      </c>
      <c r="H367" t="str">
        <f>VLOOKUP(source[[#This Row],[Отвественный]],тОтветственные[],2,0)</f>
        <v>Отв13</v>
      </c>
      <c r="I367" s="2">
        <v>43790</v>
      </c>
      <c r="J367" s="2">
        <v>43790</v>
      </c>
      <c r="K367" t="s">
        <v>323</v>
      </c>
      <c r="L367">
        <v>19.75</v>
      </c>
      <c r="M367">
        <v>60.88</v>
      </c>
      <c r="N367" t="s">
        <v>324</v>
      </c>
      <c r="Q367" t="s">
        <v>106</v>
      </c>
      <c r="R367" t="str">
        <f>HYPERLINK("https://d28ji4sm1vmprj.cloudfront.net/b9f0a3730bff318b29d61a045df19870/45ac0b590edfdc108d4a2e6d8918b5e0.jpeg", "Ссылка на план")</f>
        <v>Ссылка на план</v>
      </c>
      <c r="S367" s="1">
        <v>43790.623460648145</v>
      </c>
      <c r="T367" s="1">
        <v>43790.623472222222</v>
      </c>
      <c r="U367" s="1">
        <v>43790.623472222222</v>
      </c>
      <c r="W367" s="1">
        <v>43790.624201388891</v>
      </c>
      <c r="X367" t="s">
        <v>2510</v>
      </c>
      <c r="AA367" t="s">
        <v>2511</v>
      </c>
      <c r="AB367" t="s">
        <v>2512</v>
      </c>
      <c r="AC367" t="s">
        <v>2513</v>
      </c>
      <c r="AD367" t="s">
        <v>2514</v>
      </c>
      <c r="AE367" t="s">
        <v>2515</v>
      </c>
      <c r="AF367" t="s">
        <v>2516</v>
      </c>
      <c r="AG367" t="s">
        <v>2517</v>
      </c>
      <c r="AH367" t="s">
        <v>2518</v>
      </c>
      <c r="AI367" t="s">
        <v>2519</v>
      </c>
      <c r="BF367" t="s">
        <v>167</v>
      </c>
      <c r="BG367" t="s">
        <v>2520</v>
      </c>
      <c r="BH367" t="s">
        <v>2313</v>
      </c>
      <c r="BI367" t="s">
        <v>2521</v>
      </c>
      <c r="BJ367" t="s">
        <v>2522</v>
      </c>
      <c r="BK367" t="str">
        <f>HYPERLINK("https://d33htgqikc2pj4.cloudfront.net/5fcdd3db-6371-4ed4-ad39-14815c93aa3a.jpeg", "Андрей Денисов: Ссылка на изображение")</f>
        <v>Андрей Денисов: Ссылка на изображение</v>
      </c>
      <c r="BL367" t="str">
        <f>HYPERLINK("https://d33htgqikc2pj4.cloudfront.net/ddd2c0a5-9741-4bac-ba40-dd29de573489.jpeg", "Андрей Денисов: Ссылка на изображение")</f>
        <v>Андрей Денисов: Ссылка на изображение</v>
      </c>
      <c r="BM367" t="str">
        <f>HYPERLINK("https://d33htgqikc2pj4.cloudfront.net/bfa3f6b2-672b-4c65-b91e-5790518034cb.jpeg", "Андрей Денисов: Ссылка на изображение")</f>
        <v>Андрей Денисов: Ссылка на изображение</v>
      </c>
      <c r="BN367" t="str">
        <f>HYPERLINK("https://d33htgqikc2pj4.cloudfront.net/cc853054-f139-495e-b05a-fd468116a932.jpeg", "Андрей Денисов: Ссылка на изображение")</f>
        <v>Андрей Денисов: Ссылка на изображение</v>
      </c>
      <c r="BO367" t="str">
        <f>HYPERLINK("https://d33htgqikc2pj4.cloudfront.net/2debf1ee-fdfc-4fcd-a6d1-023bade5c82f.jpeg", "Андрей Денисов: Ссылка на изображение")</f>
        <v>Андрей Денисов: Ссылка на изображение</v>
      </c>
    </row>
    <row r="368" spans="1:69" ht="15" customHeight="1" x14ac:dyDescent="0.35">
      <c r="A368">
        <v>37</v>
      </c>
      <c r="B368" t="s">
        <v>2523</v>
      </c>
      <c r="C368">
        <v>2</v>
      </c>
      <c r="D368" t="str">
        <f>VLOOKUP(source[[#This Row],[Приоритет]],тПриоритеты[],2,0)</f>
        <v>Значительное</v>
      </c>
      <c r="E3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8" t="s">
        <v>2273</v>
      </c>
      <c r="G368" t="s">
        <v>157</v>
      </c>
      <c r="H368" t="str">
        <f>VLOOKUP(source[[#This Row],[Отвественный]],тОтветственные[],2,0)</f>
        <v>Отв13</v>
      </c>
      <c r="I368" s="2">
        <v>43571</v>
      </c>
      <c r="J368" s="2">
        <v>43571</v>
      </c>
      <c r="K368" t="s">
        <v>158</v>
      </c>
      <c r="L368">
        <v>0</v>
      </c>
      <c r="M368">
        <v>0</v>
      </c>
      <c r="N368" t="s">
        <v>159</v>
      </c>
      <c r="Q368" t="s">
        <v>124</v>
      </c>
      <c r="R368" t="str">
        <f>HYPERLINK("https://d28ji4sm1vmprj.cloudfront.net/09622a2bb466dfd1cdfb85ce6a712a4c/080b534903fe5ecae6d56f3611cbeb01.jpeg", "Ссылка на план")</f>
        <v>Ссылка на план</v>
      </c>
      <c r="S368" s="1">
        <v>43571.440115740741</v>
      </c>
      <c r="T368" s="1">
        <v>43571.440266203703</v>
      </c>
      <c r="U368" s="1">
        <v>43571.440266203703</v>
      </c>
      <c r="W368" s="1">
        <v>43571.441122685188</v>
      </c>
      <c r="X368" t="s">
        <v>2421</v>
      </c>
      <c r="AA368" t="s">
        <v>2524</v>
      </c>
      <c r="AB368" t="s">
        <v>2525</v>
      </c>
      <c r="AC368" t="s">
        <v>2526</v>
      </c>
      <c r="AD368" t="s">
        <v>2527</v>
      </c>
      <c r="AE368" t="s">
        <v>2528</v>
      </c>
      <c r="AF368" t="s">
        <v>2529</v>
      </c>
      <c r="AG368" t="s">
        <v>2530</v>
      </c>
      <c r="BF368" t="s">
        <v>167</v>
      </c>
      <c r="BG368" t="s">
        <v>2531</v>
      </c>
      <c r="BH368" t="s">
        <v>2532</v>
      </c>
      <c r="BI368" t="str">
        <f>HYPERLINK("https://d33htgqikc2pj4.cloudfront.net/9d26e9a7-0a64-4f27-b8ba-eacc8ce8d75d.jpeg", "Андрей Денисов: Ссылка на изображение")</f>
        <v>Андрей Денисов: Ссылка на изображение</v>
      </c>
      <c r="BJ368" t="str">
        <f>HYPERLINK("https://d33htgqikc2pj4.cloudfront.net/4fa632b6-4cbf-4806-b580-f8df417b1d31.jpeg", "Андрей Денисов: Ссылка на изображение")</f>
        <v>Андрей Денисов: Ссылка на изображение</v>
      </c>
      <c r="BK368" t="str">
        <f>HYPERLINK("https://d33htgqikc2pj4.cloudfront.net/2099e53a-3879-4dd6-a763-052cf838d183.jpeg", "Андрей Денисов: Ссылка на изображение")</f>
        <v>Андрей Денисов: Ссылка на изображение</v>
      </c>
    </row>
    <row r="369" spans="1:75" ht="15" customHeight="1" x14ac:dyDescent="0.35">
      <c r="A369">
        <v>710</v>
      </c>
      <c r="B369" t="s">
        <v>2533</v>
      </c>
      <c r="C369">
        <v>2</v>
      </c>
      <c r="D369" t="str">
        <f>VLOOKUP(source[[#This Row],[Приоритет]],тПриоритеты[],2,0)</f>
        <v>Значительное</v>
      </c>
      <c r="E3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69" t="s">
        <v>2273</v>
      </c>
      <c r="G369" t="s">
        <v>157</v>
      </c>
      <c r="H369" t="str">
        <f>VLOOKUP(source[[#This Row],[Отвественный]],тОтветственные[],2,0)</f>
        <v>Отв13</v>
      </c>
      <c r="I369" s="2">
        <v>43778</v>
      </c>
      <c r="J369" s="2">
        <v>43778</v>
      </c>
      <c r="K369" t="s">
        <v>955</v>
      </c>
      <c r="L369">
        <v>48.13</v>
      </c>
      <c r="M369">
        <v>44.14</v>
      </c>
      <c r="N369" t="s">
        <v>2470</v>
      </c>
      <c r="R369" t="str">
        <f>HYPERLINK("https://d28ji4sm1vmprj.cloudfront.net/7b317170271f5a7204d7ab299c9b70f6/7d105e941831ee74b817bf0b9136a752.jpeg", "Ссылка на план")</f>
        <v>Ссылка на план</v>
      </c>
      <c r="S369" s="1">
        <v>43790.636712962965</v>
      </c>
      <c r="T369" s="1">
        <v>43790.636793981481</v>
      </c>
      <c r="U369" s="1">
        <v>43790.636793981481</v>
      </c>
      <c r="W369" s="1">
        <v>43790.637037037035</v>
      </c>
      <c r="X369" t="s">
        <v>2534</v>
      </c>
      <c r="AA369" t="s">
        <v>2535</v>
      </c>
      <c r="AB369" t="s">
        <v>2536</v>
      </c>
      <c r="AC369" t="s">
        <v>2537</v>
      </c>
      <c r="AD369" t="s">
        <v>2538</v>
      </c>
      <c r="AE369" t="s">
        <v>2539</v>
      </c>
      <c r="AF369" t="s">
        <v>2540</v>
      </c>
      <c r="AG369" t="s">
        <v>2484</v>
      </c>
      <c r="AH369" t="s">
        <v>2485</v>
      </c>
      <c r="AI369" t="s">
        <v>2487</v>
      </c>
      <c r="AJ369" t="s">
        <v>2500</v>
      </c>
      <c r="BF369" t="s">
        <v>167</v>
      </c>
      <c r="BG369" t="s">
        <v>2541</v>
      </c>
      <c r="BH369" t="s">
        <v>2313</v>
      </c>
      <c r="BI369" t="s">
        <v>2491</v>
      </c>
      <c r="BJ369" t="str">
        <f>HYPERLINK("https://d33htgqikc2pj4.cloudfront.net/d47f21d1-cec3-481a-8869-cbd8db514c02.jpeg", "Андрей Денисов: Ссылка на изображение")</f>
        <v>Андрей Денисов: Ссылка на изображение</v>
      </c>
      <c r="BK369" t="str">
        <f>HYPERLINK("https://d33htgqikc2pj4.cloudfront.net/4837d3c4-ec85-46d9-b288-3f35faed1f74.jpeg", "Андрей Денисов: Ссылка на изображение")</f>
        <v>Андрей Денисов: Ссылка на изображение</v>
      </c>
      <c r="BL369" t="str">
        <f>HYPERLINK("https://d33htgqikc2pj4.cloudfront.net/dd92dcb8-d703-4ade-9086-105ae35bea7d.jpeg", "Андрей Денисов: Ссылка на изображение")</f>
        <v>Андрей Денисов: Ссылка на изображение</v>
      </c>
      <c r="BM369" t="str">
        <f>HYPERLINK("https://d33htgqikc2pj4.cloudfront.net/2af80ea4-a1be-42e2-8dfb-13a519eb84ae.jpeg", "Андрей Денисов: Ссылка на изображение")</f>
        <v>Андрей Денисов: Ссылка на изображение</v>
      </c>
    </row>
    <row r="370" spans="1:75" ht="15" customHeight="1" x14ac:dyDescent="0.35">
      <c r="A370">
        <v>1</v>
      </c>
      <c r="B370" t="s">
        <v>1217</v>
      </c>
      <c r="C370">
        <v>2</v>
      </c>
      <c r="D370" t="str">
        <f>VLOOKUP(source[[#This Row],[Приоритет]],тПриоритеты[],2,0)</f>
        <v>Значительное</v>
      </c>
      <c r="E37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0" t="s">
        <v>2273</v>
      </c>
      <c r="G370" t="s">
        <v>157</v>
      </c>
      <c r="H370" t="str">
        <f>VLOOKUP(source[[#This Row],[Отвественный]],тОтветственные[],2,0)</f>
        <v>Отв13</v>
      </c>
      <c r="I370" s="2">
        <v>43544</v>
      </c>
      <c r="J370" s="2">
        <v>43544</v>
      </c>
      <c r="K370" t="s">
        <v>158</v>
      </c>
      <c r="L370">
        <v>0</v>
      </c>
      <c r="M370">
        <v>0</v>
      </c>
      <c r="N370" t="s">
        <v>195</v>
      </c>
      <c r="Q370" t="s">
        <v>124</v>
      </c>
      <c r="R370" t="str">
        <f>HYPERLINK("https://d28ji4sm1vmprj.cloudfront.net/09622a2bb466dfd1cdfb85ce6a712a4c/080b534903fe5ecae6d56f3611cbeb01.jpeg", "Ссылка на план")</f>
        <v>Ссылка на план</v>
      </c>
      <c r="S370" s="1">
        <v>43544.635891203703</v>
      </c>
      <c r="T370" s="1">
        <v>43544.686030092591</v>
      </c>
      <c r="U370" s="1">
        <v>43545.717673611114</v>
      </c>
      <c r="W370" s="1">
        <v>43546.614027777781</v>
      </c>
      <c r="X370" t="s">
        <v>2302</v>
      </c>
      <c r="Z370" t="s">
        <v>1216</v>
      </c>
      <c r="AA370" t="s">
        <v>2542</v>
      </c>
      <c r="AB370" t="s">
        <v>2543</v>
      </c>
      <c r="AC370" t="s">
        <v>2544</v>
      </c>
      <c r="AD370" t="s">
        <v>2545</v>
      </c>
      <c r="AE370" t="s">
        <v>2546</v>
      </c>
      <c r="AF370" t="s">
        <v>2547</v>
      </c>
      <c r="AG370" t="s">
        <v>2548</v>
      </c>
      <c r="AH370" t="s">
        <v>2549</v>
      </c>
      <c r="BF370" t="s">
        <v>1104</v>
      </c>
      <c r="BG370" t="s">
        <v>2550</v>
      </c>
      <c r="BH370" t="s">
        <v>2313</v>
      </c>
      <c r="BI370" t="s">
        <v>2551</v>
      </c>
      <c r="BJ370" t="s">
        <v>2552</v>
      </c>
      <c r="BK370" t="str">
        <f>HYPERLINK("https://d33htgqikc2pj4.cloudfront.net/541c146b-cbb7-49b8-b539-7503e62c19cb.jpeg", "Андрей Денисов: Ссылка на изображение")</f>
        <v>Андрей Денисов: Ссылка на изображение</v>
      </c>
      <c r="BL370" t="s">
        <v>167</v>
      </c>
      <c r="BM370" t="s">
        <v>1104</v>
      </c>
      <c r="BN370" t="s">
        <v>1104</v>
      </c>
      <c r="BO370" t="s">
        <v>2553</v>
      </c>
      <c r="BP370" t="s">
        <v>2554</v>
      </c>
      <c r="BQ370" t="s">
        <v>167</v>
      </c>
      <c r="BR370" t="s">
        <v>2555</v>
      </c>
      <c r="BS370" t="s">
        <v>2556</v>
      </c>
    </row>
    <row r="371" spans="1:75" ht="15" customHeight="1" x14ac:dyDescent="0.35">
      <c r="A371">
        <v>131</v>
      </c>
      <c r="B371" t="s">
        <v>2557</v>
      </c>
      <c r="C371">
        <v>2</v>
      </c>
      <c r="D371" t="str">
        <f>VLOOKUP(source[[#This Row],[Приоритет]],тПриоритеты[],2,0)</f>
        <v>Значительное</v>
      </c>
      <c r="E3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1" t="s">
        <v>2273</v>
      </c>
      <c r="G371" t="s">
        <v>157</v>
      </c>
      <c r="H371" t="str">
        <f>VLOOKUP(source[[#This Row],[Отвественный]],тОтветственные[],2,0)</f>
        <v>Отв13</v>
      </c>
      <c r="I371" s="2">
        <v>43627</v>
      </c>
      <c r="J371" s="2">
        <v>43627</v>
      </c>
      <c r="K371" t="s">
        <v>158</v>
      </c>
      <c r="L371">
        <v>0</v>
      </c>
      <c r="M371">
        <v>0</v>
      </c>
      <c r="N371" t="s">
        <v>213</v>
      </c>
      <c r="Q371" t="s">
        <v>124</v>
      </c>
      <c r="R371" t="str">
        <f>HYPERLINK("https://d28ji4sm1vmprj.cloudfront.net/09622a2bb466dfd1cdfb85ce6a712a4c/080b534903fe5ecae6d56f3611cbeb01.jpeg", "Ссылка на план")</f>
        <v>Ссылка на план</v>
      </c>
      <c r="S371" s="1">
        <v>43627.680567129632</v>
      </c>
      <c r="T371" s="1">
        <v>43627.680613425924</v>
      </c>
      <c r="U371" s="1">
        <v>43627.680613425924</v>
      </c>
      <c r="W371" s="1">
        <v>43721.662557870368</v>
      </c>
      <c r="X371" t="s">
        <v>1204</v>
      </c>
      <c r="AA371" t="s">
        <v>2558</v>
      </c>
      <c r="AB371" t="s">
        <v>2559</v>
      </c>
      <c r="AC371" t="s">
        <v>2560</v>
      </c>
      <c r="AD371" t="s">
        <v>2561</v>
      </c>
      <c r="AE371" t="s">
        <v>2562</v>
      </c>
      <c r="AF371" t="s">
        <v>2563</v>
      </c>
      <c r="BF371" t="s">
        <v>167</v>
      </c>
      <c r="BG371" t="s">
        <v>2564</v>
      </c>
      <c r="BH371" t="s">
        <v>310</v>
      </c>
      <c r="BI371" t="s">
        <v>2565</v>
      </c>
      <c r="BJ371" t="str">
        <f>HYPERLINK("https://d33htgqikc2pj4.cloudfront.net/664ec0b4-c559-48fd-b755-8a59eb3c14bf.jpeg", "Андрей Денисов: Ссылка на изображение")</f>
        <v>Андрей Денисов: Ссылка на изображение</v>
      </c>
      <c r="BK371" t="str">
        <f>HYPERLINK("https://d33htgqikc2pj4.cloudfront.net/adebef74-e09c-440a-847d-7299f3e1ec20.jpeg", "Андрей Денисов: Ссылка на изображение")</f>
        <v>Андрей Денисов: Ссылка на изображение</v>
      </c>
      <c r="BL371" t="s">
        <v>2313</v>
      </c>
    </row>
    <row r="372" spans="1:75" ht="15" customHeight="1" x14ac:dyDescent="0.35">
      <c r="A372">
        <v>141</v>
      </c>
      <c r="B372" t="s">
        <v>2566</v>
      </c>
      <c r="C372">
        <v>2</v>
      </c>
      <c r="D372" t="str">
        <f>VLOOKUP(source[[#This Row],[Приоритет]],тПриоритеты[],2,0)</f>
        <v>Значительное</v>
      </c>
      <c r="E3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2" t="s">
        <v>2273</v>
      </c>
      <c r="G372" t="s">
        <v>157</v>
      </c>
      <c r="H372" t="str">
        <f>VLOOKUP(source[[#This Row],[Отвественный]],тОтветственные[],2,0)</f>
        <v>Отв13</v>
      </c>
      <c r="I372" s="2">
        <v>43633</v>
      </c>
      <c r="J372" s="2">
        <v>43633</v>
      </c>
      <c r="K372" t="s">
        <v>158</v>
      </c>
      <c r="L372">
        <v>0</v>
      </c>
      <c r="M372">
        <v>0</v>
      </c>
      <c r="N372" t="s">
        <v>213</v>
      </c>
      <c r="Q372" t="s">
        <v>124</v>
      </c>
      <c r="R372" t="str">
        <f>HYPERLINK("https://d28ji4sm1vmprj.cloudfront.net/09622a2bb466dfd1cdfb85ce6a712a4c/080b534903fe5ecae6d56f3611cbeb01.jpeg", "Ссылка на план")</f>
        <v>Ссылка на план</v>
      </c>
      <c r="S372" s="1">
        <v>43633.634664351855</v>
      </c>
      <c r="T372" s="1">
        <v>43633.635844907411</v>
      </c>
      <c r="U372" s="1">
        <v>43633.635844907411</v>
      </c>
      <c r="W372" s="1">
        <v>43721.661979166667</v>
      </c>
      <c r="X372" t="s">
        <v>1204</v>
      </c>
      <c r="AA372" t="s">
        <v>2567</v>
      </c>
      <c r="AB372" t="s">
        <v>2568</v>
      </c>
      <c r="AC372" t="s">
        <v>2569</v>
      </c>
      <c r="AD372" t="s">
        <v>2570</v>
      </c>
      <c r="AE372" t="s">
        <v>2571</v>
      </c>
      <c r="AF372" t="s">
        <v>2572</v>
      </c>
      <c r="BF372" t="s">
        <v>167</v>
      </c>
      <c r="BG372" t="s">
        <v>2573</v>
      </c>
      <c r="BH372" t="s">
        <v>2574</v>
      </c>
      <c r="BI372" t="str">
        <f>HYPERLINK("https://d33htgqikc2pj4.cloudfront.net/43223139-d1f1-412e-b154-ad47a3733b29.jpeg", "Андрей Денисов: Ссылка на изображение")</f>
        <v>Андрей Денисов: Ссылка на изображение</v>
      </c>
      <c r="BJ372" t="s">
        <v>167</v>
      </c>
      <c r="BK372" t="s">
        <v>2573</v>
      </c>
      <c r="BL372" t="s">
        <v>2313</v>
      </c>
      <c r="BM372" t="s">
        <v>2574</v>
      </c>
      <c r="BN372" t="s">
        <v>2313</v>
      </c>
    </row>
    <row r="373" spans="1:75" ht="15" customHeight="1" x14ac:dyDescent="0.35">
      <c r="A373">
        <v>253</v>
      </c>
      <c r="B373" t="s">
        <v>2575</v>
      </c>
      <c r="C373">
        <v>2</v>
      </c>
      <c r="D373" t="str">
        <f>VLOOKUP(source[[#This Row],[Приоритет]],тПриоритеты[],2,0)</f>
        <v>Значительное</v>
      </c>
      <c r="E3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3" t="s">
        <v>2273</v>
      </c>
      <c r="G373" t="s">
        <v>157</v>
      </c>
      <c r="H373" t="str">
        <f>VLOOKUP(source[[#This Row],[Отвественный]],тОтветственные[],2,0)</f>
        <v>Отв13</v>
      </c>
      <c r="I373" s="2">
        <v>43660</v>
      </c>
      <c r="J373" s="2">
        <v>43660</v>
      </c>
      <c r="K373" t="s">
        <v>104</v>
      </c>
      <c r="L373">
        <v>0</v>
      </c>
      <c r="M373">
        <v>0</v>
      </c>
      <c r="N373" t="s">
        <v>105</v>
      </c>
      <c r="Q373" t="s">
        <v>106</v>
      </c>
      <c r="R373" t="str">
        <f>HYPERLINK("https://d28ji4sm1vmprj.cloudfront.net/e7a526a7220c3bc5cfeeb407c455c0b3/580ffb055aff8ee0c88c6e676cfba776.jpeg", "Ссылка на план")</f>
        <v>Ссылка на план</v>
      </c>
      <c r="S373" s="1">
        <v>43660.615115740744</v>
      </c>
      <c r="T373" s="1">
        <v>43660.619409722225</v>
      </c>
      <c r="U373" s="1">
        <v>43660.619409722225</v>
      </c>
      <c r="W373" s="1">
        <v>43660.619421296295</v>
      </c>
      <c r="X373" t="s">
        <v>2290</v>
      </c>
      <c r="AA373" t="s">
        <v>2576</v>
      </c>
      <c r="AB373" t="s">
        <v>2577</v>
      </c>
      <c r="AC373" t="s">
        <v>2578</v>
      </c>
      <c r="AD373" t="s">
        <v>2579</v>
      </c>
      <c r="AE373" t="s">
        <v>2580</v>
      </c>
      <c r="AF373" t="s">
        <v>2581</v>
      </c>
      <c r="AG373" t="s">
        <v>2582</v>
      </c>
      <c r="AH373" t="s">
        <v>2583</v>
      </c>
      <c r="AI373" t="s">
        <v>2584</v>
      </c>
      <c r="BF373" t="s">
        <v>2585</v>
      </c>
      <c r="BG373" t="s">
        <v>2586</v>
      </c>
      <c r="BH373" t="s">
        <v>167</v>
      </c>
      <c r="BI373" t="str">
        <f>HYPERLINK("https://d33htgqikc2pj4.cloudfront.net/85199eaa-9e54-4045-8023-44ee5dc2571b.jpeg", "Андрей Денисов: Ссылка на изображение")</f>
        <v>Андрей Денисов: Ссылка на изображение</v>
      </c>
      <c r="BJ373" t="str">
        <f>HYPERLINK("https://d33htgqikc2pj4.cloudfront.net/d304c5af-f843-4b4a-93f3-9b25eb12730c.jpeg", "Андрей Денисов: Ссылка на изображение")</f>
        <v>Андрей Денисов: Ссылка на изображение</v>
      </c>
      <c r="BK373" t="str">
        <f>HYPERLINK("https://d33htgqikc2pj4.cloudfront.net/6a8a919e-303e-4a6e-8551-65e07376e0cc.jpeg", "Андрей Денисов: Ссылка на изображение")</f>
        <v>Андрей Денисов: Ссылка на изображение</v>
      </c>
      <c r="BL373" t="str">
        <f>HYPERLINK("https://d33htgqikc2pj4.cloudfront.net/cab96be2-14a2-42a4-86c7-35de4ba56379.jpeg", "Андрей Денисов: Ссылка на изображение")</f>
        <v>Андрей Денисов: Ссылка на изображение</v>
      </c>
    </row>
    <row r="374" spans="1:75" ht="15" customHeight="1" x14ac:dyDescent="0.35">
      <c r="A374">
        <v>41</v>
      </c>
      <c r="B374" t="s">
        <v>2587</v>
      </c>
      <c r="C374">
        <v>2</v>
      </c>
      <c r="D374" t="str">
        <f>VLOOKUP(source[[#This Row],[Приоритет]],тПриоритеты[],2,0)</f>
        <v>Значительное</v>
      </c>
      <c r="E3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4" t="s">
        <v>2273</v>
      </c>
      <c r="G374" t="s">
        <v>157</v>
      </c>
      <c r="H374" t="str">
        <f>VLOOKUP(source[[#This Row],[Отвественный]],тОтветственные[],2,0)</f>
        <v>Отв13</v>
      </c>
      <c r="I374" s="2">
        <v>43573</v>
      </c>
      <c r="J374" s="2">
        <v>43573</v>
      </c>
      <c r="K374" t="s">
        <v>158</v>
      </c>
      <c r="L374">
        <v>0</v>
      </c>
      <c r="M374">
        <v>0</v>
      </c>
      <c r="N374" t="s">
        <v>159</v>
      </c>
      <c r="Q374" t="s">
        <v>124</v>
      </c>
      <c r="R374" t="str">
        <f>HYPERLINK("https://d28ji4sm1vmprj.cloudfront.net/09622a2bb466dfd1cdfb85ce6a712a4c/080b534903fe5ecae6d56f3611cbeb01.jpeg", "Ссылка на план")</f>
        <v>Ссылка на план</v>
      </c>
      <c r="S374" s="1">
        <v>43573.655729166669</v>
      </c>
      <c r="T374" s="1">
        <v>43573.655752314815</v>
      </c>
      <c r="U374" s="1">
        <v>43573.655752314815</v>
      </c>
      <c r="W374" s="1">
        <v>43573.662060185183</v>
      </c>
      <c r="X374" t="s">
        <v>2421</v>
      </c>
      <c r="AA374" t="s">
        <v>2588</v>
      </c>
      <c r="AB374" t="s">
        <v>2589</v>
      </c>
      <c r="AC374" t="s">
        <v>2590</v>
      </c>
      <c r="AD374" t="s">
        <v>2591</v>
      </c>
      <c r="AE374" t="s">
        <v>2592</v>
      </c>
      <c r="AF374" t="s">
        <v>2593</v>
      </c>
      <c r="AG374" t="s">
        <v>2594</v>
      </c>
      <c r="BF374" t="s">
        <v>167</v>
      </c>
      <c r="BG374" t="s">
        <v>2595</v>
      </c>
      <c r="BH374" t="s">
        <v>240</v>
      </c>
      <c r="BI374" t="str">
        <f>HYPERLINK("https://d33htgqikc2pj4.cloudfront.net/0d99a307-ad83-47b2-a558-cc38fd0ebb74.jpeg", "Андрей Денисов: Ссылка на изображение")</f>
        <v>Андрей Денисов: Ссылка на изображение</v>
      </c>
      <c r="BJ374" t="str">
        <f>HYPERLINK("https://d33htgqikc2pj4.cloudfront.net/3d9aec34-fc6f-475a-a75a-e0d6629ef59b.jpeg", "Андрей Денисов: Ссылка на изображение")</f>
        <v>Андрей Денисов: Ссылка на изображение</v>
      </c>
      <c r="BK374" t="s">
        <v>2596</v>
      </c>
    </row>
    <row r="375" spans="1:75" ht="15" customHeight="1" x14ac:dyDescent="0.35">
      <c r="A375">
        <v>302</v>
      </c>
      <c r="B375" t="s">
        <v>2597</v>
      </c>
      <c r="C375">
        <v>2</v>
      </c>
      <c r="D375" t="str">
        <f>VLOOKUP(source[[#This Row],[Приоритет]],тПриоритеты[],2,0)</f>
        <v>Значительное</v>
      </c>
      <c r="E3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5" t="s">
        <v>2273</v>
      </c>
      <c r="G375" t="s">
        <v>157</v>
      </c>
      <c r="H375" t="str">
        <f>VLOOKUP(source[[#This Row],[Отвественный]],тОтветственные[],2,0)</f>
        <v>Отв13</v>
      </c>
      <c r="I375" s="2">
        <v>43672</v>
      </c>
      <c r="J375" s="2">
        <v>43672</v>
      </c>
      <c r="K375" t="s">
        <v>1239</v>
      </c>
      <c r="L375">
        <v>0</v>
      </c>
      <c r="M375">
        <v>0</v>
      </c>
      <c r="N375" t="s">
        <v>213</v>
      </c>
      <c r="Q375" t="s">
        <v>106</v>
      </c>
      <c r="R375" t="str">
        <f>HYPERLINK("https://d28ji4sm1vmprj.cloudfront.net/ccf34eba00e06214379800cff12ee85c/5ead71be54780691edd782b428416714.jpeg", "Ссылка на план")</f>
        <v>Ссылка на план</v>
      </c>
      <c r="S375" s="1">
        <v>43672.557592592595</v>
      </c>
      <c r="T375" s="1">
        <v>43672.554224537038</v>
      </c>
      <c r="U375" s="1">
        <v>43672.554224537038</v>
      </c>
      <c r="W375" s="1">
        <v>43721.662291666667</v>
      </c>
      <c r="X375" t="s">
        <v>1204</v>
      </c>
      <c r="AA375" t="s">
        <v>2598</v>
      </c>
      <c r="AB375" t="s">
        <v>2599</v>
      </c>
      <c r="AC375" t="s">
        <v>2600</v>
      </c>
      <c r="AD375" t="s">
        <v>2601</v>
      </c>
      <c r="AE375" t="s">
        <v>2602</v>
      </c>
      <c r="AF375" t="s">
        <v>2603</v>
      </c>
      <c r="BF375" t="s">
        <v>167</v>
      </c>
      <c r="BG375" t="s">
        <v>2604</v>
      </c>
      <c r="BH375" t="s">
        <v>1358</v>
      </c>
      <c r="BI375" t="str">
        <f>HYPERLINK("https://d33htgqikc2pj4.cloudfront.net/e52d2706-6097-49fe-9804-fe79a38ee6ed.jpeg", "Андрей Денисов: Ссылка на изображение")</f>
        <v>Андрей Денисов: Ссылка на изображение</v>
      </c>
      <c r="BJ375" t="s">
        <v>2313</v>
      </c>
    </row>
    <row r="376" spans="1:75" ht="15" customHeight="1" x14ac:dyDescent="0.35">
      <c r="A376">
        <v>254</v>
      </c>
      <c r="B376" t="s">
        <v>2605</v>
      </c>
      <c r="C376">
        <v>2</v>
      </c>
      <c r="D376" t="str">
        <f>VLOOKUP(source[[#This Row],[Приоритет]],тПриоритеты[],2,0)</f>
        <v>Значительное</v>
      </c>
      <c r="E3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6" t="s">
        <v>2273</v>
      </c>
      <c r="G376" t="s">
        <v>157</v>
      </c>
      <c r="H376" t="str">
        <f>VLOOKUP(source[[#This Row],[Отвественный]],тОтветственные[],2,0)</f>
        <v>Отв13</v>
      </c>
      <c r="I376" s="2">
        <v>43660</v>
      </c>
      <c r="J376" s="2">
        <v>43660</v>
      </c>
      <c r="K376" t="s">
        <v>104</v>
      </c>
      <c r="L376">
        <v>0</v>
      </c>
      <c r="M376">
        <v>0</v>
      </c>
      <c r="N376" t="s">
        <v>105</v>
      </c>
      <c r="Q376" t="s">
        <v>106</v>
      </c>
      <c r="R376" t="str">
        <f>HYPERLINK("https://d28ji4sm1vmprj.cloudfront.net/e7a526a7220c3bc5cfeeb407c455c0b3/580ffb055aff8ee0c88c6e676cfba776.jpeg", "Ссылка на план")</f>
        <v>Ссылка на план</v>
      </c>
      <c r="S376" s="1">
        <v>43660.615254629629</v>
      </c>
      <c r="T376" s="1">
        <v>43660.617488425924</v>
      </c>
      <c r="U376" s="1">
        <v>43660.617488425924</v>
      </c>
      <c r="W376" s="1">
        <v>43660.622048611112</v>
      </c>
      <c r="X376" t="s">
        <v>406</v>
      </c>
      <c r="AA376" t="s">
        <v>2606</v>
      </c>
      <c r="AB376" t="s">
        <v>2607</v>
      </c>
      <c r="AC376" t="s">
        <v>2608</v>
      </c>
      <c r="AD376" t="s">
        <v>2609</v>
      </c>
      <c r="AE376" t="s">
        <v>2610</v>
      </c>
      <c r="AF376" t="s">
        <v>2611</v>
      </c>
      <c r="AG376" t="s">
        <v>2612</v>
      </c>
      <c r="BF376" t="s">
        <v>2613</v>
      </c>
      <c r="BG376" t="s">
        <v>2586</v>
      </c>
      <c r="BH376" t="s">
        <v>167</v>
      </c>
      <c r="BI376" t="str">
        <f>HYPERLINK("https://d33htgqikc2pj4.cloudfront.net/c4dffaec-01e9-4888-8fdb-da1046bb8830.jpeg", "Андрей Денисов: Ссылка на изображение")</f>
        <v>Андрей Денисов: Ссылка на изображение</v>
      </c>
      <c r="BJ376" t="str">
        <f>HYPERLINK("https://d33htgqikc2pj4.cloudfront.net/bea606a3-bc8f-4d5d-b32b-6424b547c391.jpeg", "Андрей Денисов: Ссылка на изображение")</f>
        <v>Андрей Денисов: Ссылка на изображение</v>
      </c>
      <c r="BK376" t="str">
        <f>HYPERLINK("https://d33htgqikc2pj4.cloudfront.net/2579e416-c3c5-4f6f-9d07-43a0cb294f07.jpeg", "Андрей Денисов: Ссылка на изображение")</f>
        <v>Андрей Денисов: Ссылка на изображение</v>
      </c>
      <c r="BL376" t="s">
        <v>2614</v>
      </c>
    </row>
    <row r="377" spans="1:75" ht="15" customHeight="1" x14ac:dyDescent="0.35">
      <c r="A377">
        <v>258</v>
      </c>
      <c r="B377" t="s">
        <v>2615</v>
      </c>
      <c r="C377">
        <v>2</v>
      </c>
      <c r="D377" t="str">
        <f>VLOOKUP(source[[#This Row],[Приоритет]],тПриоритеты[],2,0)</f>
        <v>Значительное</v>
      </c>
      <c r="E3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7" t="s">
        <v>2273</v>
      </c>
      <c r="G377" t="s">
        <v>157</v>
      </c>
      <c r="H377" t="str">
        <f>VLOOKUP(source[[#This Row],[Отвественный]],тОтветственные[],2,0)</f>
        <v>Отв13</v>
      </c>
      <c r="I377" s="2">
        <v>43661</v>
      </c>
      <c r="J377" s="2">
        <v>43661</v>
      </c>
      <c r="K377" t="s">
        <v>1239</v>
      </c>
      <c r="L377">
        <v>0</v>
      </c>
      <c r="M377">
        <v>0</v>
      </c>
      <c r="N377" t="s">
        <v>213</v>
      </c>
      <c r="Q377" t="s">
        <v>106</v>
      </c>
      <c r="R377" t="str">
        <f>HYPERLINK("https://d28ji4sm1vmprj.cloudfront.net/ccf34eba00e06214379800cff12ee85c/5ead71be54780691edd782b428416714.jpeg", "Ссылка на план")</f>
        <v>Ссылка на план</v>
      </c>
      <c r="S377" s="1">
        <v>43661.46533564815</v>
      </c>
      <c r="T377" s="1">
        <v>43661.465381944443</v>
      </c>
      <c r="U377" s="1">
        <v>43661.465381944443</v>
      </c>
      <c r="W377" s="1">
        <v>43721.662673611114</v>
      </c>
      <c r="X377" t="s">
        <v>1204</v>
      </c>
      <c r="AA377" t="s">
        <v>2616</v>
      </c>
      <c r="AB377" t="s">
        <v>2617</v>
      </c>
      <c r="AC377" t="s">
        <v>2618</v>
      </c>
      <c r="AD377" t="s">
        <v>2619</v>
      </c>
      <c r="AE377" t="s">
        <v>2620</v>
      </c>
      <c r="AF377" t="s">
        <v>2621</v>
      </c>
      <c r="BF377" t="s">
        <v>167</v>
      </c>
      <c r="BG377" t="s">
        <v>2622</v>
      </c>
      <c r="BH377" t="s">
        <v>2623</v>
      </c>
      <c r="BI377" t="str">
        <f>HYPERLINK("https://d33htgqikc2pj4.cloudfront.net/9bd4a49e-1d4a-4938-b4e6-4105252c1dd5.jpeg", "Андрей Денисов: Ссылка на изображение")</f>
        <v>Андрей Денисов: Ссылка на изображение</v>
      </c>
      <c r="BJ377" t="str">
        <f>HYPERLINK("https://d33htgqikc2pj4.cloudfront.net/f794d05a-3457-49ff-a7cc-67366a3e01de.jpeg", "Андрей Денисов: Ссылка на изображение")</f>
        <v>Андрей Денисов: Ссылка на изображение</v>
      </c>
      <c r="BK377" t="s">
        <v>2313</v>
      </c>
    </row>
    <row r="378" spans="1:75" ht="15" customHeight="1" x14ac:dyDescent="0.35">
      <c r="A378">
        <v>92</v>
      </c>
      <c r="B378" t="s">
        <v>2624</v>
      </c>
      <c r="C378">
        <v>2</v>
      </c>
      <c r="D378" t="str">
        <f>VLOOKUP(source[[#This Row],[Приоритет]],тПриоритеты[],2,0)</f>
        <v>Значительное</v>
      </c>
      <c r="E3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8" t="s">
        <v>2273</v>
      </c>
      <c r="G378" t="s">
        <v>157</v>
      </c>
      <c r="H378" t="str">
        <f>VLOOKUP(source[[#This Row],[Отвественный]],тОтветственные[],2,0)</f>
        <v>Отв13</v>
      </c>
      <c r="I378" s="2">
        <v>43606</v>
      </c>
      <c r="J378" s="2">
        <v>43606</v>
      </c>
      <c r="K378" t="s">
        <v>158</v>
      </c>
      <c r="L378">
        <v>0</v>
      </c>
      <c r="M378">
        <v>0</v>
      </c>
      <c r="N378" t="s">
        <v>159</v>
      </c>
      <c r="Q378" t="s">
        <v>124</v>
      </c>
      <c r="R378" t="str">
        <f>HYPERLINK("https://d28ji4sm1vmprj.cloudfront.net/09622a2bb466dfd1cdfb85ce6a712a4c/080b534903fe5ecae6d56f3611cbeb01.jpeg", "Ссылка на план")</f>
        <v>Ссылка на план</v>
      </c>
      <c r="S378" s="1">
        <v>43606.668437499997</v>
      </c>
      <c r="T378" s="1">
        <v>43606.668391203704</v>
      </c>
      <c r="U378" s="1">
        <v>43606.668391203704</v>
      </c>
      <c r="W378" s="1">
        <v>43606.670393518521</v>
      </c>
      <c r="X378" t="s">
        <v>2421</v>
      </c>
      <c r="AA378" t="s">
        <v>2625</v>
      </c>
      <c r="AB378" t="s">
        <v>2626</v>
      </c>
      <c r="AC378" t="s">
        <v>2627</v>
      </c>
      <c r="AD378" t="s">
        <v>2628</v>
      </c>
      <c r="AE378" t="s">
        <v>2629</v>
      </c>
      <c r="AF378" t="s">
        <v>2630</v>
      </c>
      <c r="AG378" t="s">
        <v>2631</v>
      </c>
      <c r="BF378" t="s">
        <v>167</v>
      </c>
      <c r="BG378" t="s">
        <v>2632</v>
      </c>
      <c r="BH378" t="s">
        <v>2313</v>
      </c>
      <c r="BI378" t="s">
        <v>1234</v>
      </c>
      <c r="BJ378" t="str">
        <f>HYPERLINK("https://d33htgqikc2pj4.cloudfront.net/37f66420-4a11-47f9-a13d-44c66334fe79.jpeg", "Андрей Денисов: Ссылка на изображение")</f>
        <v>Андрей Денисов: Ссылка на изображение</v>
      </c>
      <c r="BK378" t="str">
        <f>HYPERLINK("https://d33htgqikc2pj4.cloudfront.net/1c32ae2e-3fde-4b5d-af32-0cb4d561e61a.jpeg", "Андрей Денисов: Ссылка на изображение")</f>
        <v>Андрей Денисов: Ссылка на изображение</v>
      </c>
      <c r="BL378" t="str">
        <f>HYPERLINK("https://d33htgqikc2pj4.cloudfront.net/7c663888-2f12-42e4-bc74-c763f13e52cb.jpeg", "Андрей Денисов: Ссылка на изображение")</f>
        <v>Андрей Денисов: Ссылка на изображение</v>
      </c>
      <c r="BM378" t="str">
        <f>HYPERLINK("https://d33htgqikc2pj4.cloudfront.net/0a02b2ad-e7da-499e-92dd-72075a191f9c.jpeg", "Андрей Денисов: Ссылка на изображение")</f>
        <v>Андрей Денисов: Ссылка на изображение</v>
      </c>
      <c r="BN378" t="str">
        <f>HYPERLINK("https://d33htgqikc2pj4.cloudfront.net/cd7df349-c839-4931-aeb0-074ae61895f8.jpeg", "Андрей Денисов: Ссылка на изображение")</f>
        <v>Андрей Денисов: Ссылка на изображение</v>
      </c>
      <c r="BO378" t="str">
        <f>HYPERLINK("https://d33htgqikc2pj4.cloudfront.net/4070bbac-2f9b-4973-8016-92cdf0ef86b9.jpeg", "Андрей Денисов: Ссылка на изображение")</f>
        <v>Андрей Денисов: Ссылка на изображение</v>
      </c>
      <c r="BP378" t="str">
        <f>HYPERLINK("https://d33htgqikc2pj4.cloudfront.net/354beecb-50ff-471c-959d-b5c51e58365f.jpeg", "Андрей Денисов: Ссылка на изображение")</f>
        <v>Андрей Денисов: Ссылка на изображение</v>
      </c>
    </row>
    <row r="379" spans="1:75" ht="15" customHeight="1" x14ac:dyDescent="0.35">
      <c r="A379">
        <v>97</v>
      </c>
      <c r="B379" t="s">
        <v>1232</v>
      </c>
      <c r="C379">
        <v>2</v>
      </c>
      <c r="D379" t="str">
        <f>VLOOKUP(source[[#This Row],[Приоритет]],тПриоритеты[],2,0)</f>
        <v>Значительное</v>
      </c>
      <c r="E37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79" t="s">
        <v>2273</v>
      </c>
      <c r="G379" t="s">
        <v>157</v>
      </c>
      <c r="H379" t="str">
        <f>VLOOKUP(source[[#This Row],[Отвественный]],тОтветственные[],2,0)</f>
        <v>Отв13</v>
      </c>
      <c r="I379" s="2">
        <v>43606</v>
      </c>
      <c r="J379" s="2">
        <v>43606</v>
      </c>
      <c r="K379" t="s">
        <v>274</v>
      </c>
      <c r="L379">
        <v>0</v>
      </c>
      <c r="M379">
        <v>0</v>
      </c>
      <c r="N379" t="s">
        <v>213</v>
      </c>
      <c r="Q379" t="s">
        <v>124</v>
      </c>
      <c r="R379" t="str">
        <f>HYPERLINK("https://d28ji4sm1vmprj.cloudfront.net/355a08c081c3838ab5b858f428b86049/8945c7522deb0c15488ad801990cffed.jpeg", "Ссылка на план")</f>
        <v>Ссылка на план</v>
      </c>
      <c r="S379" s="1">
        <v>43606.726782407408</v>
      </c>
      <c r="T379" s="1">
        <v>43606.727210648147</v>
      </c>
      <c r="U379" s="1">
        <v>43606.727210648147</v>
      </c>
      <c r="W379" s="1">
        <v>43606.727187500001</v>
      </c>
      <c r="X379" t="s">
        <v>1204</v>
      </c>
      <c r="Z379" t="s">
        <v>1231</v>
      </c>
      <c r="AA379" t="s">
        <v>2633</v>
      </c>
      <c r="AB379" t="s">
        <v>2634</v>
      </c>
      <c r="AC379" t="s">
        <v>2635</v>
      </c>
      <c r="AD379" t="s">
        <v>2636</v>
      </c>
      <c r="AE379" t="s">
        <v>2637</v>
      </c>
      <c r="AF379" t="s">
        <v>2638</v>
      </c>
      <c r="BF379" t="s">
        <v>2313</v>
      </c>
      <c r="BG379" t="s">
        <v>1234</v>
      </c>
      <c r="BH379" t="s">
        <v>167</v>
      </c>
      <c r="BI379" t="str">
        <f>HYPERLINK("https://d33htgqikc2pj4.cloudfront.net/3a52961c-c038-4a43-b98b-7cbf0ce88b3a.jpeg", "Андрей Денисов: Ссылка на изображение")</f>
        <v>Андрей Денисов: Ссылка на изображение</v>
      </c>
      <c r="BJ379" t="str">
        <f>HYPERLINK("https://d33htgqikc2pj4.cloudfront.net/9dc535e9-b3ac-41e8-bef2-0c43e52ba79b.jpeg", "Андрей Денисов: Ссылка на изображение")</f>
        <v>Андрей Денисов: Ссылка на изображение</v>
      </c>
      <c r="BK379" t="str">
        <f>HYPERLINK("https://d33htgqikc2pj4.cloudfront.net/60f263a8-2a30-456f-b4c4-08a8ff2b99e8.jpeg", "Андрей Денисов: Ссылка на изображение")</f>
        <v>Андрей Денисов: Ссылка на изображение</v>
      </c>
    </row>
    <row r="380" spans="1:75" ht="15" customHeight="1" x14ac:dyDescent="0.35">
      <c r="A380">
        <v>46</v>
      </c>
      <c r="B380" t="s">
        <v>2639</v>
      </c>
      <c r="C380">
        <v>2</v>
      </c>
      <c r="D380" t="str">
        <f>VLOOKUP(source[[#This Row],[Приоритет]],тПриоритеты[],2,0)</f>
        <v>Значительное</v>
      </c>
      <c r="E3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0" t="s">
        <v>2273</v>
      </c>
      <c r="G380" t="s">
        <v>157</v>
      </c>
      <c r="H380" t="str">
        <f>VLOOKUP(source[[#This Row],[Отвественный]],тОтветственные[],2,0)</f>
        <v>Отв13</v>
      </c>
      <c r="I380" s="2">
        <v>43579</v>
      </c>
      <c r="J380" s="2">
        <v>43579</v>
      </c>
      <c r="K380" t="s">
        <v>158</v>
      </c>
      <c r="L380">
        <v>0</v>
      </c>
      <c r="M380">
        <v>0</v>
      </c>
      <c r="N380" t="s">
        <v>159</v>
      </c>
      <c r="Q380" t="s">
        <v>124</v>
      </c>
      <c r="R380" t="str">
        <f>HYPERLINK("https://d28ji4sm1vmprj.cloudfront.net/09622a2bb466dfd1cdfb85ce6a712a4c/080b534903fe5ecae6d56f3611cbeb01.jpeg", "Ссылка на план")</f>
        <v>Ссылка на план</v>
      </c>
      <c r="S380" s="1">
        <v>43579.691435185188</v>
      </c>
      <c r="T380" s="1">
        <v>43579.691354166665</v>
      </c>
      <c r="U380" s="1">
        <v>43579.691354166665</v>
      </c>
      <c r="W380" s="1">
        <v>43579.694722222222</v>
      </c>
      <c r="X380" t="s">
        <v>2421</v>
      </c>
      <c r="AA380" t="s">
        <v>2640</v>
      </c>
      <c r="AB380" t="s">
        <v>2641</v>
      </c>
      <c r="AC380" t="s">
        <v>2642</v>
      </c>
      <c r="AD380" t="s">
        <v>2643</v>
      </c>
      <c r="AE380" t="s">
        <v>2644</v>
      </c>
      <c r="AF380" t="s">
        <v>2645</v>
      </c>
      <c r="AG380" t="s">
        <v>2646</v>
      </c>
      <c r="BF380" t="s">
        <v>167</v>
      </c>
      <c r="BG380" t="s">
        <v>2647</v>
      </c>
      <c r="BH380" t="s">
        <v>2648</v>
      </c>
      <c r="BI380" t="str">
        <f>HYPERLINK("https://d33htgqikc2pj4.cloudfront.net/7c61cd01-795b-40af-8074-15d7b1855c30.jpeg", "Андрей Денисов: Ссылка на изображение")</f>
        <v>Андрей Денисов: Ссылка на изображение</v>
      </c>
      <c r="BJ380" t="str">
        <f>HYPERLINK("https://d33htgqikc2pj4.cloudfront.net/d349aa38-f746-44bc-a308-0deed8fee5c0.jpeg", "Андрей Денисов: Ссылка на изображение")</f>
        <v>Андрей Денисов: Ссылка на изображение</v>
      </c>
      <c r="BK380" t="str">
        <f>HYPERLINK("https://d33htgqikc2pj4.cloudfront.net/b0bfcd31-b40b-4f48-84a9-d25650642908.jpeg", "Андрей Денисов: Ссылка на изображение")</f>
        <v>Андрей Денисов: Ссылка на изображение</v>
      </c>
      <c r="BL380" t="str">
        <f>HYPERLINK("https://d33htgqikc2pj4.cloudfront.net/671952a2-4b3a-4a5b-aafd-dac9666e6007.jpeg", "Андрей Денисов: Ссылка на изображение")</f>
        <v>Андрей Денисов: Ссылка на изображение</v>
      </c>
    </row>
    <row r="381" spans="1:75" ht="15" customHeight="1" x14ac:dyDescent="0.35">
      <c r="A381">
        <v>144</v>
      </c>
      <c r="B381" t="s">
        <v>1240</v>
      </c>
      <c r="C381">
        <v>2</v>
      </c>
      <c r="D381" t="str">
        <f>VLOOKUP(source[[#This Row],[Приоритет]],тПриоритеты[],2,0)</f>
        <v>Значительное</v>
      </c>
      <c r="E3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1" t="s">
        <v>2273</v>
      </c>
      <c r="G381" t="s">
        <v>157</v>
      </c>
      <c r="H381" t="str">
        <f>VLOOKUP(source[[#This Row],[Отвественный]],тОтветственные[],2,0)</f>
        <v>Отв13</v>
      </c>
      <c r="K381" t="s">
        <v>1239</v>
      </c>
      <c r="L381">
        <v>0</v>
      </c>
      <c r="M381">
        <v>0</v>
      </c>
      <c r="N381" t="s">
        <v>213</v>
      </c>
      <c r="Q381" t="s">
        <v>106</v>
      </c>
      <c r="R381" t="str">
        <f>HYPERLINK("https://d28ji4sm1vmprj.cloudfront.net/ccf34eba00e06214379800cff12ee85c/5ead71be54780691edd782b428416714.jpeg", "Ссылка на план")</f>
        <v>Ссылка на план</v>
      </c>
      <c r="S381" s="1">
        <v>43634.470532407409</v>
      </c>
      <c r="T381" s="1">
        <v>43634.470601851855</v>
      </c>
      <c r="U381" s="1">
        <v>43634.470601851855</v>
      </c>
      <c r="W381" s="1">
        <v>43634.471620370372</v>
      </c>
      <c r="Z381" t="s">
        <v>1238</v>
      </c>
      <c r="BF381" t="s">
        <v>167</v>
      </c>
      <c r="BG381" t="s">
        <v>2313</v>
      </c>
      <c r="BH381" t="s">
        <v>1242</v>
      </c>
    </row>
    <row r="382" spans="1:75" ht="15" customHeight="1" x14ac:dyDescent="0.35">
      <c r="A382">
        <v>53</v>
      </c>
      <c r="B382" t="s">
        <v>2649</v>
      </c>
      <c r="C382">
        <v>2</v>
      </c>
      <c r="D382" t="str">
        <f>VLOOKUP(source[[#This Row],[Приоритет]],тПриоритеты[],2,0)</f>
        <v>Значительное</v>
      </c>
      <c r="E3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2" t="s">
        <v>2273</v>
      </c>
      <c r="G382" t="s">
        <v>157</v>
      </c>
      <c r="H382" t="str">
        <f>VLOOKUP(source[[#This Row],[Отвественный]],тОтветственные[],2,0)</f>
        <v>Отв13</v>
      </c>
      <c r="I382" s="2">
        <v>43582</v>
      </c>
      <c r="J382" s="2">
        <v>43582</v>
      </c>
      <c r="K382" t="s">
        <v>158</v>
      </c>
      <c r="L382">
        <v>0</v>
      </c>
      <c r="M382">
        <v>0</v>
      </c>
      <c r="N382" t="s">
        <v>159</v>
      </c>
      <c r="Q382" t="s">
        <v>124</v>
      </c>
      <c r="R382" t="str">
        <f>HYPERLINK("https://d28ji4sm1vmprj.cloudfront.net/09622a2bb466dfd1cdfb85ce6a712a4c/080b534903fe5ecae6d56f3611cbeb01.jpeg", "Ссылка на план")</f>
        <v>Ссылка на план</v>
      </c>
      <c r="S382" s="1">
        <v>43582.432847222219</v>
      </c>
      <c r="T382" s="1">
        <v>43582.439791666664</v>
      </c>
      <c r="U382" s="1">
        <v>43582.439791666664</v>
      </c>
      <c r="W382" s="1">
        <v>43582.441203703704</v>
      </c>
      <c r="X382" t="s">
        <v>2421</v>
      </c>
      <c r="AA382" t="s">
        <v>2650</v>
      </c>
      <c r="AB382" t="s">
        <v>2651</v>
      </c>
      <c r="AC382" t="s">
        <v>2652</v>
      </c>
      <c r="AD382" t="s">
        <v>2653</v>
      </c>
      <c r="AE382" t="s">
        <v>2654</v>
      </c>
      <c r="AF382" t="s">
        <v>2655</v>
      </c>
      <c r="AG382" t="s">
        <v>2656</v>
      </c>
      <c r="BF382" t="s">
        <v>167</v>
      </c>
      <c r="BG382" t="s">
        <v>2657</v>
      </c>
      <c r="BH382" t="s">
        <v>2313</v>
      </c>
      <c r="BI382" t="s">
        <v>2658</v>
      </c>
      <c r="BJ382" t="str">
        <f>HYPERLINK("https://d33htgqikc2pj4.cloudfront.net/46939ccd-76f6-48e0-bbf9-872280302f78.jpeg", "Андрей Денисов: Ссылка на изображение")</f>
        <v>Андрей Денисов: Ссылка на изображение</v>
      </c>
      <c r="BK382" t="str">
        <f>HYPERLINK("https://d33htgqikc2pj4.cloudfront.net/fc25b0c3-b2b1-4fbd-a873-030b8da2c66f.jpeg", "Андрей Денисов: Ссылка на изображение")</f>
        <v>Андрей Денисов: Ссылка на изображение</v>
      </c>
      <c r="BL382" t="str">
        <f>HYPERLINK("https://d33htgqikc2pj4.cloudfront.net/e15dad1f-d1a7-4f0f-a7d2-784800e2d755.jpeg", "Андрей Денисов: Ссылка на изображение")</f>
        <v>Андрей Денисов: Ссылка на изображение</v>
      </c>
      <c r="BM382" t="str">
        <f>HYPERLINK("https://d33htgqikc2pj4.cloudfront.net/6a5e9efb-6003-431a-b3a3-d43ed5226ffe.jpeg", "Андрей Денисов: Ссылка на изображение")</f>
        <v>Андрей Денисов: Ссылка на изображение</v>
      </c>
      <c r="BN382" t="str">
        <f>HYPERLINK("https://d33htgqikc2pj4.cloudfront.net/cc09d51a-40ad-4385-8798-327474a982c8.jpeg", "Андрей Денисов: Ссылка на изображение")</f>
        <v>Андрей Денисов: Ссылка на изображение</v>
      </c>
      <c r="BO382" t="str">
        <f>HYPERLINK("https://d33htgqikc2pj4.cloudfront.net/74529a2f-35f6-4a53-b88d-f9df8710a416.jpeg", "Андрей Денисов: Ссылка на изображение")</f>
        <v>Андрей Денисов: Ссылка на изображение</v>
      </c>
      <c r="BP382" t="str">
        <f>HYPERLINK("https://d33htgqikc2pj4.cloudfront.net/7e6dab35-2e3a-4b8e-aa2e-aba225046f97.jpeg", "Андрей Денисов: Ссылка на изображение")</f>
        <v>Андрей Денисов: Ссылка на изображение</v>
      </c>
      <c r="BQ382" t="str">
        <f>HYPERLINK("https://d33htgqikc2pj4.cloudfront.net/22d2d6d2-fa1f-4e64-9683-dcbbafc87fe7.jpeg", "Андрей Денисов: Ссылка на изображение")</f>
        <v>Андрей Денисов: Ссылка на изображение</v>
      </c>
      <c r="BR382" t="str">
        <f>HYPERLINK("https://d33htgqikc2pj4.cloudfront.net/570f5614-07e7-4d58-93f8-1a1a8f42a1bb.jpeg", "Андрей Денисов: Ссылка на изображение")</f>
        <v>Андрей Денисов: Ссылка на изображение</v>
      </c>
      <c r="BS382" t="str">
        <f>HYPERLINK("https://d33htgqikc2pj4.cloudfront.net/6c128002-604d-40d2-9f42-7364530f95b7.jpeg", "Андрей Денисов: Ссылка на изображение")</f>
        <v>Андрей Денисов: Ссылка на изображение</v>
      </c>
    </row>
    <row r="383" spans="1:75" ht="15" customHeight="1" x14ac:dyDescent="0.35">
      <c r="A383">
        <v>105</v>
      </c>
      <c r="B383" t="s">
        <v>2659</v>
      </c>
      <c r="C383">
        <v>2</v>
      </c>
      <c r="D383" t="str">
        <f>VLOOKUP(source[[#This Row],[Приоритет]],тПриоритеты[],2,0)</f>
        <v>Значительное</v>
      </c>
      <c r="E3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3" t="s">
        <v>2273</v>
      </c>
      <c r="G383" t="s">
        <v>157</v>
      </c>
      <c r="H383" t="str">
        <f>VLOOKUP(source[[#This Row],[Отвественный]],тОтветственные[],2,0)</f>
        <v>Отв13</v>
      </c>
      <c r="I383" s="2">
        <v>43610</v>
      </c>
      <c r="J383" s="2">
        <v>43610</v>
      </c>
      <c r="K383" t="s">
        <v>158</v>
      </c>
      <c r="L383">
        <v>0</v>
      </c>
      <c r="M383">
        <v>0</v>
      </c>
      <c r="N383" t="s">
        <v>159</v>
      </c>
      <c r="Q383" t="s">
        <v>124</v>
      </c>
      <c r="R383" t="str">
        <f>HYPERLINK("https://d28ji4sm1vmprj.cloudfront.net/09622a2bb466dfd1cdfb85ce6a712a4c/080b534903fe5ecae6d56f3611cbeb01.jpeg", "Ссылка на план")</f>
        <v>Ссылка на план</v>
      </c>
      <c r="S383" s="1">
        <v>43610.842453703706</v>
      </c>
      <c r="T383" s="1">
        <v>43610.842557870368</v>
      </c>
      <c r="U383" s="1">
        <v>43610.842581018522</v>
      </c>
      <c r="W383" s="1">
        <v>43610.844166666669</v>
      </c>
      <c r="X383" t="s">
        <v>2421</v>
      </c>
      <c r="AA383" t="s">
        <v>2660</v>
      </c>
      <c r="AB383" t="s">
        <v>2661</v>
      </c>
      <c r="AC383" t="s">
        <v>2662</v>
      </c>
      <c r="AD383" t="s">
        <v>2663</v>
      </c>
      <c r="AE383" t="s">
        <v>2664</v>
      </c>
      <c r="AF383" t="s">
        <v>2665</v>
      </c>
      <c r="AG383" t="s">
        <v>2666</v>
      </c>
      <c r="BF383" t="s">
        <v>1104</v>
      </c>
      <c r="BG383" t="s">
        <v>167</v>
      </c>
      <c r="BH383" t="s">
        <v>2667</v>
      </c>
      <c r="BI383" t="s">
        <v>2668</v>
      </c>
      <c r="BJ383" t="s">
        <v>2669</v>
      </c>
      <c r="BK383" t="s">
        <v>2313</v>
      </c>
      <c r="BL383" t="s">
        <v>2670</v>
      </c>
      <c r="BM383" t="str">
        <f>HYPERLINK("https://d33htgqikc2pj4.cloudfront.net/e84dcc88-8111-4554-9455-6dbabe9e9223.jpeg", "Андрей Денисов: Ссылка на изображение")</f>
        <v>Андрей Денисов: Ссылка на изображение</v>
      </c>
      <c r="BN383" t="str">
        <f>HYPERLINK("https://d33htgqikc2pj4.cloudfront.net/694dead7-63dc-412a-a49f-254577867db2.jpeg", "Андрей Денисов: Ссылка на изображение")</f>
        <v>Андрей Денисов: Ссылка на изображение</v>
      </c>
      <c r="BO383" t="str">
        <f>HYPERLINK("https://d33htgqikc2pj4.cloudfront.net/d55017d1-c3dc-4a9a-8432-eb6909b19ba9.jpeg", "Андрей Денисов: Ссылка на изображение")</f>
        <v>Андрей Денисов: Ссылка на изображение</v>
      </c>
      <c r="BP383" t="str">
        <f>HYPERLINK("https://d33htgqikc2pj4.cloudfront.net/29af785f-553c-41c9-a7aa-65d243e1d59a.jpeg", "Андрей Денисов: Ссылка на изображение")</f>
        <v>Андрей Денисов: Ссылка на изображение</v>
      </c>
      <c r="BQ383" t="str">
        <f>HYPERLINK("https://d33htgqikc2pj4.cloudfront.net/5ec004b3-5a6d-44f6-80fd-80ffece18f2c.jpeg", "Андрей Денисов: Ссылка на изображение")</f>
        <v>Андрей Денисов: Ссылка на изображение</v>
      </c>
      <c r="BR383" t="str">
        <f>HYPERLINK("https://d33htgqikc2pj4.cloudfront.net/e952d839-52b3-4045-8d10-b411bfff6500.jpeg", "Андрей Денисов: Ссылка на изображение")</f>
        <v>Андрей Денисов: Ссылка на изображение</v>
      </c>
      <c r="BS383" t="str">
        <f>HYPERLINK("https://d33htgqikc2pj4.cloudfront.net/77aa0484-91e9-44be-8b50-19026e653245.jpeg", "Андрей Денисов: Ссылка на изображение")</f>
        <v>Андрей Денисов: Ссылка на изображение</v>
      </c>
      <c r="BT383" t="str">
        <f>HYPERLINK("https://d33htgqikc2pj4.cloudfront.net/2d6e9b95-fae1-487d-bcbd-3e5a28dd5e14.jpeg", "Андрей Денисов: Ссылка на изображение")</f>
        <v>Андрей Денисов: Ссылка на изображение</v>
      </c>
      <c r="BU383" t="str">
        <f>HYPERLINK("https://d33htgqikc2pj4.cloudfront.net/9ae611eb-6e6f-4f61-8774-66f716ec4c82.jpeg", "Андрей Денисов: Ссылка на изображение")</f>
        <v>Андрей Денисов: Ссылка на изображение</v>
      </c>
      <c r="BV383" t="str">
        <f>HYPERLINK("https://d33htgqikc2pj4.cloudfront.net/884c882b-dd54-4d38-9ae8-26f9d88f3d9d.jpeg", "Андрей Денисов: Ссылка на изображение")</f>
        <v>Андрей Денисов: Ссылка на изображение</v>
      </c>
      <c r="BW383" t="str">
        <f>HYPERLINK("https://d33htgqikc2pj4.cloudfront.net/ee4ea7fb-1b69-4bd7-8cb4-047c414bb9b2.jpeg", "Андрей Денисов: Ссылка на изображение")</f>
        <v>Андрей Денисов: Ссылка на изображение</v>
      </c>
    </row>
    <row r="384" spans="1:75" ht="15" customHeight="1" x14ac:dyDescent="0.35">
      <c r="A384">
        <v>59</v>
      </c>
      <c r="B384" t="s">
        <v>1300</v>
      </c>
      <c r="C384">
        <v>2</v>
      </c>
      <c r="D384" t="str">
        <f>VLOOKUP(source[[#This Row],[Приоритет]],тПриоритеты[],2,0)</f>
        <v>Значительное</v>
      </c>
      <c r="E3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4" t="s">
        <v>2273</v>
      </c>
      <c r="G384" t="s">
        <v>157</v>
      </c>
      <c r="H384" t="str">
        <f>VLOOKUP(source[[#This Row],[Отвественный]],тОтветственные[],2,0)</f>
        <v>Отв13</v>
      </c>
      <c r="I384" s="2">
        <v>43585</v>
      </c>
      <c r="J384" s="2">
        <v>43585</v>
      </c>
      <c r="K384" t="s">
        <v>274</v>
      </c>
      <c r="L384">
        <v>0</v>
      </c>
      <c r="M384">
        <v>0</v>
      </c>
      <c r="N384" t="s">
        <v>213</v>
      </c>
      <c r="Q384" t="s">
        <v>124</v>
      </c>
      <c r="R384" t="str">
        <f>HYPERLINK("https://d28ji4sm1vmprj.cloudfront.net/355a08c081c3838ab5b858f428b86049/8945c7522deb0c15488ad801990cffed.jpeg", "Ссылка на план")</f>
        <v>Ссылка на план</v>
      </c>
      <c r="S384" s="1">
        <v>43585.604456018518</v>
      </c>
      <c r="T384" s="1">
        <v>43585.605081018519</v>
      </c>
      <c r="U384" s="1">
        <v>43585.605081018519</v>
      </c>
      <c r="W384" s="1">
        <v>43585.605081018519</v>
      </c>
      <c r="X384" t="s">
        <v>1204</v>
      </c>
      <c r="Z384" t="s">
        <v>1299</v>
      </c>
      <c r="AA384" t="s">
        <v>2671</v>
      </c>
      <c r="AB384" t="s">
        <v>2672</v>
      </c>
      <c r="AC384" t="s">
        <v>2673</v>
      </c>
      <c r="AD384" t="s">
        <v>2674</v>
      </c>
      <c r="AE384" t="s">
        <v>2675</v>
      </c>
      <c r="AF384" t="s">
        <v>2676</v>
      </c>
      <c r="BF384" t="s">
        <v>2321</v>
      </c>
      <c r="BG384" t="s">
        <v>2313</v>
      </c>
      <c r="BH384" t="s">
        <v>1262</v>
      </c>
      <c r="BI384" t="s">
        <v>167</v>
      </c>
      <c r="BJ384" t="str">
        <f>HYPERLINK("https://d33htgqikc2pj4.cloudfront.net/11c070ab-e1b3-467e-b128-68289e3279a5.jpeg", "Андрей Денисов: Ссылка на изображение")</f>
        <v>Андрей Денисов: Ссылка на изображение</v>
      </c>
      <c r="BK384" t="str">
        <f>HYPERLINK("https://d33htgqikc2pj4.cloudfront.net/b603a366-0d7d-4f6b-bbb8-1a7119aa5f87.jpeg", "Андрей Денисов: Ссылка на изображение")</f>
        <v>Андрей Денисов: Ссылка на изображение</v>
      </c>
      <c r="BL384" t="str">
        <f>HYPERLINK("https://d33htgqikc2pj4.cloudfront.net/f5990601-566e-464b-ae25-a9ba56cefab4.jpeg", "Андрей Денисов: Ссылка на изображение")</f>
        <v>Андрей Денисов: Ссылка на изображение</v>
      </c>
      <c r="BM384" t="str">
        <f>HYPERLINK("https://d33htgqikc2pj4.cloudfront.net/165db54c-4a50-44e3-95d7-7e89ae8d1273.jpeg", "Андрей Денисов: Ссылка на изображение")</f>
        <v>Андрей Денисов: Ссылка на изображение</v>
      </c>
      <c r="BN384" t="str">
        <f>HYPERLINK("https://d33htgqikc2pj4.cloudfront.net/a5ef38a5-6479-488a-af10-4696003b1c7d.jpeg", "Андрей Денисов: Ссылка на изображение")</f>
        <v>Андрей Денисов: Ссылка на изображение</v>
      </c>
      <c r="BO384" t="str">
        <f>HYPERLINK("https://d33htgqikc2pj4.cloudfront.net/7044eb29-48d2-4559-a5f7-56aac02fdd7c.jpeg", "Андрей Денисов: Ссылка на изображение")</f>
        <v>Андрей Денисов: Ссылка на изображение</v>
      </c>
    </row>
    <row r="385" spans="1:73" ht="15" customHeight="1" x14ac:dyDescent="0.35">
      <c r="A385">
        <v>60</v>
      </c>
      <c r="B385" t="s">
        <v>1261</v>
      </c>
      <c r="C385">
        <v>2</v>
      </c>
      <c r="D385" t="str">
        <f>VLOOKUP(source[[#This Row],[Приоритет]],тПриоритеты[],2,0)</f>
        <v>Значительное</v>
      </c>
      <c r="E3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5" t="s">
        <v>2273</v>
      </c>
      <c r="G385" t="s">
        <v>157</v>
      </c>
      <c r="H385" t="str">
        <f>VLOOKUP(source[[#This Row],[Отвественный]],тОтветственные[],2,0)</f>
        <v>Отв13</v>
      </c>
      <c r="I385" s="2">
        <v>43585</v>
      </c>
      <c r="J385" s="2">
        <v>43585</v>
      </c>
      <c r="K385" t="s">
        <v>158</v>
      </c>
      <c r="L385">
        <v>0</v>
      </c>
      <c r="M385">
        <v>0</v>
      </c>
      <c r="N385" t="s">
        <v>159</v>
      </c>
      <c r="Q385" t="s">
        <v>124</v>
      </c>
      <c r="R385" t="str">
        <f>HYPERLINK("https://d28ji4sm1vmprj.cloudfront.net/09622a2bb466dfd1cdfb85ce6a712a4c/080b534903fe5ecae6d56f3611cbeb01.jpeg", "Ссылка на план")</f>
        <v>Ссылка на план</v>
      </c>
      <c r="S385" s="1">
        <v>43585.608194444445</v>
      </c>
      <c r="T385" s="1">
        <v>43585.608263888891</v>
      </c>
      <c r="U385" s="1">
        <v>43585.608263888891</v>
      </c>
      <c r="W385" s="1">
        <v>43585.616562499999</v>
      </c>
      <c r="X385" t="s">
        <v>2421</v>
      </c>
      <c r="Z385" t="s">
        <v>1260</v>
      </c>
      <c r="AA385" t="s">
        <v>2677</v>
      </c>
      <c r="AB385" t="s">
        <v>2678</v>
      </c>
      <c r="AC385" t="s">
        <v>2679</v>
      </c>
      <c r="AD385" t="s">
        <v>2680</v>
      </c>
      <c r="AE385" t="s">
        <v>2681</v>
      </c>
      <c r="AF385" t="s">
        <v>2682</v>
      </c>
      <c r="AG385" t="s">
        <v>2683</v>
      </c>
      <c r="BF385" t="s">
        <v>167</v>
      </c>
      <c r="BG385" t="s">
        <v>2684</v>
      </c>
      <c r="BH385" t="s">
        <v>2313</v>
      </c>
      <c r="BI385" t="s">
        <v>1262</v>
      </c>
      <c r="BJ385" t="str">
        <f>HYPERLINK("https://d33htgqikc2pj4.cloudfront.net/79e60b88-9d39-4414-a105-7dd0b866e7e2.jpeg", "Андрей Денисов: Ссылка на изображение")</f>
        <v>Андрей Денисов: Ссылка на изображение</v>
      </c>
      <c r="BK385" t="str">
        <f>HYPERLINK("https://d33htgqikc2pj4.cloudfront.net/8a5df4f4-8c7f-46df-934d-747cdc3ee508.jpeg", "Андрей Денисов: Ссылка на изображение")</f>
        <v>Андрей Денисов: Ссылка на изображение</v>
      </c>
      <c r="BL385" t="str">
        <f>HYPERLINK("https://d33htgqikc2pj4.cloudfront.net/dc208259-3c83-4010-bd20-f4826aeeb07d.jpeg", "Андрей Денисов: Ссылка на изображение")</f>
        <v>Андрей Денисов: Ссылка на изображение</v>
      </c>
      <c r="BM385" t="str">
        <f>HYPERLINK("https://d33htgqikc2pj4.cloudfront.net/7c747f03-87a6-4bcf-96b8-ef69f1c1140a.jpeg", "Андрей Денисов: Ссылка на изображение")</f>
        <v>Андрей Денисов: Ссылка на изображение</v>
      </c>
      <c r="BN385" t="str">
        <f>HYPERLINK("https://d33htgqikc2pj4.cloudfront.net/f07d0c4b-7417-47b1-893c-2a8ec82f284e.jpeg", "Андрей Денисов: Ссылка на изображение")</f>
        <v>Андрей Денисов: Ссылка на изображение</v>
      </c>
      <c r="BO385" t="str">
        <f>HYPERLINK("https://d33htgqikc2pj4.cloudfront.net/24a82d9d-8074-41bf-aa15-781d27bc298a.jpeg", "Андрей Денисов: Ссылка на изображение")</f>
        <v>Андрей Денисов: Ссылка на изображение</v>
      </c>
      <c r="BP385" t="str">
        <f>HYPERLINK("https://d33htgqikc2pj4.cloudfront.net/326ebd22-00a5-4678-a1ee-dcd35015ede4.jpeg", "Андрей Денисов: Ссылка на изображение")</f>
        <v>Андрей Денисов: Ссылка на изображение</v>
      </c>
      <c r="BQ385" t="str">
        <f>HYPERLINK("https://d33htgqikc2pj4.cloudfront.net/a4950c50-7152-4112-9c11-e309895e2dae.jpeg", "Андрей Денисов: Ссылка на изображение")</f>
        <v>Андрей Денисов: Ссылка на изображение</v>
      </c>
      <c r="BR385" t="s">
        <v>2685</v>
      </c>
    </row>
    <row r="386" spans="1:73" ht="15" customHeight="1" x14ac:dyDescent="0.35">
      <c r="A386">
        <v>106</v>
      </c>
      <c r="B386" t="s">
        <v>2686</v>
      </c>
      <c r="C386">
        <v>2</v>
      </c>
      <c r="D386" t="str">
        <f>VLOOKUP(source[[#This Row],[Приоритет]],тПриоритеты[],2,0)</f>
        <v>Значительное</v>
      </c>
      <c r="E3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6" t="s">
        <v>2273</v>
      </c>
      <c r="G386" t="s">
        <v>157</v>
      </c>
      <c r="H386" t="str">
        <f>VLOOKUP(source[[#This Row],[Отвественный]],тОтветственные[],2,0)</f>
        <v>Отв13</v>
      </c>
      <c r="I386" s="2">
        <v>43610</v>
      </c>
      <c r="J386" s="2">
        <v>43610</v>
      </c>
      <c r="K386" t="s">
        <v>158</v>
      </c>
      <c r="L386">
        <v>0</v>
      </c>
      <c r="M386">
        <v>0</v>
      </c>
      <c r="N386" t="s">
        <v>531</v>
      </c>
      <c r="Q386" t="s">
        <v>124</v>
      </c>
      <c r="R386" t="str">
        <f>HYPERLINK("https://d28ji4sm1vmprj.cloudfront.net/09622a2bb466dfd1cdfb85ce6a712a4c/080b534903fe5ecae6d56f3611cbeb01.jpeg", "Ссылка на план")</f>
        <v>Ссылка на план</v>
      </c>
      <c r="S386" s="1">
        <v>43610.911574074074</v>
      </c>
      <c r="T386" s="1">
        <v>43610.912210648145</v>
      </c>
      <c r="U386" s="1">
        <v>43610.912210648145</v>
      </c>
      <c r="W386" s="1">
        <v>43610.913310185184</v>
      </c>
      <c r="BF386" t="s">
        <v>167</v>
      </c>
      <c r="BG386" t="s">
        <v>2687</v>
      </c>
      <c r="BH386" t="s">
        <v>2670</v>
      </c>
      <c r="BI386" t="str">
        <f>HYPERLINK("https://d33htgqikc2pj4.cloudfront.net/5c989b67-a33e-4249-9851-f76680f32866.jpeg", "Андрей Денисов: Ссылка на изображение")</f>
        <v>Андрей Денисов: Ссылка на изображение</v>
      </c>
      <c r="BJ386" t="str">
        <f>HYPERLINK("https://d33htgqikc2pj4.cloudfront.net/0f19fb2f-b9f9-4f6c-9241-96c122516942.jpeg", "Андрей Денисов: Ссылка на изображение")</f>
        <v>Андрей Денисов: Ссылка на изображение</v>
      </c>
      <c r="BK386" t="str">
        <f>HYPERLINK("https://d33htgqikc2pj4.cloudfront.net/410ac0d6-144b-4b3d-88a7-82651d847b7c.jpeg", "Андрей Денисов: Ссылка на изображение")</f>
        <v>Андрей Денисов: Ссылка на изображение</v>
      </c>
      <c r="BL386" t="str">
        <f>HYPERLINK("https://d33htgqikc2pj4.cloudfront.net/8bf8c9a5-caf0-4c63-9c5b-369dec477f37.jpeg", "Андрей Денисов: Ссылка на изображение")</f>
        <v>Андрей Денисов: Ссылка на изображение</v>
      </c>
    </row>
    <row r="387" spans="1:73" ht="15" customHeight="1" x14ac:dyDescent="0.35">
      <c r="A387">
        <v>155</v>
      </c>
      <c r="B387" t="s">
        <v>2688</v>
      </c>
      <c r="C387">
        <v>2</v>
      </c>
      <c r="D387" t="str">
        <f>VLOOKUP(source[[#This Row],[Приоритет]],тПриоритеты[],2,0)</f>
        <v>Значительное</v>
      </c>
      <c r="E3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7" t="s">
        <v>2273</v>
      </c>
      <c r="G387" t="s">
        <v>157</v>
      </c>
      <c r="H387" t="str">
        <f>VLOOKUP(source[[#This Row],[Отвественный]],тОтветственные[],2,0)</f>
        <v>Отв13</v>
      </c>
      <c r="I387" s="2">
        <v>43636</v>
      </c>
      <c r="J387" s="2">
        <v>43636</v>
      </c>
      <c r="K387" t="s">
        <v>122</v>
      </c>
      <c r="L387">
        <v>0</v>
      </c>
      <c r="M387">
        <v>0</v>
      </c>
      <c r="N387" t="s">
        <v>123</v>
      </c>
      <c r="Q387" t="s">
        <v>124</v>
      </c>
      <c r="R387" t="str">
        <f>HYPERLINK("https://d28ji4sm1vmprj.cloudfront.net/78b1fbd1c87eb90dac050448d7e72c8d/a7fb9bbb452cbb899c601a0b8b67fd7d.jpeg", "Ссылка на план")</f>
        <v>Ссылка на план</v>
      </c>
      <c r="S387" s="1">
        <v>43637.376446759263</v>
      </c>
      <c r="T387" s="1">
        <v>43637.376504629632</v>
      </c>
      <c r="U387" s="1">
        <v>43637.376504629632</v>
      </c>
      <c r="W387" s="1">
        <v>43637.378657407404</v>
      </c>
      <c r="X387" t="s">
        <v>2302</v>
      </c>
      <c r="AA387" t="s">
        <v>2689</v>
      </c>
      <c r="AB387" t="s">
        <v>2690</v>
      </c>
      <c r="AC387" t="s">
        <v>2691</v>
      </c>
      <c r="AD387" t="s">
        <v>2692</v>
      </c>
      <c r="AE387" t="s">
        <v>2693</v>
      </c>
      <c r="AF387" t="s">
        <v>2694</v>
      </c>
      <c r="AG387" t="s">
        <v>2695</v>
      </c>
      <c r="AH387" t="s">
        <v>2696</v>
      </c>
      <c r="AI387" t="s">
        <v>2697</v>
      </c>
      <c r="BF387" t="s">
        <v>167</v>
      </c>
      <c r="BG387" t="s">
        <v>2698</v>
      </c>
      <c r="BH387" t="s">
        <v>2699</v>
      </c>
      <c r="BI387" t="str">
        <f>HYPERLINK("https://d33htgqikc2pj4.cloudfront.net/ddde4af0-44e6-4b63-9ac3-2c71eac31362.jpeg", "Андрей Денисов: Ссылка на изображение")</f>
        <v>Андрей Денисов: Ссылка на изображение</v>
      </c>
      <c r="BJ387" t="str">
        <f>HYPERLINK("https://d33htgqikc2pj4.cloudfront.net/f8c550a3-ff54-491d-a557-ba79a86562fc.jpeg", "Андрей Денисов: Ссылка на изображение")</f>
        <v>Андрей Денисов: Ссылка на изображение</v>
      </c>
      <c r="BK387" t="str">
        <f>HYPERLINK("https://d33htgqikc2pj4.cloudfront.net/1a285ec7-1c94-4107-9bf7-8f2a2bc4caa5.jpeg", "Андрей Денисов: Ссылка на изображение")</f>
        <v>Андрей Денисов: Ссылка на изображение</v>
      </c>
    </row>
    <row r="388" spans="1:73" ht="15" customHeight="1" x14ac:dyDescent="0.35">
      <c r="A388">
        <v>263</v>
      </c>
      <c r="B388" t="s">
        <v>2700</v>
      </c>
      <c r="C388">
        <v>2</v>
      </c>
      <c r="D388" t="str">
        <f>VLOOKUP(source[[#This Row],[Приоритет]],тПриоритеты[],2,0)</f>
        <v>Значительное</v>
      </c>
      <c r="E3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8" t="s">
        <v>2273</v>
      </c>
      <c r="G388" t="s">
        <v>157</v>
      </c>
      <c r="H388" t="str">
        <f>VLOOKUP(source[[#This Row],[Отвественный]],тОтветственные[],2,0)</f>
        <v>Отв13</v>
      </c>
      <c r="I388" s="2">
        <v>43662</v>
      </c>
      <c r="J388" s="2">
        <v>43662</v>
      </c>
      <c r="K388" t="s">
        <v>104</v>
      </c>
      <c r="L388">
        <v>0</v>
      </c>
      <c r="M388">
        <v>0</v>
      </c>
      <c r="N388" t="s">
        <v>105</v>
      </c>
      <c r="Q388" t="s">
        <v>106</v>
      </c>
      <c r="R388" t="str">
        <f>HYPERLINK("https://d28ji4sm1vmprj.cloudfront.net/e7a526a7220c3bc5cfeeb407c455c0b3/580ffb055aff8ee0c88c6e676cfba776.jpeg", "Ссылка на план")</f>
        <v>Ссылка на план</v>
      </c>
      <c r="S388" s="1">
        <v>43662.946979166663</v>
      </c>
      <c r="T388" s="1">
        <v>43662.947465277779</v>
      </c>
      <c r="U388" s="1">
        <v>43662.947465277779</v>
      </c>
      <c r="W388" s="1">
        <v>43662.94798611111</v>
      </c>
      <c r="X388" t="s">
        <v>302</v>
      </c>
      <c r="AA388" t="s">
        <v>2701</v>
      </c>
      <c r="AB388" t="s">
        <v>2702</v>
      </c>
      <c r="AC388" t="s">
        <v>2703</v>
      </c>
      <c r="AD388" t="s">
        <v>2704</v>
      </c>
      <c r="AE388" t="s">
        <v>2705</v>
      </c>
      <c r="AF388" t="s">
        <v>2706</v>
      </c>
      <c r="BF388" t="s">
        <v>167</v>
      </c>
      <c r="BG388" t="s">
        <v>2707</v>
      </c>
      <c r="BH388" t="s">
        <v>2708</v>
      </c>
      <c r="BI388" t="str">
        <f>HYPERLINK("https://d33htgqikc2pj4.cloudfront.net/bd0f3d4e-f34f-4a38-b8c7-18d96e6d1e85.jpeg", "Андрей Денисов: Ссылка на изображение")</f>
        <v>Андрей Денисов: Ссылка на изображение</v>
      </c>
      <c r="BJ388" t="str">
        <f>HYPERLINK("https://d33htgqikc2pj4.cloudfront.net/604a97c7-8a30-4390-a7ff-b37ed9f8098c.jpeg", "Андрей Денисов: Ссылка на изображение")</f>
        <v>Андрей Денисов: Ссылка на изображение</v>
      </c>
      <c r="BK388" t="str">
        <f>HYPERLINK("https://d33htgqikc2pj4.cloudfront.net/35d2abab-e73e-4b47-a1dd-5914df13f9f1.jpeg", "Андрей Денисов: Ссылка на изображение")</f>
        <v>Андрей Денисов: Ссылка на изображение</v>
      </c>
      <c r="BL388" t="str">
        <f>HYPERLINK("https://d33htgqikc2pj4.cloudfront.net/8b38c1a7-1aa5-481f-8b79-9e8a7c83b8ad.jpeg", "Андрей Денисов: Ссылка на изображение")</f>
        <v>Андрей Денисов: Ссылка на изображение</v>
      </c>
    </row>
    <row r="389" spans="1:73" ht="15" customHeight="1" x14ac:dyDescent="0.35">
      <c r="A389">
        <v>790</v>
      </c>
      <c r="B389" t="s">
        <v>2359</v>
      </c>
      <c r="C389">
        <v>2</v>
      </c>
      <c r="D389" t="str">
        <f>VLOOKUP(source[[#This Row],[Приоритет]],тПриоритеты[],2,0)</f>
        <v>Значительное</v>
      </c>
      <c r="E3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89" t="s">
        <v>2273</v>
      </c>
      <c r="G389" t="s">
        <v>157</v>
      </c>
      <c r="H389" t="str">
        <f>VLOOKUP(source[[#This Row],[Отвественный]],тОтветственные[],2,0)</f>
        <v>Отв13</v>
      </c>
      <c r="I389" s="2">
        <v>43817</v>
      </c>
      <c r="J389" s="2">
        <v>43817</v>
      </c>
      <c r="K389" t="s">
        <v>2349</v>
      </c>
      <c r="L389">
        <v>40.71</v>
      </c>
      <c r="M389">
        <v>24.94</v>
      </c>
      <c r="N389" t="s">
        <v>213</v>
      </c>
      <c r="Q389" t="s">
        <v>106</v>
      </c>
      <c r="R389" t="str">
        <f>HYPERLINK("https://d28ji4sm1vmprj.cloudfront.net/6b0dc9e799f98d5c9a0a0ab863394e9c/e9ac1857a23bf9d0a66df9e04e6ec937.jpeg", "Ссылка на план")</f>
        <v>Ссылка на план</v>
      </c>
      <c r="S389" s="1">
        <v>43817.748136574075</v>
      </c>
      <c r="T389" s="1">
        <v>43811.776759259257</v>
      </c>
      <c r="U389" s="1">
        <v>43811.776759259257</v>
      </c>
      <c r="W389" s="1">
        <v>43817.748217592591</v>
      </c>
      <c r="X389" t="s">
        <v>2350</v>
      </c>
      <c r="AA389" t="s">
        <v>2709</v>
      </c>
      <c r="AB389" t="s">
        <v>2710</v>
      </c>
      <c r="AC389" t="s">
        <v>2711</v>
      </c>
      <c r="AD389" t="s">
        <v>2712</v>
      </c>
      <c r="AE389" t="s">
        <v>2713</v>
      </c>
      <c r="AF389" s="3" t="s">
        <v>2714</v>
      </c>
      <c r="BF389" t="s">
        <v>2715</v>
      </c>
      <c r="BG389" t="str">
        <f>HYPERLINK("https://d33htgqikc2pj4.cloudfront.net/ee955f0a804683e14a934b5be14b7c15/8ed520b3e4ddb0eeca720534e8e9cdf0-file.jpeg", "Андрей Денисов: Ссылка на изображение")</f>
        <v>Андрей Денисов: Ссылка на изображение</v>
      </c>
      <c r="BH389" t="str">
        <f>HYPERLINK("https://d33htgqikc2pj4.cloudfront.net/54dc8178d72b0d2bde972c8b17b90426/10e095ce2d0c26a2ec702aa351ee3849-file.jpeg", "Андрей Денисов: Ссылка на изображение")</f>
        <v>Андрей Денисов: Ссылка на изображение</v>
      </c>
    </row>
    <row r="390" spans="1:73" ht="15" customHeight="1" x14ac:dyDescent="0.35">
      <c r="A390">
        <v>117</v>
      </c>
      <c r="B390" t="s">
        <v>2716</v>
      </c>
      <c r="C390">
        <v>2</v>
      </c>
      <c r="D390" t="str">
        <f>VLOOKUP(source[[#This Row],[Приоритет]],тПриоритеты[],2,0)</f>
        <v>Значительное</v>
      </c>
      <c r="E3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0" t="s">
        <v>2273</v>
      </c>
      <c r="G390" t="s">
        <v>157</v>
      </c>
      <c r="H390" t="str">
        <f>VLOOKUP(source[[#This Row],[Отвественный]],тОтветственные[],2,0)</f>
        <v>Отв13</v>
      </c>
      <c r="I390" s="2">
        <v>43620</v>
      </c>
      <c r="J390" s="2">
        <v>43620</v>
      </c>
      <c r="K390" t="s">
        <v>158</v>
      </c>
      <c r="L390">
        <v>0</v>
      </c>
      <c r="M390">
        <v>0</v>
      </c>
      <c r="N390" t="s">
        <v>213</v>
      </c>
      <c r="Q390" t="s">
        <v>124</v>
      </c>
      <c r="R390" t="str">
        <f>HYPERLINK("https://d28ji4sm1vmprj.cloudfront.net/09622a2bb466dfd1cdfb85ce6a712a4c/080b534903fe5ecae6d56f3611cbeb01.jpeg", "Ссылка на план")</f>
        <v>Ссылка на план</v>
      </c>
      <c r="S390" s="1">
        <v>43620.711493055554</v>
      </c>
      <c r="T390" s="1">
        <v>43620.711469907408</v>
      </c>
      <c r="U390" s="1">
        <v>43620.711469907408</v>
      </c>
      <c r="W390" s="1">
        <v>43620.71361111111</v>
      </c>
      <c r="X390" t="s">
        <v>1204</v>
      </c>
      <c r="AA390" t="s">
        <v>2717</v>
      </c>
      <c r="AB390" t="s">
        <v>2718</v>
      </c>
      <c r="AC390" t="s">
        <v>2719</v>
      </c>
      <c r="AD390" t="s">
        <v>2720</v>
      </c>
      <c r="AE390" t="s">
        <v>2721</v>
      </c>
      <c r="AF390" t="s">
        <v>2722</v>
      </c>
      <c r="BF390" t="s">
        <v>167</v>
      </c>
      <c r="BG390" t="s">
        <v>2723</v>
      </c>
      <c r="BH390" t="s">
        <v>2724</v>
      </c>
      <c r="BI390" t="str">
        <f>HYPERLINK("https://d33htgqikc2pj4.cloudfront.net/16df565b-bfd9-4ec6-af55-68b25831c0f1.jpeg", "Андрей Денисов: Ссылка на изображение")</f>
        <v>Андрей Денисов: Ссылка на изображение</v>
      </c>
      <c r="BJ390" t="str">
        <f>HYPERLINK("https://d33htgqikc2pj4.cloudfront.net/8f173b5f-0800-4221-96e2-1e7f154dd873.jpeg", "Андрей Денисов: Ссылка на изображение")</f>
        <v>Андрей Денисов: Ссылка на изображение</v>
      </c>
      <c r="BK390" t="str">
        <f>HYPERLINK("https://d33htgqikc2pj4.cloudfront.net/dd64d049-c77e-48d9-8e3a-7db9a01ac712.jpeg", "Андрей Денисов: Ссылка на изображение")</f>
        <v>Андрей Денисов: Ссылка на изображение</v>
      </c>
    </row>
    <row r="391" spans="1:73" ht="15" customHeight="1" x14ac:dyDescent="0.35">
      <c r="A391">
        <v>272</v>
      </c>
      <c r="B391" t="s">
        <v>2725</v>
      </c>
      <c r="C391">
        <v>2</v>
      </c>
      <c r="D391" t="str">
        <f>VLOOKUP(source[[#This Row],[Приоритет]],тПриоритеты[],2,0)</f>
        <v>Значительное</v>
      </c>
      <c r="E3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1" t="s">
        <v>2273</v>
      </c>
      <c r="G391" t="s">
        <v>157</v>
      </c>
      <c r="H391" t="str">
        <f>VLOOKUP(source[[#This Row],[Отвественный]],тОтветственные[],2,0)</f>
        <v>Отв13</v>
      </c>
      <c r="I391" s="2">
        <v>43664</v>
      </c>
      <c r="J391" s="2">
        <v>43664</v>
      </c>
      <c r="K391" t="s">
        <v>122</v>
      </c>
      <c r="L391">
        <v>30.7</v>
      </c>
      <c r="M391">
        <v>16.850000000000001</v>
      </c>
      <c r="N391" t="s">
        <v>123</v>
      </c>
      <c r="Q391" t="s">
        <v>124</v>
      </c>
      <c r="R391" t="str">
        <f>HYPERLINK("https://d28ji4sm1vmprj.cloudfront.net/78b1fbd1c87eb90dac050448d7e72c8d/a7fb9bbb452cbb899c601a0b8b67fd7d.jpeg", "Ссылка на план")</f>
        <v>Ссылка на план</v>
      </c>
      <c r="S391" s="1">
        <v>43664.678171296298</v>
      </c>
      <c r="T391" s="1">
        <v>43664.678194444445</v>
      </c>
      <c r="U391" s="1">
        <v>43664.678194444445</v>
      </c>
      <c r="W391" s="1">
        <v>43664.679166666669</v>
      </c>
      <c r="X391" t="s">
        <v>2290</v>
      </c>
      <c r="AA391" t="s">
        <v>2726</v>
      </c>
      <c r="AB391" t="s">
        <v>2727</v>
      </c>
      <c r="AC391" t="s">
        <v>2728</v>
      </c>
      <c r="AD391" t="s">
        <v>2729</v>
      </c>
      <c r="AE391" t="s">
        <v>2730</v>
      </c>
      <c r="AF391" t="s">
        <v>2731</v>
      </c>
      <c r="AG391" t="s">
        <v>2732</v>
      </c>
      <c r="AH391" t="s">
        <v>2733</v>
      </c>
      <c r="AI391" t="s">
        <v>2734</v>
      </c>
      <c r="BF391" t="s">
        <v>167</v>
      </c>
      <c r="BG391" t="s">
        <v>2735</v>
      </c>
      <c r="BH391" t="s">
        <v>2313</v>
      </c>
      <c r="BI391" t="s">
        <v>290</v>
      </c>
      <c r="BJ391" t="str">
        <f>HYPERLINK("https://d33htgqikc2pj4.cloudfront.net/68136b35-f8fb-4b1c-86af-fe085f7a93fa.jpeg", "Андрей Денисов: Ссылка на изображение")</f>
        <v>Андрей Денисов: Ссылка на изображение</v>
      </c>
      <c r="BK391" t="s">
        <v>171</v>
      </c>
      <c r="BL391" t="str">
        <f>HYPERLINK("https://d33htgqikc2pj4.cloudfront.net/ca3438bc-4b00-449d-ad1e-c7ef71075031.jpeg", "Андрей Денисов: Ссылка на изображение")</f>
        <v>Андрей Денисов: Ссылка на изображение</v>
      </c>
    </row>
    <row r="392" spans="1:73" ht="15" customHeight="1" x14ac:dyDescent="0.35">
      <c r="A392">
        <v>276</v>
      </c>
      <c r="B392" t="s">
        <v>2736</v>
      </c>
      <c r="C392">
        <v>2</v>
      </c>
      <c r="D392" t="str">
        <f>VLOOKUP(source[[#This Row],[Приоритет]],тПриоритеты[],2,0)</f>
        <v>Значительное</v>
      </c>
      <c r="E3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2" t="s">
        <v>2273</v>
      </c>
      <c r="G392" t="s">
        <v>157</v>
      </c>
      <c r="H392" t="str">
        <f>VLOOKUP(source[[#This Row],[Отвественный]],тОтветственные[],2,0)</f>
        <v>Отв13</v>
      </c>
      <c r="I392" s="2">
        <v>43665</v>
      </c>
      <c r="J392" s="2">
        <v>43665</v>
      </c>
      <c r="K392" t="s">
        <v>122</v>
      </c>
      <c r="L392">
        <v>31.12</v>
      </c>
      <c r="M392">
        <v>16.07</v>
      </c>
      <c r="N392" t="s">
        <v>123</v>
      </c>
      <c r="Q392" t="s">
        <v>124</v>
      </c>
      <c r="R392" t="str">
        <f>HYPERLINK("https://d28ji4sm1vmprj.cloudfront.net/78b1fbd1c87eb90dac050448d7e72c8d/a7fb9bbb452cbb899c601a0b8b67fd7d.jpeg", "Ссылка на план")</f>
        <v>Ссылка на план</v>
      </c>
      <c r="S392" s="1">
        <v>43665.682060185187</v>
      </c>
      <c r="T392" s="1">
        <v>43665.682083333333</v>
      </c>
      <c r="U392" s="1">
        <v>43665.682083333333</v>
      </c>
      <c r="W392" s="1">
        <v>43665.682303240741</v>
      </c>
      <c r="X392" t="s">
        <v>406</v>
      </c>
      <c r="Y392" t="s">
        <v>2290</v>
      </c>
      <c r="AA392" t="s">
        <v>2737</v>
      </c>
      <c r="AB392" t="s">
        <v>2738</v>
      </c>
      <c r="AC392" t="s">
        <v>2739</v>
      </c>
      <c r="AD392" t="s">
        <v>2740</v>
      </c>
      <c r="AE392" t="s">
        <v>2741</v>
      </c>
      <c r="AF392" t="s">
        <v>2742</v>
      </c>
      <c r="AG392" t="s">
        <v>2743</v>
      </c>
      <c r="AH392" t="s">
        <v>2744</v>
      </c>
      <c r="AI392" t="s">
        <v>2745</v>
      </c>
      <c r="BF392" t="s">
        <v>167</v>
      </c>
      <c r="BG392" t="s">
        <v>2746</v>
      </c>
      <c r="BH392" t="s">
        <v>2313</v>
      </c>
      <c r="BI392" t="s">
        <v>2747</v>
      </c>
      <c r="BJ392" t="s">
        <v>2748</v>
      </c>
      <c r="BK392" t="s">
        <v>2406</v>
      </c>
      <c r="BL392" t="s">
        <v>2749</v>
      </c>
      <c r="BM392" t="s">
        <v>2750</v>
      </c>
      <c r="BN392" t="s">
        <v>2751</v>
      </c>
      <c r="BO392" t="s">
        <v>2407</v>
      </c>
      <c r="BP392" t="s">
        <v>2408</v>
      </c>
      <c r="BQ392" t="str">
        <f>HYPERLINK("https://d33htgqikc2pj4.cloudfront.net/b573b2ae-7f38-43dc-9366-fd3efd17a5a6.jpeg", "Андрей Денисов: Ссылка на изображение")</f>
        <v>Андрей Денисов: Ссылка на изображение</v>
      </c>
      <c r="BR392" t="str">
        <f>HYPERLINK("https://d33htgqikc2pj4.cloudfront.net/47b937ba-2571-4163-8759-0520796f00c3.jpeg", "Андрей Денисов: Ссылка на изображение")</f>
        <v>Андрей Денисов: Ссылка на изображение</v>
      </c>
    </row>
    <row r="393" spans="1:73" ht="15" customHeight="1" x14ac:dyDescent="0.35">
      <c r="A393">
        <v>123</v>
      </c>
      <c r="B393" t="s">
        <v>2752</v>
      </c>
      <c r="C393">
        <v>2</v>
      </c>
      <c r="D393" t="str">
        <f>VLOOKUP(source[[#This Row],[Приоритет]],тПриоритеты[],2,0)</f>
        <v>Значительное</v>
      </c>
      <c r="E3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3" t="s">
        <v>2273</v>
      </c>
      <c r="G393" t="s">
        <v>157</v>
      </c>
      <c r="H393" t="str">
        <f>VLOOKUP(source[[#This Row],[Отвественный]],тОтветственные[],2,0)</f>
        <v>Отв13</v>
      </c>
      <c r="I393" s="2">
        <v>43623</v>
      </c>
      <c r="J393" s="2">
        <v>43623</v>
      </c>
      <c r="K393" t="s">
        <v>274</v>
      </c>
      <c r="L393">
        <v>0</v>
      </c>
      <c r="M393">
        <v>0</v>
      </c>
      <c r="N393" t="s">
        <v>213</v>
      </c>
      <c r="Q393" t="s">
        <v>124</v>
      </c>
      <c r="R393" t="str">
        <f>HYPERLINK("https://d28ji4sm1vmprj.cloudfront.net/355a08c081c3838ab5b858f428b86049/8945c7522deb0c15488ad801990cffed.jpeg", "Ссылка на план")</f>
        <v>Ссылка на план</v>
      </c>
      <c r="S393" s="1">
        <v>43623.526516203703</v>
      </c>
      <c r="T393" s="1">
        <v>43623.526562500003</v>
      </c>
      <c r="U393" s="1">
        <v>43623.526562500003</v>
      </c>
      <c r="W393" s="1">
        <v>43721.661863425928</v>
      </c>
      <c r="X393" t="s">
        <v>1204</v>
      </c>
      <c r="AA393" t="s">
        <v>2753</v>
      </c>
      <c r="AB393" t="s">
        <v>2754</v>
      </c>
      <c r="AC393" t="s">
        <v>2755</v>
      </c>
      <c r="AD393" t="s">
        <v>2756</v>
      </c>
      <c r="AE393" t="s">
        <v>2757</v>
      </c>
      <c r="AF393" t="s">
        <v>2758</v>
      </c>
      <c r="BF393" t="s">
        <v>167</v>
      </c>
      <c r="BG393" t="s">
        <v>2759</v>
      </c>
      <c r="BH393" t="s">
        <v>2760</v>
      </c>
      <c r="BI393" t="str">
        <f>HYPERLINK("https://d33htgqikc2pj4.cloudfront.net/1a6ad30b-87ee-42e0-b36d-7eadda507de1.jpeg", "Андрей Денисов: Ссылка на изображение")</f>
        <v>Андрей Денисов: Ссылка на изображение</v>
      </c>
      <c r="BJ393" t="str">
        <f>HYPERLINK("https://d33htgqikc2pj4.cloudfront.net/29f25d06-9be3-407f-8562-d0f246099f39.jpeg", "Андрей Денисов: Ссылка на изображение")</f>
        <v>Андрей Денисов: Ссылка на изображение</v>
      </c>
      <c r="BK393" t="str">
        <f>HYPERLINK("https://d33htgqikc2pj4.cloudfront.net/26ee91a5-5c07-4a10-947a-3b4b4005b5c5.jpeg", "Андрей Денисов: Ссылка на изображение")</f>
        <v>Андрей Денисов: Ссылка на изображение</v>
      </c>
      <c r="BL393" t="str">
        <f>HYPERLINK("https://d33htgqikc2pj4.cloudfront.net/f343ffa0-5caa-4cae-8ee9-935d18fef2e2.jpeg", "Андрей Денисов: Ссылка на изображение")</f>
        <v>Андрей Денисов: Ссылка на изображение</v>
      </c>
      <c r="BM393" t="str">
        <f>HYPERLINK("https://d33htgqikc2pj4.cloudfront.net/cf4431cc-8f6f-43cc-9d3e-9117b1cb36d3.jpeg", "Андрей Денисов: Ссылка на изображение")</f>
        <v>Андрей Денисов: Ссылка на изображение</v>
      </c>
      <c r="BN393" t="s">
        <v>2313</v>
      </c>
    </row>
    <row r="394" spans="1:73" ht="15" customHeight="1" x14ac:dyDescent="0.35">
      <c r="A394">
        <v>277</v>
      </c>
      <c r="B394" t="s">
        <v>2761</v>
      </c>
      <c r="C394">
        <v>2</v>
      </c>
      <c r="D394" t="str">
        <f>VLOOKUP(source[[#This Row],[Приоритет]],тПриоритеты[],2,0)</f>
        <v>Значительное</v>
      </c>
      <c r="E39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4" t="s">
        <v>2273</v>
      </c>
      <c r="G394" t="s">
        <v>157</v>
      </c>
      <c r="H394" t="str">
        <f>VLOOKUP(source[[#This Row],[Отвественный]],тОтветственные[],2,0)</f>
        <v>Отв13</v>
      </c>
      <c r="I394" s="2">
        <v>43665</v>
      </c>
      <c r="J394" s="2">
        <v>43665</v>
      </c>
      <c r="K394" t="s">
        <v>104</v>
      </c>
      <c r="L394">
        <v>0</v>
      </c>
      <c r="M394">
        <v>0</v>
      </c>
      <c r="N394" t="s">
        <v>105</v>
      </c>
      <c r="Q394" t="s">
        <v>106</v>
      </c>
      <c r="R394" t="str">
        <f>HYPERLINK("https://d28ji4sm1vmprj.cloudfront.net/e7a526a7220c3bc5cfeeb407c455c0b3/580ffb055aff8ee0c88c6e676cfba776.jpeg", "Ссылка на план")</f>
        <v>Ссылка на план</v>
      </c>
      <c r="S394" s="1">
        <v>43665.684166666666</v>
      </c>
      <c r="T394" s="1">
        <v>43665.684189814812</v>
      </c>
      <c r="U394" s="1">
        <v>43665.684189814812</v>
      </c>
      <c r="W394" s="1">
        <v>43665.68582175926</v>
      </c>
      <c r="BF394" t="s">
        <v>167</v>
      </c>
      <c r="BG394" t="s">
        <v>2313</v>
      </c>
      <c r="BH394" t="s">
        <v>2762</v>
      </c>
      <c r="BI394" t="s">
        <v>2747</v>
      </c>
      <c r="BJ394" t="str">
        <f>HYPERLINK("https://d33htgqikc2pj4.cloudfront.net/4196c783-b621-4fba-9017-fa8b0e2c6580.jpeg", "Андрей Денисов: Ссылка на изображение")</f>
        <v>Андрей Денисов: Ссылка на изображение</v>
      </c>
      <c r="BK394" t="str">
        <f>HYPERLINK("https://d33htgqikc2pj4.cloudfront.net/2cb191f4-2064-44f3-a28a-a3620eb117f8.jpeg", "Андрей Денисов: Ссылка на изображение")</f>
        <v>Андрей Денисов: Ссылка на изображение</v>
      </c>
      <c r="BL394" t="str">
        <f>HYPERLINK("https://d33htgqikc2pj4.cloudfront.net/7534cfdc-fb30-405f-93a1-5e441070a055.jpeg", "Андрей Денисов: Ссылка на изображение")</f>
        <v>Андрей Денисов: Ссылка на изображение</v>
      </c>
      <c r="BM394" t="str">
        <f>HYPERLINK("https://d33htgqikc2pj4.cloudfront.net/ebbec87c-8838-4e50-a5c4-06050ff7d2de.jpeg", "Андрей Денисов: Ссылка на изображение")</f>
        <v>Андрей Денисов: Ссылка на изображение</v>
      </c>
      <c r="BN394" t="str">
        <f>HYPERLINK("https://d33htgqikc2pj4.cloudfront.net/ea949b31-8b4e-4de1-aa28-7b30984a8e3d.jpeg", "Андрей Денисов: Ссылка на изображение")</f>
        <v>Андрей Денисов: Ссылка на изображение</v>
      </c>
      <c r="BO394" t="str">
        <f>HYPERLINK("https://d33htgqikc2pj4.cloudfront.net/c9525fbd-e48e-4bc3-890a-f085876eca50.jpeg", "Андрей Денисов: Ссылка на изображение")</f>
        <v>Андрей Денисов: Ссылка на изображение</v>
      </c>
      <c r="BP394" t="str">
        <f>HYPERLINK("https://d33htgqikc2pj4.cloudfront.net/8fdc1ed6-d26e-4d41-a577-525c2066766e.jpeg", "Андрей Денисов: Ссылка на изображение")</f>
        <v>Андрей Денисов: Ссылка на изображение</v>
      </c>
    </row>
    <row r="395" spans="1:73" ht="15" customHeight="1" x14ac:dyDescent="0.35">
      <c r="A395">
        <v>475</v>
      </c>
      <c r="B395" t="s">
        <v>2763</v>
      </c>
      <c r="C395">
        <v>2</v>
      </c>
      <c r="D395" t="str">
        <f>VLOOKUP(source[[#This Row],[Приоритет]],тПриоритеты[],2,0)</f>
        <v>Значительное</v>
      </c>
      <c r="E39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5" t="s">
        <v>2273</v>
      </c>
      <c r="G395" t="s">
        <v>157</v>
      </c>
      <c r="H395" t="str">
        <f>VLOOKUP(source[[#This Row],[Отвественный]],тОтветственные[],2,0)</f>
        <v>Отв13</v>
      </c>
      <c r="I395" s="2">
        <v>43722</v>
      </c>
      <c r="J395" s="2">
        <v>43722</v>
      </c>
      <c r="K395" t="s">
        <v>375</v>
      </c>
      <c r="L395">
        <v>0</v>
      </c>
      <c r="M395">
        <v>0</v>
      </c>
      <c r="N395" t="s">
        <v>159</v>
      </c>
      <c r="Q395" t="s">
        <v>106</v>
      </c>
      <c r="R395" t="str">
        <f>HYPERLINK("https://d28ji4sm1vmprj.cloudfront.net/3e7bd1b1c8123e07928556a95537ec96/b6f4ea1a4c385def2ded1a2b1779c1a4.jpeg", "Ссылка на план")</f>
        <v>Ссылка на план</v>
      </c>
      <c r="S395" s="1">
        <v>43723.972361111111</v>
      </c>
      <c r="T395" s="1">
        <v>43723.972395833334</v>
      </c>
      <c r="U395" s="1">
        <v>43723.972395833334</v>
      </c>
      <c r="W395" s="1">
        <v>43723.975949074076</v>
      </c>
      <c r="X395" t="s">
        <v>2764</v>
      </c>
      <c r="AA395" t="s">
        <v>2765</v>
      </c>
      <c r="AB395" t="s">
        <v>2766</v>
      </c>
      <c r="AC395" t="s">
        <v>2767</v>
      </c>
      <c r="AD395" t="s">
        <v>2768</v>
      </c>
      <c r="AE395" t="s">
        <v>2769</v>
      </c>
      <c r="AF395" t="s">
        <v>2770</v>
      </c>
      <c r="AG395" t="s">
        <v>2771</v>
      </c>
      <c r="BF395" t="s">
        <v>167</v>
      </c>
      <c r="BG395" t="s">
        <v>2313</v>
      </c>
      <c r="BH395" t="s">
        <v>2772</v>
      </c>
      <c r="BI395" t="s">
        <v>2773</v>
      </c>
      <c r="BJ395" t="s">
        <v>299</v>
      </c>
      <c r="BK395" t="s">
        <v>2774</v>
      </c>
      <c r="BL395" t="str">
        <f>HYPERLINK("https://d33htgqikc2pj4.cloudfront.net/00418b10-3832-4d14-b14c-4c9c63590b57.jpeg", "Андрей Денисов: Ссылка на изображение")</f>
        <v>Андрей Денисов: Ссылка на изображение</v>
      </c>
      <c r="BM395" t="str">
        <f>HYPERLINK("https://d33htgqikc2pj4.cloudfront.net/c77da1a1-047a-415a-b6c8-c7ea93c8e5b7.jpeg", "Андрей Денисов: Ссылка на изображение")</f>
        <v>Андрей Денисов: Ссылка на изображение</v>
      </c>
      <c r="BN395" t="str">
        <f>HYPERLINK("https://d33htgqikc2pj4.cloudfront.net/1598bfbb-fd55-49b8-9328-e2f2afa30438.jpeg", "Андрей Денисов: Ссылка на изображение")</f>
        <v>Андрей Денисов: Ссылка на изображение</v>
      </c>
      <c r="BO395" t="str">
        <f>HYPERLINK("https://d33htgqikc2pj4.cloudfront.net/5cf33b93-5bc6-420f-b5a4-bf2922a24512.jpeg", "Андрей Денисов: Ссылка на изображение")</f>
        <v>Андрей Денисов: Ссылка на изображение</v>
      </c>
      <c r="BP395" t="str">
        <f>HYPERLINK("https://d33htgqikc2pj4.cloudfront.net/6097f094-6616-406e-872d-a6b9d7a10fb4.jpeg", "Андрей Денисов: Ссылка на изображение")</f>
        <v>Андрей Денисов: Ссылка на изображение</v>
      </c>
    </row>
    <row r="396" spans="1:73" ht="15" customHeight="1" x14ac:dyDescent="0.35">
      <c r="A396">
        <v>618</v>
      </c>
      <c r="B396" t="s">
        <v>2775</v>
      </c>
      <c r="C396">
        <v>2</v>
      </c>
      <c r="D396" t="str">
        <f>VLOOKUP(source[[#This Row],[Приоритет]],тПриоритеты[],2,0)</f>
        <v>Значительное</v>
      </c>
      <c r="E39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6" t="s">
        <v>2273</v>
      </c>
      <c r="G396" t="s">
        <v>157</v>
      </c>
      <c r="H396" t="str">
        <f>VLOOKUP(source[[#This Row],[Отвественный]],тОтветственные[],2,0)</f>
        <v>Отв13</v>
      </c>
      <c r="I396" s="2">
        <v>43751</v>
      </c>
      <c r="J396" s="2">
        <v>43751</v>
      </c>
      <c r="K396" t="s">
        <v>104</v>
      </c>
      <c r="L396">
        <v>0</v>
      </c>
      <c r="M396">
        <v>0</v>
      </c>
      <c r="N396" t="s">
        <v>105</v>
      </c>
      <c r="Q396" t="s">
        <v>106</v>
      </c>
      <c r="R396" t="str">
        <f t="shared" ref="R396:R402" si="6">HYPERLINK("https://d28ji4sm1vmprj.cloudfront.net/e7a526a7220c3bc5cfeeb407c455c0b3/580ffb055aff8ee0c88c6e676cfba776.jpeg", "Ссылка на план")</f>
        <v>Ссылка на план</v>
      </c>
      <c r="S396" s="1">
        <v>43753.98877314815</v>
      </c>
      <c r="T396" s="1">
        <v>43753.989270833335</v>
      </c>
      <c r="U396" s="1">
        <v>43753.989270833335</v>
      </c>
      <c r="W396" s="1">
        <v>43753.989282407405</v>
      </c>
      <c r="X396" t="s">
        <v>2333</v>
      </c>
      <c r="AA396" t="s">
        <v>2776</v>
      </c>
      <c r="AB396" t="s">
        <v>2777</v>
      </c>
      <c r="AC396" t="s">
        <v>2778</v>
      </c>
      <c r="AD396" t="s">
        <v>2779</v>
      </c>
      <c r="AE396" t="s">
        <v>2780</v>
      </c>
      <c r="AF396" t="s">
        <v>2781</v>
      </c>
      <c r="AG396" t="s">
        <v>2782</v>
      </c>
      <c r="AH396" t="s">
        <v>2783</v>
      </c>
      <c r="AI396" t="s">
        <v>2784</v>
      </c>
      <c r="BF396" t="s">
        <v>2785</v>
      </c>
      <c r="BG396" t="s">
        <v>2313</v>
      </c>
      <c r="BH396" t="s">
        <v>2786</v>
      </c>
      <c r="BI396" t="s">
        <v>167</v>
      </c>
      <c r="BJ396" t="str">
        <f>HYPERLINK("https://d33htgqikc2pj4.cloudfront.net/7d46d84a-49ba-461d-b0db-9f07447d77f0.jpeg", "Андрей Денисов: Ссылка на изображение")</f>
        <v>Андрей Денисов: Ссылка на изображение</v>
      </c>
      <c r="BK396" t="str">
        <f>HYPERLINK("https://d33htgqikc2pj4.cloudfront.net/e457b5c3-be0d-4336-add2-7b64a314183d.jpeg", "Андрей Денисов: Ссылка на изображение")</f>
        <v>Андрей Денисов: Ссылка на изображение</v>
      </c>
    </row>
    <row r="397" spans="1:73" ht="15" customHeight="1" x14ac:dyDescent="0.35">
      <c r="A397">
        <v>624</v>
      </c>
      <c r="B397" t="s">
        <v>2787</v>
      </c>
      <c r="C397">
        <v>2</v>
      </c>
      <c r="D397" t="str">
        <f>VLOOKUP(source[[#This Row],[Приоритет]],тПриоритеты[],2,0)</f>
        <v>Значительное</v>
      </c>
      <c r="E3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7" t="s">
        <v>2273</v>
      </c>
      <c r="G397" t="s">
        <v>157</v>
      </c>
      <c r="H397" t="str">
        <f>VLOOKUP(source[[#This Row],[Отвественный]],тОтветственные[],2,0)</f>
        <v>Отв13</v>
      </c>
      <c r="I397" s="2">
        <v>43753</v>
      </c>
      <c r="J397" s="2">
        <v>43753</v>
      </c>
      <c r="K397" t="s">
        <v>104</v>
      </c>
      <c r="L397">
        <v>0</v>
      </c>
      <c r="M397">
        <v>0</v>
      </c>
      <c r="N397" t="s">
        <v>105</v>
      </c>
      <c r="Q397" t="s">
        <v>106</v>
      </c>
      <c r="R397" t="str">
        <f t="shared" si="6"/>
        <v>Ссылка на план</v>
      </c>
      <c r="S397" s="1">
        <v>43753.996111111112</v>
      </c>
      <c r="T397" s="1">
        <v>43753.996134259258</v>
      </c>
      <c r="U397" s="1">
        <v>43753.996134259258</v>
      </c>
      <c r="W397" s="1">
        <v>43753.996469907404</v>
      </c>
      <c r="X397" t="s">
        <v>2333</v>
      </c>
      <c r="AA397" t="s">
        <v>2776</v>
      </c>
      <c r="AB397" t="s">
        <v>2777</v>
      </c>
      <c r="AC397" t="s">
        <v>2778</v>
      </c>
      <c r="AD397" t="s">
        <v>2779</v>
      </c>
      <c r="AE397" t="s">
        <v>2780</v>
      </c>
      <c r="AF397" t="s">
        <v>2781</v>
      </c>
      <c r="AG397" t="s">
        <v>2782</v>
      </c>
      <c r="AH397" t="s">
        <v>2783</v>
      </c>
      <c r="AI397" t="s">
        <v>2784</v>
      </c>
      <c r="BF397" t="s">
        <v>167</v>
      </c>
      <c r="BG397" t="s">
        <v>2788</v>
      </c>
      <c r="BH397" t="s">
        <v>310</v>
      </c>
      <c r="BI397" t="s">
        <v>2313</v>
      </c>
      <c r="BJ397" t="s">
        <v>2789</v>
      </c>
      <c r="BK397" t="str">
        <f>HYPERLINK("https://d33htgqikc2pj4.cloudfront.net/0c643907-3cb6-4ebf-a4ba-72663753fc55.jpeg", "Андрей Денисов: Ссылка на изображение")</f>
        <v>Андрей Денисов: Ссылка на изображение</v>
      </c>
      <c r="BL397" t="str">
        <f>HYPERLINK("https://d33htgqikc2pj4.cloudfront.net/e14ad8da-9707-412d-94d5-b5e22a0f995c.jpeg", "Андрей Денисов: Ссылка на изображение")</f>
        <v>Андрей Денисов: Ссылка на изображение</v>
      </c>
    </row>
    <row r="398" spans="1:73" ht="15" customHeight="1" x14ac:dyDescent="0.35">
      <c r="A398">
        <v>626</v>
      </c>
      <c r="B398" t="s">
        <v>357</v>
      </c>
      <c r="C398">
        <v>2</v>
      </c>
      <c r="D398" t="str">
        <f>VLOOKUP(source[[#This Row],[Приоритет]],тПриоритеты[],2,0)</f>
        <v>Значительное</v>
      </c>
      <c r="E3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8" t="s">
        <v>2273</v>
      </c>
      <c r="G398" t="s">
        <v>157</v>
      </c>
      <c r="H398" t="str">
        <f>VLOOKUP(source[[#This Row],[Отвественный]],тОтветственные[],2,0)</f>
        <v>Отв13</v>
      </c>
      <c r="I398" s="2">
        <v>43753</v>
      </c>
      <c r="J398" s="2">
        <v>43753</v>
      </c>
      <c r="K398" t="s">
        <v>104</v>
      </c>
      <c r="L398">
        <v>0</v>
      </c>
      <c r="M398">
        <v>0</v>
      </c>
      <c r="N398" t="s">
        <v>105</v>
      </c>
      <c r="Q398" t="s">
        <v>106</v>
      </c>
      <c r="R398" t="str">
        <f t="shared" si="6"/>
        <v>Ссылка на план</v>
      </c>
      <c r="S398" s="1">
        <v>43753.997719907406</v>
      </c>
      <c r="T398" s="1">
        <v>43753.997835648152</v>
      </c>
      <c r="U398" s="1">
        <v>43753.997835648152</v>
      </c>
      <c r="W398" s="1">
        <v>43753.99796296296</v>
      </c>
      <c r="X398" t="s">
        <v>2290</v>
      </c>
      <c r="AA398" t="s">
        <v>2790</v>
      </c>
      <c r="AB398" t="s">
        <v>2791</v>
      </c>
      <c r="AC398" t="s">
        <v>2792</v>
      </c>
      <c r="AD398" t="s">
        <v>2793</v>
      </c>
      <c r="AE398" t="s">
        <v>2794</v>
      </c>
      <c r="AF398" t="s">
        <v>2795</v>
      </c>
      <c r="AG398" t="s">
        <v>2796</v>
      </c>
      <c r="AH398" t="s">
        <v>2797</v>
      </c>
      <c r="AI398" t="s">
        <v>2798</v>
      </c>
      <c r="BF398" t="s">
        <v>364</v>
      </c>
      <c r="BG398" t="s">
        <v>167</v>
      </c>
      <c r="BH398" t="s">
        <v>2313</v>
      </c>
      <c r="BI398" t="s">
        <v>2789</v>
      </c>
      <c r="BJ398" t="str">
        <f>HYPERLINK("https://d33htgqikc2pj4.cloudfront.net/4e701d1c-c959-4350-84c5-7772ace122c6.jpeg", "Андрей Денисов: Ссылка на изображение")</f>
        <v>Андрей Денисов: Ссылка на изображение</v>
      </c>
      <c r="BK398" t="str">
        <f>HYPERLINK("https://d33htgqikc2pj4.cloudfront.net/f1c345ed-8793-4dc7-9c0e-d1eca34498a3.jpeg", "Андрей Денисов: Ссылка на изображение")</f>
        <v>Андрей Денисов: Ссылка на изображение</v>
      </c>
      <c r="BL398" t="str">
        <f>HYPERLINK("https://d33htgqikc2pj4.cloudfront.net/8255fbe9-a705-4447-abc4-899aff379a82.jpeg", "Андрей Денисов: Ссылка на изображение")</f>
        <v>Андрей Денисов: Ссылка на изображение</v>
      </c>
    </row>
    <row r="399" spans="1:73" ht="15" customHeight="1" x14ac:dyDescent="0.35">
      <c r="A399">
        <v>621</v>
      </c>
      <c r="B399" t="s">
        <v>2799</v>
      </c>
      <c r="C399">
        <v>2</v>
      </c>
      <c r="D399" t="str">
        <f>VLOOKUP(source[[#This Row],[Приоритет]],тПриоритеты[],2,0)</f>
        <v>Значительное</v>
      </c>
      <c r="E3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399" t="s">
        <v>2273</v>
      </c>
      <c r="G399" t="s">
        <v>157</v>
      </c>
      <c r="H399" t="str">
        <f>VLOOKUP(source[[#This Row],[Отвественный]],тОтветственные[],2,0)</f>
        <v>Отв13</v>
      </c>
      <c r="I399" s="2">
        <v>43752</v>
      </c>
      <c r="J399" s="2">
        <v>43752</v>
      </c>
      <c r="K399" t="s">
        <v>104</v>
      </c>
      <c r="L399">
        <v>0</v>
      </c>
      <c r="M399">
        <v>0</v>
      </c>
      <c r="N399" t="s">
        <v>105</v>
      </c>
      <c r="Q399" t="s">
        <v>106</v>
      </c>
      <c r="R399" t="str">
        <f t="shared" si="6"/>
        <v>Ссылка на план</v>
      </c>
      <c r="S399" s="1">
        <v>43753.99291666667</v>
      </c>
      <c r="T399" s="1">
        <v>43753.992928240739</v>
      </c>
      <c r="U399" s="1">
        <v>43753.992928240739</v>
      </c>
      <c r="W399" s="1">
        <v>43753.993275462963</v>
      </c>
      <c r="X399" t="s">
        <v>2333</v>
      </c>
      <c r="AA399" t="s">
        <v>2776</v>
      </c>
      <c r="AB399" t="s">
        <v>2777</v>
      </c>
      <c r="AC399" t="s">
        <v>2778</v>
      </c>
      <c r="AD399" t="s">
        <v>2779</v>
      </c>
      <c r="AE399" t="s">
        <v>2780</v>
      </c>
      <c r="AF399" t="s">
        <v>2781</v>
      </c>
      <c r="AG399" t="s">
        <v>2782</v>
      </c>
      <c r="AH399" t="s">
        <v>2783</v>
      </c>
      <c r="AI399" t="s">
        <v>2784</v>
      </c>
      <c r="BF399" t="s">
        <v>167</v>
      </c>
      <c r="BG399" t="s">
        <v>2800</v>
      </c>
      <c r="BH399" t="s">
        <v>2313</v>
      </c>
      <c r="BI399" t="s">
        <v>2801</v>
      </c>
      <c r="BJ399" t="str">
        <f>HYPERLINK("https://d33htgqikc2pj4.cloudfront.net/4d3e62df-6541-4826-a3eb-1a5d45aba625.jpeg", "Андрей Денисов: Ссылка на изображение")</f>
        <v>Андрей Денисов: Ссылка на изображение</v>
      </c>
      <c r="BK399" t="str">
        <f>HYPERLINK("https://d33htgqikc2pj4.cloudfront.net/b9b1c313-2999-47d4-998e-bfb63a6e6451.jpeg", "Андрей Денисов: Ссылка на изображение")</f>
        <v>Андрей Денисов: Ссылка на изображение</v>
      </c>
    </row>
    <row r="400" spans="1:73" ht="15" customHeight="1" x14ac:dyDescent="0.35">
      <c r="A400">
        <v>477</v>
      </c>
      <c r="B400" t="s">
        <v>2802</v>
      </c>
      <c r="C400">
        <v>2</v>
      </c>
      <c r="D400" t="str">
        <f>VLOOKUP(source[[#This Row],[Приоритет]],тПриоритеты[],2,0)</f>
        <v>Значительное</v>
      </c>
      <c r="E4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0" t="s">
        <v>2273</v>
      </c>
      <c r="G400" t="s">
        <v>157</v>
      </c>
      <c r="H400" t="str">
        <f>VLOOKUP(source[[#This Row],[Отвественный]],тОтветственные[],2,0)</f>
        <v>Отв13</v>
      </c>
      <c r="I400" s="2">
        <v>43722</v>
      </c>
      <c r="J400" s="2">
        <v>43722</v>
      </c>
      <c r="K400" t="s">
        <v>104</v>
      </c>
      <c r="L400">
        <v>0</v>
      </c>
      <c r="M400">
        <v>0</v>
      </c>
      <c r="N400" t="s">
        <v>105</v>
      </c>
      <c r="Q400" t="s">
        <v>106</v>
      </c>
      <c r="R400" t="str">
        <f t="shared" si="6"/>
        <v>Ссылка на план</v>
      </c>
      <c r="S400" s="1">
        <v>43723.980578703704</v>
      </c>
      <c r="T400" s="1">
        <v>43723.981087962966</v>
      </c>
      <c r="U400" s="1">
        <v>43723.981087962966</v>
      </c>
      <c r="W400" s="1">
        <v>43723.981215277781</v>
      </c>
      <c r="BF400" t="s">
        <v>2803</v>
      </c>
      <c r="BG400" t="s">
        <v>167</v>
      </c>
      <c r="BH400" t="s">
        <v>2313</v>
      </c>
      <c r="BI400" t="s">
        <v>299</v>
      </c>
      <c r="BJ400" t="str">
        <f>HYPERLINK("https://d33htgqikc2pj4.cloudfront.net/f684fc19-e3d5-4909-a232-8c2a7b8871e9.jpeg", "Андрей Денисов: Ссылка на изображение")</f>
        <v>Андрей Денисов: Ссылка на изображение</v>
      </c>
      <c r="BK400" t="str">
        <f>HYPERLINK("https://d33htgqikc2pj4.cloudfront.net/7422a781-82e0-480f-92f6-d0993c72f60f.jpeg", "Андрей Денисов: Ссылка на изображение")</f>
        <v>Андрей Денисов: Ссылка на изображение</v>
      </c>
      <c r="BL400" t="str">
        <f>HYPERLINK("https://d33htgqikc2pj4.cloudfront.net/fb824835-0d65-45bf-b6b9-853c20080c28.jpeg", "Андрей Денисов: Ссылка на изображение")</f>
        <v>Андрей Денисов: Ссылка на изображение</v>
      </c>
      <c r="BM400" t="str">
        <f>HYPERLINK("https://d33htgqikc2pj4.cloudfront.net/a8f1aa80-6686-41eb-adba-ef5b211967c2.jpeg", "Андрей Денисов: Ссылка на изображение")</f>
        <v>Андрей Денисов: Ссылка на изображение</v>
      </c>
      <c r="BN400" t="str">
        <f>HYPERLINK("https://d33htgqikc2pj4.cloudfront.net/6d5dc0ed-a330-4a7c-b1b0-4e17eb9832ca.jpeg", "Андрей Денисов: Ссылка на изображение")</f>
        <v>Андрей Денисов: Ссылка на изображение</v>
      </c>
      <c r="BO400" t="str">
        <f>HYPERLINK("https://d33htgqikc2pj4.cloudfront.net/9d3db770-3747-45dc-b35c-5c27a8b9aa2e.jpeg", "Андрей Денисов: Ссылка на изображение")</f>
        <v>Андрей Денисов: Ссылка на изображение</v>
      </c>
      <c r="BP400" t="str">
        <f>HYPERLINK("https://d33htgqikc2pj4.cloudfront.net/bfc8702d-c179-46cf-9603-4adc3bb6a754.jpeg", "Андрей Денисов: Ссылка на изображение")</f>
        <v>Андрей Денисов: Ссылка на изображение</v>
      </c>
      <c r="BQ400" t="str">
        <f>HYPERLINK("https://d33htgqikc2pj4.cloudfront.net/6ed9aba2-11c6-4872-bac2-064329cfcc3f.jpeg", "Андрей Денисов: Ссылка на изображение")</f>
        <v>Андрей Денисов: Ссылка на изображение</v>
      </c>
      <c r="BR400" t="str">
        <f>HYPERLINK("https://d33htgqikc2pj4.cloudfront.net/d18f3df4-a20f-485c-bcff-39630e891dcb.jpeg", "Андрей Денисов: Ссылка на изображение")</f>
        <v>Андрей Денисов: Ссылка на изображение</v>
      </c>
      <c r="BS400" t="str">
        <f>HYPERLINK("https://d33htgqikc2pj4.cloudfront.net/9318f53a-eb03-4372-a966-c845fbf02ddf.jpeg", "Андрей Денисов: Ссылка на изображение")</f>
        <v>Андрей Денисов: Ссылка на изображение</v>
      </c>
      <c r="BT400" t="str">
        <f>HYPERLINK("https://d33htgqikc2pj4.cloudfront.net/6e4ec834-3f69-4158-84e7-b915f35c5739.jpeg", "Андрей Денисов: Ссылка на изображение")</f>
        <v>Андрей Денисов: Ссылка на изображение</v>
      </c>
      <c r="BU400" t="str">
        <f>HYPERLINK("https://d33htgqikc2pj4.cloudfront.net/ea3a9610-b889-44f4-a604-bf15dda48cd0.jpeg", "Андрей Денисов: Ссылка на изображение")</f>
        <v>Андрей Денисов: Ссылка на изображение</v>
      </c>
    </row>
    <row r="401" spans="1:72" ht="15" customHeight="1" x14ac:dyDescent="0.35">
      <c r="A401">
        <v>479</v>
      </c>
      <c r="B401" t="s">
        <v>2804</v>
      </c>
      <c r="C401">
        <v>2</v>
      </c>
      <c r="D401" t="str">
        <f>VLOOKUP(source[[#This Row],[Приоритет]],тПриоритеты[],2,0)</f>
        <v>Значительное</v>
      </c>
      <c r="E4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1" t="s">
        <v>2273</v>
      </c>
      <c r="G401" t="s">
        <v>157</v>
      </c>
      <c r="H401" t="str">
        <f>VLOOKUP(source[[#This Row],[Отвественный]],тОтветственные[],2,0)</f>
        <v>Отв13</v>
      </c>
      <c r="I401" s="2">
        <v>43722</v>
      </c>
      <c r="J401" s="2">
        <v>43722</v>
      </c>
      <c r="K401" t="s">
        <v>104</v>
      </c>
      <c r="L401">
        <v>0</v>
      </c>
      <c r="M401">
        <v>0</v>
      </c>
      <c r="N401" t="s">
        <v>105</v>
      </c>
      <c r="Q401" t="s">
        <v>106</v>
      </c>
      <c r="R401" t="str">
        <f t="shared" si="6"/>
        <v>Ссылка на план</v>
      </c>
      <c r="S401" s="1">
        <v>43723.983287037037</v>
      </c>
      <c r="T401" s="1">
        <v>43723.984432870369</v>
      </c>
      <c r="U401" s="1">
        <v>43723.984432870369</v>
      </c>
      <c r="W401" s="1">
        <v>43723.984432870369</v>
      </c>
      <c r="X401" t="s">
        <v>2302</v>
      </c>
      <c r="Y401" t="s">
        <v>2333</v>
      </c>
      <c r="AA401" t="s">
        <v>2805</v>
      </c>
      <c r="AB401" t="s">
        <v>2806</v>
      </c>
      <c r="AC401" t="s">
        <v>2807</v>
      </c>
      <c r="AD401" t="s">
        <v>2808</v>
      </c>
      <c r="AE401" t="s">
        <v>2809</v>
      </c>
      <c r="AF401" t="s">
        <v>2810</v>
      </c>
      <c r="AG401" t="s">
        <v>2811</v>
      </c>
      <c r="AH401" t="s">
        <v>2812</v>
      </c>
      <c r="AI401" t="s">
        <v>2813</v>
      </c>
      <c r="BF401" t="s">
        <v>2814</v>
      </c>
      <c r="BG401" t="s">
        <v>2313</v>
      </c>
      <c r="BH401" t="s">
        <v>299</v>
      </c>
      <c r="BI401" t="s">
        <v>167</v>
      </c>
      <c r="BJ401" t="s">
        <v>2815</v>
      </c>
      <c r="BK401" t="s">
        <v>2816</v>
      </c>
      <c r="BL401" t="s">
        <v>2555</v>
      </c>
      <c r="BM401" t="s">
        <v>2817</v>
      </c>
      <c r="BN401" t="s">
        <v>2818</v>
      </c>
      <c r="BO401" t="s">
        <v>2819</v>
      </c>
      <c r="BP401" t="s">
        <v>2820</v>
      </c>
      <c r="BQ401" t="s">
        <v>2821</v>
      </c>
      <c r="BR401" t="s">
        <v>2822</v>
      </c>
      <c r="BS401" t="str">
        <f>HYPERLINK("https://d33htgqikc2pj4.cloudfront.net/5919fc46-cc5a-4c59-be08-6b19d4cc4812.jpeg", "Андрей Денисов: Ссылка на изображение")</f>
        <v>Андрей Денисов: Ссылка на изображение</v>
      </c>
      <c r="BT401" t="str">
        <f>HYPERLINK("https://d33htgqikc2pj4.cloudfront.net/d04b6a06-0d79-43f7-aa9c-6219a5319f91.jpeg", "Андрей Денисов: Ссылка на изображение")</f>
        <v>Андрей Денисов: Ссылка на изображение</v>
      </c>
    </row>
    <row r="402" spans="1:72" ht="15" customHeight="1" x14ac:dyDescent="0.35">
      <c r="A402">
        <v>478</v>
      </c>
      <c r="B402" t="s">
        <v>2823</v>
      </c>
      <c r="C402">
        <v>2</v>
      </c>
      <c r="D402" t="str">
        <f>VLOOKUP(source[[#This Row],[Приоритет]],тПриоритеты[],2,0)</f>
        <v>Значительное</v>
      </c>
      <c r="E40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2" t="s">
        <v>2273</v>
      </c>
      <c r="G402" t="s">
        <v>157</v>
      </c>
      <c r="H402" t="str">
        <f>VLOOKUP(source[[#This Row],[Отвественный]],тОтветственные[],2,0)</f>
        <v>Отв13</v>
      </c>
      <c r="I402" s="2">
        <v>43722</v>
      </c>
      <c r="J402" s="2">
        <v>43722</v>
      </c>
      <c r="K402" t="s">
        <v>104</v>
      </c>
      <c r="L402">
        <v>0</v>
      </c>
      <c r="M402">
        <v>0</v>
      </c>
      <c r="N402" t="s">
        <v>105</v>
      </c>
      <c r="Q402" t="s">
        <v>106</v>
      </c>
      <c r="R402" t="str">
        <f t="shared" si="6"/>
        <v>Ссылка на план</v>
      </c>
      <c r="S402" s="1">
        <v>43723.98233796296</v>
      </c>
      <c r="T402" s="1">
        <v>43723.982361111113</v>
      </c>
      <c r="U402" s="1">
        <v>43723.982361111113</v>
      </c>
      <c r="W402" s="1">
        <v>43723.982719907406</v>
      </c>
      <c r="BF402" t="s">
        <v>167</v>
      </c>
      <c r="BG402" t="s">
        <v>2824</v>
      </c>
      <c r="BH402" t="s">
        <v>2313</v>
      </c>
      <c r="BI402" t="s">
        <v>299</v>
      </c>
      <c r="BJ402" t="str">
        <f>HYPERLINK("https://d33htgqikc2pj4.cloudfront.net/2bb4b2f0-3425-4a65-bb02-9c2806a9a3fe.jpeg", "Андрей Денисов: Ссылка на изображение")</f>
        <v>Андрей Денисов: Ссылка на изображение</v>
      </c>
      <c r="BK402" t="str">
        <f>HYPERLINK("https://d33htgqikc2pj4.cloudfront.net/30e93af1-85e6-4036-adaf-ebaf9ee41c3b.jpeg", "Андрей Денисов: Ссылка на изображение")</f>
        <v>Андрей Денисов: Ссылка на изображение</v>
      </c>
      <c r="BL402" t="str">
        <f>HYPERLINK("https://d33htgqikc2pj4.cloudfront.net/ab376f52-eb8d-4d6c-a5fd-cd36289bfb35.jpeg", "Андрей Денисов: Ссылка на изображение")</f>
        <v>Андрей Денисов: Ссылка на изображение</v>
      </c>
      <c r="BM402" t="str">
        <f>HYPERLINK("https://d33htgqikc2pj4.cloudfront.net/ab9979ac-9861-4baa-a81f-7357404b2761.jpeg", "Андрей Денисов: Ссылка на изображение")</f>
        <v>Андрей Денисов: Ссылка на изображение</v>
      </c>
      <c r="BN402" t="str">
        <f>HYPERLINK("https://d33htgqikc2pj4.cloudfront.net/4651ac7a-7a80-43e6-ac78-c64f23cb0254.jpeg", "Андрей Денисов: Ссылка на изображение")</f>
        <v>Андрей Денисов: Ссылка на изображение</v>
      </c>
      <c r="BO402" t="str">
        <f>HYPERLINK("https://d33htgqikc2pj4.cloudfront.net/0b8bf3bb-b9d8-4c67-a813-0be72800749e.jpeg", "Андрей Денисов: Ссылка на изображение")</f>
        <v>Андрей Денисов: Ссылка на изображение</v>
      </c>
      <c r="BP402" t="str">
        <f>HYPERLINK("https://d33htgqikc2pj4.cloudfront.net/e1dbf8fa-a018-462e-a42f-7ae88b09b129.jpeg", "Андрей Денисов: Ссылка на изображение")</f>
        <v>Андрей Денисов: Ссылка на изображение</v>
      </c>
    </row>
    <row r="403" spans="1:72" ht="15" customHeight="1" x14ac:dyDescent="0.35">
      <c r="A403">
        <v>366</v>
      </c>
      <c r="B403" t="s">
        <v>2825</v>
      </c>
      <c r="C403">
        <v>2</v>
      </c>
      <c r="D403" t="str">
        <f>VLOOKUP(source[[#This Row],[Приоритет]],тПриоритеты[],2,0)</f>
        <v>Значительное</v>
      </c>
      <c r="E40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3" t="s">
        <v>2273</v>
      </c>
      <c r="G403" t="s">
        <v>157</v>
      </c>
      <c r="H403" t="str">
        <f>VLOOKUP(source[[#This Row],[Отвественный]],тОтветственные[],2,0)</f>
        <v>Отв13</v>
      </c>
      <c r="I403" s="2">
        <v>43694</v>
      </c>
      <c r="J403" s="2">
        <v>43694</v>
      </c>
      <c r="K403" t="s">
        <v>1239</v>
      </c>
      <c r="L403">
        <v>0</v>
      </c>
      <c r="M403">
        <v>0</v>
      </c>
      <c r="N403" t="s">
        <v>213</v>
      </c>
      <c r="Q403" t="s">
        <v>106</v>
      </c>
      <c r="R403" t="str">
        <f>HYPERLINK("https://d28ji4sm1vmprj.cloudfront.net/ccf34eba00e06214379800cff12ee85c/5ead71be54780691edd782b428416714.jpeg", "Ссылка на план")</f>
        <v>Ссылка на план</v>
      </c>
      <c r="S403" s="1">
        <v>43694.685162037036</v>
      </c>
      <c r="T403" s="1">
        <v>43694.685208333336</v>
      </c>
      <c r="U403" s="1">
        <v>43694.685219907406</v>
      </c>
      <c r="W403" s="1">
        <v>43694.685972222222</v>
      </c>
      <c r="X403" t="s">
        <v>1204</v>
      </c>
      <c r="AA403" t="s">
        <v>2826</v>
      </c>
      <c r="AB403" t="s">
        <v>2827</v>
      </c>
      <c r="AC403" t="s">
        <v>2828</v>
      </c>
      <c r="AD403" t="s">
        <v>2829</v>
      </c>
      <c r="AE403" t="s">
        <v>2830</v>
      </c>
      <c r="AF403" t="s">
        <v>2831</v>
      </c>
      <c r="BF403" t="s">
        <v>1104</v>
      </c>
      <c r="BG403" t="s">
        <v>167</v>
      </c>
      <c r="BH403" t="s">
        <v>2832</v>
      </c>
      <c r="BI403" t="s">
        <v>2833</v>
      </c>
      <c r="BJ403" t="str">
        <f>HYPERLINK("https://d33htgqikc2pj4.cloudfront.net/f48b68b7-4460-4858-98a6-d02793609024.jpeg", "Андрей Денисов: Ссылка на изображение")</f>
        <v>Андрей Денисов: Ссылка на изображение</v>
      </c>
      <c r="BK403" t="str">
        <f>HYPERLINK("https://d33htgqikc2pj4.cloudfront.net/96be1f57-fcd8-46df-ac41-22214bfe3a22.jpeg", "Андрей Денисов: Ссылка на изображение")</f>
        <v>Андрей Денисов: Ссылка на изображение</v>
      </c>
    </row>
    <row r="404" spans="1:72" ht="15" customHeight="1" x14ac:dyDescent="0.35">
      <c r="A404">
        <v>367</v>
      </c>
      <c r="B404" t="s">
        <v>2834</v>
      </c>
      <c r="C404">
        <v>2</v>
      </c>
      <c r="D404" t="str">
        <f>VLOOKUP(source[[#This Row],[Приоритет]],тПриоритеты[],2,0)</f>
        <v>Значительное</v>
      </c>
      <c r="E40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4" t="s">
        <v>2273</v>
      </c>
      <c r="G404" t="s">
        <v>157</v>
      </c>
      <c r="H404" t="str">
        <f>VLOOKUP(source[[#This Row],[Отвественный]],тОтветственные[],2,0)</f>
        <v>Отв13</v>
      </c>
      <c r="I404" s="2">
        <v>43694</v>
      </c>
      <c r="J404" s="2">
        <v>43694</v>
      </c>
      <c r="K404" t="s">
        <v>104</v>
      </c>
      <c r="L404">
        <v>0</v>
      </c>
      <c r="M404">
        <v>0</v>
      </c>
      <c r="N404" t="s">
        <v>105</v>
      </c>
      <c r="Q404" t="s">
        <v>106</v>
      </c>
      <c r="R404" t="str">
        <f>HYPERLINK("https://d28ji4sm1vmprj.cloudfront.net/e7a526a7220c3bc5cfeeb407c455c0b3/580ffb055aff8ee0c88c6e676cfba776.jpeg", "Ссылка на план")</f>
        <v>Ссылка на план</v>
      </c>
      <c r="S404" s="1">
        <v>43694.686620370368</v>
      </c>
      <c r="T404" s="1">
        <v>43694.686643518522</v>
      </c>
      <c r="U404" s="1">
        <v>43694.686643518522</v>
      </c>
      <c r="W404" s="1">
        <v>43694.689027777778</v>
      </c>
      <c r="X404" t="s">
        <v>2835</v>
      </c>
      <c r="AA404" t="s">
        <v>2836</v>
      </c>
      <c r="AB404" t="s">
        <v>2837</v>
      </c>
      <c r="AC404" t="s">
        <v>2838</v>
      </c>
      <c r="AD404" t="s">
        <v>2839</v>
      </c>
      <c r="AE404" t="s">
        <v>2840</v>
      </c>
      <c r="AF404" t="s">
        <v>2841</v>
      </c>
      <c r="AG404" t="s">
        <v>2842</v>
      </c>
      <c r="BF404" t="s">
        <v>167</v>
      </c>
      <c r="BG404" t="s">
        <v>2843</v>
      </c>
      <c r="BH404" t="s">
        <v>2833</v>
      </c>
      <c r="BI404" t="str">
        <f>HYPERLINK("https://d33htgqikc2pj4.cloudfront.net/94ce2192-433f-4dc1-99f0-65d2e1f65d7f.jpeg", "Андрей Денисов: Ссылка на изображение")</f>
        <v>Андрей Денисов: Ссылка на изображение</v>
      </c>
      <c r="BJ404" t="str">
        <f>HYPERLINK("https://d33htgqikc2pj4.cloudfront.net/49ee1617-4034-486d-9f46-3830f7173192.jpeg", "Андрей Денисов: Ссылка на изображение")</f>
        <v>Андрей Денисов: Ссылка на изображение</v>
      </c>
      <c r="BK404" t="str">
        <f>HYPERLINK("https://d33htgqikc2pj4.cloudfront.net/5a550ffe-aab7-4067-8091-cc2f0ed02c1b.jpeg", "Андрей Денисов: Ссылка на изображение")</f>
        <v>Андрей Денисов: Ссылка на изображение</v>
      </c>
      <c r="BL404" t="str">
        <f>HYPERLINK("https://d33htgqikc2pj4.cloudfront.net/6d2796d4-e340-46c1-ae1f-ef4d93aec821.jpeg", "Андрей Денисов: Ссылка на изображение")</f>
        <v>Андрей Денисов: Ссылка на изображение</v>
      </c>
    </row>
    <row r="405" spans="1:72" ht="15" customHeight="1" x14ac:dyDescent="0.35">
      <c r="A405">
        <v>196</v>
      </c>
      <c r="B405" t="s">
        <v>2844</v>
      </c>
      <c r="C405">
        <v>2</v>
      </c>
      <c r="D405" t="str">
        <f>VLOOKUP(source[[#This Row],[Приоритет]],тПриоритеты[],2,0)</f>
        <v>Значительное</v>
      </c>
      <c r="E4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5" t="s">
        <v>2273</v>
      </c>
      <c r="G405" t="s">
        <v>157</v>
      </c>
      <c r="H405" t="str">
        <f>VLOOKUP(source[[#This Row],[Отвественный]],тОтветственные[],2,0)</f>
        <v>Отв13</v>
      </c>
      <c r="I405" s="2">
        <v>43649</v>
      </c>
      <c r="J405" s="2">
        <v>43649</v>
      </c>
      <c r="K405" t="s">
        <v>158</v>
      </c>
      <c r="L405">
        <v>0</v>
      </c>
      <c r="M405">
        <v>0</v>
      </c>
      <c r="N405" t="s">
        <v>213</v>
      </c>
      <c r="Q405" t="s">
        <v>124</v>
      </c>
      <c r="R405" t="str">
        <f>HYPERLINK("https://d28ji4sm1vmprj.cloudfront.net/09622a2bb466dfd1cdfb85ce6a712a4c/080b534903fe5ecae6d56f3611cbeb01.jpeg", "Ссылка на план")</f>
        <v>Ссылка на план</v>
      </c>
      <c r="S405" s="1">
        <v>43649.435266203705</v>
      </c>
      <c r="T405" s="1">
        <v>43649.43608796296</v>
      </c>
      <c r="U405" s="1">
        <v>43649.43608796296</v>
      </c>
      <c r="W405" s="1">
        <v>43649.436331018522</v>
      </c>
      <c r="X405" t="s">
        <v>1204</v>
      </c>
      <c r="AA405" t="s">
        <v>2845</v>
      </c>
      <c r="AB405" t="s">
        <v>2846</v>
      </c>
      <c r="AC405" t="s">
        <v>2847</v>
      </c>
      <c r="AD405" t="s">
        <v>2848</v>
      </c>
      <c r="AE405" t="s">
        <v>2849</v>
      </c>
      <c r="AF405" t="s">
        <v>2850</v>
      </c>
      <c r="BF405" t="s">
        <v>2851</v>
      </c>
      <c r="BG405" t="s">
        <v>167</v>
      </c>
      <c r="BH405" t="s">
        <v>2852</v>
      </c>
      <c r="BI405" t="str">
        <f>HYPERLINK("https://d33htgqikc2pj4.cloudfront.net/96f09837-e52d-4ade-afc2-9c542dae9e86.jpeg", "Андрей Денисов: Ссылка на изображение")</f>
        <v>Андрей Денисов: Ссылка на изображение</v>
      </c>
    </row>
    <row r="406" spans="1:72" ht="15" customHeight="1" x14ac:dyDescent="0.35">
      <c r="A406">
        <v>285</v>
      </c>
      <c r="B406" t="s">
        <v>2853</v>
      </c>
      <c r="C406">
        <v>2</v>
      </c>
      <c r="D406" t="str">
        <f>VLOOKUP(source[[#This Row],[Приоритет]],тПриоритеты[],2,0)</f>
        <v>Значительное</v>
      </c>
      <c r="E4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6" t="s">
        <v>2273</v>
      </c>
      <c r="G406" t="s">
        <v>157</v>
      </c>
      <c r="H406" t="str">
        <f>VLOOKUP(source[[#This Row],[Отвественный]],тОтветственные[],2,0)</f>
        <v>Отв13</v>
      </c>
      <c r="I406" s="2">
        <v>43668</v>
      </c>
      <c r="J406" s="2">
        <v>43668</v>
      </c>
      <c r="K406" t="s">
        <v>313</v>
      </c>
      <c r="L406">
        <v>0</v>
      </c>
      <c r="M406">
        <v>0</v>
      </c>
      <c r="N406" t="s">
        <v>159</v>
      </c>
      <c r="Q406" t="s">
        <v>106</v>
      </c>
      <c r="R406" t="str">
        <f>HYPERLINK("https://d28ji4sm1vmprj.cloudfront.net/464215be55b88773f54b8cd83354babd/02eaaeba9564da889c4ba5d284544147.jpeg", "Ссылка на план")</f>
        <v>Ссылка на план</v>
      </c>
      <c r="S406" s="1">
        <v>43668.623692129629</v>
      </c>
      <c r="T406" s="1">
        <v>43668.623703703706</v>
      </c>
      <c r="U406" s="1">
        <v>43668.623703703706</v>
      </c>
      <c r="W406" s="1">
        <v>43668.624652777777</v>
      </c>
      <c r="X406" t="s">
        <v>2764</v>
      </c>
      <c r="AA406" t="s">
        <v>2854</v>
      </c>
      <c r="AB406" t="s">
        <v>2855</v>
      </c>
      <c r="AC406" t="s">
        <v>2856</v>
      </c>
      <c r="AD406" t="s">
        <v>2857</v>
      </c>
      <c r="AE406" t="s">
        <v>2858</v>
      </c>
      <c r="AF406" t="s">
        <v>2859</v>
      </c>
      <c r="AG406" t="s">
        <v>2860</v>
      </c>
      <c r="BF406" t="s">
        <v>167</v>
      </c>
      <c r="BG406" t="s">
        <v>2861</v>
      </c>
      <c r="BH406" t="s">
        <v>2862</v>
      </c>
      <c r="BI406" t="str">
        <f>HYPERLINK("https://d33htgqikc2pj4.cloudfront.net/4ecc5594-71b9-42d0-97d5-5551a80010a9.jpeg", "Андрей Денисов: Ссылка на изображение")</f>
        <v>Андрей Денисов: Ссылка на изображение</v>
      </c>
      <c r="BJ406" t="str">
        <f>HYPERLINK("https://d33htgqikc2pj4.cloudfront.net/b8613cac-0d1e-476f-9829-e6c8a2f785f0.jpeg", "Андрей Денисов: Ссылка на изображение")</f>
        <v>Андрей Денисов: Ссылка на изображение</v>
      </c>
      <c r="BK406" t="str">
        <f>HYPERLINK("https://d33htgqikc2pj4.cloudfront.net/2b5f4028-b889-4f81-a8b9-c706926f0e8c.jpeg", "Андрей Денисов: Ссылка на изображение")</f>
        <v>Андрей Денисов: Ссылка на изображение</v>
      </c>
      <c r="BL406" t="str">
        <f>HYPERLINK("https://d33htgqikc2pj4.cloudfront.net/6bc14c3d-2e0f-4b4d-b196-104bbd55d0e3.jpeg", "Андрей Денисов: Ссылка на изображение")</f>
        <v>Андрей Денисов: Ссылка на изображение</v>
      </c>
      <c r="BM406" t="str">
        <f>HYPERLINK("https://d33htgqikc2pj4.cloudfront.net/1533f95c-2936-4dcb-b24b-c299f23e7a7f.jpeg", "Андрей Денисов: Ссылка на изображение")</f>
        <v>Андрей Денисов: Ссылка на изображение</v>
      </c>
    </row>
    <row r="407" spans="1:72" ht="15" customHeight="1" x14ac:dyDescent="0.35">
      <c r="A407">
        <v>200</v>
      </c>
      <c r="B407" t="s">
        <v>2863</v>
      </c>
      <c r="C407">
        <v>2</v>
      </c>
      <c r="D407" t="str">
        <f>VLOOKUP(source[[#This Row],[Приоритет]],тПриоритеты[],2,0)</f>
        <v>Значительное</v>
      </c>
      <c r="E4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7" t="s">
        <v>2273</v>
      </c>
      <c r="G407" t="s">
        <v>157</v>
      </c>
      <c r="H407" t="str">
        <f>VLOOKUP(source[[#This Row],[Отвественный]],тОтветственные[],2,0)</f>
        <v>Отв13</v>
      </c>
      <c r="I407" s="2">
        <v>43651</v>
      </c>
      <c r="J407" s="2">
        <v>43651</v>
      </c>
      <c r="K407" t="s">
        <v>122</v>
      </c>
      <c r="L407">
        <v>16.399999999999999</v>
      </c>
      <c r="M407">
        <v>69.819999999999993</v>
      </c>
      <c r="N407" t="s">
        <v>123</v>
      </c>
      <c r="Q407" t="s">
        <v>124</v>
      </c>
      <c r="R407" t="str">
        <f>HYPERLINK("https://d28ji4sm1vmprj.cloudfront.net/78b1fbd1c87eb90dac050448d7e72c8d/a7fb9bbb452cbb899c601a0b8b67fd7d.jpeg", "Ссылка на план")</f>
        <v>Ссылка на план</v>
      </c>
      <c r="S407" s="1">
        <v>43651.618020833332</v>
      </c>
      <c r="T407" s="1">
        <v>43651.618067129632</v>
      </c>
      <c r="U407" s="1">
        <v>43651.618067129632</v>
      </c>
      <c r="W407" s="1">
        <v>43654.656597222223</v>
      </c>
      <c r="X407" t="s">
        <v>406</v>
      </c>
      <c r="AA407" t="s">
        <v>2864</v>
      </c>
      <c r="AB407" t="s">
        <v>2865</v>
      </c>
      <c r="AC407" t="s">
        <v>2866</v>
      </c>
      <c r="AD407" t="s">
        <v>2867</v>
      </c>
      <c r="AE407" t="s">
        <v>2868</v>
      </c>
      <c r="AF407" t="s">
        <v>2869</v>
      </c>
      <c r="AG407" t="s">
        <v>2870</v>
      </c>
      <c r="BF407" t="s">
        <v>167</v>
      </c>
      <c r="BG407" t="s">
        <v>2871</v>
      </c>
      <c r="BH407" t="s">
        <v>2389</v>
      </c>
      <c r="BI407" t="str">
        <f>HYPERLINK("https://d33htgqikc2pj4.cloudfront.net/72e2a0c4-3b15-4404-9ed2-664ad858563f.jpeg", "Андрей Денисов: Ссылка на изображение")</f>
        <v>Андрей Денисов: Ссылка на изображение</v>
      </c>
      <c r="BJ407" t="str">
        <f>HYPERLINK("https://d33htgqikc2pj4.cloudfront.net/23afcf03-1b04-40b3-8940-3f4f0b62fa6e.jpeg", "Андрей Денисов: Ссылка на изображение")</f>
        <v>Андрей Денисов: Ссылка на изображение</v>
      </c>
      <c r="BK407" t="str">
        <f>HYPERLINK("https://d33htgqikc2pj4.cloudfront.net/e145e6bd-d047-4e0f-8c2a-81302811c979.jpeg", "Андрей Денисов: Ссылка на изображение")</f>
        <v>Андрей Денисов: Ссылка на изображение</v>
      </c>
    </row>
    <row r="408" spans="1:72" ht="15" customHeight="1" x14ac:dyDescent="0.35">
      <c r="A408">
        <v>369</v>
      </c>
      <c r="B408" t="s">
        <v>2872</v>
      </c>
      <c r="C408">
        <v>2</v>
      </c>
      <c r="D408" t="str">
        <f>VLOOKUP(source[[#This Row],[Приоритет]],тПриоритеты[],2,0)</f>
        <v>Значительное</v>
      </c>
      <c r="E4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8" t="s">
        <v>2273</v>
      </c>
      <c r="G408" t="s">
        <v>157</v>
      </c>
      <c r="H408" t="str">
        <f>VLOOKUP(source[[#This Row],[Отвественный]],тОтветственные[],2,0)</f>
        <v>Отв13</v>
      </c>
      <c r="I408" s="2">
        <v>43694</v>
      </c>
      <c r="J408" s="2">
        <v>43694</v>
      </c>
      <c r="K408" t="s">
        <v>122</v>
      </c>
      <c r="L408">
        <v>23.51</v>
      </c>
      <c r="M408">
        <v>12.68</v>
      </c>
      <c r="N408" t="s">
        <v>123</v>
      </c>
      <c r="Q408" t="s">
        <v>124</v>
      </c>
      <c r="R408" t="str">
        <f>HYPERLINK("https://d28ji4sm1vmprj.cloudfront.net/78b1fbd1c87eb90dac050448d7e72c8d/a7fb9bbb452cbb899c601a0b8b67fd7d.jpeg", "Ссылка на план")</f>
        <v>Ссылка на план</v>
      </c>
      <c r="S408" s="1">
        <v>43694.692731481482</v>
      </c>
      <c r="T408" s="1">
        <v>43694.692754629628</v>
      </c>
      <c r="U408" s="1">
        <v>43694.692754629628</v>
      </c>
      <c r="W408" s="1">
        <v>43694.693287037036</v>
      </c>
      <c r="X408" t="s">
        <v>2290</v>
      </c>
      <c r="AA408" t="s">
        <v>2873</v>
      </c>
      <c r="AB408" t="s">
        <v>2874</v>
      </c>
      <c r="AC408" t="s">
        <v>2875</v>
      </c>
      <c r="AD408" t="s">
        <v>2876</v>
      </c>
      <c r="AE408" t="s">
        <v>2877</v>
      </c>
      <c r="AF408" t="s">
        <v>2878</v>
      </c>
      <c r="AG408" t="s">
        <v>2879</v>
      </c>
      <c r="AH408" t="s">
        <v>2880</v>
      </c>
      <c r="AI408" t="s">
        <v>2881</v>
      </c>
      <c r="BF408" t="s">
        <v>167</v>
      </c>
      <c r="BG408" t="s">
        <v>2882</v>
      </c>
      <c r="BH408" t="s">
        <v>2833</v>
      </c>
      <c r="BI408" t="str">
        <f>HYPERLINK("https://d33htgqikc2pj4.cloudfront.net/893f3447-0cf6-4f33-898c-46ea370e8440.jpeg", "Андрей Денисов: Ссылка на изображение")</f>
        <v>Андрей Денисов: Ссылка на изображение</v>
      </c>
      <c r="BJ408" t="str">
        <f>HYPERLINK("https://d33htgqikc2pj4.cloudfront.net/0281e5ac-a80c-4006-91d7-42bfe144cb04.jpeg", "Андрей Денисов: Ссылка на изображение")</f>
        <v>Андрей Денисов: Ссылка на изображение</v>
      </c>
    </row>
    <row r="409" spans="1:72" ht="15" customHeight="1" x14ac:dyDescent="0.35">
      <c r="A409">
        <v>206</v>
      </c>
      <c r="B409" t="s">
        <v>1379</v>
      </c>
      <c r="C409">
        <v>2</v>
      </c>
      <c r="D409" t="str">
        <f>VLOOKUP(source[[#This Row],[Приоритет]],тПриоритеты[],2,0)</f>
        <v>Значительное</v>
      </c>
      <c r="E4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09" t="s">
        <v>2273</v>
      </c>
      <c r="G409" t="s">
        <v>157</v>
      </c>
      <c r="H409" t="str">
        <f>VLOOKUP(source[[#This Row],[Отвественный]],тОтветственные[],2,0)</f>
        <v>Отв13</v>
      </c>
      <c r="I409" s="2">
        <v>43652</v>
      </c>
      <c r="J409" s="2">
        <v>43652</v>
      </c>
      <c r="K409" t="s">
        <v>313</v>
      </c>
      <c r="L409">
        <v>0</v>
      </c>
      <c r="M409">
        <v>0</v>
      </c>
      <c r="N409" t="s">
        <v>159</v>
      </c>
      <c r="Q409" t="s">
        <v>106</v>
      </c>
      <c r="R409" t="str">
        <f>HYPERLINK("https://d28ji4sm1vmprj.cloudfront.net/464215be55b88773f54b8cd83354babd/02eaaeba9564da889c4ba5d284544147.jpeg", "Ссылка на план")</f>
        <v>Ссылка на план</v>
      </c>
      <c r="S409" s="1">
        <v>43652.621689814812</v>
      </c>
      <c r="T409" s="1">
        <v>43652.622199074074</v>
      </c>
      <c r="U409" s="1">
        <v>43652.622199074074</v>
      </c>
      <c r="W409" s="1">
        <v>43671.464571759258</v>
      </c>
      <c r="X409" t="s">
        <v>2764</v>
      </c>
      <c r="Z409" t="s">
        <v>1378</v>
      </c>
      <c r="AA409" t="s">
        <v>2883</v>
      </c>
      <c r="AB409" t="s">
        <v>2884</v>
      </c>
      <c r="AC409" t="s">
        <v>2885</v>
      </c>
      <c r="AD409" t="s">
        <v>2886</v>
      </c>
      <c r="AE409" t="s">
        <v>2887</v>
      </c>
      <c r="AF409" t="s">
        <v>2888</v>
      </c>
      <c r="AG409" t="s">
        <v>2889</v>
      </c>
      <c r="BF409" t="s">
        <v>1342</v>
      </c>
      <c r="BG409" t="s">
        <v>167</v>
      </c>
      <c r="BH409" t="str">
        <f>HYPERLINK("https://d33htgqikc2pj4.cloudfront.net/b0b66be2-0878-402e-bb23-904b7c9e665a.jpeg", "Андрей Денисов: Ссылка на изображение")</f>
        <v>Андрей Денисов: Ссылка на изображение</v>
      </c>
      <c r="BI409" t="str">
        <f>HYPERLINK("https://d33htgqikc2pj4.cloudfront.net/02c37349-2034-4ad7-bf11-72074d9148c7.jpeg", "Андрей Денисов: Ссылка на изображение")</f>
        <v>Андрей Денисов: Ссылка на изображение</v>
      </c>
      <c r="BJ409" t="str">
        <f>HYPERLINK("https://d33htgqikc2pj4.cloudfront.net/f4a9d12a-f0bd-4099-93b6-9301ee52cd36.jpeg", "Андрей Денисов: Ссылка на изображение")</f>
        <v>Андрей Денисов: Ссылка на изображение</v>
      </c>
      <c r="BK409" t="s">
        <v>2313</v>
      </c>
    </row>
    <row r="410" spans="1:72" ht="15" customHeight="1" x14ac:dyDescent="0.35">
      <c r="A410">
        <v>211</v>
      </c>
      <c r="B410" t="s">
        <v>2890</v>
      </c>
      <c r="C410">
        <v>2</v>
      </c>
      <c r="D410" t="str">
        <f>VLOOKUP(source[[#This Row],[Приоритет]],тПриоритеты[],2,0)</f>
        <v>Значительное</v>
      </c>
      <c r="E4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0" t="s">
        <v>2273</v>
      </c>
      <c r="G410" t="s">
        <v>157</v>
      </c>
      <c r="H410" t="str">
        <f>VLOOKUP(source[[#This Row],[Отвественный]],тОтветственные[],2,0)</f>
        <v>Отв13</v>
      </c>
      <c r="I410" s="2">
        <v>43652</v>
      </c>
      <c r="J410" s="2">
        <v>43652</v>
      </c>
      <c r="K410" t="s">
        <v>122</v>
      </c>
      <c r="L410">
        <v>0</v>
      </c>
      <c r="M410">
        <v>0</v>
      </c>
      <c r="N410" t="s">
        <v>123</v>
      </c>
      <c r="Q410" t="s">
        <v>124</v>
      </c>
      <c r="R410" t="str">
        <f>HYPERLINK("https://d28ji4sm1vmprj.cloudfront.net/78b1fbd1c87eb90dac050448d7e72c8d/a7fb9bbb452cbb899c601a0b8b67fd7d.jpeg", "Ссылка на план")</f>
        <v>Ссылка на план</v>
      </c>
      <c r="S410" s="1">
        <v>43652.63318287037</v>
      </c>
      <c r="T410" s="1">
        <v>43652.633217592593</v>
      </c>
      <c r="U410" s="1">
        <v>43652.633217592593</v>
      </c>
      <c r="W410" s="1">
        <v>43652.634328703702</v>
      </c>
      <c r="X410" t="s">
        <v>2290</v>
      </c>
      <c r="AA410" t="s">
        <v>2891</v>
      </c>
      <c r="AB410" t="s">
        <v>2892</v>
      </c>
      <c r="AC410" t="s">
        <v>2893</v>
      </c>
      <c r="AD410" t="s">
        <v>2894</v>
      </c>
      <c r="AE410" t="s">
        <v>2895</v>
      </c>
      <c r="AF410" t="s">
        <v>2896</v>
      </c>
      <c r="AG410" t="s">
        <v>2897</v>
      </c>
      <c r="AH410" t="s">
        <v>2898</v>
      </c>
      <c r="AI410" t="s">
        <v>2899</v>
      </c>
      <c r="BF410" t="s">
        <v>167</v>
      </c>
      <c r="BG410" t="s">
        <v>2900</v>
      </c>
      <c r="BH410" t="s">
        <v>2313</v>
      </c>
      <c r="BI410" t="s">
        <v>1342</v>
      </c>
      <c r="BJ410" t="str">
        <f>HYPERLINK("https://d33htgqikc2pj4.cloudfront.net/0562bc4d-e919-4aaf-8823-8ff36eb88964.jpeg", "Андрей Денисов: Ссылка на изображение")</f>
        <v>Андрей Денисов: Ссылка на изображение</v>
      </c>
      <c r="BK410" t="str">
        <f>HYPERLINK("https://d33htgqikc2pj4.cloudfront.net/370f7686-8ab9-4b48-a6d5-1b0a9de96882.jpeg", "Андрей Денисов: Ссылка на изображение")</f>
        <v>Андрей Денисов: Ссылка на изображение</v>
      </c>
    </row>
    <row r="411" spans="1:72" ht="15" customHeight="1" x14ac:dyDescent="0.35">
      <c r="A411">
        <v>209</v>
      </c>
      <c r="B411" t="s">
        <v>1341</v>
      </c>
      <c r="C411">
        <v>2</v>
      </c>
      <c r="D411" t="str">
        <f>VLOOKUP(source[[#This Row],[Приоритет]],тПриоритеты[],2,0)</f>
        <v>Значительное</v>
      </c>
      <c r="E4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1" t="s">
        <v>2273</v>
      </c>
      <c r="G411" t="s">
        <v>157</v>
      </c>
      <c r="H411" t="str">
        <f>VLOOKUP(source[[#This Row],[Отвественный]],тОтветственные[],2,0)</f>
        <v>Отв13</v>
      </c>
      <c r="I411" s="2">
        <v>43652</v>
      </c>
      <c r="J411" s="2">
        <v>43652</v>
      </c>
      <c r="K411" t="s">
        <v>1239</v>
      </c>
      <c r="L411">
        <v>0</v>
      </c>
      <c r="M411">
        <v>0</v>
      </c>
      <c r="N411" t="s">
        <v>213</v>
      </c>
      <c r="Q411" t="s">
        <v>106</v>
      </c>
      <c r="R411" t="str">
        <f>HYPERLINK("https://d28ji4sm1vmprj.cloudfront.net/ccf34eba00e06214379800cff12ee85c/5ead71be54780691edd782b428416714.jpeg", "Ссылка на план")</f>
        <v>Ссылка на план</v>
      </c>
      <c r="S411" s="1">
        <v>43652.626759259256</v>
      </c>
      <c r="T411" s="1">
        <v>43652.626770833333</v>
      </c>
      <c r="U411" s="1">
        <v>43652.626770833333</v>
      </c>
      <c r="W411" s="1">
        <v>43671.464513888888</v>
      </c>
      <c r="X411" t="s">
        <v>1204</v>
      </c>
      <c r="Z411" t="s">
        <v>1340</v>
      </c>
      <c r="AA411" t="s">
        <v>2901</v>
      </c>
      <c r="AB411" t="s">
        <v>2902</v>
      </c>
      <c r="AC411" t="s">
        <v>2903</v>
      </c>
      <c r="AD411" t="s">
        <v>2904</v>
      </c>
      <c r="AE411" t="s">
        <v>2905</v>
      </c>
      <c r="AF411" t="s">
        <v>2906</v>
      </c>
      <c r="BF411" t="s">
        <v>167</v>
      </c>
      <c r="BG411" t="s">
        <v>1342</v>
      </c>
      <c r="BH411" t="s">
        <v>2907</v>
      </c>
      <c r="BI411" t="str">
        <f>HYPERLINK("https://d33htgqikc2pj4.cloudfront.net/ef8b1765-771e-45d6-b18f-3b4a761ebc90.jpeg", "Андрей Денисов: Ссылка на изображение")</f>
        <v>Андрей Денисов: Ссылка на изображение</v>
      </c>
      <c r="BJ411" t="str">
        <f>HYPERLINK("https://d33htgqikc2pj4.cloudfront.net/062bc05c-1a73-40d4-b432-8aa1bcc42318.jpeg", "Андрей Денисов: Ссылка на изображение")</f>
        <v>Андрей Денисов: Ссылка на изображение</v>
      </c>
      <c r="BK411" t="str">
        <f>HYPERLINK("https://d33htgqikc2pj4.cloudfront.net/7c75b6bb-dec6-44f3-949d-56c4772f941d.jpeg", "Андрей Денисов: Ссылка на изображение")</f>
        <v>Андрей Денисов: Ссылка на изображение</v>
      </c>
      <c r="BL411" t="s">
        <v>2313</v>
      </c>
    </row>
    <row r="412" spans="1:72" ht="15" customHeight="1" x14ac:dyDescent="0.35">
      <c r="A412">
        <v>721</v>
      </c>
      <c r="B412" t="s">
        <v>2908</v>
      </c>
      <c r="C412">
        <v>2</v>
      </c>
      <c r="D412" t="str">
        <f>VLOOKUP(source[[#This Row],[Приоритет]],тПриоритеты[],2,0)</f>
        <v>Значительное</v>
      </c>
      <c r="E4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2" t="s">
        <v>2273</v>
      </c>
      <c r="G412" t="s">
        <v>157</v>
      </c>
      <c r="H412" t="str">
        <f>VLOOKUP(source[[#This Row],[Отвественный]],тОтветственные[],2,0)</f>
        <v>Отв13</v>
      </c>
      <c r="I412" s="2">
        <v>43791</v>
      </c>
      <c r="J412" s="2">
        <v>43791</v>
      </c>
      <c r="K412" t="s">
        <v>2349</v>
      </c>
      <c r="L412">
        <v>53.57</v>
      </c>
      <c r="M412">
        <v>41.34</v>
      </c>
      <c r="N412" t="s">
        <v>213</v>
      </c>
      <c r="Q412" t="s">
        <v>106</v>
      </c>
      <c r="R412" t="str">
        <f>HYPERLINK("https://d28ji4sm1vmprj.cloudfront.net/6b0dc9e799f98d5c9a0a0ab863394e9c/e9ac1857a23bf9d0a66df9e04e6ec937.jpeg", "Ссылка на план")</f>
        <v>Ссылка на план</v>
      </c>
      <c r="S412" s="1">
        <v>43791.834965277776</v>
      </c>
      <c r="T412" s="1">
        <v>43791.832685185182</v>
      </c>
      <c r="U412" s="1">
        <v>43791.832685185182</v>
      </c>
      <c r="W412" s="1">
        <v>43791.836331018516</v>
      </c>
      <c r="X412" t="s">
        <v>1204</v>
      </c>
      <c r="AA412" t="s">
        <v>2909</v>
      </c>
      <c r="AB412" t="s">
        <v>2910</v>
      </c>
      <c r="AC412" t="s">
        <v>2911</v>
      </c>
      <c r="AD412" t="s">
        <v>2912</v>
      </c>
      <c r="AE412" t="s">
        <v>2913</v>
      </c>
      <c r="AF412" t="s">
        <v>2914</v>
      </c>
      <c r="BF412" t="s">
        <v>2915</v>
      </c>
      <c r="BG412" t="s">
        <v>2313</v>
      </c>
      <c r="BH412" t="str">
        <f>HYPERLINK("https://d33htgqikc2pj4.cloudfront.net/261839a3-0a44-4ee0-8612-cdf97e390e22.jpeg", "Андрей Денисов: Ссылка на изображение")</f>
        <v>Андрей Денисов: Ссылка на изображение</v>
      </c>
    </row>
    <row r="413" spans="1:72" ht="15" customHeight="1" x14ac:dyDescent="0.35">
      <c r="A413">
        <v>63</v>
      </c>
      <c r="B413" t="s">
        <v>2916</v>
      </c>
      <c r="C413">
        <v>2</v>
      </c>
      <c r="D413" t="str">
        <f>VLOOKUP(source[[#This Row],[Приоритет]],тПриоритеты[],2,0)</f>
        <v>Значительное</v>
      </c>
      <c r="E4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3" t="s">
        <v>2273</v>
      </c>
      <c r="G413" t="s">
        <v>157</v>
      </c>
      <c r="H413" t="str">
        <f>VLOOKUP(source[[#This Row],[Отвественный]],тОтветственные[],2,0)</f>
        <v>Отв13</v>
      </c>
      <c r="I413" s="2">
        <v>43588</v>
      </c>
      <c r="J413" s="2">
        <v>43588</v>
      </c>
      <c r="K413" t="s">
        <v>158</v>
      </c>
      <c r="L413">
        <v>0</v>
      </c>
      <c r="M413">
        <v>0</v>
      </c>
      <c r="N413" t="s">
        <v>159</v>
      </c>
      <c r="Q413" t="s">
        <v>124</v>
      </c>
      <c r="R413" t="str">
        <f>HYPERLINK("https://d28ji4sm1vmprj.cloudfront.net/09622a2bb466dfd1cdfb85ce6a712a4c/080b534903fe5ecae6d56f3611cbeb01.jpeg", "Ссылка на план")</f>
        <v>Ссылка на план</v>
      </c>
      <c r="S413" s="1">
        <v>43588.456932870373</v>
      </c>
      <c r="T413" s="1">
        <v>43588.456956018519</v>
      </c>
      <c r="U413" s="1">
        <v>43588.456956018519</v>
      </c>
      <c r="W413" s="1">
        <v>43724.624907407408</v>
      </c>
      <c r="X413" t="s">
        <v>2421</v>
      </c>
      <c r="AA413" t="s">
        <v>2917</v>
      </c>
      <c r="AB413" t="s">
        <v>2918</v>
      </c>
      <c r="AC413" t="s">
        <v>2919</v>
      </c>
      <c r="AD413" t="s">
        <v>2920</v>
      </c>
      <c r="AE413" t="s">
        <v>2921</v>
      </c>
      <c r="AF413" t="s">
        <v>2922</v>
      </c>
      <c r="AG413" t="s">
        <v>2923</v>
      </c>
      <c r="BF413" t="s">
        <v>167</v>
      </c>
      <c r="BG413" t="s">
        <v>2595</v>
      </c>
      <c r="BH413" t="s">
        <v>2924</v>
      </c>
      <c r="BI413" t="s">
        <v>2925</v>
      </c>
      <c r="BJ413" t="str">
        <f>HYPERLINK("https://d33htgqikc2pj4.cloudfront.net/54fbd144-a8b5-4b12-9b39-4541e734ecce.jpeg", "Андрей Денисов: Ссылка на изображение")</f>
        <v>Андрей Денисов: Ссылка на изображение</v>
      </c>
      <c r="BK413" t="str">
        <f>HYPERLINK("https://d33htgqikc2pj4.cloudfront.net/232019ad-d12f-4269-929d-c7524d504e54.jpeg", "Андрей Денисов: Ссылка на изображение")</f>
        <v>Андрей Денисов: Ссылка на изображение</v>
      </c>
      <c r="BL413" t="str">
        <f>HYPERLINK("https://d33htgqikc2pj4.cloudfront.net/3d3aaee8-7575-4787-a2ff-334b5df0c0b5.jpeg", "Андрей Денисов: Ссылка на изображение")</f>
        <v>Андрей Денисов: Ссылка на изображение</v>
      </c>
      <c r="BM413" t="str">
        <f>HYPERLINK("https://d33htgqikc2pj4.cloudfront.net/81e76f8d-a591-4d36-aacf-ea6cbe1a0224.jpeg", "Андрей Денисов: Ссылка на изображение")</f>
        <v>Андрей Денисов: Ссылка на изображение</v>
      </c>
      <c r="BN413" t="str">
        <f>HYPERLINK("https://d33htgqikc2pj4.cloudfront.net/654368a7-2405-4bdb-a185-93860b1d992c.jpeg", "Андрей Денисов: Ссылка на изображение")</f>
        <v>Андрей Денисов: Ссылка на изображение</v>
      </c>
      <c r="BO413" t="str">
        <f>HYPERLINK("https://d33htgqikc2pj4.cloudfront.net/8fb8202b-6c2e-470a-94ab-7476a64840aa.jpeg", "Андрей Денисов: Ссылка на изображение")</f>
        <v>Андрей Денисов: Ссылка на изображение</v>
      </c>
      <c r="BP413" t="str">
        <f>HYPERLINK("https://d33htgqikc2pj4.cloudfront.net/0842a3e5-31db-4dca-be60-fa8d1c542133.jpeg", "Андрей Денисов: Ссылка на изображение")</f>
        <v>Андрей Денисов: Ссылка на изображение</v>
      </c>
      <c r="BQ413" t="str">
        <f>HYPERLINK("https://d33htgqikc2pj4.cloudfront.net/e71df951-4778-4b2b-b030-44d9b326dce7.jpeg", "Андрей Денисов: Ссылка на изображение")</f>
        <v>Андрей Денисов: Ссылка на изображение</v>
      </c>
      <c r="BR413" t="str">
        <f>HYPERLINK("https://d33htgqikc2pj4.cloudfront.net/2f81c5ec-c444-404b-a769-e8b9da075b59.jpeg", "Андрей Денисов: Ссылка на изображение")</f>
        <v>Андрей Денисов: Ссылка на изображение</v>
      </c>
      <c r="BS413" t="s">
        <v>2313</v>
      </c>
    </row>
    <row r="414" spans="1:72" ht="15" customHeight="1" x14ac:dyDescent="0.35">
      <c r="A414">
        <v>295</v>
      </c>
      <c r="B414" t="s">
        <v>2926</v>
      </c>
      <c r="C414">
        <v>2</v>
      </c>
      <c r="D414" t="str">
        <f>VLOOKUP(source[[#This Row],[Приоритет]],тПриоритеты[],2,0)</f>
        <v>Значительное</v>
      </c>
      <c r="E4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4" t="s">
        <v>2273</v>
      </c>
      <c r="G414" t="s">
        <v>157</v>
      </c>
      <c r="H414" t="str">
        <f>VLOOKUP(source[[#This Row],[Отвественный]],тОтветственные[],2,0)</f>
        <v>Отв13</v>
      </c>
      <c r="I414" s="2">
        <v>43670</v>
      </c>
      <c r="J414" s="2">
        <v>43670</v>
      </c>
      <c r="K414" t="s">
        <v>1239</v>
      </c>
      <c r="L414">
        <v>0</v>
      </c>
      <c r="M414">
        <v>0</v>
      </c>
      <c r="N414" t="s">
        <v>213</v>
      </c>
      <c r="Q414" t="s">
        <v>106</v>
      </c>
      <c r="R414" t="str">
        <f>HYPERLINK("https://d28ji4sm1vmprj.cloudfront.net/ccf34eba00e06214379800cff12ee85c/5ead71be54780691edd782b428416714.jpeg", "Ссылка на план")</f>
        <v>Ссылка на план</v>
      </c>
      <c r="S414" s="1">
        <v>43670.617372685185</v>
      </c>
      <c r="T414" s="1">
        <v>43670.617395833331</v>
      </c>
      <c r="U414" s="1">
        <v>43670.617395833331</v>
      </c>
      <c r="W414" s="1">
        <v>43670.618194444447</v>
      </c>
      <c r="X414" t="s">
        <v>1204</v>
      </c>
      <c r="AA414" t="s">
        <v>2927</v>
      </c>
      <c r="AB414" t="s">
        <v>2928</v>
      </c>
      <c r="AC414" t="s">
        <v>2929</v>
      </c>
      <c r="AD414" t="s">
        <v>2930</v>
      </c>
      <c r="AE414" t="s">
        <v>2931</v>
      </c>
      <c r="AF414" t="s">
        <v>2932</v>
      </c>
      <c r="BF414" t="s">
        <v>167</v>
      </c>
      <c r="BG414" t="s">
        <v>2933</v>
      </c>
      <c r="BH414" t="s">
        <v>2934</v>
      </c>
      <c r="BI414" t="str">
        <f>HYPERLINK("https://d33htgqikc2pj4.cloudfront.net/f44261ef-08a2-4ff7-aff5-e38e40e67f9b.jpeg", "Андрей Денисов: Ссылка на изображение")</f>
        <v>Андрей Денисов: Ссылка на изображение</v>
      </c>
    </row>
    <row r="415" spans="1:72" ht="15" customHeight="1" x14ac:dyDescent="0.35">
      <c r="A415">
        <v>296</v>
      </c>
      <c r="B415" t="s">
        <v>2935</v>
      </c>
      <c r="C415">
        <v>2</v>
      </c>
      <c r="D415" t="str">
        <f>VLOOKUP(source[[#This Row],[Приоритет]],тПриоритеты[],2,0)</f>
        <v>Значительное</v>
      </c>
      <c r="E4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5" t="s">
        <v>2273</v>
      </c>
      <c r="G415" t="s">
        <v>157</v>
      </c>
      <c r="H415" t="str">
        <f>VLOOKUP(source[[#This Row],[Отвественный]],тОтветственные[],2,0)</f>
        <v>Отв13</v>
      </c>
      <c r="I415" s="2">
        <v>43669</v>
      </c>
      <c r="J415" s="2">
        <v>43669</v>
      </c>
      <c r="K415" t="s">
        <v>104</v>
      </c>
      <c r="L415">
        <v>0</v>
      </c>
      <c r="M415">
        <v>0</v>
      </c>
      <c r="N415" t="s">
        <v>105</v>
      </c>
      <c r="Q415" t="s">
        <v>106</v>
      </c>
      <c r="R415" t="str">
        <f>HYPERLINK("https://d28ji4sm1vmprj.cloudfront.net/e7a526a7220c3bc5cfeeb407c455c0b3/580ffb055aff8ee0c88c6e676cfba776.jpeg", "Ссылка на план")</f>
        <v>Ссылка на план</v>
      </c>
      <c r="S415" s="1">
        <v>43671.394236111111</v>
      </c>
      <c r="T415" s="1">
        <v>43671.394259259258</v>
      </c>
      <c r="U415" s="1">
        <v>43671.394259259258</v>
      </c>
      <c r="W415" s="1">
        <v>43671.394525462965</v>
      </c>
      <c r="BF415" t="s">
        <v>167</v>
      </c>
      <c r="BG415" t="s">
        <v>2936</v>
      </c>
      <c r="BH415" t="s">
        <v>2937</v>
      </c>
      <c r="BI415" t="str">
        <f>HYPERLINK("https://d33htgqikc2pj4.cloudfront.net/85775e18-29af-4c57-b152-f2c1c35ffdfe.jpeg", "Андрей Денисов: Ссылка на изображение")</f>
        <v>Андрей Денисов: Ссылка на изображение</v>
      </c>
      <c r="BJ415" t="str">
        <f>HYPERLINK("https://d33htgqikc2pj4.cloudfront.net/4bc85b3a-9ee9-4c27-a1e5-02d9d788d148.jpeg", "Андрей Денисов: Ссылка на изображение")</f>
        <v>Андрей Денисов: Ссылка на изображение</v>
      </c>
      <c r="BK415" t="str">
        <f>HYPERLINK("https://d33htgqikc2pj4.cloudfront.net/875651eb-492d-4753-bfb7-ebe94ac9bffa.jpeg", "Андрей Денисов: Ссылка на изображение")</f>
        <v>Андрей Денисов: Ссылка на изображение</v>
      </c>
      <c r="BL415" t="str">
        <f>HYPERLINK("https://d33htgqikc2pj4.cloudfront.net/ab67f4cd-33e3-489b-b4d3-683594135cb2.jpeg", "Андрей Денисов: Ссылка на изображение")</f>
        <v>Андрей Денисов: Ссылка на изображение</v>
      </c>
    </row>
    <row r="416" spans="1:72" ht="15" customHeight="1" x14ac:dyDescent="0.35">
      <c r="A416">
        <v>212</v>
      </c>
      <c r="B416" t="s">
        <v>2938</v>
      </c>
      <c r="C416">
        <v>2</v>
      </c>
      <c r="D416" t="str">
        <f>VLOOKUP(source[[#This Row],[Приоритет]],тПриоритеты[],2,0)</f>
        <v>Значительное</v>
      </c>
      <c r="E4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6" t="s">
        <v>2273</v>
      </c>
      <c r="G416" t="s">
        <v>157</v>
      </c>
      <c r="H416" t="str">
        <f>VLOOKUP(source[[#This Row],[Отвественный]],тОтветственные[],2,0)</f>
        <v>Отв13</v>
      </c>
      <c r="I416" s="2">
        <v>43654</v>
      </c>
      <c r="J416" s="2">
        <v>43654</v>
      </c>
      <c r="K416" t="s">
        <v>122</v>
      </c>
      <c r="L416">
        <v>0</v>
      </c>
      <c r="M416">
        <v>0</v>
      </c>
      <c r="N416" t="s">
        <v>123</v>
      </c>
      <c r="Q416" t="s">
        <v>124</v>
      </c>
      <c r="R416" t="str">
        <f>HYPERLINK("https://d28ji4sm1vmprj.cloudfront.net/78b1fbd1c87eb90dac050448d7e72c8d/a7fb9bbb452cbb899c601a0b8b67fd7d.jpeg", "Ссылка на план")</f>
        <v>Ссылка на план</v>
      </c>
      <c r="S416" s="1">
        <v>43654.652256944442</v>
      </c>
      <c r="T416" s="1">
        <v>43654.652291666665</v>
      </c>
      <c r="U416" s="1">
        <v>43654.652291666665</v>
      </c>
      <c r="W416" s="1">
        <v>43654.65347222222</v>
      </c>
      <c r="X416" t="s">
        <v>406</v>
      </c>
      <c r="AA416" t="s">
        <v>2939</v>
      </c>
      <c r="AB416" t="s">
        <v>2940</v>
      </c>
      <c r="AC416" t="s">
        <v>2941</v>
      </c>
      <c r="AD416" t="s">
        <v>2942</v>
      </c>
      <c r="AE416" t="s">
        <v>2943</v>
      </c>
      <c r="AF416" t="s">
        <v>2944</v>
      </c>
      <c r="AG416" t="s">
        <v>2945</v>
      </c>
      <c r="BF416" t="s">
        <v>167</v>
      </c>
      <c r="BG416" t="s">
        <v>2946</v>
      </c>
      <c r="BH416" t="s">
        <v>1347</v>
      </c>
      <c r="BI416" t="s">
        <v>2947</v>
      </c>
    </row>
    <row r="417" spans="1:68" ht="15" customHeight="1" x14ac:dyDescent="0.35">
      <c r="A417">
        <v>213</v>
      </c>
      <c r="B417" t="s">
        <v>2948</v>
      </c>
      <c r="C417">
        <v>2</v>
      </c>
      <c r="D417" t="str">
        <f>VLOOKUP(source[[#This Row],[Приоритет]],тПриоритеты[],2,0)</f>
        <v>Значительное</v>
      </c>
      <c r="E4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7" t="s">
        <v>2273</v>
      </c>
      <c r="G417" t="s">
        <v>157</v>
      </c>
      <c r="H417" t="str">
        <f>VLOOKUP(source[[#This Row],[Отвественный]],тОтветственные[],2,0)</f>
        <v>Отв13</v>
      </c>
      <c r="I417" s="2">
        <v>43654</v>
      </c>
      <c r="J417" s="2">
        <v>43654</v>
      </c>
      <c r="K417" t="s">
        <v>122</v>
      </c>
      <c r="L417">
        <v>0</v>
      </c>
      <c r="M417">
        <v>0</v>
      </c>
      <c r="N417" t="s">
        <v>123</v>
      </c>
      <c r="Q417" t="s">
        <v>124</v>
      </c>
      <c r="R417" t="str">
        <f>HYPERLINK("https://d28ji4sm1vmprj.cloudfront.net/78b1fbd1c87eb90dac050448d7e72c8d/a7fb9bbb452cbb899c601a0b8b67fd7d.jpeg", "Ссылка на план")</f>
        <v>Ссылка на план</v>
      </c>
      <c r="S417" s="1">
        <v>43654.654988425929</v>
      </c>
      <c r="T417" s="1">
        <v>43654.653703703705</v>
      </c>
      <c r="U417" s="1">
        <v>43654.653703703705</v>
      </c>
      <c r="W417" s="1">
        <v>43654.655011574076</v>
      </c>
      <c r="X417" t="s">
        <v>2290</v>
      </c>
      <c r="AA417" t="s">
        <v>2949</v>
      </c>
      <c r="AB417" t="s">
        <v>2950</v>
      </c>
      <c r="AC417" t="s">
        <v>2951</v>
      </c>
      <c r="AD417" t="s">
        <v>2952</v>
      </c>
      <c r="AE417" t="s">
        <v>2953</v>
      </c>
      <c r="AF417" t="s">
        <v>2954</v>
      </c>
      <c r="AG417" t="s">
        <v>2955</v>
      </c>
      <c r="AH417" t="s">
        <v>2956</v>
      </c>
      <c r="AI417" t="s">
        <v>2957</v>
      </c>
      <c r="BF417" t="s">
        <v>167</v>
      </c>
      <c r="BG417" t="s">
        <v>2958</v>
      </c>
      <c r="BH417" t="s">
        <v>1347</v>
      </c>
      <c r="BI417" t="str">
        <f>HYPERLINK("https://d33htgqikc2pj4.cloudfront.net/3383dc9a-51da-4627-9427-96991f3100e6.jpeg", "Андрей Денисов: Ссылка на изображение")</f>
        <v>Андрей Денисов: Ссылка на изображение</v>
      </c>
      <c r="BJ417" t="str">
        <f>HYPERLINK("https://d33htgqikc2pj4.cloudfront.net/3244bdbd-7186-4312-83b9-83439f7ce1b0.jpeg", "Андрей Денисов: Ссылка на изображение")</f>
        <v>Андрей Денисов: Ссылка на изображение</v>
      </c>
    </row>
    <row r="418" spans="1:68" ht="15" customHeight="1" x14ac:dyDescent="0.35">
      <c r="A418">
        <v>299</v>
      </c>
      <c r="B418" t="s">
        <v>2959</v>
      </c>
      <c r="C418">
        <v>2</v>
      </c>
      <c r="D418" t="str">
        <f>VLOOKUP(source[[#This Row],[Приоритет]],тПриоритеты[],2,0)</f>
        <v>Значительное</v>
      </c>
      <c r="E4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8" t="s">
        <v>2273</v>
      </c>
      <c r="G418" t="s">
        <v>157</v>
      </c>
      <c r="H418" t="str">
        <f>VLOOKUP(source[[#This Row],[Отвественный]],тОтветственные[],2,0)</f>
        <v>Отв13</v>
      </c>
      <c r="I418" s="2">
        <v>43671</v>
      </c>
      <c r="J418" s="2">
        <v>43671</v>
      </c>
      <c r="K418" t="s">
        <v>1239</v>
      </c>
      <c r="L418">
        <v>0</v>
      </c>
      <c r="M418">
        <v>0</v>
      </c>
      <c r="N418" t="s">
        <v>213</v>
      </c>
      <c r="Q418" t="s">
        <v>106</v>
      </c>
      <c r="R418" t="str">
        <f>HYPERLINK("https://d28ji4sm1vmprj.cloudfront.net/ccf34eba00e06214379800cff12ee85c/5ead71be54780691edd782b428416714.jpeg", "Ссылка на план")</f>
        <v>Ссылка на план</v>
      </c>
      <c r="S418" s="1">
        <v>43671.451840277776</v>
      </c>
      <c r="T418" s="1">
        <v>43671.451874999999</v>
      </c>
      <c r="U418" s="1">
        <v>43671.451874999999</v>
      </c>
      <c r="W418" s="1">
        <v>43721.662141203706</v>
      </c>
      <c r="X418" t="s">
        <v>2350</v>
      </c>
      <c r="AA418" t="s">
        <v>2960</v>
      </c>
      <c r="AB418" t="s">
        <v>2961</v>
      </c>
      <c r="AC418" t="s">
        <v>2962</v>
      </c>
      <c r="AD418" t="s">
        <v>2963</v>
      </c>
      <c r="AE418" t="s">
        <v>2964</v>
      </c>
      <c r="BF418" t="s">
        <v>167</v>
      </c>
      <c r="BG418" t="s">
        <v>2965</v>
      </c>
      <c r="BH418" t="s">
        <v>1158</v>
      </c>
      <c r="BI418" t="str">
        <f>HYPERLINK("https://d33htgqikc2pj4.cloudfront.net/c191910a-5ebf-43e1-8320-361a3d6b63a7.jpeg", "Андрей Денисов: Ссылка на изображение")</f>
        <v>Андрей Денисов: Ссылка на изображение</v>
      </c>
      <c r="BJ418" t="s">
        <v>2313</v>
      </c>
    </row>
    <row r="419" spans="1:68" ht="15" customHeight="1" x14ac:dyDescent="0.35">
      <c r="A419">
        <v>300</v>
      </c>
      <c r="B419" t="s">
        <v>2966</v>
      </c>
      <c r="C419">
        <v>2</v>
      </c>
      <c r="D419" t="str">
        <f>VLOOKUP(source[[#This Row],[Приоритет]],тПриоритеты[],2,0)</f>
        <v>Значительное</v>
      </c>
      <c r="E4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19" t="s">
        <v>2273</v>
      </c>
      <c r="G419" t="s">
        <v>157</v>
      </c>
      <c r="H419" t="str">
        <f>VLOOKUP(source[[#This Row],[Отвественный]],тОтветственные[],2,0)</f>
        <v>Отв13</v>
      </c>
      <c r="I419" s="2">
        <v>43671</v>
      </c>
      <c r="J419" s="2">
        <v>43671</v>
      </c>
      <c r="K419" t="s">
        <v>122</v>
      </c>
      <c r="L419">
        <v>30.87</v>
      </c>
      <c r="M419">
        <v>22.62</v>
      </c>
      <c r="N419" t="s">
        <v>123</v>
      </c>
      <c r="Q419" t="s">
        <v>124</v>
      </c>
      <c r="R419" t="str">
        <f>HYPERLINK("https://d28ji4sm1vmprj.cloudfront.net/78b1fbd1c87eb90dac050448d7e72c8d/a7fb9bbb452cbb899c601a0b8b67fd7d.jpeg", "Ссылка на план")</f>
        <v>Ссылка на план</v>
      </c>
      <c r="S419" s="1">
        <v>43671.571909722225</v>
      </c>
      <c r="T419" s="1">
        <v>43671.572974537034</v>
      </c>
      <c r="U419" s="1">
        <v>43671.572974537034</v>
      </c>
      <c r="W419" s="1">
        <v>43671.57298611111</v>
      </c>
      <c r="X419" t="s">
        <v>2290</v>
      </c>
      <c r="AA419" t="s">
        <v>2967</v>
      </c>
      <c r="AB419" t="s">
        <v>2968</v>
      </c>
      <c r="AC419" t="s">
        <v>2969</v>
      </c>
      <c r="AD419" t="s">
        <v>2970</v>
      </c>
      <c r="AE419" t="s">
        <v>2971</v>
      </c>
      <c r="AF419" t="s">
        <v>2972</v>
      </c>
      <c r="AG419" t="s">
        <v>2973</v>
      </c>
      <c r="AH419" t="s">
        <v>2974</v>
      </c>
      <c r="AI419" t="s">
        <v>2975</v>
      </c>
      <c r="BF419" t="s">
        <v>2976</v>
      </c>
      <c r="BG419" t="s">
        <v>2313</v>
      </c>
      <c r="BH419" t="s">
        <v>1158</v>
      </c>
      <c r="BI419" t="s">
        <v>167</v>
      </c>
      <c r="BJ419" t="str">
        <f>HYPERLINK("https://d33htgqikc2pj4.cloudfront.net/77d0b166-695e-42a8-9135-fa335530f7f4.jpeg", "Андрей Денисов: Ссылка на изображение")</f>
        <v>Андрей Денисов: Ссылка на изображение</v>
      </c>
      <c r="BK419" t="str">
        <f>HYPERLINK("https://d33htgqikc2pj4.cloudfront.net/b6d1c17a-7d4c-46f1-a76d-9009a716e6e6.jpeg", "Андрей Денисов: Ссылка на изображение")</f>
        <v>Андрей Денисов: Ссылка на изображение</v>
      </c>
    </row>
    <row r="420" spans="1:68" ht="15" customHeight="1" x14ac:dyDescent="0.35">
      <c r="A420">
        <v>301</v>
      </c>
      <c r="B420" t="s">
        <v>2977</v>
      </c>
      <c r="C420">
        <v>2</v>
      </c>
      <c r="D420" t="str">
        <f>VLOOKUP(source[[#This Row],[Приоритет]],тПриоритеты[],2,0)</f>
        <v>Значительное</v>
      </c>
      <c r="E4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0" t="s">
        <v>2273</v>
      </c>
      <c r="G420" t="s">
        <v>157</v>
      </c>
      <c r="H420" t="str">
        <f>VLOOKUP(source[[#This Row],[Отвественный]],тОтветственные[],2,0)</f>
        <v>Отв13</v>
      </c>
      <c r="I420" s="2">
        <v>43672</v>
      </c>
      <c r="J420" s="2">
        <v>43672</v>
      </c>
      <c r="K420" t="s">
        <v>313</v>
      </c>
      <c r="L420">
        <v>0</v>
      </c>
      <c r="M420">
        <v>0</v>
      </c>
      <c r="N420" t="s">
        <v>159</v>
      </c>
      <c r="Q420" t="s">
        <v>106</v>
      </c>
      <c r="R420" t="str">
        <f>HYPERLINK("https://d28ji4sm1vmprj.cloudfront.net/464215be55b88773f54b8cd83354babd/02eaaeba9564da889c4ba5d284544147.jpeg", "Ссылка на план")</f>
        <v>Ссылка на план</v>
      </c>
      <c r="S420" s="1">
        <v>43672.557569444441</v>
      </c>
      <c r="T420" s="1">
        <v>43672.551770833335</v>
      </c>
      <c r="U420" s="1">
        <v>43672.551770833335</v>
      </c>
      <c r="W420" s="1">
        <v>43721.662222222221</v>
      </c>
      <c r="X420" t="s">
        <v>2764</v>
      </c>
      <c r="AA420" t="s">
        <v>2978</v>
      </c>
      <c r="AB420" t="s">
        <v>2979</v>
      </c>
      <c r="AC420" t="s">
        <v>2980</v>
      </c>
      <c r="AD420" t="s">
        <v>2981</v>
      </c>
      <c r="AE420" t="s">
        <v>2982</v>
      </c>
      <c r="AF420" t="s">
        <v>2983</v>
      </c>
      <c r="AG420" t="s">
        <v>2984</v>
      </c>
      <c r="BF420" t="s">
        <v>167</v>
      </c>
      <c r="BG420" t="s">
        <v>2985</v>
      </c>
      <c r="BH420" t="s">
        <v>1358</v>
      </c>
      <c r="BI420" t="str">
        <f>HYPERLINK("https://d33htgqikc2pj4.cloudfront.net/89abbffe-900f-4429-9ea8-7d92611f2fa0.jpeg", "Андрей Денисов: Ссылка на изображение")</f>
        <v>Андрей Денисов: Ссылка на изображение</v>
      </c>
      <c r="BJ420" t="str">
        <f>HYPERLINK("https://d33htgqikc2pj4.cloudfront.net/cb06f67c-1040-4b83-b8ee-767c61ec86f7.jpeg", "Андрей Денисов: Ссылка на изображение")</f>
        <v>Андрей Денисов: Ссылка на изображение</v>
      </c>
      <c r="BK420" t="str">
        <f>HYPERLINK("https://d33htgqikc2pj4.cloudfront.net/ffa56b81-b6e7-4258-b2a4-860b67b240ba.jpeg", "Андрей Денисов: Ссылка на изображение")</f>
        <v>Андрей Денисов: Ссылка на изображение</v>
      </c>
      <c r="BL420" t="str">
        <f>HYPERLINK("https://d33htgqikc2pj4.cloudfront.net/c8fdc7a9-a5c9-4e07-bc7a-48b4a023740f.jpeg", "Андрей Денисов: Ссылка на изображение")</f>
        <v>Андрей Денисов: Ссылка на изображение</v>
      </c>
      <c r="BM420" t="s">
        <v>2313</v>
      </c>
    </row>
    <row r="421" spans="1:68" ht="15" customHeight="1" x14ac:dyDescent="0.35">
      <c r="A421">
        <v>720</v>
      </c>
      <c r="B421" t="s">
        <v>2986</v>
      </c>
      <c r="C421">
        <v>2</v>
      </c>
      <c r="D421" t="str">
        <f>VLOOKUP(source[[#This Row],[Приоритет]],тПриоритеты[],2,0)</f>
        <v>Значительное</v>
      </c>
      <c r="E4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1" t="s">
        <v>2273</v>
      </c>
      <c r="G421" t="s">
        <v>157</v>
      </c>
      <c r="H421" t="str">
        <f>VLOOKUP(source[[#This Row],[Отвественный]],тОтветственные[],2,0)</f>
        <v>Отв13</v>
      </c>
      <c r="I421" s="2">
        <v>43791</v>
      </c>
      <c r="J421" s="2">
        <v>43791</v>
      </c>
      <c r="K421" t="s">
        <v>2349</v>
      </c>
      <c r="L421">
        <v>82.14</v>
      </c>
      <c r="M421">
        <v>29.14</v>
      </c>
      <c r="N421" t="s">
        <v>213</v>
      </c>
      <c r="Q421" t="s">
        <v>106</v>
      </c>
      <c r="R421" t="str">
        <f>HYPERLINK("https://d28ji4sm1vmprj.cloudfront.net/6b0dc9e799f98d5c9a0a0ab863394e9c/e9ac1857a23bf9d0a66df9e04e6ec937.jpeg", "Ссылка на план")</f>
        <v>Ссылка на план</v>
      </c>
      <c r="S421" s="1">
        <v>43791.832395833335</v>
      </c>
      <c r="T421" s="1">
        <v>43791.832685185182</v>
      </c>
      <c r="U421" s="1">
        <v>43791.832685185182</v>
      </c>
      <c r="W421" s="1">
        <v>43791.83525462963</v>
      </c>
      <c r="X421" t="s">
        <v>1204</v>
      </c>
      <c r="AA421" t="s">
        <v>2909</v>
      </c>
      <c r="AB421" t="s">
        <v>2910</v>
      </c>
      <c r="AC421" t="s">
        <v>2911</v>
      </c>
      <c r="AD421" t="s">
        <v>2912</v>
      </c>
      <c r="AE421" t="s">
        <v>2913</v>
      </c>
      <c r="AF421" t="s">
        <v>2914</v>
      </c>
      <c r="BF421" t="s">
        <v>167</v>
      </c>
      <c r="BG421" t="s">
        <v>2987</v>
      </c>
      <c r="BH421" t="s">
        <v>2988</v>
      </c>
      <c r="BI421" t="str">
        <f>HYPERLINK("https://d33htgqikc2pj4.cloudfront.net/3abd8ae6-8481-4b4e-bbff-5334ef00a5e9.jpeg", "Андрей Денисов: Ссылка на изображение")</f>
        <v>Андрей Денисов: Ссылка на изображение</v>
      </c>
      <c r="BJ421" t="s">
        <v>2313</v>
      </c>
    </row>
    <row r="422" spans="1:68" ht="15" customHeight="1" x14ac:dyDescent="0.35">
      <c r="A422">
        <v>631</v>
      </c>
      <c r="B422" t="s">
        <v>2989</v>
      </c>
      <c r="C422">
        <v>2</v>
      </c>
      <c r="D422" t="str">
        <f>VLOOKUP(source[[#This Row],[Приоритет]],тПриоритеты[],2,0)</f>
        <v>Значительное</v>
      </c>
      <c r="E4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2" t="s">
        <v>2273</v>
      </c>
      <c r="G422" t="s">
        <v>157</v>
      </c>
      <c r="H422" t="str">
        <f>VLOOKUP(source[[#This Row],[Отвественный]],тОтветственные[],2,0)</f>
        <v>Отв13</v>
      </c>
      <c r="I422" s="2">
        <v>43754</v>
      </c>
      <c r="J422" s="2">
        <v>43754</v>
      </c>
      <c r="K422" t="s">
        <v>313</v>
      </c>
      <c r="L422">
        <v>0</v>
      </c>
      <c r="M422">
        <v>0</v>
      </c>
      <c r="N422" t="s">
        <v>159</v>
      </c>
      <c r="Q422" t="s">
        <v>106</v>
      </c>
      <c r="R422" t="str">
        <f>HYPERLINK("https://d28ji4sm1vmprj.cloudfront.net/464215be55b88773f54b8cd83354babd/02eaaeba9564da889c4ba5d284544147.jpeg", "Ссылка на план")</f>
        <v>Ссылка на план</v>
      </c>
      <c r="S422" s="1">
        <v>43754.979583333334</v>
      </c>
      <c r="T422" s="1">
        <v>43754.979594907411</v>
      </c>
      <c r="U422" s="1">
        <v>43754.979594907411</v>
      </c>
      <c r="W422" s="1">
        <v>43754.981064814812</v>
      </c>
      <c r="X422" t="s">
        <v>2764</v>
      </c>
      <c r="AA422" t="s">
        <v>2990</v>
      </c>
      <c r="AB422" t="s">
        <v>2991</v>
      </c>
      <c r="AC422" t="s">
        <v>2992</v>
      </c>
      <c r="AD422" t="s">
        <v>2993</v>
      </c>
      <c r="AE422" t="s">
        <v>2994</v>
      </c>
      <c r="AF422" t="s">
        <v>2995</v>
      </c>
      <c r="AG422" t="s">
        <v>2996</v>
      </c>
      <c r="BF422" t="s">
        <v>167</v>
      </c>
      <c r="BG422" t="s">
        <v>2313</v>
      </c>
      <c r="BH422" t="s">
        <v>2997</v>
      </c>
      <c r="BI422" t="s">
        <v>2998</v>
      </c>
      <c r="BJ422" t="str">
        <f>HYPERLINK("https://d33htgqikc2pj4.cloudfront.net/e2190336-9d69-426a-90f4-daa96a5e7916.jpeg", "Андрей Денисов: Ссылка на изображение")</f>
        <v>Андрей Денисов: Ссылка на изображение</v>
      </c>
      <c r="BK422" t="str">
        <f>HYPERLINK("https://d33htgqikc2pj4.cloudfront.net/0dc58d15-709d-4d0d-bdd7-ccdfd04e7233.jpeg", "Андрей Денисов: Ссылка на изображение")</f>
        <v>Андрей Денисов: Ссылка на изображение</v>
      </c>
      <c r="BL422" t="str">
        <f>HYPERLINK("https://d33htgqikc2pj4.cloudfront.net/891cfeca-4b54-419a-b3a5-1fab59908a18.jpeg", "Андрей Денисов: Ссылка на изображение")</f>
        <v>Андрей Денисов: Ссылка на изображение</v>
      </c>
    </row>
    <row r="423" spans="1:68" ht="15" customHeight="1" x14ac:dyDescent="0.35">
      <c r="A423">
        <v>630</v>
      </c>
      <c r="B423" t="s">
        <v>2999</v>
      </c>
      <c r="C423">
        <v>2</v>
      </c>
      <c r="D423" t="str">
        <f>VLOOKUP(source[[#This Row],[Приоритет]],тПриоритеты[],2,0)</f>
        <v>Значительное</v>
      </c>
      <c r="E4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3" t="s">
        <v>2273</v>
      </c>
      <c r="G423" t="s">
        <v>157</v>
      </c>
      <c r="H423" t="str">
        <f>VLOOKUP(source[[#This Row],[Отвественный]],тОтветственные[],2,0)</f>
        <v>Отв13</v>
      </c>
      <c r="I423" s="2">
        <v>43754</v>
      </c>
      <c r="J423" s="2">
        <v>43754</v>
      </c>
      <c r="K423" t="s">
        <v>104</v>
      </c>
      <c r="L423">
        <v>0</v>
      </c>
      <c r="M423">
        <v>0</v>
      </c>
      <c r="N423" t="s">
        <v>105</v>
      </c>
      <c r="Q423" t="s">
        <v>106</v>
      </c>
      <c r="R423" t="str">
        <f>HYPERLINK("https://d28ji4sm1vmprj.cloudfront.net/e7a526a7220c3bc5cfeeb407c455c0b3/580ffb055aff8ee0c88c6e676cfba776.jpeg", "Ссылка на план")</f>
        <v>Ссылка на план</v>
      </c>
      <c r="S423" s="1">
        <v>43754.97892361111</v>
      </c>
      <c r="T423" s="1">
        <v>43754.978935185187</v>
      </c>
      <c r="U423" s="1">
        <v>43754.978935185187</v>
      </c>
      <c r="W423" s="1">
        <v>43754.979201388887</v>
      </c>
      <c r="X423" t="s">
        <v>2333</v>
      </c>
      <c r="AA423" t="s">
        <v>3000</v>
      </c>
      <c r="AB423" t="s">
        <v>3001</v>
      </c>
      <c r="AC423" t="s">
        <v>3002</v>
      </c>
      <c r="AD423" t="s">
        <v>3003</v>
      </c>
      <c r="AE423" t="s">
        <v>3004</v>
      </c>
      <c r="AF423" t="s">
        <v>3005</v>
      </c>
      <c r="AG423" t="s">
        <v>3006</v>
      </c>
      <c r="AH423" t="s">
        <v>3007</v>
      </c>
      <c r="AI423" t="s">
        <v>3008</v>
      </c>
      <c r="BF423" t="s">
        <v>167</v>
      </c>
      <c r="BG423" t="s">
        <v>3009</v>
      </c>
      <c r="BH423" t="s">
        <v>2313</v>
      </c>
      <c r="BI423" t="s">
        <v>2997</v>
      </c>
      <c r="BJ423" t="str">
        <f>HYPERLINK("https://d33htgqikc2pj4.cloudfront.net/f849f2e0-a53b-48c4-a563-4a2312c7de19.jpeg", "Андрей Денисов: Ссылка на изображение")</f>
        <v>Андрей Денисов: Ссылка на изображение</v>
      </c>
      <c r="BK423" t="str">
        <f>HYPERLINK("https://d33htgqikc2pj4.cloudfront.net/b3d053e1-3270-4e52-a97d-8f93e1773fa2.jpeg", "Андрей Денисов: Ссылка на изображение")</f>
        <v>Андрей Денисов: Ссылка на изображение</v>
      </c>
    </row>
    <row r="424" spans="1:68" ht="15" customHeight="1" x14ac:dyDescent="0.35">
      <c r="A424">
        <v>485</v>
      </c>
      <c r="B424" t="s">
        <v>3010</v>
      </c>
      <c r="C424">
        <v>2</v>
      </c>
      <c r="D424" t="str">
        <f>VLOOKUP(source[[#This Row],[Приоритет]],тПриоритеты[],2,0)</f>
        <v>Значительное</v>
      </c>
      <c r="E4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4" t="s">
        <v>2273</v>
      </c>
      <c r="G424" t="s">
        <v>157</v>
      </c>
      <c r="H424" t="str">
        <f>VLOOKUP(source[[#This Row],[Отвественный]],тОтветственные[],2,0)</f>
        <v>Отв13</v>
      </c>
      <c r="I424" s="2">
        <v>43724</v>
      </c>
      <c r="J424" s="2">
        <v>43724</v>
      </c>
      <c r="K424" t="s">
        <v>104</v>
      </c>
      <c r="L424">
        <v>0</v>
      </c>
      <c r="M424">
        <v>0</v>
      </c>
      <c r="N424" t="s">
        <v>105</v>
      </c>
      <c r="Q424" t="s">
        <v>106</v>
      </c>
      <c r="R424" t="str">
        <f>HYPERLINK("https://d28ji4sm1vmprj.cloudfront.net/e7a526a7220c3bc5cfeeb407c455c0b3/580ffb055aff8ee0c88c6e676cfba776.jpeg", "Ссылка на план")</f>
        <v>Ссылка на план</v>
      </c>
      <c r="S424" s="1">
        <v>43725.594155092593</v>
      </c>
      <c r="T424" s="1">
        <v>43725.594201388885</v>
      </c>
      <c r="U424" s="1">
        <v>43725.594201388885</v>
      </c>
      <c r="W424" s="1">
        <v>43725.594513888886</v>
      </c>
      <c r="X424" t="s">
        <v>2333</v>
      </c>
      <c r="AA424" t="s">
        <v>3011</v>
      </c>
      <c r="AB424" t="s">
        <v>3012</v>
      </c>
      <c r="AC424" t="s">
        <v>3013</v>
      </c>
      <c r="AD424" t="s">
        <v>3014</v>
      </c>
      <c r="AE424" t="s">
        <v>3015</v>
      </c>
      <c r="AF424" t="s">
        <v>3016</v>
      </c>
      <c r="AG424" t="s">
        <v>3017</v>
      </c>
      <c r="AH424" t="s">
        <v>3018</v>
      </c>
      <c r="AI424" t="s">
        <v>3019</v>
      </c>
      <c r="BF424" t="s">
        <v>167</v>
      </c>
      <c r="BG424" t="s">
        <v>3020</v>
      </c>
      <c r="BH424" t="s">
        <v>3021</v>
      </c>
      <c r="BI424" t="str">
        <f>HYPERLINK("https://d33htgqikc2pj4.cloudfront.net/fe62a00d-e1f8-40cd-888c-8da57323de95.jpeg", "Андрей Денисов: Ссылка на изображение")</f>
        <v>Андрей Денисов: Ссылка на изображение</v>
      </c>
      <c r="BJ424" t="str">
        <f>HYPERLINK("https://d33htgqikc2pj4.cloudfront.net/9cc6592d-2cfa-48b6-a08c-b0046dfc093e.jpeg", "Андрей Денисов: Ссылка на изображение")</f>
        <v>Андрей Денисов: Ссылка на изображение</v>
      </c>
    </row>
    <row r="425" spans="1:68" ht="15" customHeight="1" x14ac:dyDescent="0.35">
      <c r="A425">
        <v>380</v>
      </c>
      <c r="B425" t="s">
        <v>3022</v>
      </c>
      <c r="C425">
        <v>2</v>
      </c>
      <c r="D425" t="str">
        <f>VLOOKUP(source[[#This Row],[Приоритет]],тПриоритеты[],2,0)</f>
        <v>Значительное</v>
      </c>
      <c r="E4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5" t="s">
        <v>2273</v>
      </c>
      <c r="G425" t="s">
        <v>157</v>
      </c>
      <c r="H425" t="str">
        <f>VLOOKUP(source[[#This Row],[Отвественный]],тОтветственные[],2,0)</f>
        <v>Отв13</v>
      </c>
      <c r="I425" s="2">
        <v>43697</v>
      </c>
      <c r="J425" s="2">
        <v>43697</v>
      </c>
      <c r="K425" t="s">
        <v>158</v>
      </c>
      <c r="L425">
        <v>0</v>
      </c>
      <c r="M425">
        <v>0</v>
      </c>
      <c r="N425" t="s">
        <v>531</v>
      </c>
      <c r="Q425" t="s">
        <v>124</v>
      </c>
      <c r="R425" t="str">
        <f>HYPERLINK("https://d28ji4sm1vmprj.cloudfront.net/09622a2bb466dfd1cdfb85ce6a712a4c/080b534903fe5ecae6d56f3611cbeb01.jpeg", "Ссылка на план")</f>
        <v>Ссылка на план</v>
      </c>
      <c r="S425" s="1">
        <v>43697.640231481484</v>
      </c>
      <c r="T425" s="1">
        <v>43697.64025462963</v>
      </c>
      <c r="U425" s="1">
        <v>43697.64025462963</v>
      </c>
      <c r="W425" s="1">
        <v>43697.643634259257</v>
      </c>
      <c r="X425" t="s">
        <v>3023</v>
      </c>
      <c r="AA425" t="s">
        <v>3024</v>
      </c>
      <c r="AB425" t="s">
        <v>3025</v>
      </c>
      <c r="AC425" t="s">
        <v>3026</v>
      </c>
      <c r="AD425" t="s">
        <v>3027</v>
      </c>
      <c r="AE425" t="s">
        <v>3028</v>
      </c>
      <c r="AF425" t="s">
        <v>3029</v>
      </c>
      <c r="BF425" t="s">
        <v>167</v>
      </c>
      <c r="BG425" t="s">
        <v>3030</v>
      </c>
      <c r="BH425" t="s">
        <v>3031</v>
      </c>
      <c r="BI425" t="str">
        <f>HYPERLINK("https://d33htgqikc2pj4.cloudfront.net/e7fda0d6-d529-4529-a9f6-478eee7b0ed6.jpeg", "Андрей Денисов: Ссылка на изображение")</f>
        <v>Андрей Денисов: Ссылка на изображение</v>
      </c>
    </row>
    <row r="426" spans="1:68" ht="15" customHeight="1" x14ac:dyDescent="0.35">
      <c r="A426">
        <v>484</v>
      </c>
      <c r="B426" t="s">
        <v>3032</v>
      </c>
      <c r="C426">
        <v>2</v>
      </c>
      <c r="D426" t="str">
        <f>VLOOKUP(source[[#This Row],[Приоритет]],тПриоритеты[],2,0)</f>
        <v>Значительное</v>
      </c>
      <c r="E4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6" t="s">
        <v>2273</v>
      </c>
      <c r="G426" t="s">
        <v>157</v>
      </c>
      <c r="H426" t="str">
        <f>VLOOKUP(source[[#This Row],[Отвественный]],тОтветственные[],2,0)</f>
        <v>Отв13</v>
      </c>
      <c r="I426" s="2">
        <v>43724</v>
      </c>
      <c r="J426" s="2">
        <v>43724</v>
      </c>
      <c r="K426" t="s">
        <v>104</v>
      </c>
      <c r="L426">
        <v>0</v>
      </c>
      <c r="M426">
        <v>0</v>
      </c>
      <c r="N426" t="s">
        <v>105</v>
      </c>
      <c r="Q426" t="s">
        <v>106</v>
      </c>
      <c r="R426" t="str">
        <f>HYPERLINK("https://d28ji4sm1vmprj.cloudfront.net/e7a526a7220c3bc5cfeeb407c455c0b3/580ffb055aff8ee0c88c6e676cfba776.jpeg", "Ссылка на план")</f>
        <v>Ссылка на план</v>
      </c>
      <c r="S426" s="1">
        <v>43725.593229166669</v>
      </c>
      <c r="T426" s="1">
        <v>43725.593240740738</v>
      </c>
      <c r="U426" s="1">
        <v>43725.593240740738</v>
      </c>
      <c r="W426" s="1">
        <v>43725.593645833331</v>
      </c>
      <c r="BF426" t="s">
        <v>167</v>
      </c>
      <c r="BG426" t="s">
        <v>3033</v>
      </c>
      <c r="BH426" t="s">
        <v>3021</v>
      </c>
      <c r="BI426" t="str">
        <f>HYPERLINK("https://d33htgqikc2pj4.cloudfront.net/4855029e-0863-42d3-afba-cc7e00e9150f.jpeg", "Андрей Денисов: Ссылка на изображение")</f>
        <v>Андрей Денисов: Ссылка на изображение</v>
      </c>
      <c r="BJ426" t="str">
        <f>HYPERLINK("https://d33htgqikc2pj4.cloudfront.net/4e47e9b6-ac85-44bf-8a77-31cfa7502653.jpeg", "Андрей Денисов: Ссылка на изображение")</f>
        <v>Андрей Денисов: Ссылка на изображение</v>
      </c>
      <c r="BK426" t="str">
        <f>HYPERLINK("https://d33htgqikc2pj4.cloudfront.net/5b313d02-d34c-4bd6-8d75-975649610834.jpeg", "Андрей Денисов: Ссылка на изображение")</f>
        <v>Андрей Денисов: Ссылка на изображение</v>
      </c>
      <c r="BL426" t="str">
        <f>HYPERLINK("https://d33htgqikc2pj4.cloudfront.net/ab2dff46-42f3-4623-9762-3000d67c6fc7.jpeg", "Андрей Денисов: Ссылка на изображение")</f>
        <v>Андрей Денисов: Ссылка на изображение</v>
      </c>
      <c r="BM426" t="str">
        <f>HYPERLINK("https://d33htgqikc2pj4.cloudfront.net/5275af1a-2f61-4ffd-85ac-11ae36d9fab9.jpeg", "Андрей Денисов: Ссылка на изображение")</f>
        <v>Андрей Денисов: Ссылка на изображение</v>
      </c>
      <c r="BN426" t="str">
        <f>HYPERLINK("https://d33htgqikc2pj4.cloudfront.net/7c5c2ee9-ccc5-4bc4-800f-f6f528f7db2d.jpeg", "Андрей Денисов: Ссылка на изображение")</f>
        <v>Андрей Денисов: Ссылка на изображение</v>
      </c>
      <c r="BO426" t="str">
        <f>HYPERLINK("https://d33htgqikc2pj4.cloudfront.net/afdcb345-9207-49b2-9de2-b892b97c9561.jpeg", "Андрей Денисов: Ссылка на изображение")</f>
        <v>Андрей Денисов: Ссылка на изображение</v>
      </c>
    </row>
    <row r="427" spans="1:68" ht="15" customHeight="1" x14ac:dyDescent="0.35">
      <c r="A427">
        <v>486</v>
      </c>
      <c r="B427" t="s">
        <v>3034</v>
      </c>
      <c r="C427">
        <v>2</v>
      </c>
      <c r="D427" t="str">
        <f>VLOOKUP(source[[#This Row],[Приоритет]],тПриоритеты[],2,0)</f>
        <v>Значительное</v>
      </c>
      <c r="E4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7" t="s">
        <v>2273</v>
      </c>
      <c r="G427" t="s">
        <v>157</v>
      </c>
      <c r="H427" t="str">
        <f>VLOOKUP(source[[#This Row],[Отвественный]],тОтветственные[],2,0)</f>
        <v>Отв13</v>
      </c>
      <c r="I427" s="2">
        <v>43724</v>
      </c>
      <c r="J427" s="2">
        <v>43724</v>
      </c>
      <c r="K427" t="s">
        <v>122</v>
      </c>
      <c r="L427">
        <v>0</v>
      </c>
      <c r="M427">
        <v>0</v>
      </c>
      <c r="N427" t="s">
        <v>123</v>
      </c>
      <c r="Q427" t="s">
        <v>124</v>
      </c>
      <c r="R427" t="str">
        <f>HYPERLINK("https://d28ji4sm1vmprj.cloudfront.net/78b1fbd1c87eb90dac050448d7e72c8d/a7fb9bbb452cbb899c601a0b8b67fd7d.jpeg", "Ссылка на план")</f>
        <v>Ссылка на план</v>
      </c>
      <c r="S427" s="1">
        <v>43725.595300925925</v>
      </c>
      <c r="T427" s="1">
        <v>43725.595312500001</v>
      </c>
      <c r="U427" s="1">
        <v>43725.595312500001</v>
      </c>
      <c r="W427" s="1">
        <v>43725.596006944441</v>
      </c>
      <c r="X427" t="s">
        <v>2290</v>
      </c>
      <c r="AA427" t="s">
        <v>3035</v>
      </c>
      <c r="AB427" t="s">
        <v>3036</v>
      </c>
      <c r="AC427" t="s">
        <v>3037</v>
      </c>
      <c r="AD427" t="s">
        <v>3038</v>
      </c>
      <c r="AE427" t="s">
        <v>3039</v>
      </c>
      <c r="AF427" t="s">
        <v>3040</v>
      </c>
      <c r="AG427" t="s">
        <v>3041</v>
      </c>
      <c r="AH427" t="s">
        <v>3042</v>
      </c>
      <c r="AI427" t="s">
        <v>3043</v>
      </c>
      <c r="BF427" t="s">
        <v>167</v>
      </c>
      <c r="BG427" t="s">
        <v>3044</v>
      </c>
      <c r="BH427" t="s">
        <v>3021</v>
      </c>
      <c r="BI427" t="str">
        <f>HYPERLINK("https://d33htgqikc2pj4.cloudfront.net/f6e05afb-1eda-4b58-abe3-86db3a654b58.jpeg", "Андрей Денисов: Ссылка на изображение")</f>
        <v>Андрей Денисов: Ссылка на изображение</v>
      </c>
      <c r="BJ427" t="str">
        <f>HYPERLINK("https://d33htgqikc2pj4.cloudfront.net/76f66e76-82c7-44df-823e-61b9813ff1a3.jpeg", "Андрей Денисов: Ссылка на изображение")</f>
        <v>Андрей Денисов: Ссылка на изображение</v>
      </c>
    </row>
    <row r="428" spans="1:68" ht="15" customHeight="1" x14ac:dyDescent="0.35">
      <c r="A428">
        <v>487</v>
      </c>
      <c r="B428" t="s">
        <v>3045</v>
      </c>
      <c r="C428">
        <v>2</v>
      </c>
      <c r="D428" t="str">
        <f>VLOOKUP(source[[#This Row],[Приоритет]],тПриоритеты[],2,0)</f>
        <v>Значительное</v>
      </c>
      <c r="E4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8" t="s">
        <v>2273</v>
      </c>
      <c r="G428" t="s">
        <v>157</v>
      </c>
      <c r="H428" t="str">
        <f>VLOOKUP(source[[#This Row],[Отвественный]],тОтветственные[],2,0)</f>
        <v>Отв13</v>
      </c>
      <c r="I428" s="2">
        <v>43724</v>
      </c>
      <c r="J428" s="2">
        <v>43724</v>
      </c>
      <c r="K428" t="s">
        <v>375</v>
      </c>
      <c r="L428">
        <v>0</v>
      </c>
      <c r="M428">
        <v>0</v>
      </c>
      <c r="N428" t="s">
        <v>159</v>
      </c>
      <c r="Q428" t="s">
        <v>106</v>
      </c>
      <c r="R428" t="str">
        <f>HYPERLINK("https://d28ji4sm1vmprj.cloudfront.net/3e7bd1b1c8123e07928556a95537ec96/b6f4ea1a4c385def2ded1a2b1779c1a4.jpeg", "Ссылка на план")</f>
        <v>Ссылка на план</v>
      </c>
      <c r="S428" s="1">
        <v>43725.598043981481</v>
      </c>
      <c r="T428" s="1">
        <v>43725.599247685182</v>
      </c>
      <c r="U428" s="1">
        <v>43725.599247685182</v>
      </c>
      <c r="W428" s="1">
        <v>43725.599247685182</v>
      </c>
      <c r="X428" t="s">
        <v>2764</v>
      </c>
      <c r="AA428" t="s">
        <v>3046</v>
      </c>
      <c r="AB428" t="s">
        <v>3047</v>
      </c>
      <c r="AC428" t="s">
        <v>3048</v>
      </c>
      <c r="AD428" t="s">
        <v>3049</v>
      </c>
      <c r="AE428" t="s">
        <v>3050</v>
      </c>
      <c r="AF428" t="s">
        <v>3051</v>
      </c>
      <c r="AG428" t="s">
        <v>3052</v>
      </c>
      <c r="BF428" t="s">
        <v>3053</v>
      </c>
      <c r="BG428" t="s">
        <v>2313</v>
      </c>
      <c r="BH428" t="s">
        <v>3021</v>
      </c>
      <c r="BI428" t="s">
        <v>167</v>
      </c>
      <c r="BJ428" t="str">
        <f>HYPERLINK("https://d33htgqikc2pj4.cloudfront.net/da557342-d933-49a4-b8ca-72b51384a640.jpeg", "Андрей Денисов: Ссылка на изображение")</f>
        <v>Андрей Денисов: Ссылка на изображение</v>
      </c>
      <c r="BK428" t="str">
        <f>HYPERLINK("https://d33htgqikc2pj4.cloudfront.net/258d2ed5-fb87-4491-8f67-ab875aae61a3.jpeg", "Андрей Денисов: Ссылка на изображение")</f>
        <v>Андрей Денисов: Ссылка на изображение</v>
      </c>
      <c r="BL428" t="str">
        <f>HYPERLINK("https://d33htgqikc2pj4.cloudfront.net/957742c1-5fb3-4400-b19b-860233eee364.jpeg", "Андрей Денисов: Ссылка на изображение")</f>
        <v>Андрей Денисов: Ссылка на изображение</v>
      </c>
      <c r="BM428" t="str">
        <f>HYPERLINK("https://d33htgqikc2pj4.cloudfront.net/ae1fcd43-1b63-42fd-8d7e-e0a13345e297.jpeg", "Андрей Денисов: Ссылка на изображение")</f>
        <v>Андрей Денисов: Ссылка на изображение</v>
      </c>
      <c r="BN428" t="str">
        <f>HYPERLINK("https://d33htgqikc2pj4.cloudfront.net/52436ab5-88fa-4c87-9a81-f7506fcec0ca.jpeg", "Андрей Денисов: Ссылка на изображение")</f>
        <v>Андрей Денисов: Ссылка на изображение</v>
      </c>
      <c r="BO428" t="str">
        <f>HYPERLINK("https://d33htgqikc2pj4.cloudfront.net/a78dcbb0-e015-4b43-9c13-48cd5f4037b1.jpeg", "Андрей Денисов: Ссылка на изображение")</f>
        <v>Андрей Денисов: Ссылка на изображение</v>
      </c>
      <c r="BP428" t="str">
        <f>HYPERLINK("https://d33htgqikc2pj4.cloudfront.net/43a98d1e-bd15-49a6-ab11-40035d4e0ad3.jpeg", "Андрей Денисов: Ссылка на изображение")</f>
        <v>Андрей Денисов: Ссылка на изображение</v>
      </c>
    </row>
    <row r="429" spans="1:68" ht="15" customHeight="1" x14ac:dyDescent="0.35">
      <c r="A429">
        <v>488</v>
      </c>
      <c r="B429" t="s">
        <v>3054</v>
      </c>
      <c r="C429">
        <v>2</v>
      </c>
      <c r="D429" t="str">
        <f>VLOOKUP(source[[#This Row],[Приоритет]],тПриоритеты[],2,0)</f>
        <v>Значительное</v>
      </c>
      <c r="E4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29" t="s">
        <v>2273</v>
      </c>
      <c r="G429" t="s">
        <v>157</v>
      </c>
      <c r="H429" t="str">
        <f>VLOOKUP(source[[#This Row],[Отвественный]],тОтветственные[],2,0)</f>
        <v>Отв13</v>
      </c>
      <c r="I429" s="2">
        <v>43725</v>
      </c>
      <c r="J429" s="2">
        <v>43725</v>
      </c>
      <c r="K429" t="s">
        <v>375</v>
      </c>
      <c r="L429">
        <v>0</v>
      </c>
      <c r="M429">
        <v>0</v>
      </c>
      <c r="N429" t="s">
        <v>159</v>
      </c>
      <c r="Q429" t="s">
        <v>106</v>
      </c>
      <c r="R429" t="str">
        <f>HYPERLINK("https://d28ji4sm1vmprj.cloudfront.net/3e7bd1b1c8123e07928556a95537ec96/b6f4ea1a4c385def2ded1a2b1779c1a4.jpeg", "Ссылка на план")</f>
        <v>Ссылка на план</v>
      </c>
      <c r="S429" s="1">
        <v>43725.641585648147</v>
      </c>
      <c r="T429" s="1">
        <v>43725.641608796293</v>
      </c>
      <c r="U429" s="1">
        <v>43725.641608796293</v>
      </c>
      <c r="W429" s="1">
        <v>43725.642314814817</v>
      </c>
      <c r="X429" t="s">
        <v>2764</v>
      </c>
      <c r="AA429" t="s">
        <v>3046</v>
      </c>
      <c r="AB429" t="s">
        <v>3047</v>
      </c>
      <c r="AC429" t="s">
        <v>3048</v>
      </c>
      <c r="AD429" t="s">
        <v>3049</v>
      </c>
      <c r="AE429" t="s">
        <v>3050</v>
      </c>
      <c r="AF429" t="s">
        <v>3051</v>
      </c>
      <c r="AG429" t="s">
        <v>3052</v>
      </c>
      <c r="BF429" t="s">
        <v>167</v>
      </c>
      <c r="BG429" t="s">
        <v>3055</v>
      </c>
      <c r="BH429" t="s">
        <v>2313</v>
      </c>
      <c r="BI429" t="s">
        <v>3056</v>
      </c>
      <c r="BJ429" t="str">
        <f>HYPERLINK("https://d33htgqikc2pj4.cloudfront.net/f9568eae-e32f-446f-8161-4f37315c3b29.jpeg", "Андрей Денисов: Ссылка на изображение")</f>
        <v>Андрей Денисов: Ссылка на изображение</v>
      </c>
      <c r="BK429" t="str">
        <f>HYPERLINK("https://d33htgqikc2pj4.cloudfront.net/8162a6f4-e869-46c3-b878-3c8805e95cf8.jpeg", "Андрей Денисов: Ссылка на изображение")</f>
        <v>Андрей Денисов: Ссылка на изображение</v>
      </c>
    </row>
    <row r="430" spans="1:68" ht="15" customHeight="1" x14ac:dyDescent="0.35">
      <c r="A430">
        <v>311</v>
      </c>
      <c r="B430" t="s">
        <v>3057</v>
      </c>
      <c r="C430">
        <v>2</v>
      </c>
      <c r="D430" t="str">
        <f>VLOOKUP(source[[#This Row],[Приоритет]],тПриоритеты[],2,0)</f>
        <v>Значительное</v>
      </c>
      <c r="E4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0" t="s">
        <v>2273</v>
      </c>
      <c r="G430" t="s">
        <v>157</v>
      </c>
      <c r="H430" t="str">
        <f>VLOOKUP(source[[#This Row],[Отвественный]],тОтветственные[],2,0)</f>
        <v>Отв13</v>
      </c>
      <c r="I430" s="2">
        <v>43675</v>
      </c>
      <c r="J430" s="2">
        <v>43675</v>
      </c>
      <c r="K430" t="s">
        <v>1239</v>
      </c>
      <c r="L430">
        <v>0</v>
      </c>
      <c r="M430">
        <v>0</v>
      </c>
      <c r="N430" t="s">
        <v>213</v>
      </c>
      <c r="Q430" t="s">
        <v>106</v>
      </c>
      <c r="R430" t="str">
        <f>HYPERLINK("https://d28ji4sm1vmprj.cloudfront.net/ccf34eba00e06214379800cff12ee85c/5ead71be54780691edd782b428416714.jpeg", "Ссылка на план")</f>
        <v>Ссылка на план</v>
      </c>
      <c r="S430" s="1">
        <v>43675.954432870371</v>
      </c>
      <c r="T430" s="1">
        <v>43675.95517361111</v>
      </c>
      <c r="U430" s="1">
        <v>43675.95517361111</v>
      </c>
      <c r="W430" s="1">
        <v>43675.955694444441</v>
      </c>
      <c r="X430" t="s">
        <v>1204</v>
      </c>
      <c r="AA430" t="s">
        <v>3058</v>
      </c>
      <c r="AB430" t="s">
        <v>3059</v>
      </c>
      <c r="AC430" t="s">
        <v>3060</v>
      </c>
      <c r="AD430" t="s">
        <v>3061</v>
      </c>
      <c r="AE430" t="s">
        <v>3062</v>
      </c>
      <c r="AF430" t="s">
        <v>3063</v>
      </c>
      <c r="BF430" t="s">
        <v>3064</v>
      </c>
      <c r="BG430" t="s">
        <v>2313</v>
      </c>
      <c r="BH430" t="s">
        <v>3065</v>
      </c>
      <c r="BI430" t="s">
        <v>167</v>
      </c>
      <c r="BJ430" t="s">
        <v>3066</v>
      </c>
      <c r="BK430" t="s">
        <v>3067</v>
      </c>
      <c r="BL430" t="str">
        <f>HYPERLINK("https://d33htgqikc2pj4.cloudfront.net/50ee6b39-1786-4d58-923c-ecc71587f56e.jpeg", "Андрей Денисов: Ссылка на изображение")</f>
        <v>Андрей Денисов: Ссылка на изображение</v>
      </c>
    </row>
    <row r="431" spans="1:68" ht="15" customHeight="1" x14ac:dyDescent="0.35">
      <c r="A431">
        <v>313</v>
      </c>
      <c r="B431" t="s">
        <v>3068</v>
      </c>
      <c r="C431">
        <v>2</v>
      </c>
      <c r="D431" t="str">
        <f>VLOOKUP(source[[#This Row],[Приоритет]],тПриоритеты[],2,0)</f>
        <v>Значительное</v>
      </c>
      <c r="E4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1" t="s">
        <v>2273</v>
      </c>
      <c r="G431" t="s">
        <v>157</v>
      </c>
      <c r="H431" t="str">
        <f>VLOOKUP(source[[#This Row],[Отвественный]],тОтветственные[],2,0)</f>
        <v>Отв13</v>
      </c>
      <c r="I431" s="2">
        <v>43676</v>
      </c>
      <c r="J431" s="2">
        <v>43676</v>
      </c>
      <c r="K431" t="s">
        <v>1239</v>
      </c>
      <c r="L431">
        <v>0</v>
      </c>
      <c r="M431">
        <v>0</v>
      </c>
      <c r="N431" t="s">
        <v>213</v>
      </c>
      <c r="Q431" t="s">
        <v>106</v>
      </c>
      <c r="R431" t="str">
        <f>HYPERLINK("https://d28ji4sm1vmprj.cloudfront.net/ccf34eba00e06214379800cff12ee85c/5ead71be54780691edd782b428416714.jpeg", "Ссылка на план")</f>
        <v>Ссылка на план</v>
      </c>
      <c r="S431" s="1">
        <v>43676.635694444441</v>
      </c>
      <c r="T431" s="1">
        <v>43676.635717592595</v>
      </c>
      <c r="U431" s="1">
        <v>43676.635717592595</v>
      </c>
      <c r="W431" s="1">
        <v>43676.636400462965</v>
      </c>
      <c r="X431" t="s">
        <v>1204</v>
      </c>
      <c r="AA431" t="s">
        <v>3069</v>
      </c>
      <c r="AB431" t="s">
        <v>3070</v>
      </c>
      <c r="AC431" t="s">
        <v>3071</v>
      </c>
      <c r="AD431" t="s">
        <v>3072</v>
      </c>
      <c r="AE431" t="s">
        <v>3073</v>
      </c>
      <c r="AF431" t="s">
        <v>3074</v>
      </c>
      <c r="BF431" t="s">
        <v>167</v>
      </c>
      <c r="BG431" t="s">
        <v>3075</v>
      </c>
      <c r="BH431" t="s">
        <v>2313</v>
      </c>
      <c r="BI431" t="s">
        <v>3076</v>
      </c>
      <c r="BJ431" t="str">
        <f>HYPERLINK("https://d33htgqikc2pj4.cloudfront.net/f444c17c-f7fd-4a99-bb87-bb5d72463929.jpeg", "Андрей Денисов: Ссылка на изображение")</f>
        <v>Андрей Денисов: Ссылка на изображение</v>
      </c>
    </row>
    <row r="432" spans="1:68" ht="15" customHeight="1" x14ac:dyDescent="0.35">
      <c r="A432">
        <v>317</v>
      </c>
      <c r="B432" t="s">
        <v>3077</v>
      </c>
      <c r="C432">
        <v>2</v>
      </c>
      <c r="D432" t="str">
        <f>VLOOKUP(source[[#This Row],[Приоритет]],тПриоритеты[],2,0)</f>
        <v>Значительное</v>
      </c>
      <c r="E4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2" t="s">
        <v>2273</v>
      </c>
      <c r="G432" t="s">
        <v>157</v>
      </c>
      <c r="H432" t="str">
        <f>VLOOKUP(source[[#This Row],[Отвественный]],тОтветственные[],2,0)</f>
        <v>Отв13</v>
      </c>
      <c r="I432" s="2">
        <v>43676</v>
      </c>
      <c r="J432" s="2">
        <v>43676</v>
      </c>
      <c r="K432" t="s">
        <v>122</v>
      </c>
      <c r="L432">
        <v>27.21</v>
      </c>
      <c r="M432">
        <v>11.07</v>
      </c>
      <c r="N432" t="s">
        <v>123</v>
      </c>
      <c r="Q432" t="s">
        <v>124</v>
      </c>
      <c r="R432" t="str">
        <f>HYPERLINK("https://d28ji4sm1vmprj.cloudfront.net/78b1fbd1c87eb90dac050448d7e72c8d/a7fb9bbb452cbb899c601a0b8b67fd7d.jpeg", "Ссылка на план")</f>
        <v>Ссылка на план</v>
      </c>
      <c r="S432" s="1">
        <v>43676.643692129626</v>
      </c>
      <c r="T432" s="1">
        <v>43676.64371527778</v>
      </c>
      <c r="U432" s="1">
        <v>43676.64371527778</v>
      </c>
      <c r="W432" s="1">
        <v>43676.644849537035</v>
      </c>
      <c r="X432" t="s">
        <v>2302</v>
      </c>
      <c r="AA432" t="s">
        <v>3078</v>
      </c>
      <c r="AB432" t="s">
        <v>3079</v>
      </c>
      <c r="AC432" t="s">
        <v>3080</v>
      </c>
      <c r="AD432" t="s">
        <v>3081</v>
      </c>
      <c r="AE432" t="s">
        <v>3082</v>
      </c>
      <c r="AF432" t="s">
        <v>3083</v>
      </c>
      <c r="AG432" t="s">
        <v>3084</v>
      </c>
      <c r="AH432" t="s">
        <v>3085</v>
      </c>
      <c r="AI432" t="s">
        <v>3086</v>
      </c>
      <c r="BF432" t="s">
        <v>167</v>
      </c>
      <c r="BG432" t="s">
        <v>3087</v>
      </c>
      <c r="BH432" t="s">
        <v>2313</v>
      </c>
      <c r="BI432" t="s">
        <v>3076</v>
      </c>
      <c r="BJ432" t="str">
        <f>HYPERLINK("https://d33htgqikc2pj4.cloudfront.net/503c98f4-9533-453a-8c16-4e1e7e2efa40.jpeg", "Андрей Денисов: Ссылка на изображение")</f>
        <v>Андрей Денисов: Ссылка на изображение</v>
      </c>
      <c r="BK432" t="str">
        <f>HYPERLINK("https://d33htgqikc2pj4.cloudfront.net/5d047574-27cb-45b5-b7e9-bbefd487ccaa.jpeg", "Андрей Денисов: Ссылка на изображение")</f>
        <v>Андрей Денисов: Ссылка на изображение</v>
      </c>
    </row>
    <row r="433" spans="1:86" ht="15" customHeight="1" x14ac:dyDescent="0.35">
      <c r="A433">
        <v>409</v>
      </c>
      <c r="B433" t="s">
        <v>3088</v>
      </c>
      <c r="C433">
        <v>2</v>
      </c>
      <c r="D433" t="str">
        <f>VLOOKUP(source[[#This Row],[Приоритет]],тПриоритеты[],2,0)</f>
        <v>Значительное</v>
      </c>
      <c r="E4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3" t="s">
        <v>2273</v>
      </c>
      <c r="G433" t="s">
        <v>157</v>
      </c>
      <c r="H433" t="str">
        <f>VLOOKUP(source[[#This Row],[Отвественный]],тОтветственные[],2,0)</f>
        <v>Отв13</v>
      </c>
      <c r="I433" s="2">
        <v>43707</v>
      </c>
      <c r="J433" s="2">
        <v>43707</v>
      </c>
      <c r="K433" t="s">
        <v>104</v>
      </c>
      <c r="L433">
        <v>0</v>
      </c>
      <c r="M433">
        <v>0</v>
      </c>
      <c r="N433" t="s">
        <v>105</v>
      </c>
      <c r="Q433" t="s">
        <v>106</v>
      </c>
      <c r="R433" t="str">
        <f>HYPERLINK("https://d28ji4sm1vmprj.cloudfront.net/e7a526a7220c3bc5cfeeb407c455c0b3/580ffb055aff8ee0c88c6e676cfba776.jpeg", "Ссылка на план")</f>
        <v>Ссылка на план</v>
      </c>
      <c r="S433" s="1">
        <v>43708.749502314815</v>
      </c>
      <c r="T433" s="1">
        <v>43708.749525462961</v>
      </c>
      <c r="U433" s="1">
        <v>43708.749525462961</v>
      </c>
      <c r="W433" s="1">
        <v>43708.7497337963</v>
      </c>
      <c r="X433" t="s">
        <v>2835</v>
      </c>
      <c r="AA433" t="s">
        <v>3089</v>
      </c>
      <c r="AB433" t="s">
        <v>3090</v>
      </c>
      <c r="AC433" t="s">
        <v>3091</v>
      </c>
      <c r="AD433" t="s">
        <v>3092</v>
      </c>
      <c r="AE433" t="s">
        <v>3093</v>
      </c>
      <c r="AF433" t="s">
        <v>3094</v>
      </c>
      <c r="AG433" t="s">
        <v>3095</v>
      </c>
      <c r="BF433" t="s">
        <v>167</v>
      </c>
      <c r="BG433" t="s">
        <v>3096</v>
      </c>
      <c r="BH433" t="s">
        <v>3097</v>
      </c>
      <c r="BI433" t="str">
        <f>HYPERLINK("https://d33htgqikc2pj4.cloudfront.net/56b40ab1-cf96-4cef-82ac-7a451eea5e64.jpeg", "Андрей Денисов: Ссылка на изображение")</f>
        <v>Андрей Денисов: Ссылка на изображение</v>
      </c>
      <c r="BJ433" t="str">
        <f>HYPERLINK("https://d33htgqikc2pj4.cloudfront.net/edf8363b-462f-4728-b287-daafc281a5a9.jpeg", "Андрей Денисов: Ссылка на изображение")</f>
        <v>Андрей Денисов: Ссылка на изображение</v>
      </c>
      <c r="BK433" t="str">
        <f>HYPERLINK("https://d33htgqikc2pj4.cloudfront.net/52b8e502-ecf0-4437-a292-cb6957a32412.jpeg", "Андрей Денисов: Ссылка на изображение")</f>
        <v>Андрей Денисов: Ссылка на изображение</v>
      </c>
      <c r="BL433" t="str">
        <f>HYPERLINK("https://d33htgqikc2pj4.cloudfront.net/91a3b360-4fdc-42cf-8566-7cbcb3bd2c6c.jpeg", "Андрей Денисов: Ссылка на изображение")</f>
        <v>Андрей Денисов: Ссылка на изображение</v>
      </c>
    </row>
    <row r="434" spans="1:86" ht="15" customHeight="1" x14ac:dyDescent="0.35">
      <c r="A434">
        <v>333</v>
      </c>
      <c r="B434" t="s">
        <v>3098</v>
      </c>
      <c r="C434">
        <v>2</v>
      </c>
      <c r="D434" t="str">
        <f>VLOOKUP(source[[#This Row],[Приоритет]],тПриоритеты[],2,0)</f>
        <v>Значительное</v>
      </c>
      <c r="E4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4" t="s">
        <v>2273</v>
      </c>
      <c r="G434" t="s">
        <v>157</v>
      </c>
      <c r="H434" t="str">
        <f>VLOOKUP(source[[#This Row],[Отвественный]],тОтветственные[],2,0)</f>
        <v>Отв13</v>
      </c>
      <c r="I434" s="2">
        <v>43678</v>
      </c>
      <c r="J434" s="2">
        <v>43678</v>
      </c>
      <c r="K434" t="s">
        <v>1239</v>
      </c>
      <c r="L434">
        <v>0</v>
      </c>
      <c r="M434">
        <v>0</v>
      </c>
      <c r="N434" t="s">
        <v>213</v>
      </c>
      <c r="Q434" t="s">
        <v>106</v>
      </c>
      <c r="R434" t="str">
        <f>HYPERLINK("https://d28ji4sm1vmprj.cloudfront.net/ccf34eba00e06214379800cff12ee85c/5ead71be54780691edd782b428416714.jpeg", "Ссылка на план")</f>
        <v>Ссылка на план</v>
      </c>
      <c r="S434" s="1">
        <v>43678.672627314816</v>
      </c>
      <c r="T434" s="1">
        <v>43678.672650462962</v>
      </c>
      <c r="U434" s="1">
        <v>43678.672650462962</v>
      </c>
      <c r="W434" s="1">
        <v>43678.673541666663</v>
      </c>
      <c r="X434" t="s">
        <v>1204</v>
      </c>
      <c r="AA434" t="s">
        <v>3099</v>
      </c>
      <c r="AB434" t="s">
        <v>3100</v>
      </c>
      <c r="AC434" t="s">
        <v>3101</v>
      </c>
      <c r="AD434" t="s">
        <v>3102</v>
      </c>
      <c r="AE434" t="s">
        <v>3103</v>
      </c>
      <c r="AF434" t="s">
        <v>3104</v>
      </c>
      <c r="BF434" t="s">
        <v>167</v>
      </c>
      <c r="BG434" t="s">
        <v>3105</v>
      </c>
      <c r="BH434" t="s">
        <v>2313</v>
      </c>
      <c r="BI434" t="s">
        <v>3106</v>
      </c>
      <c r="BJ434" t="str">
        <f>HYPERLINK("https://d33htgqikc2pj4.cloudfront.net/0a11954a-0152-4a75-ae1d-0263bb37e535.jpeg", "Андрей Денисов: Ссылка на изображение")</f>
        <v>Андрей Денисов: Ссылка на изображение</v>
      </c>
    </row>
    <row r="435" spans="1:86" ht="15" customHeight="1" x14ac:dyDescent="0.35">
      <c r="A435">
        <v>387</v>
      </c>
      <c r="B435" t="s">
        <v>3107</v>
      </c>
      <c r="C435">
        <v>2</v>
      </c>
      <c r="D435" t="str">
        <f>VLOOKUP(source[[#This Row],[Приоритет]],тПриоритеты[],2,0)</f>
        <v>Значительное</v>
      </c>
      <c r="E4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5" t="s">
        <v>2273</v>
      </c>
      <c r="G435" t="s">
        <v>157</v>
      </c>
      <c r="H435" t="str">
        <f>VLOOKUP(source[[#This Row],[Отвественный]],тОтветственные[],2,0)</f>
        <v>Отв13</v>
      </c>
      <c r="I435" s="2">
        <v>43699</v>
      </c>
      <c r="J435" s="2">
        <v>43699</v>
      </c>
      <c r="K435" t="s">
        <v>158</v>
      </c>
      <c r="L435">
        <v>0</v>
      </c>
      <c r="M435">
        <v>0</v>
      </c>
      <c r="N435" t="s">
        <v>472</v>
      </c>
      <c r="Q435" t="s">
        <v>124</v>
      </c>
      <c r="R435" t="str">
        <f>HYPERLINK("https://d28ji4sm1vmprj.cloudfront.net/09622a2bb466dfd1cdfb85ce6a712a4c/080b534903fe5ecae6d56f3611cbeb01.jpeg", "Ссылка на план")</f>
        <v>Ссылка на план</v>
      </c>
      <c r="S435" s="1">
        <v>43699.879942129628</v>
      </c>
      <c r="T435" s="1">
        <v>43699.879965277774</v>
      </c>
      <c r="U435" s="1">
        <v>43699.879965277774</v>
      </c>
      <c r="W435" s="1">
        <v>43699.880543981482</v>
      </c>
      <c r="X435" t="s">
        <v>2290</v>
      </c>
      <c r="AA435" t="s">
        <v>3108</v>
      </c>
      <c r="AB435" t="s">
        <v>3109</v>
      </c>
      <c r="AC435" t="s">
        <v>3110</v>
      </c>
      <c r="AD435" t="s">
        <v>3111</v>
      </c>
      <c r="AE435" t="s">
        <v>3112</v>
      </c>
      <c r="AF435" t="s">
        <v>3113</v>
      </c>
      <c r="AG435" t="s">
        <v>3114</v>
      </c>
      <c r="AH435" t="s">
        <v>3115</v>
      </c>
      <c r="AI435" t="s">
        <v>3116</v>
      </c>
      <c r="BF435" t="s">
        <v>167</v>
      </c>
      <c r="BG435" t="s">
        <v>3117</v>
      </c>
      <c r="BH435" t="s">
        <v>2313</v>
      </c>
      <c r="BI435" t="s">
        <v>3118</v>
      </c>
      <c r="BJ435" t="str">
        <f>HYPERLINK("https://d33htgqikc2pj4.cloudfront.net/b65d7a82-1d80-4d48-b3b0-2df50d02cd15.jpeg", "Андрей Денисов: Ссылка на изображение")</f>
        <v>Андрей Денисов: Ссылка на изображение</v>
      </c>
      <c r="BK435" t="str">
        <f>HYPERLINK("https://d33htgqikc2pj4.cloudfront.net/8fd8fc5b-a539-4780-a72d-28e55eb86086.jpeg", "Андрей Денисов: Ссылка на изображение")</f>
        <v>Андрей Денисов: Ссылка на изображение</v>
      </c>
    </row>
    <row r="436" spans="1:86" ht="15" customHeight="1" x14ac:dyDescent="0.35">
      <c r="A436">
        <v>392</v>
      </c>
      <c r="B436" t="s">
        <v>3119</v>
      </c>
      <c r="C436">
        <v>2</v>
      </c>
      <c r="D436" t="str">
        <f>VLOOKUP(source[[#This Row],[Приоритет]],тПриоритеты[],2,0)</f>
        <v>Значительное</v>
      </c>
      <c r="E4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6" t="s">
        <v>2273</v>
      </c>
      <c r="G436" t="s">
        <v>157</v>
      </c>
      <c r="H436" t="str">
        <f>VLOOKUP(source[[#This Row],[Отвественный]],тОтветственные[],2,0)</f>
        <v>Отв13</v>
      </c>
      <c r="I436" s="2">
        <v>43702</v>
      </c>
      <c r="J436" s="2">
        <v>43702</v>
      </c>
      <c r="K436" t="s">
        <v>104</v>
      </c>
      <c r="L436">
        <v>0</v>
      </c>
      <c r="M436">
        <v>0</v>
      </c>
      <c r="N436" t="s">
        <v>1267</v>
      </c>
      <c r="Q436" t="s">
        <v>106</v>
      </c>
      <c r="R436" t="str">
        <f>HYPERLINK("https://d28ji4sm1vmprj.cloudfront.net/e7a526a7220c3bc5cfeeb407c455c0b3/580ffb055aff8ee0c88c6e676cfba776.jpeg", "Ссылка на план")</f>
        <v>Ссылка на план</v>
      </c>
      <c r="S436" s="1">
        <v>43702.659363425926</v>
      </c>
      <c r="T436" s="1">
        <v>43702.659386574072</v>
      </c>
      <c r="U436" s="1">
        <v>43702.659386574072</v>
      </c>
      <c r="W436" s="1">
        <v>43702.659849537034</v>
      </c>
      <c r="X436" t="s">
        <v>2333</v>
      </c>
      <c r="AA436" t="s">
        <v>3120</v>
      </c>
      <c r="AB436" t="s">
        <v>3121</v>
      </c>
      <c r="AC436" t="s">
        <v>3122</v>
      </c>
      <c r="AD436" t="s">
        <v>3123</v>
      </c>
      <c r="AE436" t="s">
        <v>3124</v>
      </c>
      <c r="AF436" t="s">
        <v>3125</v>
      </c>
      <c r="AG436" t="s">
        <v>3126</v>
      </c>
      <c r="AH436" t="s">
        <v>3127</v>
      </c>
      <c r="AI436" t="s">
        <v>3128</v>
      </c>
      <c r="BF436" t="s">
        <v>167</v>
      </c>
      <c r="BG436" t="s">
        <v>3129</v>
      </c>
      <c r="BH436" t="s">
        <v>2313</v>
      </c>
      <c r="BI436" t="s">
        <v>3130</v>
      </c>
      <c r="BJ436" t="str">
        <f>HYPERLINK("https://d33htgqikc2pj4.cloudfront.net/07892f40-4023-4086-aa78-d3b785fc89f7.jpeg", "Андрей Денисов: Ссылка на изображение")</f>
        <v>Андрей Денисов: Ссылка на изображение</v>
      </c>
      <c r="BK436" t="str">
        <f>HYPERLINK("https://d33htgqikc2pj4.cloudfront.net/d408c1b5-2788-468a-895f-07f591f27603.jpeg", "Андрей Денисов: Ссылка на изображение")</f>
        <v>Андрей Денисов: Ссылка на изображение</v>
      </c>
      <c r="BL436" t="str">
        <f>HYPERLINK("https://d33htgqikc2pj4.cloudfront.net/e5b3beaa-8728-488b-8eb8-1d7ed25394d4.jpeg", "Андрей Денисов: Ссылка на изображение")</f>
        <v>Андрей Денисов: Ссылка на изображение</v>
      </c>
    </row>
    <row r="437" spans="1:86" ht="15" customHeight="1" x14ac:dyDescent="0.35">
      <c r="A437">
        <v>390</v>
      </c>
      <c r="B437" t="s">
        <v>3131</v>
      </c>
      <c r="C437">
        <v>2</v>
      </c>
      <c r="D437" t="str">
        <f>VLOOKUP(source[[#This Row],[Приоритет]],тПриоритеты[],2,0)</f>
        <v>Значительное</v>
      </c>
      <c r="E4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7" t="s">
        <v>2273</v>
      </c>
      <c r="G437" t="s">
        <v>157</v>
      </c>
      <c r="H437" t="str">
        <f>VLOOKUP(source[[#This Row],[Отвественный]],тОтветственные[],2,0)</f>
        <v>Отв13</v>
      </c>
      <c r="I437" s="2">
        <v>43702</v>
      </c>
      <c r="J437" s="2">
        <v>43702</v>
      </c>
      <c r="K437" t="s">
        <v>104</v>
      </c>
      <c r="L437">
        <v>0</v>
      </c>
      <c r="M437">
        <v>0</v>
      </c>
      <c r="N437" t="s">
        <v>105</v>
      </c>
      <c r="Q437" t="s">
        <v>106</v>
      </c>
      <c r="R437" t="str">
        <f>HYPERLINK("https://d28ji4sm1vmprj.cloudfront.net/e7a526a7220c3bc5cfeeb407c455c0b3/580ffb055aff8ee0c88c6e676cfba776.jpeg", "Ссылка на план")</f>
        <v>Ссылка на план</v>
      </c>
      <c r="S437" s="1">
        <v>43702.656192129631</v>
      </c>
      <c r="T437" s="1">
        <v>43702.656770833331</v>
      </c>
      <c r="U437" s="1">
        <v>43702.656770833331</v>
      </c>
      <c r="W437" s="1">
        <v>43702.656782407408</v>
      </c>
      <c r="BF437" t="s">
        <v>3132</v>
      </c>
      <c r="BG437" t="s">
        <v>2313</v>
      </c>
      <c r="BH437" t="s">
        <v>3130</v>
      </c>
      <c r="BI437" t="s">
        <v>167</v>
      </c>
      <c r="BJ437" t="str">
        <f>HYPERLINK("https://d33htgqikc2pj4.cloudfront.net/e5539618-d138-4156-a10d-715bd09bba65.jpeg", "Андрей Денисов: Ссылка на изображение")</f>
        <v>Андрей Денисов: Ссылка на изображение</v>
      </c>
      <c r="BK437" t="str">
        <f>HYPERLINK("https://d33htgqikc2pj4.cloudfront.net/2400788a-328a-4941-b49f-16b083dc376f.jpeg", "Андрей Денисов: Ссылка на изображение")</f>
        <v>Андрей Денисов: Ссылка на изображение</v>
      </c>
      <c r="BL437" t="str">
        <f>HYPERLINK("https://d33htgqikc2pj4.cloudfront.net/7862cb9b-cb3c-4498-b922-1109dd093996.jpeg", "Андрей Денисов: Ссылка на изображение")</f>
        <v>Андрей Денисов: Ссылка на изображение</v>
      </c>
      <c r="BM437" t="str">
        <f>HYPERLINK("https://d33htgqikc2pj4.cloudfront.net/ee334888-c005-447f-b9bf-f7081fddf378.jpeg", "Андрей Денисов: Ссылка на изображение")</f>
        <v>Андрей Денисов: Ссылка на изображение</v>
      </c>
    </row>
    <row r="438" spans="1:86" ht="15" customHeight="1" x14ac:dyDescent="0.35">
      <c r="A438">
        <v>391</v>
      </c>
      <c r="B438" t="s">
        <v>3133</v>
      </c>
      <c r="C438">
        <v>2</v>
      </c>
      <c r="D438" t="str">
        <f>VLOOKUP(source[[#This Row],[Приоритет]],тПриоритеты[],2,0)</f>
        <v>Значительное</v>
      </c>
      <c r="E4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8" t="s">
        <v>2273</v>
      </c>
      <c r="G438" t="s">
        <v>157</v>
      </c>
      <c r="H438" t="str">
        <f>VLOOKUP(source[[#This Row],[Отвественный]],тОтветственные[],2,0)</f>
        <v>Отв13</v>
      </c>
      <c r="I438" s="2">
        <v>43702</v>
      </c>
      <c r="J438" s="2">
        <v>43702</v>
      </c>
      <c r="K438" t="s">
        <v>104</v>
      </c>
      <c r="L438">
        <v>0</v>
      </c>
      <c r="M438">
        <v>0</v>
      </c>
      <c r="N438" t="s">
        <v>105</v>
      </c>
      <c r="Q438" t="s">
        <v>106</v>
      </c>
      <c r="R438" t="str">
        <f>HYPERLINK("https://d28ji4sm1vmprj.cloudfront.net/e7a526a7220c3bc5cfeeb407c455c0b3/580ffb055aff8ee0c88c6e676cfba776.jpeg", "Ссылка на план")</f>
        <v>Ссылка на план</v>
      </c>
      <c r="S438" s="1">
        <v>43702.658182870371</v>
      </c>
      <c r="T438" s="1">
        <v>43702.658206018517</v>
      </c>
      <c r="U438" s="1">
        <v>43702.658206018517</v>
      </c>
      <c r="W438" s="1">
        <v>43702.658738425926</v>
      </c>
      <c r="BF438" t="s">
        <v>167</v>
      </c>
      <c r="BG438" t="s">
        <v>3134</v>
      </c>
      <c r="BH438" t="s">
        <v>2313</v>
      </c>
      <c r="BI438" t="s">
        <v>3130</v>
      </c>
      <c r="BJ438" t="str">
        <f>HYPERLINK("https://d33htgqikc2pj4.cloudfront.net/0bd45197-8ec5-4e15-a8ec-2beea94b56b3.jpeg", "Андрей Денисов: Ссылка на изображение")</f>
        <v>Андрей Денисов: Ссылка на изображение</v>
      </c>
      <c r="BK438" t="str">
        <f>HYPERLINK("https://d33htgqikc2pj4.cloudfront.net/4f43ee73-8226-4c96-9906-1662a315accb.jpeg", "Андрей Денисов: Ссылка на изображение")</f>
        <v>Андрей Денисов: Ссылка на изображение</v>
      </c>
      <c r="BL438" t="str">
        <f>HYPERLINK("https://d33htgqikc2pj4.cloudfront.net/18275a9c-70ea-495b-a67d-de3b6d16b6c4.jpeg", "Андрей Денисов: Ссылка на изображение")</f>
        <v>Андрей Денисов: Ссылка на изображение</v>
      </c>
      <c r="BM438" t="str">
        <f>HYPERLINK("https://d33htgqikc2pj4.cloudfront.net/8431d57d-5ffe-4a24-a128-d5a30b9f5aff.jpeg", "Андрей Денисов: Ссылка на изображение")</f>
        <v>Андрей Денисов: Ссылка на изображение</v>
      </c>
    </row>
    <row r="439" spans="1:86" ht="15" customHeight="1" x14ac:dyDescent="0.35">
      <c r="A439">
        <v>500</v>
      </c>
      <c r="B439" t="s">
        <v>3135</v>
      </c>
      <c r="C439">
        <v>2</v>
      </c>
      <c r="D439" t="str">
        <f>VLOOKUP(source[[#This Row],[Приоритет]],тПриоритеты[],2,0)</f>
        <v>Значительное</v>
      </c>
      <c r="E4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39" t="s">
        <v>2273</v>
      </c>
      <c r="G439" t="s">
        <v>157</v>
      </c>
      <c r="H439" t="str">
        <f>VLOOKUP(source[[#This Row],[Отвественный]],тОтветственные[],2,0)</f>
        <v>Отв13</v>
      </c>
      <c r="I439" s="2">
        <v>43727</v>
      </c>
      <c r="J439" s="2">
        <v>43727</v>
      </c>
      <c r="K439" t="s">
        <v>104</v>
      </c>
      <c r="L439">
        <v>0</v>
      </c>
      <c r="M439">
        <v>0</v>
      </c>
      <c r="N439" t="s">
        <v>105</v>
      </c>
      <c r="Q439" t="s">
        <v>106</v>
      </c>
      <c r="R439" t="str">
        <f>HYPERLINK("https://d28ji4sm1vmprj.cloudfront.net/e7a526a7220c3bc5cfeeb407c455c0b3/580ffb055aff8ee0c88c6e676cfba776.jpeg", "Ссылка на план")</f>
        <v>Ссылка на план</v>
      </c>
      <c r="S439" s="1">
        <v>43727.769386574073</v>
      </c>
      <c r="T439" s="1">
        <v>43727.769409722219</v>
      </c>
      <c r="U439" s="1">
        <v>43727.769409722219</v>
      </c>
      <c r="W439" s="1">
        <v>43727.769849537035</v>
      </c>
      <c r="BF439" t="s">
        <v>167</v>
      </c>
      <c r="BG439" t="s">
        <v>3136</v>
      </c>
      <c r="BH439" t="s">
        <v>2313</v>
      </c>
      <c r="BI439" t="s">
        <v>3137</v>
      </c>
      <c r="BJ439" t="str">
        <f>HYPERLINK("https://d33htgqikc2pj4.cloudfront.net/0895fd39-f6af-43dd-846d-0d7b05d3e246.jpeg", "Андрей Денисов: Ссылка на изображение")</f>
        <v>Андрей Денисов: Ссылка на изображение</v>
      </c>
      <c r="BK439" t="str">
        <f>HYPERLINK("https://d33htgqikc2pj4.cloudfront.net/6143a645-f37c-4909-b242-f41bcadd42fc.jpeg", "Андрей Денисов: Ссылка на изображение")</f>
        <v>Андрей Денисов: Ссылка на изображение</v>
      </c>
      <c r="BL439" t="str">
        <f>HYPERLINK("https://d33htgqikc2pj4.cloudfront.net/a850f442-d180-46b3-a1c1-cebf52f3c2bd.jpeg", "Андрей Денисов: Ссылка на изображение")</f>
        <v>Андрей Денисов: Ссылка на изображение</v>
      </c>
      <c r="BM439" t="str">
        <f>HYPERLINK("https://d33htgqikc2pj4.cloudfront.net/ad0255ab-92a4-4f46-987f-1ae0800fc91d.jpeg", "Андрей Денисов: Ссылка на изображение")</f>
        <v>Андрей Денисов: Ссылка на изображение</v>
      </c>
      <c r="BN439" t="str">
        <f>HYPERLINK("https://d33htgqikc2pj4.cloudfront.net/c8ee4839-17f6-4593-831d-79f8929a49cd.jpeg", "Андрей Денисов: Ссылка на изображение")</f>
        <v>Андрей Денисов: Ссылка на изображение</v>
      </c>
      <c r="BO439" t="str">
        <f>HYPERLINK("https://d33htgqikc2pj4.cloudfront.net/f39f375c-9011-4cfb-a10c-cadb28002ed0.jpeg", "Андрей Денисов: Ссылка на изображение")</f>
        <v>Андрей Денисов: Ссылка на изображение</v>
      </c>
    </row>
    <row r="440" spans="1:86" ht="15" customHeight="1" x14ac:dyDescent="0.35">
      <c r="A440">
        <v>722</v>
      </c>
      <c r="B440" t="s">
        <v>3138</v>
      </c>
      <c r="C440">
        <v>2</v>
      </c>
      <c r="D440" t="str">
        <f>VLOOKUP(source[[#This Row],[Приоритет]],тПриоритеты[],2,0)</f>
        <v>Значительное</v>
      </c>
      <c r="E4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0" t="s">
        <v>2273</v>
      </c>
      <c r="G440" t="s">
        <v>157</v>
      </c>
      <c r="H440" t="str">
        <f>VLOOKUP(source[[#This Row],[Отвественный]],тОтветственные[],2,0)</f>
        <v>Отв13</v>
      </c>
      <c r="I440" s="2">
        <v>43792</v>
      </c>
      <c r="J440" s="2">
        <v>43792</v>
      </c>
      <c r="K440" t="s">
        <v>2349</v>
      </c>
      <c r="L440">
        <v>54.23</v>
      </c>
      <c r="M440">
        <v>51.18</v>
      </c>
      <c r="N440" t="s">
        <v>213</v>
      </c>
      <c r="Q440" t="s">
        <v>106</v>
      </c>
      <c r="R440" t="str">
        <f>HYPERLINK("https://d28ji4sm1vmprj.cloudfront.net/6b0dc9e799f98d5c9a0a0ab863394e9c/e9ac1857a23bf9d0a66df9e04e6ec937.jpeg", "Ссылка на план")</f>
        <v>Ссылка на план</v>
      </c>
      <c r="S440" s="1">
        <v>43793.544270833336</v>
      </c>
      <c r="T440" s="1">
        <v>43793.544953703706</v>
      </c>
      <c r="U440" s="1">
        <v>43793.544953703706</v>
      </c>
      <c r="W440" s="1">
        <v>43793.544965277775</v>
      </c>
      <c r="X440" t="s">
        <v>1204</v>
      </c>
      <c r="AA440" t="s">
        <v>3139</v>
      </c>
      <c r="AB440" t="s">
        <v>3140</v>
      </c>
      <c r="AC440" t="s">
        <v>3141</v>
      </c>
      <c r="AD440" t="s">
        <v>3142</v>
      </c>
      <c r="AE440" t="s">
        <v>3143</v>
      </c>
      <c r="AF440" t="s">
        <v>3144</v>
      </c>
      <c r="BF440" t="s">
        <v>3145</v>
      </c>
      <c r="BG440" t="s">
        <v>2313</v>
      </c>
      <c r="BH440" t="s">
        <v>3146</v>
      </c>
      <c r="BI440" t="s">
        <v>167</v>
      </c>
      <c r="BJ440" t="str">
        <f>HYPERLINK("https://d33htgqikc2pj4.cloudfront.net/3803612d-1da5-47e7-a77b-834c6fda55ac.jpeg", "Андрей Денисов: Ссылка на изображение")</f>
        <v>Андрей Денисов: Ссылка на изображение</v>
      </c>
    </row>
    <row r="441" spans="1:86" ht="15" customHeight="1" x14ac:dyDescent="0.35">
      <c r="A441">
        <v>395</v>
      </c>
      <c r="B441" t="s">
        <v>3147</v>
      </c>
      <c r="C441">
        <v>2</v>
      </c>
      <c r="D441" t="str">
        <f>VLOOKUP(source[[#This Row],[Приоритет]],тПриоритеты[],2,0)</f>
        <v>Значительное</v>
      </c>
      <c r="E4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1" t="s">
        <v>2273</v>
      </c>
      <c r="G441" t="s">
        <v>157</v>
      </c>
      <c r="H441" t="str">
        <f>VLOOKUP(source[[#This Row],[Отвественный]],тОтветственные[],2,0)</f>
        <v>Отв13</v>
      </c>
      <c r="I441" s="2">
        <v>43703</v>
      </c>
      <c r="J441" s="2">
        <v>43703</v>
      </c>
      <c r="K441" t="s">
        <v>104</v>
      </c>
      <c r="L441">
        <v>0</v>
      </c>
      <c r="M441">
        <v>0</v>
      </c>
      <c r="N441" t="s">
        <v>105</v>
      </c>
      <c r="Q441" t="s">
        <v>106</v>
      </c>
      <c r="R441" t="str">
        <f>HYPERLINK("https://d28ji4sm1vmprj.cloudfront.net/e7a526a7220c3bc5cfeeb407c455c0b3/580ffb055aff8ee0c88c6e676cfba776.jpeg", "Ссылка на план")</f>
        <v>Ссылка на план</v>
      </c>
      <c r="S441" s="1">
        <v>43704.397476851853</v>
      </c>
      <c r="T441" s="1">
        <v>43704.398078703707</v>
      </c>
      <c r="U441" s="1">
        <v>43704.398078703707</v>
      </c>
      <c r="W441" s="1">
        <v>43704.398263888892</v>
      </c>
      <c r="X441" t="s">
        <v>2835</v>
      </c>
      <c r="AA441" t="s">
        <v>3148</v>
      </c>
      <c r="AB441" t="s">
        <v>3149</v>
      </c>
      <c r="AC441" t="s">
        <v>3150</v>
      </c>
      <c r="AD441" t="s">
        <v>3151</v>
      </c>
      <c r="AE441" t="s">
        <v>3152</v>
      </c>
      <c r="AF441" t="s">
        <v>3153</v>
      </c>
      <c r="AG441" t="s">
        <v>3154</v>
      </c>
      <c r="BF441" t="s">
        <v>3155</v>
      </c>
      <c r="BG441" t="s">
        <v>2313</v>
      </c>
      <c r="BH441" t="s">
        <v>3156</v>
      </c>
      <c r="BI441" t="s">
        <v>167</v>
      </c>
      <c r="BJ441" t="s">
        <v>3157</v>
      </c>
      <c r="BK441" t="str">
        <f>HYPERLINK("https://d33htgqikc2pj4.cloudfront.net/55ef7350-9a61-4517-a921-041a4dbe4a2e.jpeg", "Андрей Денисов: Ссылка на изображение")</f>
        <v>Андрей Денисов: Ссылка на изображение</v>
      </c>
      <c r="BL441" t="str">
        <f>HYPERLINK("https://d33htgqikc2pj4.cloudfront.net/67918377-ca85-4c6b-b02e-7169387a42d3.jpeg", "Андрей Денисов: Ссылка на изображение")</f>
        <v>Андрей Денисов: Ссылка на изображение</v>
      </c>
      <c r="BM441" t="str">
        <f>HYPERLINK("https://d33htgqikc2pj4.cloudfront.net/e0e77da7-3592-4980-b197-596fe73b2bf1.jpeg", "Андрей Денисов: Ссылка на изображение")</f>
        <v>Андрей Денисов: Ссылка на изображение</v>
      </c>
    </row>
    <row r="442" spans="1:86" ht="15" customHeight="1" x14ac:dyDescent="0.35">
      <c r="A442">
        <v>400</v>
      </c>
      <c r="B442" t="s">
        <v>3158</v>
      </c>
      <c r="C442">
        <v>2</v>
      </c>
      <c r="D442" t="str">
        <f>VLOOKUP(source[[#This Row],[Приоритет]],тПриоритеты[],2,0)</f>
        <v>Значительное</v>
      </c>
      <c r="E4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2" t="s">
        <v>2273</v>
      </c>
      <c r="G442" t="s">
        <v>157</v>
      </c>
      <c r="H442" t="str">
        <f>VLOOKUP(source[[#This Row],[Отвественный]],тОтветственные[],2,0)</f>
        <v>Отв13</v>
      </c>
      <c r="I442" s="2">
        <v>43704</v>
      </c>
      <c r="J442" s="2">
        <v>43704</v>
      </c>
      <c r="K442" t="s">
        <v>104</v>
      </c>
      <c r="L442">
        <v>0</v>
      </c>
      <c r="M442">
        <v>0</v>
      </c>
      <c r="N442" t="s">
        <v>105</v>
      </c>
      <c r="Q442" t="s">
        <v>106</v>
      </c>
      <c r="R442" t="str">
        <f>HYPERLINK("https://d28ji4sm1vmprj.cloudfront.net/e7a526a7220c3bc5cfeeb407c455c0b3/580ffb055aff8ee0c88c6e676cfba776.jpeg", "Ссылка на план")</f>
        <v>Ссылка на план</v>
      </c>
      <c r="S442" s="1">
        <v>43704.494039351855</v>
      </c>
      <c r="T442" s="1">
        <v>43704.494085648148</v>
      </c>
      <c r="U442" s="1">
        <v>43704.494085648148</v>
      </c>
      <c r="W442" s="1">
        <v>43704.495405092595</v>
      </c>
      <c r="BF442" t="s">
        <v>167</v>
      </c>
      <c r="BG442" t="s">
        <v>2313</v>
      </c>
      <c r="BH442" t="s">
        <v>3159</v>
      </c>
      <c r="BI442" t="s">
        <v>3160</v>
      </c>
      <c r="BJ442" t="s">
        <v>3161</v>
      </c>
      <c r="BK442" t="s">
        <v>3162</v>
      </c>
      <c r="BL442" t="str">
        <f>HYPERLINK("https://d33htgqikc2pj4.cloudfront.net/99ce8e36-9664-408f-b881-661850665113.jpeg", "Андрей Денисов: Ссылка на изображение")</f>
        <v>Андрей Денисов: Ссылка на изображение</v>
      </c>
      <c r="BM442" t="str">
        <f>HYPERLINK("https://d33htgqikc2pj4.cloudfront.net/45500cc8-7c1f-4a56-bbbc-71333068df0d.jpeg", "Андрей Денисов: Ссылка на изображение")</f>
        <v>Андрей Денисов: Ссылка на изображение</v>
      </c>
      <c r="BN442" t="str">
        <f>HYPERLINK("https://d33htgqikc2pj4.cloudfront.net/cce04dfc-b314-4e8b-b534-55d2840a27c1.jpeg", "Андрей Денисов: Ссылка на изображение")</f>
        <v>Андрей Денисов: Ссылка на изображение</v>
      </c>
      <c r="BO442" t="str">
        <f>HYPERLINK("https://d33htgqikc2pj4.cloudfront.net/1f1251d7-ffe2-4c8b-96c3-38f530ad02cc.jpeg", "Андрей Денисов: Ссылка на изображение")</f>
        <v>Андрей Денисов: Ссылка на изображение</v>
      </c>
      <c r="BP442" t="str">
        <f>HYPERLINK("https://d33htgqikc2pj4.cloudfront.net/98f20ee0-48de-452c-a458-6d0790190a04.jpeg", "Андрей Денисов: Ссылка на изображение")</f>
        <v>Андрей Денисов: Ссылка на изображение</v>
      </c>
      <c r="BQ442" t="str">
        <f>HYPERLINK("https://d33htgqikc2pj4.cloudfront.net/4505c997-3d08-48ed-8974-f3f52c92edc8.jpeg", "Андрей Денисов: Ссылка на изображение")</f>
        <v>Андрей Денисов: Ссылка на изображение</v>
      </c>
      <c r="BR442" t="str">
        <f>HYPERLINK("https://d33htgqikc2pj4.cloudfront.net/2083ed4c-0ca2-48a0-b371-df6eab7c5f22.jpeg", "Андрей Денисов: Ссылка на изображение")</f>
        <v>Андрей Денисов: Ссылка на изображение</v>
      </c>
      <c r="BS442" t="str">
        <f>HYPERLINK("https://d33htgqikc2pj4.cloudfront.net/ea614ab2-48b7-4248-b856-c39e393bebd9.jpeg", "Андрей Денисов: Ссылка на изображение")</f>
        <v>Андрей Денисов: Ссылка на изображение</v>
      </c>
    </row>
    <row r="443" spans="1:86" ht="15" customHeight="1" x14ac:dyDescent="0.35">
      <c r="A443">
        <v>401</v>
      </c>
      <c r="B443" t="s">
        <v>3163</v>
      </c>
      <c r="C443">
        <v>2</v>
      </c>
      <c r="D443" t="str">
        <f>VLOOKUP(source[[#This Row],[Приоритет]],тПриоритеты[],2,0)</f>
        <v>Значительное</v>
      </c>
      <c r="E4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3" t="s">
        <v>2273</v>
      </c>
      <c r="G443" t="s">
        <v>157</v>
      </c>
      <c r="H443" t="str">
        <f>VLOOKUP(source[[#This Row],[Отвественный]],тОтветственные[],2,0)</f>
        <v>Отв13</v>
      </c>
      <c r="I443" s="2">
        <v>43704</v>
      </c>
      <c r="J443" s="2">
        <v>43704</v>
      </c>
      <c r="K443" t="s">
        <v>104</v>
      </c>
      <c r="L443">
        <v>0</v>
      </c>
      <c r="M443">
        <v>0</v>
      </c>
      <c r="N443" t="s">
        <v>105</v>
      </c>
      <c r="Q443" t="s">
        <v>106</v>
      </c>
      <c r="R443" t="str">
        <f>HYPERLINK("https://d28ji4sm1vmprj.cloudfront.net/e7a526a7220c3bc5cfeeb407c455c0b3/580ffb055aff8ee0c88c6e676cfba776.jpeg", "Ссылка на план")</f>
        <v>Ссылка на план</v>
      </c>
      <c r="S443" s="1">
        <v>43704.649722222224</v>
      </c>
      <c r="T443" s="1">
        <v>43704.649780092594</v>
      </c>
      <c r="U443" s="1">
        <v>43704.649780092594</v>
      </c>
      <c r="W443" s="1">
        <v>43704.650879629633</v>
      </c>
      <c r="X443" t="s">
        <v>2333</v>
      </c>
      <c r="AA443" t="s">
        <v>3164</v>
      </c>
      <c r="AB443" t="s">
        <v>3165</v>
      </c>
      <c r="AC443" t="s">
        <v>3166</v>
      </c>
      <c r="AD443" t="s">
        <v>3167</v>
      </c>
      <c r="AE443" t="s">
        <v>3168</v>
      </c>
      <c r="AF443" t="s">
        <v>3169</v>
      </c>
      <c r="AG443" t="s">
        <v>3170</v>
      </c>
      <c r="AH443" t="s">
        <v>3171</v>
      </c>
      <c r="AI443" t="s">
        <v>3154</v>
      </c>
      <c r="BF443" t="s">
        <v>167</v>
      </c>
      <c r="BG443" t="s">
        <v>3172</v>
      </c>
      <c r="BH443" t="s">
        <v>2313</v>
      </c>
      <c r="BI443" t="s">
        <v>3173</v>
      </c>
      <c r="BJ443" t="str">
        <f>HYPERLINK("https://d33htgqikc2pj4.cloudfront.net/ed482c03-e2ca-4b1b-93ff-39fdd340caa3.jpeg", "Андрей Денисов: Ссылка на изображение")</f>
        <v>Андрей Денисов: Ссылка на изображение</v>
      </c>
      <c r="BK443" t="str">
        <f>HYPERLINK("https://d33htgqikc2pj4.cloudfront.net/08aac384-e08f-4aa1-895f-4be7529b3e6f.jpeg", "Андрей Денисов: Ссылка на изображение")</f>
        <v>Андрей Денисов: Ссылка на изображение</v>
      </c>
    </row>
    <row r="444" spans="1:86" ht="15" customHeight="1" x14ac:dyDescent="0.35">
      <c r="A444">
        <v>794</v>
      </c>
      <c r="B444" t="s">
        <v>3174</v>
      </c>
      <c r="C444">
        <v>2</v>
      </c>
      <c r="D444" t="str">
        <f>VLOOKUP(source[[#This Row],[Приоритет]],тПриоритеты[],2,0)</f>
        <v>Значительное</v>
      </c>
      <c r="E4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4" t="s">
        <v>2273</v>
      </c>
      <c r="G444" t="s">
        <v>157</v>
      </c>
      <c r="H444" t="str">
        <f>VLOOKUP(source[[#This Row],[Отвественный]],тОтветственные[],2,0)</f>
        <v>Отв13</v>
      </c>
      <c r="I444" s="2">
        <v>43819</v>
      </c>
      <c r="J444" s="2">
        <v>43819</v>
      </c>
      <c r="K444" t="s">
        <v>323</v>
      </c>
      <c r="L444">
        <v>21.71</v>
      </c>
      <c r="M444">
        <v>18.89</v>
      </c>
      <c r="N444" t="s">
        <v>324</v>
      </c>
      <c r="Q444" t="s">
        <v>106</v>
      </c>
      <c r="R444" t="str">
        <f>HYPERLINK("https://d28ji4sm1vmprj.cloudfront.net/b9f0a3730bff318b29d61a045df19870/45ac0b590edfdc108d4a2e6d8918b5e0.jpeg", "Ссылка на план")</f>
        <v>Ссылка на план</v>
      </c>
      <c r="S444" s="1">
        <v>43819.72347222222</v>
      </c>
      <c r="T444" s="1">
        <v>43790.623472222222</v>
      </c>
      <c r="U444" s="1">
        <v>43790.623472222222</v>
      </c>
      <c r="W444" s="1">
        <v>43819.726203703707</v>
      </c>
      <c r="X444" t="s">
        <v>2510</v>
      </c>
      <c r="AA444" t="s">
        <v>3175</v>
      </c>
      <c r="AB444" t="s">
        <v>3176</v>
      </c>
      <c r="AC444" t="s">
        <v>3177</v>
      </c>
      <c r="AD444" t="s">
        <v>3178</v>
      </c>
      <c r="AE444" t="s">
        <v>3179</v>
      </c>
      <c r="AF444" t="s">
        <v>3180</v>
      </c>
      <c r="AG444" t="s">
        <v>3181</v>
      </c>
      <c r="AH444" t="s">
        <v>3182</v>
      </c>
      <c r="AI444" t="s">
        <v>3183</v>
      </c>
      <c r="BF444" t="s">
        <v>3184</v>
      </c>
      <c r="BG444" t="s">
        <v>333</v>
      </c>
      <c r="BH444" t="str">
        <f>HYPERLINK("https://d33htgqikc2pj4.cloudfront.net/00d97b4e98f38c6da6925333666535c3/b0a0ad654c2c227e73967a2846197416-file.jpeg", "Андрей Денисов: Ссылка на изображение")</f>
        <v>Андрей Денисов: Ссылка на изображение</v>
      </c>
      <c r="BI444" t="str">
        <f>HYPERLINK("https://d33htgqikc2pj4.cloudfront.net/1cee1f30594a540f32f374a07cfd019b/782609b13daa6410ed100a63968d397f-file.jpeg", "Андрей Денисов: Ссылка на изображение")</f>
        <v>Андрей Денисов: Ссылка на изображение</v>
      </c>
      <c r="BJ444" t="str">
        <f>HYPERLINK("https://d33htgqikc2pj4.cloudfront.net/083955e6fc5ab398e7f0cfbf42a48f26/23b7e06dd4e7e671c999458ab4fde93c-file.jpeg", "Андрей Денисов: Ссылка на изображение")</f>
        <v>Андрей Денисов: Ссылка на изображение</v>
      </c>
    </row>
    <row r="445" spans="1:86" ht="15" customHeight="1" x14ac:dyDescent="0.35">
      <c r="A445">
        <v>402</v>
      </c>
      <c r="B445" t="s">
        <v>3185</v>
      </c>
      <c r="C445">
        <v>2</v>
      </c>
      <c r="D445" t="str">
        <f>VLOOKUP(source[[#This Row],[Приоритет]],тПриоритеты[],2,0)</f>
        <v>Значительное</v>
      </c>
      <c r="E4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5" t="s">
        <v>2273</v>
      </c>
      <c r="G445" t="s">
        <v>157</v>
      </c>
      <c r="H445" t="str">
        <f>VLOOKUP(source[[#This Row],[Отвественный]],тОтветственные[],2,0)</f>
        <v>Отв13</v>
      </c>
      <c r="I445" s="2">
        <v>43705</v>
      </c>
      <c r="J445" s="2">
        <v>43705</v>
      </c>
      <c r="K445" t="s">
        <v>104</v>
      </c>
      <c r="L445">
        <v>0</v>
      </c>
      <c r="M445">
        <v>0</v>
      </c>
      <c r="N445" t="s">
        <v>105</v>
      </c>
      <c r="Q445" t="s">
        <v>106</v>
      </c>
      <c r="R445" t="str">
        <f>HYPERLINK("https://d28ji4sm1vmprj.cloudfront.net/e7a526a7220c3bc5cfeeb407c455c0b3/580ffb055aff8ee0c88c6e676cfba776.jpeg", "Ссылка на план")</f>
        <v>Ссылка на план</v>
      </c>
      <c r="S445" s="1">
        <v>43705.776354166665</v>
      </c>
      <c r="T445" s="1">
        <v>43705.776388888888</v>
      </c>
      <c r="U445" s="1">
        <v>43705.776388888888</v>
      </c>
      <c r="W445" s="1">
        <v>43705.776886574073</v>
      </c>
      <c r="X445" t="s">
        <v>2835</v>
      </c>
      <c r="AA445" t="s">
        <v>3186</v>
      </c>
      <c r="AB445" t="s">
        <v>3187</v>
      </c>
      <c r="AC445" t="s">
        <v>3188</v>
      </c>
      <c r="AD445" t="s">
        <v>3189</v>
      </c>
      <c r="AE445" t="s">
        <v>3190</v>
      </c>
      <c r="AF445" t="s">
        <v>3191</v>
      </c>
      <c r="AG445" t="s">
        <v>3192</v>
      </c>
      <c r="BF445" t="s">
        <v>167</v>
      </c>
      <c r="BG445" t="s">
        <v>3193</v>
      </c>
      <c r="BH445" t="s">
        <v>2313</v>
      </c>
      <c r="BI445" t="s">
        <v>3194</v>
      </c>
      <c r="BJ445" t="str">
        <f>HYPERLINK("https://d33htgqikc2pj4.cloudfront.net/8bd743d6-a654-466c-b9ab-f59d018c7797.jpeg", "Андрей Денисов: Ссылка на изображение")</f>
        <v>Андрей Денисов: Ссылка на изображение</v>
      </c>
      <c r="BK445" t="str">
        <f>HYPERLINK("https://d33htgqikc2pj4.cloudfront.net/221db6dc-49b0-4e89-aa5f-14515fc19f4c.jpeg", "Андрей Денисов: Ссылка на изображение")</f>
        <v>Андрей Денисов: Ссылка на изображение</v>
      </c>
      <c r="BL445" t="str">
        <f>HYPERLINK("https://d33htgqikc2pj4.cloudfront.net/612bbe52-2bc9-42de-b0c1-b6cf50bcd139.jpeg", "Андрей Денисов: Ссылка на изображение")</f>
        <v>Андрей Денисов: Ссылка на изображение</v>
      </c>
    </row>
    <row r="446" spans="1:86" ht="15" customHeight="1" x14ac:dyDescent="0.35">
      <c r="A446">
        <v>513</v>
      </c>
      <c r="B446" t="s">
        <v>3195</v>
      </c>
      <c r="C446">
        <v>2</v>
      </c>
      <c r="D446" t="str">
        <f>VLOOKUP(source[[#This Row],[Приоритет]],тПриоритеты[],2,0)</f>
        <v>Значительное</v>
      </c>
      <c r="E4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6" t="s">
        <v>2273</v>
      </c>
      <c r="G446" t="s">
        <v>157</v>
      </c>
      <c r="H446" t="str">
        <f>VLOOKUP(source[[#This Row],[Отвественный]],тОтветственные[],2,0)</f>
        <v>Отв13</v>
      </c>
      <c r="I446" s="2">
        <v>43728</v>
      </c>
      <c r="J446" s="2">
        <v>43728</v>
      </c>
      <c r="K446" t="s">
        <v>375</v>
      </c>
      <c r="L446">
        <v>0</v>
      </c>
      <c r="M446">
        <v>0</v>
      </c>
      <c r="N446" t="s">
        <v>159</v>
      </c>
      <c r="Q446" t="s">
        <v>106</v>
      </c>
      <c r="R446" t="str">
        <f>HYPERLINK("https://d28ji4sm1vmprj.cloudfront.net/3e7bd1b1c8123e07928556a95537ec96/b6f4ea1a4c385def2ded1a2b1779c1a4.jpeg", "Ссылка на план")</f>
        <v>Ссылка на план</v>
      </c>
      <c r="S446" s="1">
        <v>43729.974004629628</v>
      </c>
      <c r="T446" s="1">
        <v>43729.974085648151</v>
      </c>
      <c r="U446" s="1">
        <v>43729.974085648151</v>
      </c>
      <c r="W446" s="1">
        <v>43729.974710648145</v>
      </c>
      <c r="X446" t="s">
        <v>2764</v>
      </c>
      <c r="AA446" t="s">
        <v>3196</v>
      </c>
      <c r="AB446" t="s">
        <v>3197</v>
      </c>
      <c r="AC446" t="s">
        <v>3198</v>
      </c>
      <c r="AD446" t="s">
        <v>3199</v>
      </c>
      <c r="AE446" t="s">
        <v>3200</v>
      </c>
      <c r="AF446" t="s">
        <v>3201</v>
      </c>
      <c r="AG446" t="s">
        <v>3202</v>
      </c>
      <c r="BF446" t="s">
        <v>167</v>
      </c>
      <c r="BG446" t="s">
        <v>3203</v>
      </c>
      <c r="BH446" t="s">
        <v>2313</v>
      </c>
      <c r="BI446" t="s">
        <v>3204</v>
      </c>
      <c r="BJ446" t="str">
        <f>HYPERLINK("https://d33htgqikc2pj4.cloudfront.net/16fd7f21-649b-4c42-bf08-0232b73901a0.jpeg", "Андрей Денисов: Ссылка на изображение")</f>
        <v>Андрей Денисов: Ссылка на изображение</v>
      </c>
      <c r="BK446" t="str">
        <f>HYPERLINK("https://d33htgqikc2pj4.cloudfront.net/9dea8086-6510-4783-9214-60c3dc56fe90.jpeg", "Андрей Денисов: Ссылка на изображение")</f>
        <v>Андрей Денисов: Ссылка на изображение</v>
      </c>
      <c r="BL446" t="str">
        <f>HYPERLINK("https://d33htgqikc2pj4.cloudfront.net/6e92bffb-8659-4017-8453-6d67c6851f65.jpeg", "Андрей Денисов: Ссылка на изображение")</f>
        <v>Андрей Денисов: Ссылка на изображение</v>
      </c>
      <c r="BM446" t="str">
        <f>HYPERLINK("https://d33htgqikc2pj4.cloudfront.net/b591d04c-ea21-490e-97f3-1561da33a46b.jpeg", "Андрей Денисов: Ссылка на изображение")</f>
        <v>Андрей Денисов: Ссылка на изображение</v>
      </c>
      <c r="BN446" t="str">
        <f>HYPERLINK("https://d33htgqikc2pj4.cloudfront.net/d83cdd2a-69cd-446d-a46d-702280c19f76.jpeg", "Андрей Денисов: Ссылка на изображение")</f>
        <v>Андрей Денисов: Ссылка на изображение</v>
      </c>
    </row>
    <row r="447" spans="1:86" ht="15" customHeight="1" x14ac:dyDescent="0.35">
      <c r="A447">
        <v>512</v>
      </c>
      <c r="B447" t="s">
        <v>3205</v>
      </c>
      <c r="C447">
        <v>2</v>
      </c>
      <c r="D447" t="str">
        <f>VLOOKUP(source[[#This Row],[Приоритет]],тПриоритеты[],2,0)</f>
        <v>Значительное</v>
      </c>
      <c r="E4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7" t="s">
        <v>2273</v>
      </c>
      <c r="G447" t="s">
        <v>157</v>
      </c>
      <c r="H447" t="str">
        <f>VLOOKUP(source[[#This Row],[Отвественный]],тОтветственные[],2,0)</f>
        <v>Отв13</v>
      </c>
      <c r="I447" s="2">
        <v>43728</v>
      </c>
      <c r="J447" s="2">
        <v>43728</v>
      </c>
      <c r="K447" t="s">
        <v>104</v>
      </c>
      <c r="L447">
        <v>0</v>
      </c>
      <c r="M447">
        <v>0</v>
      </c>
      <c r="N447" t="s">
        <v>105</v>
      </c>
      <c r="Q447" t="s">
        <v>106</v>
      </c>
      <c r="R447" t="str">
        <f>HYPERLINK("https://d28ji4sm1vmprj.cloudfront.net/e7a526a7220c3bc5cfeeb407c455c0b3/580ffb055aff8ee0c88c6e676cfba776.jpeg", "Ссылка на план")</f>
        <v>Ссылка на план</v>
      </c>
      <c r="S447" s="1">
        <v>43729.973090277781</v>
      </c>
      <c r="T447" s="1">
        <v>43729.973113425927</v>
      </c>
      <c r="U447" s="1">
        <v>43729.973113425927</v>
      </c>
      <c r="W447" s="1">
        <v>43729.973506944443</v>
      </c>
      <c r="X447" t="s">
        <v>2333</v>
      </c>
      <c r="AA447" t="s">
        <v>3206</v>
      </c>
      <c r="AB447" t="s">
        <v>3207</v>
      </c>
      <c r="AC447" t="s">
        <v>3208</v>
      </c>
      <c r="AD447" t="s">
        <v>3209</v>
      </c>
      <c r="AE447" t="s">
        <v>3210</v>
      </c>
      <c r="AF447" t="s">
        <v>3211</v>
      </c>
      <c r="AG447" t="s">
        <v>3212</v>
      </c>
      <c r="AH447" t="s">
        <v>3213</v>
      </c>
      <c r="AI447" t="s">
        <v>3214</v>
      </c>
      <c r="BF447" t="s">
        <v>167</v>
      </c>
      <c r="BG447" t="s">
        <v>3215</v>
      </c>
      <c r="BH447" t="s">
        <v>2313</v>
      </c>
      <c r="BI447" t="s">
        <v>3204</v>
      </c>
      <c r="BJ447" t="str">
        <f>HYPERLINK("https://d33htgqikc2pj4.cloudfront.net/f395b023-5b47-49b2-8f1f-9b7305f08cee.jpeg", "Андрей Денисов: Ссылка на изображение")</f>
        <v>Андрей Денисов: Ссылка на изображение</v>
      </c>
      <c r="BK447" t="str">
        <f>HYPERLINK("https://d33htgqikc2pj4.cloudfront.net/32420977-1502-44c4-8a2c-f5b563bbbb46.jpeg", "Андрей Денисов: Ссылка на изображение")</f>
        <v>Андрей Денисов: Ссылка на изображение</v>
      </c>
    </row>
    <row r="448" spans="1:86" ht="15" customHeight="1" x14ac:dyDescent="0.35">
      <c r="A448">
        <v>511</v>
      </c>
      <c r="B448" t="s">
        <v>3216</v>
      </c>
      <c r="C448">
        <v>2</v>
      </c>
      <c r="D448" t="str">
        <f>VLOOKUP(source[[#This Row],[Приоритет]],тПриоритеты[],2,0)</f>
        <v>Значительное</v>
      </c>
      <c r="E4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8" t="s">
        <v>2273</v>
      </c>
      <c r="G448" t="s">
        <v>157</v>
      </c>
      <c r="H448" t="str">
        <f>VLOOKUP(source[[#This Row],[Отвественный]],тОтветственные[],2,0)</f>
        <v>Отв13</v>
      </c>
      <c r="I448" s="2">
        <v>43728</v>
      </c>
      <c r="J448" s="2">
        <v>43728</v>
      </c>
      <c r="K448" t="s">
        <v>104</v>
      </c>
      <c r="L448">
        <v>0</v>
      </c>
      <c r="M448">
        <v>0</v>
      </c>
      <c r="N448" t="s">
        <v>105</v>
      </c>
      <c r="Q448" t="s">
        <v>106</v>
      </c>
      <c r="R448" t="str">
        <f>HYPERLINK("https://d28ji4sm1vmprj.cloudfront.net/e7a526a7220c3bc5cfeeb407c455c0b3/580ffb055aff8ee0c88c6e676cfba776.jpeg", "Ссылка на план")</f>
        <v>Ссылка на план</v>
      </c>
      <c r="S448" s="1">
        <v>43729.969826388886</v>
      </c>
      <c r="T448" s="1">
        <v>43729.97016203704</v>
      </c>
      <c r="U448" s="1">
        <v>43729.97016203704</v>
      </c>
      <c r="W448" s="1">
        <v>43729.972256944442</v>
      </c>
      <c r="X448" t="s">
        <v>3217</v>
      </c>
      <c r="BF448" t="s">
        <v>167</v>
      </c>
      <c r="BG448" t="s">
        <v>3218</v>
      </c>
      <c r="BH448" t="s">
        <v>2313</v>
      </c>
      <c r="BI448" t="s">
        <v>310</v>
      </c>
      <c r="BJ448" t="s">
        <v>3219</v>
      </c>
      <c r="BK448" t="s">
        <v>3204</v>
      </c>
      <c r="BL448" t="s">
        <v>3220</v>
      </c>
      <c r="BM448" t="s">
        <v>3221</v>
      </c>
      <c r="BN448" t="s">
        <v>3222</v>
      </c>
      <c r="BO448" t="s">
        <v>3223</v>
      </c>
      <c r="BP448" t="s">
        <v>3224</v>
      </c>
      <c r="BQ448" t="s">
        <v>3225</v>
      </c>
      <c r="BR448" t="s">
        <v>3226</v>
      </c>
      <c r="BS448" t="s">
        <v>3227</v>
      </c>
      <c r="BT448" t="s">
        <v>3228</v>
      </c>
      <c r="BU448" t="s">
        <v>3229</v>
      </c>
      <c r="BV448" t="s">
        <v>3230</v>
      </c>
      <c r="BW448" t="s">
        <v>3231</v>
      </c>
      <c r="BX448" t="s">
        <v>2313</v>
      </c>
      <c r="BY448" t="str">
        <f>HYPERLINK("https://d33htgqikc2pj4.cloudfront.net/dc89e1cb-8991-4178-b50a-745ede36438e.jpeg", "Андрей Денисов: Ссылка на изображение")</f>
        <v>Андрей Денисов: Ссылка на изображение</v>
      </c>
      <c r="BZ448" t="str">
        <f>HYPERLINK("https://d33htgqikc2pj4.cloudfront.net/384ac04a-f4a4-4937-85c6-4d239efcc496.jpeg", "Андрей Денисов: Ссылка на изображение")</f>
        <v>Андрей Денисов: Ссылка на изображение</v>
      </c>
      <c r="CA448" t="str">
        <f>HYPERLINK("https://d33htgqikc2pj4.cloudfront.net/276dd5c8-bd05-413d-a598-2dc8b1ceb8da.jpeg", "Андрей Денисов: Ссылка на изображение")</f>
        <v>Андрей Денисов: Ссылка на изображение</v>
      </c>
      <c r="CB448" t="str">
        <f>HYPERLINK("https://d33htgqikc2pj4.cloudfront.net/b74dbb22-b733-4dc6-8286-0f95cae41cb5.jpeg", "Андрей Денисов: Ссылка на изображение")</f>
        <v>Андрей Денисов: Ссылка на изображение</v>
      </c>
      <c r="CC448" t="str">
        <f>HYPERLINK("https://d33htgqikc2pj4.cloudfront.net/05441c6f-715e-415f-82e8-5b0d690142be.jpeg", "Андрей Денисов: Ссылка на изображение")</f>
        <v>Андрей Денисов: Ссылка на изображение</v>
      </c>
      <c r="CD448" t="str">
        <f>HYPERLINK("https://d33htgqikc2pj4.cloudfront.net/ac994fdb-348e-40f8-98f6-54690dfad580.jpeg", "Андрей Денисов: Ссылка на изображение")</f>
        <v>Андрей Денисов: Ссылка на изображение</v>
      </c>
      <c r="CE448" t="str">
        <f>HYPERLINK("https://d33htgqikc2pj4.cloudfront.net/39469b27-843f-4627-acae-06cb1bf52492.jpeg", "Андрей Денисов: Ссылка на изображение")</f>
        <v>Андрей Денисов: Ссылка на изображение</v>
      </c>
      <c r="CF448" t="str">
        <f>HYPERLINK("https://d33htgqikc2pj4.cloudfront.net/b69b3f34-4462-44b3-bd54-dae2f8b1782c.jpeg", "Андрей Денисов: Ссылка на изображение")</f>
        <v>Андрей Денисов: Ссылка на изображение</v>
      </c>
      <c r="CG448" t="str">
        <f>HYPERLINK("https://d33htgqikc2pj4.cloudfront.net/2598d207-d22a-4666-937e-c1aa8fd2f503.jpeg", "Андрей Денисов: Ссылка на изображение")</f>
        <v>Андрей Денисов: Ссылка на изображение</v>
      </c>
      <c r="CH448" t="str">
        <f>HYPERLINK("https://d33htgqikc2pj4.cloudfront.net/88883516-683c-4abd-8ace-fe8d459c103a.jpeg", "Андрей Денисов: Ссылка на изображение")</f>
        <v>Андрей Денисов: Ссылка на изображение</v>
      </c>
    </row>
    <row r="449" spans="1:84" ht="15" customHeight="1" x14ac:dyDescent="0.35">
      <c r="A449">
        <v>510</v>
      </c>
      <c r="B449" t="s">
        <v>3232</v>
      </c>
      <c r="C449">
        <v>2</v>
      </c>
      <c r="D449" t="str">
        <f>VLOOKUP(source[[#This Row],[Приоритет]],тПриоритеты[],2,0)</f>
        <v>Значительное</v>
      </c>
      <c r="E4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49" t="s">
        <v>2273</v>
      </c>
      <c r="G449" t="s">
        <v>157</v>
      </c>
      <c r="H449" t="str">
        <f>VLOOKUP(source[[#This Row],[Отвественный]],тОтветственные[],2,0)</f>
        <v>Отв13</v>
      </c>
      <c r="I449" s="2">
        <v>43728</v>
      </c>
      <c r="J449" s="2">
        <v>43728</v>
      </c>
      <c r="K449" t="s">
        <v>104</v>
      </c>
      <c r="L449">
        <v>0</v>
      </c>
      <c r="M449">
        <v>0</v>
      </c>
      <c r="N449" t="s">
        <v>105</v>
      </c>
      <c r="Q449" t="s">
        <v>106</v>
      </c>
      <c r="R449" t="str">
        <f>HYPERLINK("https://d28ji4sm1vmprj.cloudfront.net/e7a526a7220c3bc5cfeeb407c455c0b3/580ffb055aff8ee0c88c6e676cfba776.jpeg", "Ссылка на план")</f>
        <v>Ссылка на план</v>
      </c>
      <c r="S449" s="1">
        <v>43729.966817129629</v>
      </c>
      <c r="T449" s="1">
        <v>43729.96738425926</v>
      </c>
      <c r="U449" s="1">
        <v>43729.96738425926</v>
      </c>
      <c r="W449" s="1">
        <v>43729.968692129631</v>
      </c>
      <c r="BF449" t="s">
        <v>167</v>
      </c>
      <c r="BG449" t="s">
        <v>3233</v>
      </c>
      <c r="BH449" t="s">
        <v>2313</v>
      </c>
      <c r="BI449" t="s">
        <v>3204</v>
      </c>
      <c r="BJ449" t="str">
        <f>HYPERLINK("https://d33htgqikc2pj4.cloudfront.net/7b83208f-321a-4d03-8cdc-8932ec5109e5.jpeg", "Андрей Денисов: Ссылка на изображение")</f>
        <v>Андрей Денисов: Ссылка на изображение</v>
      </c>
      <c r="BK449" t="str">
        <f>HYPERLINK("https://d33htgqikc2pj4.cloudfront.net/d1ec988d-c051-4481-b9cd-c0853ab493d0.jpeg", "Андрей Денисов: Ссылка на изображение")</f>
        <v>Андрей Денисов: Ссылка на изображение</v>
      </c>
      <c r="BL449" t="str">
        <f>HYPERLINK("https://d33htgqikc2pj4.cloudfront.net/76f56456-7816-4a35-9035-7b754aa7d7f8.jpeg", "Андрей Денисов: Ссылка на изображение")</f>
        <v>Андрей Денисов: Ссылка на изображение</v>
      </c>
      <c r="BM449" t="str">
        <f>HYPERLINK("https://d33htgqikc2pj4.cloudfront.net/ab66aa48-70a8-40cf-9867-5762ab22a5d6.jpeg", "Андрей Денисов: Ссылка на изображение")</f>
        <v>Андрей Денисов: Ссылка на изображение</v>
      </c>
      <c r="BN449" t="str">
        <f>HYPERLINK("https://d33htgqikc2pj4.cloudfront.net/8920260a-41a2-4fd1-b99b-221ccd497d61.jpeg", "Андрей Денисов: Ссылка на изображение")</f>
        <v>Андрей Денисов: Ссылка на изображение</v>
      </c>
      <c r="BO449" t="str">
        <f>HYPERLINK("https://d33htgqikc2pj4.cloudfront.net/c200b0c1-60ff-4fb8-9abe-185a30afc372.jpeg", "Андрей Денисов: Ссылка на изображение")</f>
        <v>Андрей Денисов: Ссылка на изображение</v>
      </c>
      <c r="BP449" t="str">
        <f>HYPERLINK("https://d33htgqikc2pj4.cloudfront.net/5e939ef0-d115-4c35-8225-9d3688ee99dc.jpeg", "Андрей Денисов: Ссылка на изображение")</f>
        <v>Андрей Денисов: Ссылка на изображение</v>
      </c>
      <c r="BQ449" t="str">
        <f>HYPERLINK("https://d33htgqikc2pj4.cloudfront.net/f6703633-4508-482e-8160-c87270442a35.jpeg", "Андрей Денисов: Ссылка на изображение")</f>
        <v>Андрей Денисов: Ссылка на изображение</v>
      </c>
    </row>
    <row r="450" spans="1:84" ht="15" customHeight="1" x14ac:dyDescent="0.35">
      <c r="A450">
        <v>509</v>
      </c>
      <c r="B450" t="s">
        <v>3234</v>
      </c>
      <c r="C450">
        <v>2</v>
      </c>
      <c r="D450" t="str">
        <f>VLOOKUP(source[[#This Row],[Приоритет]],тПриоритеты[],2,0)</f>
        <v>Значительное</v>
      </c>
      <c r="E4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0" t="s">
        <v>2273</v>
      </c>
      <c r="G450" t="s">
        <v>157</v>
      </c>
      <c r="H450" t="str">
        <f>VLOOKUP(source[[#This Row],[Отвественный]],тОтветственные[],2,0)</f>
        <v>Отв13</v>
      </c>
      <c r="I450" s="2">
        <v>43727</v>
      </c>
      <c r="J450" s="2">
        <v>43727</v>
      </c>
      <c r="K450" t="s">
        <v>104</v>
      </c>
      <c r="L450">
        <v>0</v>
      </c>
      <c r="M450">
        <v>0</v>
      </c>
      <c r="N450" t="s">
        <v>105</v>
      </c>
      <c r="Q450" t="s">
        <v>106</v>
      </c>
      <c r="R450" t="str">
        <f>HYPERLINK("https://d28ji4sm1vmprj.cloudfront.net/e7a526a7220c3bc5cfeeb407c455c0b3/580ffb055aff8ee0c88c6e676cfba776.jpeg", "Ссылка на план")</f>
        <v>Ссылка на план</v>
      </c>
      <c r="S450" s="1">
        <v>43729.964571759258</v>
      </c>
      <c r="T450" s="1">
        <v>43729.964618055557</v>
      </c>
      <c r="U450" s="1">
        <v>43729.964618055557</v>
      </c>
      <c r="W450" s="1">
        <v>43729.965682870374</v>
      </c>
      <c r="X450" t="s">
        <v>2333</v>
      </c>
      <c r="AA450" t="s">
        <v>3206</v>
      </c>
      <c r="AB450" t="s">
        <v>3207</v>
      </c>
      <c r="AC450" t="s">
        <v>3208</v>
      </c>
      <c r="AD450" t="s">
        <v>3209</v>
      </c>
      <c r="AE450" t="s">
        <v>3210</v>
      </c>
      <c r="AF450" t="s">
        <v>3211</v>
      </c>
      <c r="AG450" t="s">
        <v>3212</v>
      </c>
      <c r="AH450" t="s">
        <v>3213</v>
      </c>
      <c r="AI450" t="s">
        <v>3214</v>
      </c>
      <c r="BF450" t="s">
        <v>167</v>
      </c>
      <c r="BG450" t="s">
        <v>3235</v>
      </c>
      <c r="BH450" t="s">
        <v>3137</v>
      </c>
      <c r="BI450" t="str">
        <f>HYPERLINK("https://d33htgqikc2pj4.cloudfront.net/60bb9550-c11e-4d5a-8d26-a1eae3a67848.jpeg", "Андрей Денисов: Ссылка на изображение")</f>
        <v>Андрей Денисов: Ссылка на изображение</v>
      </c>
      <c r="BJ450" t="str">
        <f>HYPERLINK("https://d33htgqikc2pj4.cloudfront.net/63fe61d8-bc58-4366-b9c2-c657fcbdcf52.jpeg", "Андрей Денисов: Ссылка на изображение")</f>
        <v>Андрей Денисов: Ссылка на изображение</v>
      </c>
    </row>
    <row r="451" spans="1:84" ht="15" customHeight="1" x14ac:dyDescent="0.35">
      <c r="A451">
        <v>793</v>
      </c>
      <c r="B451" t="s">
        <v>3236</v>
      </c>
      <c r="C451">
        <v>2</v>
      </c>
      <c r="D451" t="str">
        <f>VLOOKUP(source[[#This Row],[Приоритет]],тПриоритеты[],2,0)</f>
        <v>Значительное</v>
      </c>
      <c r="E4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1" t="s">
        <v>2273</v>
      </c>
      <c r="G451" t="s">
        <v>157</v>
      </c>
      <c r="H451" t="str">
        <f>VLOOKUP(source[[#This Row],[Отвественный]],тОтветственные[],2,0)</f>
        <v>Отв13</v>
      </c>
      <c r="I451" s="2">
        <v>43819</v>
      </c>
      <c r="J451" s="2">
        <v>43819</v>
      </c>
      <c r="K451" t="s">
        <v>2349</v>
      </c>
      <c r="L451">
        <v>19.399999999999999</v>
      </c>
      <c r="M451">
        <v>30.61</v>
      </c>
      <c r="N451" t="s">
        <v>213</v>
      </c>
      <c r="Q451" t="s">
        <v>106</v>
      </c>
      <c r="R451" t="str">
        <f>HYPERLINK("https://d28ji4sm1vmprj.cloudfront.net/6b0dc9e799f98d5c9a0a0ab863394e9c/e9ac1857a23bf9d0a66df9e04e6ec937.jpeg", "Ссылка на план")</f>
        <v>Ссылка на план</v>
      </c>
      <c r="S451" s="1">
        <v>43819.720601851855</v>
      </c>
      <c r="T451" s="1">
        <v>43811.776759259257</v>
      </c>
      <c r="U451" s="1">
        <v>43811.776759259257</v>
      </c>
      <c r="W451" s="1">
        <v>43819.721493055556</v>
      </c>
      <c r="X451" t="s">
        <v>2350</v>
      </c>
      <c r="AA451" t="s">
        <v>3237</v>
      </c>
      <c r="AB451" t="s">
        <v>3238</v>
      </c>
      <c r="AC451" t="s">
        <v>3239</v>
      </c>
      <c r="AD451" t="s">
        <v>3240</v>
      </c>
      <c r="AE451" t="s">
        <v>3241</v>
      </c>
      <c r="AF451" s="3" t="s">
        <v>3242</v>
      </c>
      <c r="BF451" t="s">
        <v>3243</v>
      </c>
      <c r="BG451" t="s">
        <v>333</v>
      </c>
      <c r="BH451" t="str">
        <f>HYPERLINK("https://d33htgqikc2pj4.cloudfront.net/f1ef33e90f9ecc304a088a3f741200da/4c030417fc8955ee47788a575b1a3670-file.jpeg", "Андрей Денисов: Ссылка на изображение")</f>
        <v>Андрей Денисов: Ссылка на изображение</v>
      </c>
    </row>
    <row r="452" spans="1:84" ht="15" customHeight="1" x14ac:dyDescent="0.35">
      <c r="A452">
        <v>514</v>
      </c>
      <c r="B452" t="s">
        <v>3244</v>
      </c>
      <c r="C452">
        <v>2</v>
      </c>
      <c r="D452" t="str">
        <f>VLOOKUP(source[[#This Row],[Приоритет]],тПриоритеты[],2,0)</f>
        <v>Значительное</v>
      </c>
      <c r="E4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2" t="s">
        <v>2273</v>
      </c>
      <c r="G452" t="s">
        <v>157</v>
      </c>
      <c r="H452" t="str">
        <f>VLOOKUP(source[[#This Row],[Отвественный]],тОтветственные[],2,0)</f>
        <v>Отв13</v>
      </c>
      <c r="I452" s="2">
        <v>43730</v>
      </c>
      <c r="J452" s="2">
        <v>43730</v>
      </c>
      <c r="K452" t="s">
        <v>104</v>
      </c>
      <c r="L452">
        <v>0</v>
      </c>
      <c r="M452">
        <v>0</v>
      </c>
      <c r="N452" t="s">
        <v>105</v>
      </c>
      <c r="Q452" t="s">
        <v>106</v>
      </c>
      <c r="R452" t="str">
        <f>HYPERLINK("https://d28ji4sm1vmprj.cloudfront.net/e7a526a7220c3bc5cfeeb407c455c0b3/580ffb055aff8ee0c88c6e676cfba776.jpeg", "Ссылка на план")</f>
        <v>Ссылка на план</v>
      </c>
      <c r="S452" s="1">
        <v>43731.397569444445</v>
      </c>
      <c r="T452" s="1">
        <v>43731.397581018522</v>
      </c>
      <c r="U452" s="1">
        <v>43731.397581018522</v>
      </c>
      <c r="W452" s="1">
        <v>43731.40048611111</v>
      </c>
      <c r="X452" t="s">
        <v>2835</v>
      </c>
      <c r="AA452" t="s">
        <v>3245</v>
      </c>
      <c r="AB452" t="s">
        <v>3246</v>
      </c>
      <c r="AC452" t="s">
        <v>3247</v>
      </c>
      <c r="AD452" t="s">
        <v>3248</v>
      </c>
      <c r="AE452" t="s">
        <v>3249</v>
      </c>
      <c r="AF452" t="s">
        <v>3250</v>
      </c>
      <c r="AG452" t="s">
        <v>3251</v>
      </c>
      <c r="BF452" t="s">
        <v>167</v>
      </c>
      <c r="BG452" t="s">
        <v>3252</v>
      </c>
      <c r="BH452" t="s">
        <v>2313</v>
      </c>
      <c r="BI452" t="s">
        <v>3253</v>
      </c>
      <c r="BJ452" t="str">
        <f>HYPERLINK("https://d33htgqikc2pj4.cloudfront.net/98ff2c00-26b2-4cdd-8023-52bc9aef69d5.jpeg", "Андрей Денисов: Ссылка на изображение")</f>
        <v>Андрей Денисов: Ссылка на изображение</v>
      </c>
      <c r="BK452" t="str">
        <f>HYPERLINK("https://d33htgqikc2pj4.cloudfront.net/66f5c5d4-3ce5-440e-8601-b3dcc8625767.jpeg", "Андрей Денисов: Ссылка на изображение")</f>
        <v>Андрей Денисов: Ссылка на изображение</v>
      </c>
      <c r="BL452" t="str">
        <f>HYPERLINK("https://d33htgqikc2pj4.cloudfront.net/9df9d01a-be13-409b-8388-dd94f64f4b26.jpeg", "Андрей Денисов: Ссылка на изображение")</f>
        <v>Андрей Денисов: Ссылка на изображение</v>
      </c>
      <c r="BM452" t="str">
        <f>HYPERLINK("https://d33htgqikc2pj4.cloudfront.net/9423d1ca-1d3d-40fa-b20e-7988e49518bb.jpeg", "Андрей Денисов: Ссылка на изображение")</f>
        <v>Андрей Денисов: Ссылка на изображение</v>
      </c>
      <c r="BN452" t="str">
        <f>HYPERLINK("https://d33htgqikc2pj4.cloudfront.net/f69d9456-db08-4885-863c-5743da9bf2e2.jpeg", "Андрей Денисов: Ссылка на изображение")</f>
        <v>Андрей Денисов: Ссылка на изображение</v>
      </c>
    </row>
    <row r="453" spans="1:84" ht="15" customHeight="1" x14ac:dyDescent="0.35">
      <c r="A453">
        <v>411</v>
      </c>
      <c r="B453" t="s">
        <v>3254</v>
      </c>
      <c r="C453">
        <v>2</v>
      </c>
      <c r="D453" t="str">
        <f>VLOOKUP(source[[#This Row],[Приоритет]],тПриоритеты[],2,0)</f>
        <v>Значительное</v>
      </c>
      <c r="E4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3" t="s">
        <v>2273</v>
      </c>
      <c r="G453" t="s">
        <v>157</v>
      </c>
      <c r="H453" t="str">
        <f>VLOOKUP(source[[#This Row],[Отвественный]],тОтветственные[],2,0)</f>
        <v>Отв13</v>
      </c>
      <c r="I453" s="2">
        <v>43708</v>
      </c>
      <c r="J453" s="2">
        <v>43708</v>
      </c>
      <c r="K453" t="s">
        <v>104</v>
      </c>
      <c r="L453">
        <v>0</v>
      </c>
      <c r="M453">
        <v>0</v>
      </c>
      <c r="N453" t="s">
        <v>105</v>
      </c>
      <c r="Q453" t="s">
        <v>106</v>
      </c>
      <c r="R453" t="str">
        <f>HYPERLINK("https://d28ji4sm1vmprj.cloudfront.net/e7a526a7220c3bc5cfeeb407c455c0b3/580ffb055aff8ee0c88c6e676cfba776.jpeg", "Ссылка на план")</f>
        <v>Ссылка на план</v>
      </c>
      <c r="S453" s="1">
        <v>43708.754849537036</v>
      </c>
      <c r="T453" s="1">
        <v>43708.754872685182</v>
      </c>
      <c r="U453" s="1">
        <v>43708.754872685182</v>
      </c>
      <c r="W453" s="1">
        <v>43708.755486111113</v>
      </c>
      <c r="X453" t="s">
        <v>2835</v>
      </c>
      <c r="AA453" t="s">
        <v>3255</v>
      </c>
      <c r="AB453" t="s">
        <v>3256</v>
      </c>
      <c r="AC453" t="s">
        <v>3257</v>
      </c>
      <c r="AD453" t="s">
        <v>3258</v>
      </c>
      <c r="AE453" t="s">
        <v>3259</v>
      </c>
      <c r="AF453" t="s">
        <v>3094</v>
      </c>
      <c r="AG453" t="s">
        <v>3095</v>
      </c>
      <c r="BF453" t="s">
        <v>167</v>
      </c>
      <c r="BG453" t="s">
        <v>3260</v>
      </c>
      <c r="BH453" t="s">
        <v>3261</v>
      </c>
      <c r="BI453" t="s">
        <v>3262</v>
      </c>
      <c r="BJ453" t="str">
        <f>HYPERLINK("https://d33htgqikc2pj4.cloudfront.net/3fdc688c-1f91-4863-8adb-3c716f54e291.jpeg", "Андрей Денисов: Ссылка на изображение")</f>
        <v>Андрей Денисов: Ссылка на изображение</v>
      </c>
      <c r="BK453" t="str">
        <f>HYPERLINK("https://d33htgqikc2pj4.cloudfront.net/c79586bf-6698-4c25-bf9b-87861ad78124.jpeg", "Андрей Денисов: Ссылка на изображение")</f>
        <v>Андрей Денисов: Ссылка на изображение</v>
      </c>
      <c r="BL453" t="str">
        <f>HYPERLINK("https://d33htgqikc2pj4.cloudfront.net/8203654c-d530-4479-a05f-82254977a2b4.jpeg", "Андрей Денисов: Ссылка на изображение")</f>
        <v>Андрей Денисов: Ссылка на изображение</v>
      </c>
      <c r="BM453" t="str">
        <f>HYPERLINK("https://d33htgqikc2pj4.cloudfront.net/edc3c700-be8c-4913-87cc-be36dc49c25b.jpeg", "Андрей Денисов: Ссылка на изображение")</f>
        <v>Андрей Денисов: Ссылка на изображение</v>
      </c>
      <c r="BN453" t="str">
        <f>HYPERLINK("https://d33htgqikc2pj4.cloudfront.net/affef1c9-5ab5-4f14-ae5b-5b6f33028776.jpeg", "Андрей Денисов: Ссылка на изображение")</f>
        <v>Андрей Денисов: Ссылка на изображение</v>
      </c>
      <c r="BO453" t="str">
        <f>HYPERLINK("https://d33htgqikc2pj4.cloudfront.net/2cbeef8b-9780-468f-9f01-210e1e785017.jpeg", "Андрей Денисов: Ссылка на изображение")</f>
        <v>Андрей Денисов: Ссылка на изображение</v>
      </c>
      <c r="BP453" t="str">
        <f>HYPERLINK("https://d33htgqikc2pj4.cloudfront.net/80767113-774e-4c91-834a-d6c16867842f.jpeg", "Андрей Денисов: Ссылка на изображение")</f>
        <v>Андрей Денисов: Ссылка на изображение</v>
      </c>
    </row>
    <row r="454" spans="1:84" ht="15" customHeight="1" x14ac:dyDescent="0.35">
      <c r="A454">
        <v>414</v>
      </c>
      <c r="B454" t="s">
        <v>3263</v>
      </c>
      <c r="C454">
        <v>2</v>
      </c>
      <c r="D454" t="str">
        <f>VLOOKUP(source[[#This Row],[Приоритет]],тПриоритеты[],2,0)</f>
        <v>Значительное</v>
      </c>
      <c r="E4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4" t="s">
        <v>2273</v>
      </c>
      <c r="G454" t="s">
        <v>157</v>
      </c>
      <c r="H454" t="str">
        <f>VLOOKUP(source[[#This Row],[Отвественный]],тОтветственные[],2,0)</f>
        <v>Отв13</v>
      </c>
      <c r="I454" s="2">
        <v>43708</v>
      </c>
      <c r="J454" s="2">
        <v>43708</v>
      </c>
      <c r="K454" t="s">
        <v>122</v>
      </c>
      <c r="L454">
        <v>10.18</v>
      </c>
      <c r="M454">
        <v>64.52</v>
      </c>
      <c r="N454" t="s">
        <v>123</v>
      </c>
      <c r="Q454" t="s">
        <v>124</v>
      </c>
      <c r="R454" t="str">
        <f>HYPERLINK("https://d28ji4sm1vmprj.cloudfront.net/78b1fbd1c87eb90dac050448d7e72c8d/a7fb9bbb452cbb899c601a0b8b67fd7d.jpeg", "Ссылка на план")</f>
        <v>Ссылка на план</v>
      </c>
      <c r="S454" s="1">
        <v>43708.760821759257</v>
      </c>
      <c r="T454" s="1">
        <v>43708.76085648148</v>
      </c>
      <c r="U454" s="1">
        <v>43708.76085648148</v>
      </c>
      <c r="W454" s="1">
        <v>43708.761597222219</v>
      </c>
      <c r="X454" t="s">
        <v>2290</v>
      </c>
      <c r="AA454" t="s">
        <v>3264</v>
      </c>
      <c r="AB454" t="s">
        <v>3265</v>
      </c>
      <c r="AC454" t="s">
        <v>3266</v>
      </c>
      <c r="AD454" t="s">
        <v>3267</v>
      </c>
      <c r="AE454" t="s">
        <v>3268</v>
      </c>
      <c r="AF454" t="s">
        <v>3269</v>
      </c>
      <c r="AG454" t="s">
        <v>3270</v>
      </c>
      <c r="AH454" t="s">
        <v>3271</v>
      </c>
      <c r="AI454" t="s">
        <v>3272</v>
      </c>
      <c r="BF454" t="s">
        <v>167</v>
      </c>
      <c r="BG454" t="s">
        <v>3273</v>
      </c>
      <c r="BH454" t="s">
        <v>2313</v>
      </c>
      <c r="BI454" t="s">
        <v>3262</v>
      </c>
      <c r="BJ454" t="str">
        <f>HYPERLINK("https://d33htgqikc2pj4.cloudfront.net/a1ae0087-533e-4f43-8321-0e9204c51c6a.jpeg", "Андрей Денисов: Ссылка на изображение")</f>
        <v>Андрей Денисов: Ссылка на изображение</v>
      </c>
      <c r="BK454" t="str">
        <f>HYPERLINK("https://d33htgqikc2pj4.cloudfront.net/948ca3e5-7c5b-4690-a2f1-61e7a9324b3c.jpeg", "Андрей Денисов: Ссылка на изображение")</f>
        <v>Андрей Денисов: Ссылка на изображение</v>
      </c>
    </row>
    <row r="455" spans="1:84" ht="15" customHeight="1" x14ac:dyDescent="0.35">
      <c r="A455">
        <v>413</v>
      </c>
      <c r="B455" t="s">
        <v>3274</v>
      </c>
      <c r="C455">
        <v>2</v>
      </c>
      <c r="D455" t="str">
        <f>VLOOKUP(source[[#This Row],[Приоритет]],тПриоритеты[],2,0)</f>
        <v>Значительное</v>
      </c>
      <c r="E4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5" t="s">
        <v>2273</v>
      </c>
      <c r="G455" t="s">
        <v>157</v>
      </c>
      <c r="H455" t="str">
        <f>VLOOKUP(source[[#This Row],[Отвественный]],тОтветственные[],2,0)</f>
        <v>Отв13</v>
      </c>
      <c r="I455" s="2">
        <v>43708</v>
      </c>
      <c r="J455" s="2">
        <v>43708</v>
      </c>
      <c r="K455" t="s">
        <v>104</v>
      </c>
      <c r="L455">
        <v>0</v>
      </c>
      <c r="M455">
        <v>0</v>
      </c>
      <c r="N455" t="s">
        <v>105</v>
      </c>
      <c r="Q455" t="s">
        <v>106</v>
      </c>
      <c r="R455" t="str">
        <f>HYPERLINK("https://d28ji4sm1vmprj.cloudfront.net/e7a526a7220c3bc5cfeeb407c455c0b3/580ffb055aff8ee0c88c6e676cfba776.jpeg", "Ссылка на план")</f>
        <v>Ссылка на план</v>
      </c>
      <c r="S455" s="1">
        <v>43708.758287037039</v>
      </c>
      <c r="T455" s="1">
        <v>43708.758310185185</v>
      </c>
      <c r="U455" s="1">
        <v>43708.758310185185</v>
      </c>
      <c r="W455" s="1">
        <v>43708.758842592593</v>
      </c>
      <c r="X455" t="s">
        <v>2333</v>
      </c>
      <c r="Y455" t="s">
        <v>3275</v>
      </c>
      <c r="AA455" t="s">
        <v>3276</v>
      </c>
      <c r="AB455" t="s">
        <v>3277</v>
      </c>
      <c r="AC455" t="s">
        <v>3278</v>
      </c>
      <c r="AD455" t="s">
        <v>3279</v>
      </c>
      <c r="AE455" t="s">
        <v>3280</v>
      </c>
      <c r="AF455" t="s">
        <v>3281</v>
      </c>
      <c r="AG455" t="s">
        <v>3282</v>
      </c>
      <c r="AH455" t="s">
        <v>3283</v>
      </c>
      <c r="AI455" t="s">
        <v>3095</v>
      </c>
      <c r="BF455" t="s">
        <v>167</v>
      </c>
      <c r="BG455" t="s">
        <v>3284</v>
      </c>
      <c r="BH455" t="s">
        <v>2313</v>
      </c>
      <c r="BI455" t="s">
        <v>3262</v>
      </c>
      <c r="BJ455" s="3" t="s">
        <v>3285</v>
      </c>
      <c r="BK455" t="s">
        <v>3286</v>
      </c>
      <c r="BL455" t="s">
        <v>3287</v>
      </c>
      <c r="BM455" t="s">
        <v>3288</v>
      </c>
      <c r="BN455" t="s">
        <v>3289</v>
      </c>
      <c r="BO455" t="s">
        <v>3290</v>
      </c>
      <c r="BP455" t="s">
        <v>3291</v>
      </c>
      <c r="BQ455" t="s">
        <v>3292</v>
      </c>
      <c r="BR455" t="s">
        <v>3293</v>
      </c>
      <c r="BS455" t="s">
        <v>3294</v>
      </c>
      <c r="BT455" t="s">
        <v>3295</v>
      </c>
      <c r="BU455" t="s">
        <v>3296</v>
      </c>
      <c r="BV455" t="s">
        <v>3297</v>
      </c>
      <c r="BW455" t="s">
        <v>3298</v>
      </c>
      <c r="BX455" t="s">
        <v>3299</v>
      </c>
      <c r="BY455" t="s">
        <v>3300</v>
      </c>
      <c r="BZ455" t="s">
        <v>3301</v>
      </c>
      <c r="CA455" t="s">
        <v>3302</v>
      </c>
      <c r="CB455" t="s">
        <v>3303</v>
      </c>
      <c r="CC455" t="s">
        <v>3304</v>
      </c>
      <c r="CD455" t="str">
        <f>HYPERLINK("https://d33htgqikc2pj4.cloudfront.net/e9becec0-070b-4d74-9d79-dd2a1c731385.jpeg", "Андрей Денисов: Ссылка на изображение")</f>
        <v>Андрей Денисов: Ссылка на изображение</v>
      </c>
      <c r="CE455" t="str">
        <f>HYPERLINK("https://d33htgqikc2pj4.cloudfront.net/308faab9-8299-4234-ac24-2003ee27b2d5.jpeg", "Андрей Денисов: Ссылка на изображение")</f>
        <v>Андрей Денисов: Ссылка на изображение</v>
      </c>
      <c r="CF455" t="str">
        <f>HYPERLINK("https://d33htgqikc2pj4.cloudfront.net/0dd91665-e38d-4c27-ae12-e5dabc70c6f7.jpeg", "Андрей Денисов: Ссылка на изображение")</f>
        <v>Андрей Денисов: Ссылка на изображение</v>
      </c>
    </row>
    <row r="456" spans="1:84" ht="15" customHeight="1" x14ac:dyDescent="0.35">
      <c r="A456">
        <v>410</v>
      </c>
      <c r="B456" t="s">
        <v>3305</v>
      </c>
      <c r="C456">
        <v>2</v>
      </c>
      <c r="D456" t="str">
        <f>VLOOKUP(source[[#This Row],[Приоритет]],тПриоритеты[],2,0)</f>
        <v>Значительное</v>
      </c>
      <c r="E45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6" t="s">
        <v>2273</v>
      </c>
      <c r="G456" t="s">
        <v>157</v>
      </c>
      <c r="H456" t="str">
        <f>VLOOKUP(source[[#This Row],[Отвественный]],тОтветственные[],2,0)</f>
        <v>Отв13</v>
      </c>
      <c r="I456" s="2">
        <v>43707</v>
      </c>
      <c r="J456" s="2">
        <v>43707</v>
      </c>
      <c r="K456" t="s">
        <v>122</v>
      </c>
      <c r="L456">
        <v>9.42</v>
      </c>
      <c r="M456">
        <v>62.92</v>
      </c>
      <c r="N456" t="s">
        <v>123</v>
      </c>
      <c r="Q456" t="s">
        <v>124</v>
      </c>
      <c r="R456" t="str">
        <f>HYPERLINK("https://d28ji4sm1vmprj.cloudfront.net/78b1fbd1c87eb90dac050448d7e72c8d/a7fb9bbb452cbb899c601a0b8b67fd7d.jpeg", "Ссылка на план")</f>
        <v>Ссылка на план</v>
      </c>
      <c r="S456" s="1">
        <v>43708.752557870372</v>
      </c>
      <c r="T456" s="1">
        <v>43708.753333333334</v>
      </c>
      <c r="U456" s="1">
        <v>43708.753333333334</v>
      </c>
      <c r="W456" s="1">
        <v>43708.753344907411</v>
      </c>
      <c r="X456" t="s">
        <v>2290</v>
      </c>
      <c r="AA456" t="s">
        <v>3264</v>
      </c>
      <c r="AB456" t="s">
        <v>3265</v>
      </c>
      <c r="AC456" t="s">
        <v>3266</v>
      </c>
      <c r="AD456" t="s">
        <v>3267</v>
      </c>
      <c r="AE456" t="s">
        <v>3268</v>
      </c>
      <c r="AF456" t="s">
        <v>3269</v>
      </c>
      <c r="AG456" t="s">
        <v>3270</v>
      </c>
      <c r="AH456" t="s">
        <v>3271</v>
      </c>
      <c r="AI456" t="s">
        <v>3272</v>
      </c>
      <c r="BF456" t="s">
        <v>3306</v>
      </c>
      <c r="BG456" t="s">
        <v>3097</v>
      </c>
      <c r="BH456" t="s">
        <v>3097</v>
      </c>
      <c r="BI456" t="s">
        <v>167</v>
      </c>
      <c r="BJ456" t="str">
        <f>HYPERLINK("https://d33htgqikc2pj4.cloudfront.net/c35c7db7-cc64-4243-9445-df31a2779f6f.jpeg", "Андрей Денисов: Ссылка на изображение")</f>
        <v>Андрей Денисов: Ссылка на изображение</v>
      </c>
      <c r="BK456" t="str">
        <f>HYPERLINK("https://d33htgqikc2pj4.cloudfront.net/52a769c3-f731-4804-805b-7ccd36d610d4.jpeg", "Андрей Денисов: Ссылка на изображение")</f>
        <v>Андрей Денисов: Ссылка на изображение</v>
      </c>
    </row>
    <row r="457" spans="1:84" ht="15" customHeight="1" x14ac:dyDescent="0.35">
      <c r="A457">
        <v>412</v>
      </c>
      <c r="B457" t="s">
        <v>3307</v>
      </c>
      <c r="C457">
        <v>2</v>
      </c>
      <c r="D457" t="str">
        <f>VLOOKUP(source[[#This Row],[Приоритет]],тПриоритеты[],2,0)</f>
        <v>Значительное</v>
      </c>
      <c r="E45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7" t="s">
        <v>2273</v>
      </c>
      <c r="G457" t="s">
        <v>157</v>
      </c>
      <c r="H457" t="str">
        <f>VLOOKUP(source[[#This Row],[Отвественный]],тОтветственные[],2,0)</f>
        <v>Отв13</v>
      </c>
      <c r="I457" s="2">
        <v>43708</v>
      </c>
      <c r="J457" s="2">
        <v>43708</v>
      </c>
      <c r="K457" t="s">
        <v>104</v>
      </c>
      <c r="L457">
        <v>0</v>
      </c>
      <c r="M457">
        <v>0</v>
      </c>
      <c r="N457" t="s">
        <v>105</v>
      </c>
      <c r="Q457" t="s">
        <v>106</v>
      </c>
      <c r="R457" t="str">
        <f>HYPERLINK("https://d28ji4sm1vmprj.cloudfront.net/e7a526a7220c3bc5cfeeb407c455c0b3/580ffb055aff8ee0c88c6e676cfba776.jpeg", "Ссылка на план")</f>
        <v>Ссылка на план</v>
      </c>
      <c r="S457" s="1">
        <v>43708.756377314814</v>
      </c>
      <c r="T457" s="1">
        <v>43708.756412037037</v>
      </c>
      <c r="U457" s="1">
        <v>43708.756412037037</v>
      </c>
      <c r="W457" s="1">
        <v>43708.756956018522</v>
      </c>
      <c r="X457" t="s">
        <v>3217</v>
      </c>
      <c r="AA457" t="s">
        <v>3308</v>
      </c>
      <c r="AB457" t="s">
        <v>3309</v>
      </c>
      <c r="AC457" t="s">
        <v>3310</v>
      </c>
      <c r="AD457" t="s">
        <v>3311</v>
      </c>
      <c r="AE457" t="s">
        <v>3312</v>
      </c>
      <c r="AF457" t="s">
        <v>3313</v>
      </c>
      <c r="AG457" t="s">
        <v>3314</v>
      </c>
      <c r="AH457" t="s">
        <v>3315</v>
      </c>
      <c r="AI457" t="s">
        <v>3316</v>
      </c>
      <c r="AJ457" t="s">
        <v>3317</v>
      </c>
      <c r="AK457" t="s">
        <v>3318</v>
      </c>
      <c r="BF457" t="s">
        <v>167</v>
      </c>
      <c r="BG457" t="s">
        <v>3319</v>
      </c>
      <c r="BH457" t="s">
        <v>3262</v>
      </c>
      <c r="BI457" t="str">
        <f>HYPERLINK("https://d33htgqikc2pj4.cloudfront.net/29546eda-3d48-4ce9-b154-78f813324450.jpeg", "Андрей Денисов: Ссылка на изображение")</f>
        <v>Андрей Денисов: Ссылка на изображение</v>
      </c>
      <c r="BJ457" t="str">
        <f>HYPERLINK("https://d33htgqikc2pj4.cloudfront.net/23a32691-2827-4559-8c4a-33d6568c5864.jpeg", "Андрей Денисов: Ссылка на изображение")</f>
        <v>Андрей Денисов: Ссылка на изображение</v>
      </c>
      <c r="BK457" t="str">
        <f>HYPERLINK("https://d33htgqikc2pj4.cloudfront.net/633b74f8-280c-465b-8983-ed1dc536d660.jpeg", "Андрей Денисов: Ссылка на изображение")</f>
        <v>Андрей Денисов: Ссылка на изображение</v>
      </c>
      <c r="BL457" t="str">
        <f>HYPERLINK("https://d33htgqikc2pj4.cloudfront.net/080bc590-78ea-4eac-b4de-10d4c55d4d3d.jpeg", "Андрей Денисов: Ссылка на изображение")</f>
        <v>Андрей Денисов: Ссылка на изображение</v>
      </c>
      <c r="BM457" t="str">
        <f>HYPERLINK("https://d33htgqikc2pj4.cloudfront.net/d051a718-283d-4e82-aec5-7aaf239664b8.jpeg", "Андрей Денисов: Ссылка на изображение")</f>
        <v>Андрей Денисов: Ссылка на изображение</v>
      </c>
      <c r="BN457" t="str">
        <f>HYPERLINK("https://d33htgqikc2pj4.cloudfront.net/b09e7ea7-dc33-47e9-b9bc-72c5d28421bd.jpeg", "Андрей Денисов: Ссылка на изображение")</f>
        <v>Андрей Денисов: Ссылка на изображение</v>
      </c>
      <c r="BO457" t="str">
        <f>HYPERLINK("https://d33htgqikc2pj4.cloudfront.net/158fcd31-c1a6-4d5d-9cdd-930a87d3d8ad.jpeg", "Андрей Денисов: Ссылка на изображение")</f>
        <v>Андрей Денисов: Ссылка на изображение</v>
      </c>
      <c r="BP457" t="str">
        <f>HYPERLINK("https://d33htgqikc2pj4.cloudfront.net/58668b13-fc52-4fa2-838a-a04e9b18c41a.jpeg", "Андрей Денисов: Ссылка на изображение")</f>
        <v>Андрей Денисов: Ссылка на изображение</v>
      </c>
      <c r="BQ457" t="str">
        <f>HYPERLINK("https://d33htgqikc2pj4.cloudfront.net/603cc414-ef0d-41aa-bb84-7ca78cb435be.jpeg", "Андрей Денисов: Ссылка на изображение")</f>
        <v>Андрей Денисов: Ссылка на изображение</v>
      </c>
    </row>
    <row r="458" spans="1:84" ht="15" customHeight="1" x14ac:dyDescent="0.35">
      <c r="A458">
        <v>801</v>
      </c>
      <c r="B458" t="s">
        <v>3320</v>
      </c>
      <c r="C458">
        <v>2</v>
      </c>
      <c r="D458" t="str">
        <f>VLOOKUP(source[[#This Row],[Приоритет]],тПриоритеты[],2,0)</f>
        <v>Значительное</v>
      </c>
      <c r="E45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8" t="s">
        <v>2273</v>
      </c>
      <c r="G458" t="s">
        <v>157</v>
      </c>
      <c r="H458" t="str">
        <f>VLOOKUP(source[[#This Row],[Отвественный]],тОтветственные[],2,0)</f>
        <v>Отв13</v>
      </c>
      <c r="I458" s="2">
        <v>43820</v>
      </c>
      <c r="J458" s="2">
        <v>43820</v>
      </c>
      <c r="K458" t="s">
        <v>323</v>
      </c>
      <c r="L458">
        <v>49.91</v>
      </c>
      <c r="M458">
        <v>23.05</v>
      </c>
      <c r="N458" t="s">
        <v>324</v>
      </c>
      <c r="Q458" t="s">
        <v>106</v>
      </c>
      <c r="R458" t="str">
        <f>HYPERLINK("https://d28ji4sm1vmprj.cloudfront.net/b9f0a3730bff318b29d61a045df19870/45ac0b590edfdc108d4a2e6d8918b5e0.jpeg", "Ссылка на план")</f>
        <v>Ссылка на план</v>
      </c>
      <c r="S458" s="1">
        <v>43820.528252314813</v>
      </c>
      <c r="T458" s="1">
        <v>43790.623472222222</v>
      </c>
      <c r="U458" s="1">
        <v>43790.623472222222</v>
      </c>
      <c r="W458" s="1">
        <v>43820.528483796297</v>
      </c>
      <c r="X458" t="s">
        <v>2510</v>
      </c>
      <c r="AA458" t="s">
        <v>3321</v>
      </c>
      <c r="AB458" t="s">
        <v>3322</v>
      </c>
      <c r="AC458" t="s">
        <v>3323</v>
      </c>
      <c r="AD458" t="s">
        <v>3324</v>
      </c>
      <c r="AE458" t="s">
        <v>3325</v>
      </c>
      <c r="AF458" t="s">
        <v>3326</v>
      </c>
      <c r="AG458" t="s">
        <v>3327</v>
      </c>
      <c r="AH458" t="s">
        <v>3328</v>
      </c>
      <c r="AI458" t="s">
        <v>3329</v>
      </c>
      <c r="BF458" t="s">
        <v>3330</v>
      </c>
      <c r="BG458" t="s">
        <v>3331</v>
      </c>
      <c r="BH458" t="s">
        <v>356</v>
      </c>
      <c r="BI458" t="str">
        <f>HYPERLINK("https://d33htgqikc2pj4.cloudfront.net/1e474601-1b8c-4e97-b06f-774543bc5468.jpeg", "Андрей Денисов: Ссылка на изображение")</f>
        <v>Андрей Денисов: Ссылка на изображение</v>
      </c>
      <c r="BJ458" t="str">
        <f>HYPERLINK("https://d33htgqikc2pj4.cloudfront.net/91c40c6c-e459-4954-a420-5bf940e6ec3f.jpeg", "Андрей Денисов: Ссылка на изображение")</f>
        <v>Андрей Денисов: Ссылка на изображение</v>
      </c>
    </row>
    <row r="459" spans="1:84" ht="15" customHeight="1" x14ac:dyDescent="0.35">
      <c r="A459">
        <v>800</v>
      </c>
      <c r="B459" t="s">
        <v>3332</v>
      </c>
      <c r="C459">
        <v>2</v>
      </c>
      <c r="D459" t="str">
        <f>VLOOKUP(source[[#This Row],[Приоритет]],тПриоритеты[],2,0)</f>
        <v>Значительное</v>
      </c>
      <c r="E45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59" t="s">
        <v>2273</v>
      </c>
      <c r="G459" t="s">
        <v>157</v>
      </c>
      <c r="H459" t="str">
        <f>VLOOKUP(source[[#This Row],[Отвественный]],тОтветственные[],2,0)</f>
        <v>Отв13</v>
      </c>
      <c r="I459" s="2">
        <v>43820</v>
      </c>
      <c r="J459" s="2">
        <v>43820</v>
      </c>
      <c r="K459" t="s">
        <v>313</v>
      </c>
      <c r="L459">
        <v>55.24</v>
      </c>
      <c r="M459">
        <v>23.97</v>
      </c>
      <c r="Q459" t="s">
        <v>106</v>
      </c>
      <c r="R459" t="str">
        <f>HYPERLINK("https://d28ji4sm1vmprj.cloudfront.net/464215be55b88773f54b8cd83354babd/02eaaeba9564da889c4ba5d284544147.jpeg", "Ссылка на план")</f>
        <v>Ссылка на план</v>
      </c>
      <c r="S459" s="1">
        <v>43820.462812500002</v>
      </c>
      <c r="T459" s="1">
        <v>43820.462824074071</v>
      </c>
      <c r="U459" s="1">
        <v>43820.462824074071</v>
      </c>
      <c r="W459" s="1">
        <v>43820.463993055557</v>
      </c>
      <c r="X459" t="s">
        <v>2764</v>
      </c>
      <c r="AA459" t="s">
        <v>3333</v>
      </c>
      <c r="AB459" t="s">
        <v>3334</v>
      </c>
      <c r="AC459" t="s">
        <v>3335</v>
      </c>
      <c r="BF459" t="s">
        <v>167</v>
      </c>
      <c r="BG459" t="s">
        <v>3336</v>
      </c>
      <c r="BH459" t="s">
        <v>2313</v>
      </c>
      <c r="BI459" t="s">
        <v>356</v>
      </c>
      <c r="BJ459" t="s">
        <v>3337</v>
      </c>
      <c r="BK459" t="s">
        <v>3338</v>
      </c>
      <c r="BL459" t="s">
        <v>3339</v>
      </c>
      <c r="BM459" t="s">
        <v>3340</v>
      </c>
      <c r="BN459" t="str">
        <f>HYPERLINK("https://d33htgqikc2pj4.cloudfront.net/def596e5-7b6f-489a-8b07-6b1ffbcabcca.jpeg", "Андрей Денисов: Ссылка на изображение")</f>
        <v>Андрей Денисов: Ссылка на изображение</v>
      </c>
      <c r="BO459" t="str">
        <f>HYPERLINK("https://d33htgqikc2pj4.cloudfront.net/3393d891-7a99-42bc-a15d-a1c4e91cc918.jpeg", "Андрей Денисов: Ссылка на изображение")</f>
        <v>Андрей Денисов: Ссылка на изображение</v>
      </c>
    </row>
    <row r="460" spans="1:84" ht="15" customHeight="1" x14ac:dyDescent="0.35">
      <c r="A460">
        <v>425</v>
      </c>
      <c r="B460" t="s">
        <v>3341</v>
      </c>
      <c r="C460">
        <v>2</v>
      </c>
      <c r="D460" t="str">
        <f>VLOOKUP(source[[#This Row],[Приоритет]],тПриоритеты[],2,0)</f>
        <v>Значительное</v>
      </c>
      <c r="E4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0" t="s">
        <v>2273</v>
      </c>
      <c r="G460" t="s">
        <v>157</v>
      </c>
      <c r="H460" t="str">
        <f>VLOOKUP(source[[#This Row],[Отвественный]],тОтветственные[],2,0)</f>
        <v>Отв13</v>
      </c>
      <c r="I460" s="2">
        <v>43711</v>
      </c>
      <c r="J460" s="2">
        <v>43711</v>
      </c>
      <c r="K460" t="s">
        <v>375</v>
      </c>
      <c r="L460">
        <v>0</v>
      </c>
      <c r="M460">
        <v>0</v>
      </c>
      <c r="N460" t="s">
        <v>159</v>
      </c>
      <c r="Q460" t="s">
        <v>106</v>
      </c>
      <c r="R460" t="str">
        <f>HYPERLINK("https://d28ji4sm1vmprj.cloudfront.net/3e7bd1b1c8123e07928556a95537ec96/b6f4ea1a4c385def2ded1a2b1779c1a4.jpeg", "Ссылка на план")</f>
        <v>Ссылка на план</v>
      </c>
      <c r="S460" s="1">
        <v>43711.721388888887</v>
      </c>
      <c r="T460" s="1">
        <v>43711.721412037034</v>
      </c>
      <c r="U460" s="1">
        <v>43711.721412037034</v>
      </c>
      <c r="W460" s="1">
        <v>43711.722303240742</v>
      </c>
      <c r="X460" t="s">
        <v>2764</v>
      </c>
      <c r="AA460" t="s">
        <v>3342</v>
      </c>
      <c r="AB460" t="s">
        <v>3343</v>
      </c>
      <c r="AC460" t="s">
        <v>3344</v>
      </c>
      <c r="AD460" t="s">
        <v>3345</v>
      </c>
      <c r="AE460" t="s">
        <v>3346</v>
      </c>
      <c r="AF460" t="s">
        <v>3347</v>
      </c>
      <c r="AG460" t="s">
        <v>3348</v>
      </c>
      <c r="BF460" t="s">
        <v>167</v>
      </c>
      <c r="BG460" t="s">
        <v>2595</v>
      </c>
      <c r="BH460" t="s">
        <v>2313</v>
      </c>
      <c r="BI460" t="s">
        <v>3349</v>
      </c>
      <c r="BJ460" t="s">
        <v>3350</v>
      </c>
      <c r="BK460" t="str">
        <f>HYPERLINK("https://d33htgqikc2pj4.cloudfront.net/e6a3954c-85a9-4038-8a16-739bfb1a310a.jpeg", "Андрей Денисов: Ссылка на изображение")</f>
        <v>Андрей Денисов: Ссылка на изображение</v>
      </c>
      <c r="BL460" t="str">
        <f>HYPERLINK("https://d33htgqikc2pj4.cloudfront.net/626faf81-93a9-4f58-a7ef-295845daad38.jpeg", "Андрей Денисов: Ссылка на изображение")</f>
        <v>Андрей Денисов: Ссылка на изображение</v>
      </c>
      <c r="BM460" t="str">
        <f>HYPERLINK("https://d33htgqikc2pj4.cloudfront.net/82d093c3-fd1b-46eb-986a-227001d94a6a.jpeg", "Андрей Денисов: Ссылка на изображение")</f>
        <v>Андрей Денисов: Ссылка на изображение</v>
      </c>
      <c r="BN460" t="str">
        <f>HYPERLINK("https://d33htgqikc2pj4.cloudfront.net/f9087209-4976-4874-8d74-b230853853a5.jpeg", "Андрей Денисов: Ссылка на изображение")</f>
        <v>Андрей Денисов: Ссылка на изображение</v>
      </c>
      <c r="BO460" t="str">
        <f>HYPERLINK("https://d33htgqikc2pj4.cloudfront.net/c217274d-9458-45fe-90f3-4e096fe84e68.jpeg", "Андрей Денисов: Ссылка на изображение")</f>
        <v>Андрей Денисов: Ссылка на изображение</v>
      </c>
      <c r="BP460" t="str">
        <f>HYPERLINK("https://d33htgqikc2pj4.cloudfront.net/ffda50a0-fce3-41af-aed5-ca274c15a99e.jpeg", "Андрей Денисов: Ссылка на изображение")</f>
        <v>Андрей Денисов: Ссылка на изображение</v>
      </c>
      <c r="BQ460" t="str">
        <f>HYPERLINK("https://d33htgqikc2pj4.cloudfront.net/aab66abc-99e1-4a84-80fd-5e4468cd7864.jpeg", "Андрей Денисов: Ссылка на изображение")</f>
        <v>Андрей Денисов: Ссылка на изображение</v>
      </c>
    </row>
    <row r="461" spans="1:84" ht="15" customHeight="1" x14ac:dyDescent="0.35">
      <c r="A461">
        <v>807</v>
      </c>
      <c r="B461" t="s">
        <v>3351</v>
      </c>
      <c r="C461">
        <v>2</v>
      </c>
      <c r="D461" t="str">
        <f>VLOOKUP(source[[#This Row],[Приоритет]],тПриоритеты[],2,0)</f>
        <v>Значительное</v>
      </c>
      <c r="E4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1" t="s">
        <v>2273</v>
      </c>
      <c r="G461" t="s">
        <v>157</v>
      </c>
      <c r="H461" t="str">
        <f>VLOOKUP(source[[#This Row],[Отвественный]],тОтветственные[],2,0)</f>
        <v>Отв13</v>
      </c>
      <c r="I461" s="2">
        <v>43820</v>
      </c>
      <c r="J461" s="2">
        <v>43820</v>
      </c>
      <c r="K461" t="s">
        <v>337</v>
      </c>
      <c r="L461">
        <v>51.34</v>
      </c>
      <c r="M461">
        <v>44.22</v>
      </c>
      <c r="N461" t="s">
        <v>338</v>
      </c>
      <c r="Q461" t="s">
        <v>339</v>
      </c>
      <c r="R461" t="str">
        <f>HYPERLINK("https://d28ji4sm1vmprj.cloudfront.net/19dc4a1afc4fcc7f30fd79820762e797/bb9fe60bbdb1c123800b0cd50ec150cc.jpeg", "Ссылка на план")</f>
        <v>Ссылка на план</v>
      </c>
      <c r="S461" s="1">
        <v>43820.789340277777</v>
      </c>
      <c r="T461" s="1">
        <v>43820.789363425924</v>
      </c>
      <c r="U461" s="1">
        <v>43820.789363425924</v>
      </c>
      <c r="W461" s="1">
        <v>43820.789629629631</v>
      </c>
      <c r="X461" t="s">
        <v>2534</v>
      </c>
      <c r="AA461" t="s">
        <v>3352</v>
      </c>
      <c r="AB461" t="s">
        <v>3353</v>
      </c>
      <c r="AC461" t="s">
        <v>3354</v>
      </c>
      <c r="AD461" t="s">
        <v>3355</v>
      </c>
      <c r="AE461" t="s">
        <v>3356</v>
      </c>
      <c r="AF461" t="s">
        <v>3357</v>
      </c>
      <c r="AG461" t="s">
        <v>3358</v>
      </c>
      <c r="AH461" t="s">
        <v>3359</v>
      </c>
      <c r="AI461" t="s">
        <v>3360</v>
      </c>
      <c r="AJ461" t="s">
        <v>3361</v>
      </c>
      <c r="BF461" t="s">
        <v>167</v>
      </c>
      <c r="BG461" t="s">
        <v>3362</v>
      </c>
      <c r="BH461" t="s">
        <v>2313</v>
      </c>
      <c r="BI461" t="s">
        <v>356</v>
      </c>
      <c r="BJ461" t="str">
        <f>HYPERLINK("https://d33htgqikc2pj4.cloudfront.net/8b23968f-b93e-471f-8c0f-dba7f154f47d.jpeg", "Андрей Денисов: Ссылка на изображение")</f>
        <v>Андрей Денисов: Ссылка на изображение</v>
      </c>
      <c r="BK461" t="str">
        <f>HYPERLINK("https://d33htgqikc2pj4.cloudfront.net/e2fe804f-f7c4-46fd-a691-3cc9f182e6ad.jpeg", "Андрей Денисов: Ссылка на изображение")</f>
        <v>Андрей Денисов: Ссылка на изображение</v>
      </c>
    </row>
    <row r="462" spans="1:84" ht="15" customHeight="1" x14ac:dyDescent="0.35">
      <c r="A462">
        <v>804</v>
      </c>
      <c r="B462" t="s">
        <v>3363</v>
      </c>
      <c r="C462">
        <v>2</v>
      </c>
      <c r="D462" t="str">
        <f>VLOOKUP(source[[#This Row],[Приоритет]],тПриоритеты[],2,0)</f>
        <v>Значительное</v>
      </c>
      <c r="E4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2" t="s">
        <v>2273</v>
      </c>
      <c r="G462" t="s">
        <v>157</v>
      </c>
      <c r="H462" t="str">
        <f>VLOOKUP(source[[#This Row],[Отвественный]],тОтветственные[],2,0)</f>
        <v>Отв13</v>
      </c>
      <c r="I462" s="2">
        <v>43820</v>
      </c>
      <c r="J462" s="2">
        <v>43820</v>
      </c>
      <c r="K462" t="s">
        <v>337</v>
      </c>
      <c r="L462">
        <v>51.58</v>
      </c>
      <c r="M462">
        <v>44.43</v>
      </c>
      <c r="N462" t="s">
        <v>338</v>
      </c>
      <c r="Q462" t="s">
        <v>339</v>
      </c>
      <c r="R462" t="str">
        <f>HYPERLINK("https://d28ji4sm1vmprj.cloudfront.net/19dc4a1afc4fcc7f30fd79820762e797/bb9fe60bbdb1c123800b0cd50ec150cc.jpeg", "Ссылка на план")</f>
        <v>Ссылка на план</v>
      </c>
      <c r="S462" s="1">
        <v>43820.705636574072</v>
      </c>
      <c r="T462" s="1">
        <v>43820.727164351854</v>
      </c>
      <c r="U462" s="1">
        <v>43820.727164351854</v>
      </c>
      <c r="W462" s="1">
        <v>43820.727581018517</v>
      </c>
      <c r="X462" t="s">
        <v>2493</v>
      </c>
      <c r="AA462" t="s">
        <v>3364</v>
      </c>
      <c r="AB462" t="s">
        <v>3365</v>
      </c>
      <c r="AC462" t="s">
        <v>3366</v>
      </c>
      <c r="AD462" t="s">
        <v>3367</v>
      </c>
      <c r="AE462" t="s">
        <v>3368</v>
      </c>
      <c r="AF462" t="s">
        <v>3369</v>
      </c>
      <c r="AG462" t="s">
        <v>3358</v>
      </c>
      <c r="AH462" t="s">
        <v>3359</v>
      </c>
      <c r="AI462" t="s">
        <v>3360</v>
      </c>
      <c r="AJ462" t="s">
        <v>3361</v>
      </c>
      <c r="BF462" t="str">
        <f>HYPERLINK("https://d33htgqikc2pj4.cloudfront.net/1d5e3c84-a5e7-435d-b7c1-fa4ec9b01353.jpeg", "Андрей Денисов: Ссылка на изображение")</f>
        <v>Андрей Денисов: Ссылка на изображение</v>
      </c>
      <c r="BG462" t="s">
        <v>167</v>
      </c>
      <c r="BH462" t="s">
        <v>3370</v>
      </c>
      <c r="BI462" t="s">
        <v>2313</v>
      </c>
      <c r="BJ462" t="s">
        <v>356</v>
      </c>
    </row>
    <row r="463" spans="1:84" ht="15" customHeight="1" x14ac:dyDescent="0.35">
      <c r="A463">
        <v>802</v>
      </c>
      <c r="B463" t="s">
        <v>3371</v>
      </c>
      <c r="C463">
        <v>2</v>
      </c>
      <c r="D463" t="str">
        <f>VLOOKUP(source[[#This Row],[Приоритет]],тПриоритеты[],2,0)</f>
        <v>Значительное</v>
      </c>
      <c r="E4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3" t="s">
        <v>2273</v>
      </c>
      <c r="G463" t="s">
        <v>157</v>
      </c>
      <c r="H463" t="str">
        <f>VLOOKUP(source[[#This Row],[Отвественный]],тОтветственные[],2,0)</f>
        <v>Отв13</v>
      </c>
      <c r="I463" s="2">
        <v>43820</v>
      </c>
      <c r="J463" s="2">
        <v>43820</v>
      </c>
      <c r="K463" t="s">
        <v>3372</v>
      </c>
      <c r="L463">
        <v>46.49</v>
      </c>
      <c r="M463">
        <v>37.119999999999997</v>
      </c>
      <c r="N463" t="s">
        <v>1010</v>
      </c>
      <c r="Q463" t="s">
        <v>3373</v>
      </c>
      <c r="R463" t="str">
        <f>HYPERLINK("https://d28ji4sm1vmprj.cloudfront.net/9fa1dbe619638fd76c5ea876a83ba583/0e82f2ec7ecacd943b5239eb2ce68a53.jpeg", "Ссылка на план")</f>
        <v>Ссылка на план</v>
      </c>
      <c r="S463" s="1">
        <v>43820.630115740743</v>
      </c>
      <c r="T463" s="1">
        <v>43820.630347222221</v>
      </c>
      <c r="U463" s="1">
        <v>43820.630347222221</v>
      </c>
      <c r="W463" s="1">
        <v>43820.630972222221</v>
      </c>
      <c r="X463" t="s">
        <v>1061</v>
      </c>
      <c r="AA463" t="s">
        <v>3333</v>
      </c>
      <c r="AB463" t="s">
        <v>3334</v>
      </c>
      <c r="AC463" t="s">
        <v>3374</v>
      </c>
      <c r="AD463" t="s">
        <v>3375</v>
      </c>
      <c r="AE463" t="s">
        <v>3376</v>
      </c>
      <c r="AF463" t="s">
        <v>3377</v>
      </c>
      <c r="AG463" t="s">
        <v>3378</v>
      </c>
      <c r="BF463" t="s">
        <v>167</v>
      </c>
      <c r="BG463" t="s">
        <v>3379</v>
      </c>
      <c r="BH463" t="s">
        <v>2313</v>
      </c>
      <c r="BI463" t="s">
        <v>356</v>
      </c>
      <c r="BJ463" t="str">
        <f>HYPERLINK("https://d33htgqikc2pj4.cloudfront.net/f9038698-e48f-4524-a827-ef0fc2142f7a.jpeg", "Андрей Денисов: Ссылка на изображение")</f>
        <v>Андрей Денисов: Ссылка на изображение</v>
      </c>
      <c r="BK463" t="str">
        <f>HYPERLINK("https://d33htgqikc2pj4.cloudfront.net/bdf369e9-e8b5-447d-b04e-0b1859873aff.jpeg", "Андрей Денисов: Ссылка на изображение")</f>
        <v>Андрей Денисов: Ссылка на изображение</v>
      </c>
      <c r="BL463" t="str">
        <f>HYPERLINK("https://d33htgqikc2pj4.cloudfront.net/af0bd115-91aa-42fa-b77f-589147aa60c5.jpeg", "Андрей Денисов: Ссылка на изображение")</f>
        <v>Андрей Денисов: Ссылка на изображение</v>
      </c>
      <c r="BM463" t="str">
        <f>HYPERLINK("https://d33htgqikc2pj4.cloudfront.net/c2b1fb11-406c-4976-a8bd-893dd8315cc0.jpeg", "Андрей Денисов: Ссылка на изображение")</f>
        <v>Андрей Денисов: Ссылка на изображение</v>
      </c>
    </row>
    <row r="464" spans="1:84" ht="15" customHeight="1" x14ac:dyDescent="0.35">
      <c r="A464">
        <v>805</v>
      </c>
      <c r="B464" t="s">
        <v>1111</v>
      </c>
      <c r="C464">
        <v>2</v>
      </c>
      <c r="D464" t="str">
        <f>VLOOKUP(source[[#This Row],[Приоритет]],тПриоритеты[],2,0)</f>
        <v>Значительное</v>
      </c>
      <c r="E4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4" t="s">
        <v>2273</v>
      </c>
      <c r="G464" t="s">
        <v>157</v>
      </c>
      <c r="H464" t="str">
        <f>VLOOKUP(source[[#This Row],[Отвественный]],тОтветственные[],2,0)</f>
        <v>Отв13</v>
      </c>
      <c r="I464" s="2">
        <v>43820</v>
      </c>
      <c r="J464" s="2">
        <v>43820</v>
      </c>
      <c r="K464" t="s">
        <v>337</v>
      </c>
      <c r="L464">
        <v>51.28</v>
      </c>
      <c r="M464">
        <v>44.22</v>
      </c>
      <c r="N464" t="s">
        <v>338</v>
      </c>
      <c r="Q464" t="s">
        <v>339</v>
      </c>
      <c r="R464" t="str">
        <f>HYPERLINK("https://d28ji4sm1vmprj.cloudfront.net/19dc4a1afc4fcc7f30fd79820762e797/bb9fe60bbdb1c123800b0cd50ec150cc.jpeg", "Ссылка на план")</f>
        <v>Ссылка на план</v>
      </c>
      <c r="S464" s="1">
        <v>43820.705763888887</v>
      </c>
      <c r="T464" s="1">
        <v>43820.719583333332</v>
      </c>
      <c r="U464" s="1">
        <v>43820.719583333332</v>
      </c>
      <c r="W464" s="1">
        <v>43820.724722222221</v>
      </c>
      <c r="X464" t="s">
        <v>2471</v>
      </c>
      <c r="Y464" t="s">
        <v>3380</v>
      </c>
      <c r="Z464" t="s">
        <v>1110</v>
      </c>
      <c r="AA464" t="s">
        <v>3381</v>
      </c>
      <c r="AB464" t="s">
        <v>3382</v>
      </c>
      <c r="AC464" t="s">
        <v>3383</v>
      </c>
      <c r="AD464" t="s">
        <v>3384</v>
      </c>
      <c r="AE464" t="s">
        <v>3385</v>
      </c>
      <c r="AF464" t="s">
        <v>3386</v>
      </c>
      <c r="AG464" t="s">
        <v>3387</v>
      </c>
      <c r="AH464" t="s">
        <v>3388</v>
      </c>
      <c r="AI464" t="s">
        <v>3389</v>
      </c>
      <c r="AJ464" t="s">
        <v>3390</v>
      </c>
      <c r="AK464" t="s">
        <v>3391</v>
      </c>
      <c r="AL464" t="s">
        <v>3392</v>
      </c>
      <c r="AM464" t="s">
        <v>3358</v>
      </c>
      <c r="AN464" t="s">
        <v>3359</v>
      </c>
      <c r="AO464" t="s">
        <v>3393</v>
      </c>
      <c r="AP464" t="s">
        <v>3360</v>
      </c>
      <c r="AQ464" t="s">
        <v>3394</v>
      </c>
      <c r="BF464" t="s">
        <v>167</v>
      </c>
      <c r="BG464" t="s">
        <v>3395</v>
      </c>
      <c r="BH464" t="s">
        <v>3396</v>
      </c>
      <c r="BI464" t="s">
        <v>3397</v>
      </c>
      <c r="BJ464" t="s">
        <v>3398</v>
      </c>
      <c r="BK464" t="s">
        <v>3399</v>
      </c>
      <c r="BL464" t="s">
        <v>3400</v>
      </c>
      <c r="BM464" t="s">
        <v>3401</v>
      </c>
      <c r="BN464" t="s">
        <v>3402</v>
      </c>
      <c r="BO464" t="s">
        <v>3403</v>
      </c>
      <c r="BP464" t="s">
        <v>3404</v>
      </c>
      <c r="BQ464" t="s">
        <v>3405</v>
      </c>
      <c r="BR464" t="s">
        <v>3406</v>
      </c>
      <c r="BS464" t="s">
        <v>3407</v>
      </c>
      <c r="BT464" t="s">
        <v>3408</v>
      </c>
      <c r="BU464" t="s">
        <v>2313</v>
      </c>
      <c r="BV464" t="s">
        <v>356</v>
      </c>
    </row>
    <row r="465" spans="1:69" ht="15" customHeight="1" x14ac:dyDescent="0.35">
      <c r="A465">
        <v>547</v>
      </c>
      <c r="B465" t="s">
        <v>3409</v>
      </c>
      <c r="C465">
        <v>2</v>
      </c>
      <c r="D465" t="str">
        <f>VLOOKUP(source[[#This Row],[Приоритет]],тПриоритеты[],2,0)</f>
        <v>Значительное</v>
      </c>
      <c r="E4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5" t="s">
        <v>2273</v>
      </c>
      <c r="G465" t="s">
        <v>157</v>
      </c>
      <c r="H465" t="str">
        <f>VLOOKUP(source[[#This Row],[Отвественный]],тОтветственные[],2,0)</f>
        <v>Отв13</v>
      </c>
      <c r="I465" s="2">
        <v>43735</v>
      </c>
      <c r="J465" s="2">
        <v>43735</v>
      </c>
      <c r="K465" t="s">
        <v>375</v>
      </c>
      <c r="L465">
        <v>0</v>
      </c>
      <c r="M465">
        <v>0</v>
      </c>
      <c r="N465" t="s">
        <v>159</v>
      </c>
      <c r="Q465" t="s">
        <v>106</v>
      </c>
      <c r="R465" t="str">
        <f>HYPERLINK("https://d28ji4sm1vmprj.cloudfront.net/3e7bd1b1c8123e07928556a95537ec96/b6f4ea1a4c385def2ded1a2b1779c1a4.jpeg", "Ссылка на план")</f>
        <v>Ссылка на план</v>
      </c>
      <c r="S465" s="1">
        <v>43735.768935185188</v>
      </c>
      <c r="T465" s="1">
        <v>43735.769097222219</v>
      </c>
      <c r="U465" s="1">
        <v>43735.769097222219</v>
      </c>
      <c r="W465" s="1">
        <v>43735.770416666666</v>
      </c>
      <c r="X465" t="s">
        <v>2764</v>
      </c>
      <c r="AA465" t="s">
        <v>3410</v>
      </c>
      <c r="AB465" t="s">
        <v>3411</v>
      </c>
      <c r="AC465" t="s">
        <v>3412</v>
      </c>
      <c r="AD465" t="s">
        <v>3413</v>
      </c>
      <c r="AE465" t="s">
        <v>3414</v>
      </c>
      <c r="AF465" t="s">
        <v>3415</v>
      </c>
      <c r="AG465" t="s">
        <v>3416</v>
      </c>
      <c r="BF465" t="s">
        <v>167</v>
      </c>
      <c r="BG465" t="s">
        <v>3417</v>
      </c>
      <c r="BH465" t="s">
        <v>2313</v>
      </c>
      <c r="BI465" t="s">
        <v>3418</v>
      </c>
      <c r="BJ465" t="s">
        <v>3419</v>
      </c>
      <c r="BK465" t="str">
        <f>HYPERLINK("https://d33htgqikc2pj4.cloudfront.net/b0bf066b-6dfa-4f09-8407-d46bedf3e670.jpeg", "Андрей Денисов: Ссылка на изображение")</f>
        <v>Андрей Денисов: Ссылка на изображение</v>
      </c>
      <c r="BL465" t="str">
        <f>HYPERLINK("https://d33htgqikc2pj4.cloudfront.net/783fcf9b-3639-4f7a-94f7-375e5b76df6d.jpeg", "Андрей Денисов: Ссылка на изображение")</f>
        <v>Андрей Денисов: Ссылка на изображение</v>
      </c>
      <c r="BM465" t="str">
        <f>HYPERLINK("https://d33htgqikc2pj4.cloudfront.net/6db98854-430c-4950-ab99-e0474eea5bf0.jpeg", "Андрей Денисов: Ссылка на изображение")</f>
        <v>Андрей Денисов: Ссылка на изображение</v>
      </c>
      <c r="BN465" t="str">
        <f>HYPERLINK("https://d33htgqikc2pj4.cloudfront.net/81ee3f8f-537f-4072-a323-9a347f6fd159.jpeg", "Андрей Денисов: Ссылка на изображение")</f>
        <v>Андрей Денисов: Ссылка на изображение</v>
      </c>
      <c r="BO465" t="str">
        <f>HYPERLINK("https://d33htgqikc2pj4.cloudfront.net/10a24bea-db71-4645-8648-6346c40de3fa.jpeg", "Андрей Денисов: Ссылка на изображение")</f>
        <v>Андрей Денисов: Ссылка на изображение</v>
      </c>
      <c r="BP465" t="str">
        <f>HYPERLINK("https://d33htgqikc2pj4.cloudfront.net/917d23a5-b1d4-4a2d-815a-6d416bc8e545.jpeg", "Андрей Денисов: Ссылка на изображение")</f>
        <v>Андрей Денисов: Ссылка на изображение</v>
      </c>
    </row>
    <row r="466" spans="1:69" ht="15" customHeight="1" x14ac:dyDescent="0.35">
      <c r="A466">
        <v>441</v>
      </c>
      <c r="B466" t="s">
        <v>3420</v>
      </c>
      <c r="C466">
        <v>2</v>
      </c>
      <c r="D466" t="str">
        <f>VLOOKUP(source[[#This Row],[Приоритет]],тПриоритеты[],2,0)</f>
        <v>Значительное</v>
      </c>
      <c r="E4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6" t="s">
        <v>2273</v>
      </c>
      <c r="G466" t="s">
        <v>157</v>
      </c>
      <c r="H466" t="str">
        <f>VLOOKUP(source[[#This Row],[Отвественный]],тОтветственные[],2,0)</f>
        <v>Отв13</v>
      </c>
      <c r="I466" s="2">
        <v>43712</v>
      </c>
      <c r="J466" s="2">
        <v>43712</v>
      </c>
      <c r="K466" t="s">
        <v>375</v>
      </c>
      <c r="L466">
        <v>0</v>
      </c>
      <c r="M466">
        <v>0</v>
      </c>
      <c r="N466" t="s">
        <v>159</v>
      </c>
      <c r="Q466" t="s">
        <v>106</v>
      </c>
      <c r="R466" t="str">
        <f>HYPERLINK("https://d28ji4sm1vmprj.cloudfront.net/3e7bd1b1c8123e07928556a95537ec96/b6f4ea1a4c385def2ded1a2b1779c1a4.jpeg", "Ссылка на план")</f>
        <v>Ссылка на план</v>
      </c>
      <c r="S466" s="1">
        <v>43714.698078703703</v>
      </c>
      <c r="T466" s="1">
        <v>43714.698263888888</v>
      </c>
      <c r="U466" s="1">
        <v>43714.698263888888</v>
      </c>
      <c r="W466" s="1">
        <v>43714.699571759258</v>
      </c>
      <c r="X466" t="s">
        <v>2764</v>
      </c>
      <c r="AA466" t="s">
        <v>3421</v>
      </c>
      <c r="AB466" t="s">
        <v>3422</v>
      </c>
      <c r="AC466" t="s">
        <v>3423</v>
      </c>
      <c r="AD466" t="s">
        <v>3424</v>
      </c>
      <c r="AE466" t="s">
        <v>3425</v>
      </c>
      <c r="AF466" t="s">
        <v>3426</v>
      </c>
      <c r="AG466" t="s">
        <v>3427</v>
      </c>
      <c r="BF466" t="s">
        <v>167</v>
      </c>
      <c r="BG466" t="s">
        <v>3428</v>
      </c>
      <c r="BH466" t="s">
        <v>2313</v>
      </c>
      <c r="BI466" t="s">
        <v>3429</v>
      </c>
      <c r="BJ466" t="str">
        <f>HYPERLINK("https://d33htgqikc2pj4.cloudfront.net/1a626bd0-a8f9-4d5d-9415-d3a1f43c4e52.jpeg", "Андрей Денисов: Ссылка на изображение")</f>
        <v>Андрей Денисов: Ссылка на изображение</v>
      </c>
      <c r="BK466" t="str">
        <f>HYPERLINK("https://d33htgqikc2pj4.cloudfront.net/eca148d7-82d4-448d-ae6a-e9359c5ce5b8.jpeg", "Андрей Денисов: Ссылка на изображение")</f>
        <v>Андрей Денисов: Ссылка на изображение</v>
      </c>
      <c r="BL466" t="str">
        <f>HYPERLINK("https://d33htgqikc2pj4.cloudfront.net/3f98d54d-888d-4f97-bc47-478746b403a1.jpeg", "Андрей Денисов: Ссылка на изображение")</f>
        <v>Андрей Денисов: Ссылка на изображение</v>
      </c>
      <c r="BM466" t="str">
        <f>HYPERLINK("https://d33htgqikc2pj4.cloudfront.net/8d4ad51f-15ee-44b3-bdb4-ceb315e63df1.jpeg", "Андрей Денисов: Ссылка на изображение")</f>
        <v>Андрей Денисов: Ссылка на изображение</v>
      </c>
    </row>
    <row r="467" spans="1:69" ht="15" customHeight="1" x14ac:dyDescent="0.35">
      <c r="A467">
        <v>549</v>
      </c>
      <c r="B467" t="s">
        <v>3430</v>
      </c>
      <c r="C467">
        <v>2</v>
      </c>
      <c r="D467" t="str">
        <f>VLOOKUP(source[[#This Row],[Приоритет]],тПриоритеты[],2,0)</f>
        <v>Значительное</v>
      </c>
      <c r="E4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7" t="s">
        <v>2273</v>
      </c>
      <c r="G467" t="s">
        <v>157</v>
      </c>
      <c r="H467" t="str">
        <f>VLOOKUP(source[[#This Row],[Отвественный]],тОтветственные[],2,0)</f>
        <v>Отв13</v>
      </c>
      <c r="I467" s="2">
        <v>43736</v>
      </c>
      <c r="J467" s="2">
        <v>43736</v>
      </c>
      <c r="K467" t="s">
        <v>104</v>
      </c>
      <c r="L467">
        <v>0</v>
      </c>
      <c r="M467">
        <v>0</v>
      </c>
      <c r="N467" t="s">
        <v>105</v>
      </c>
      <c r="Q467" t="s">
        <v>106</v>
      </c>
      <c r="R467" t="str">
        <f>HYPERLINK("https://d28ji4sm1vmprj.cloudfront.net/e7a526a7220c3bc5cfeeb407c455c0b3/580ffb055aff8ee0c88c6e676cfba776.jpeg", "Ссылка на план")</f>
        <v>Ссылка на план</v>
      </c>
      <c r="S467" s="1">
        <v>43736.91306712963</v>
      </c>
      <c r="T467" s="1">
        <v>43736.913078703707</v>
      </c>
      <c r="U467" s="1">
        <v>43736.913078703707</v>
      </c>
      <c r="W467" s="1">
        <v>43736.913738425923</v>
      </c>
      <c r="BF467" t="s">
        <v>167</v>
      </c>
      <c r="BG467" t="s">
        <v>3431</v>
      </c>
      <c r="BH467" t="s">
        <v>2313</v>
      </c>
      <c r="BI467" t="s">
        <v>365</v>
      </c>
    </row>
    <row r="468" spans="1:69" ht="15" customHeight="1" x14ac:dyDescent="0.35">
      <c r="A468">
        <v>440</v>
      </c>
      <c r="B468" t="s">
        <v>3432</v>
      </c>
      <c r="C468">
        <v>2</v>
      </c>
      <c r="D468" t="str">
        <f>VLOOKUP(source[[#This Row],[Приоритет]],тПриоритеты[],2,0)</f>
        <v>Значительное</v>
      </c>
      <c r="E4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8" t="s">
        <v>2273</v>
      </c>
      <c r="G468" t="s">
        <v>157</v>
      </c>
      <c r="H468" t="str">
        <f>VLOOKUP(source[[#This Row],[Отвественный]],тОтветственные[],2,0)</f>
        <v>Отв13</v>
      </c>
      <c r="I468" s="2">
        <v>43712</v>
      </c>
      <c r="J468" s="2">
        <v>43712</v>
      </c>
      <c r="K468" t="s">
        <v>122</v>
      </c>
      <c r="L468">
        <v>0</v>
      </c>
      <c r="M468">
        <v>0</v>
      </c>
      <c r="N468" t="s">
        <v>123</v>
      </c>
      <c r="Q468" t="s">
        <v>124</v>
      </c>
      <c r="R468" t="str">
        <f>HYPERLINK("https://d28ji4sm1vmprj.cloudfront.net/78b1fbd1c87eb90dac050448d7e72c8d/a7fb9bbb452cbb899c601a0b8b67fd7d.jpeg", "Ссылка на план")</f>
        <v>Ссылка на план</v>
      </c>
      <c r="S468" s="1">
        <v>43714.696296296293</v>
      </c>
      <c r="T468" s="1">
        <v>43714.696319444447</v>
      </c>
      <c r="U468" s="1">
        <v>43714.696319444447</v>
      </c>
      <c r="W468" s="1">
        <v>43714.697615740741</v>
      </c>
      <c r="X468" t="s">
        <v>2290</v>
      </c>
      <c r="AA468" t="s">
        <v>3433</v>
      </c>
      <c r="AB468" t="s">
        <v>3434</v>
      </c>
      <c r="AC468" t="s">
        <v>3435</v>
      </c>
      <c r="AD468" t="s">
        <v>3436</v>
      </c>
      <c r="AE468" t="s">
        <v>3437</v>
      </c>
      <c r="AF468" t="s">
        <v>3438</v>
      </c>
      <c r="AG468" t="s">
        <v>3439</v>
      </c>
      <c r="AH468" t="s">
        <v>3440</v>
      </c>
      <c r="AI468" t="s">
        <v>3441</v>
      </c>
      <c r="BF468" t="s">
        <v>167</v>
      </c>
      <c r="BG468" t="s">
        <v>3442</v>
      </c>
      <c r="BH468" t="s">
        <v>2313</v>
      </c>
      <c r="BI468" t="s">
        <v>3443</v>
      </c>
      <c r="BJ468" t="str">
        <f>HYPERLINK("https://d33htgqikc2pj4.cloudfront.net/d9a7c1a2-e46f-4efe-8057-48c38f259082.jpeg", "Андрей Денисов: Ссылка на изображение")</f>
        <v>Андрей Денисов: Ссылка на изображение</v>
      </c>
      <c r="BK468" t="str">
        <f>HYPERLINK("https://d33htgqikc2pj4.cloudfront.net/3dfa73de-07d9-4dc3-bb44-b1f4b0b95950.jpeg", "Андрей Денисов: Ссылка на изображение")</f>
        <v>Андрей Денисов: Ссылка на изображение</v>
      </c>
      <c r="BL468" t="s">
        <v>3429</v>
      </c>
      <c r="BM468" t="s">
        <v>3444</v>
      </c>
    </row>
    <row r="469" spans="1:69" ht="15" customHeight="1" x14ac:dyDescent="0.35">
      <c r="A469">
        <v>442</v>
      </c>
      <c r="B469" t="s">
        <v>3445</v>
      </c>
      <c r="C469">
        <v>2</v>
      </c>
      <c r="D469" t="str">
        <f>VLOOKUP(source[[#This Row],[Приоритет]],тПриоритеты[],2,0)</f>
        <v>Значительное</v>
      </c>
      <c r="E4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69" t="s">
        <v>2273</v>
      </c>
      <c r="G469" t="s">
        <v>157</v>
      </c>
      <c r="H469" t="str">
        <f>VLOOKUP(source[[#This Row],[Отвественный]],тОтветственные[],2,0)</f>
        <v>Отв13</v>
      </c>
      <c r="I469" s="2">
        <v>43714</v>
      </c>
      <c r="J469" s="2">
        <v>43714</v>
      </c>
      <c r="K469" t="s">
        <v>375</v>
      </c>
      <c r="L469">
        <v>0</v>
      </c>
      <c r="M469">
        <v>0</v>
      </c>
      <c r="N469" t="s">
        <v>159</v>
      </c>
      <c r="Q469" t="s">
        <v>106</v>
      </c>
      <c r="R469" t="str">
        <f>HYPERLINK("https://d28ji4sm1vmprj.cloudfront.net/3e7bd1b1c8123e07928556a95537ec96/b6f4ea1a4c385def2ded1a2b1779c1a4.jpeg", "Ссылка на план")</f>
        <v>Ссылка на план</v>
      </c>
      <c r="S469" s="1">
        <v>43714.700300925928</v>
      </c>
      <c r="T469" s="1">
        <v>43714.700324074074</v>
      </c>
      <c r="U469" s="1">
        <v>43714.700324074074</v>
      </c>
      <c r="W469" s="1">
        <v>43714.700972222221</v>
      </c>
      <c r="X469" t="s">
        <v>2764</v>
      </c>
      <c r="AA469" t="s">
        <v>3421</v>
      </c>
      <c r="AB469" t="s">
        <v>3422</v>
      </c>
      <c r="AC469" t="s">
        <v>3423</v>
      </c>
      <c r="AD469" t="s">
        <v>3424</v>
      </c>
      <c r="AE469" t="s">
        <v>3425</v>
      </c>
      <c r="AF469" t="s">
        <v>3426</v>
      </c>
      <c r="AG469" t="s">
        <v>3427</v>
      </c>
      <c r="BF469" t="s">
        <v>167</v>
      </c>
      <c r="BG469" t="s">
        <v>3446</v>
      </c>
      <c r="BH469" t="s">
        <v>2313</v>
      </c>
      <c r="BI469" t="s">
        <v>3447</v>
      </c>
      <c r="BJ469" t="str">
        <f>HYPERLINK("https://d33htgqikc2pj4.cloudfront.net/f26cd5da-f612-4614-9e0e-ffd7319a102a.jpeg", "Андрей Денисов: Ссылка на изображение")</f>
        <v>Андрей Денисов: Ссылка на изображение</v>
      </c>
      <c r="BK469" t="str">
        <f>HYPERLINK("https://d33htgqikc2pj4.cloudfront.net/7e120bf3-b7be-4a9f-836d-b28cd6e60f38.jpeg", "Андрей Денисов: Ссылка на изображение")</f>
        <v>Андрей Денисов: Ссылка на изображение</v>
      </c>
      <c r="BL469" t="str">
        <f>HYPERLINK("https://d33htgqikc2pj4.cloudfront.net/fa67be9f-4387-4cd3-bac8-7be95aa561fa.jpeg", "Андрей Денисов: Ссылка на изображение")</f>
        <v>Андрей Денисов: Ссылка на изображение</v>
      </c>
      <c r="BM469" t="str">
        <f>HYPERLINK("https://d33htgqikc2pj4.cloudfront.net/521c49c7-0054-4698-a416-3e1186810087.jpeg", "Андрей Денисов: Ссылка на изображение")</f>
        <v>Андрей Денисов: Ссылка на изображение</v>
      </c>
      <c r="BN469" t="str">
        <f>HYPERLINK("https://d33htgqikc2pj4.cloudfront.net/e3a887c2-fa09-482c-9399-5a5bff8a186e.jpeg", "Андрей Денисов: Ссылка на изображение")</f>
        <v>Андрей Денисов: Ссылка на изображение</v>
      </c>
    </row>
    <row r="470" spans="1:69" ht="15" customHeight="1" x14ac:dyDescent="0.35">
      <c r="A470">
        <v>449</v>
      </c>
      <c r="B470" t="s">
        <v>3448</v>
      </c>
      <c r="C470">
        <v>2</v>
      </c>
      <c r="D470" t="str">
        <f>VLOOKUP(source[[#This Row],[Приоритет]],тПриоритеты[],2,0)</f>
        <v>Значительное</v>
      </c>
      <c r="E47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0" t="s">
        <v>2273</v>
      </c>
      <c r="G470" t="s">
        <v>157</v>
      </c>
      <c r="H470" t="str">
        <f>VLOOKUP(source[[#This Row],[Отвественный]],тОтветственные[],2,0)</f>
        <v>Отв13</v>
      </c>
      <c r="I470" s="2">
        <v>43716</v>
      </c>
      <c r="J470" s="2">
        <v>43716</v>
      </c>
      <c r="K470" t="s">
        <v>104</v>
      </c>
      <c r="L470">
        <v>0</v>
      </c>
      <c r="M470">
        <v>0</v>
      </c>
      <c r="N470" t="s">
        <v>105</v>
      </c>
      <c r="Q470" t="s">
        <v>106</v>
      </c>
      <c r="R470" t="str">
        <f>HYPERLINK("https://d28ji4sm1vmprj.cloudfront.net/e7a526a7220c3bc5cfeeb407c455c0b3/580ffb055aff8ee0c88c6e676cfba776.jpeg", "Ссылка на план")</f>
        <v>Ссылка на план</v>
      </c>
      <c r="S470" s="1">
        <v>43716.64565972222</v>
      </c>
      <c r="T470" s="1">
        <v>43716.645694444444</v>
      </c>
      <c r="U470" s="1">
        <v>43716.645694444444</v>
      </c>
      <c r="W470" s="1">
        <v>43716.64739583333</v>
      </c>
      <c r="X470" t="s">
        <v>2835</v>
      </c>
      <c r="AA470" t="s">
        <v>3449</v>
      </c>
      <c r="AB470" t="s">
        <v>3450</v>
      </c>
      <c r="AC470" t="s">
        <v>3451</v>
      </c>
      <c r="AD470" t="s">
        <v>3452</v>
      </c>
      <c r="AE470" t="s">
        <v>3453</v>
      </c>
      <c r="AF470" t="s">
        <v>3454</v>
      </c>
      <c r="AG470" t="s">
        <v>3455</v>
      </c>
      <c r="BF470" t="s">
        <v>167</v>
      </c>
      <c r="BG470" t="s">
        <v>3456</v>
      </c>
      <c r="BH470" t="s">
        <v>2313</v>
      </c>
      <c r="BI470" t="s">
        <v>3457</v>
      </c>
      <c r="BJ470" t="str">
        <f>HYPERLINK("https://d33htgqikc2pj4.cloudfront.net/6e2c4c11-9601-4590-bbb5-9a31370d1773.jpeg", "Андрей Денисов: Ссылка на изображение")</f>
        <v>Андрей Денисов: Ссылка на изображение</v>
      </c>
      <c r="BK470" t="str">
        <f>HYPERLINK("https://d33htgqikc2pj4.cloudfront.net/1969b2a4-0202-4bc7-8410-3b3c6f6b86d4.jpeg", "Андрей Денисов: Ссылка на изображение")</f>
        <v>Андрей Денисов: Ссылка на изображение</v>
      </c>
      <c r="BL470" t="str">
        <f>HYPERLINK("https://d33htgqikc2pj4.cloudfront.net/a4b479b4-2987-4171-b8a3-37fd36028825.jpeg", "Андрей Денисов: Ссылка на изображение")</f>
        <v>Андрей Денисов: Ссылка на изображение</v>
      </c>
      <c r="BM470" t="str">
        <f>HYPERLINK("https://d33htgqikc2pj4.cloudfront.net/e3375958-7616-4cf1-8c2e-fcc6d1d3db59.jpeg", "Андрей Денисов: Ссылка на изображение")</f>
        <v>Андрей Денисов: Ссылка на изображение</v>
      </c>
      <c r="BN470" t="s">
        <v>3458</v>
      </c>
    </row>
    <row r="471" spans="1:69" ht="15" customHeight="1" x14ac:dyDescent="0.35">
      <c r="A471">
        <v>592</v>
      </c>
      <c r="B471" t="s">
        <v>3459</v>
      </c>
      <c r="C471">
        <v>2</v>
      </c>
      <c r="D471" t="str">
        <f>VLOOKUP(source[[#This Row],[Приоритет]],тПриоритеты[],2,0)</f>
        <v>Значительное</v>
      </c>
      <c r="E4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1" t="s">
        <v>2273</v>
      </c>
      <c r="G471" t="s">
        <v>157</v>
      </c>
      <c r="H471" t="str">
        <f>VLOOKUP(source[[#This Row],[Отвественный]],тОтветственные[],2,0)</f>
        <v>Отв13</v>
      </c>
      <c r="I471" s="2">
        <v>43747</v>
      </c>
      <c r="J471" s="2">
        <v>43747</v>
      </c>
      <c r="K471" t="s">
        <v>104</v>
      </c>
      <c r="L471">
        <v>0</v>
      </c>
      <c r="M471">
        <v>0</v>
      </c>
      <c r="N471" t="s">
        <v>105</v>
      </c>
      <c r="Q471" t="s">
        <v>106</v>
      </c>
      <c r="R471" t="str">
        <f>HYPERLINK("https://d28ji4sm1vmprj.cloudfront.net/e7a526a7220c3bc5cfeeb407c455c0b3/580ffb055aff8ee0c88c6e676cfba776.jpeg", "Ссылка на план")</f>
        <v>Ссылка на план</v>
      </c>
      <c r="S471" s="1">
        <v>43749.546296296299</v>
      </c>
      <c r="T471" s="1">
        <v>43749.546319444446</v>
      </c>
      <c r="U471" s="1">
        <v>43749.546319444446</v>
      </c>
      <c r="W471" s="1">
        <v>43749.54724537037</v>
      </c>
      <c r="X471" t="s">
        <v>2333</v>
      </c>
      <c r="AA471" t="s">
        <v>3460</v>
      </c>
      <c r="AB471" t="s">
        <v>3461</v>
      </c>
      <c r="AC471" t="s">
        <v>3462</v>
      </c>
      <c r="AD471" t="s">
        <v>3463</v>
      </c>
      <c r="AE471" t="s">
        <v>3464</v>
      </c>
      <c r="AF471" t="s">
        <v>3465</v>
      </c>
      <c r="AG471" t="s">
        <v>3466</v>
      </c>
      <c r="AH471" t="s">
        <v>3467</v>
      </c>
      <c r="AI471" t="s">
        <v>3468</v>
      </c>
      <c r="BF471" t="s">
        <v>167</v>
      </c>
      <c r="BG471" t="s">
        <v>3469</v>
      </c>
      <c r="BH471" t="s">
        <v>310</v>
      </c>
      <c r="BI471" t="s">
        <v>2313</v>
      </c>
      <c r="BJ471" t="s">
        <v>3470</v>
      </c>
      <c r="BK471" t="str">
        <f>HYPERLINK("https://d33htgqikc2pj4.cloudfront.net/713b43ec-6969-4c26-8dff-67ff7d7862cf.jpeg", "Андрей Денисов: Ссылка на изображение")</f>
        <v>Андрей Денисов: Ссылка на изображение</v>
      </c>
      <c r="BL471" t="str">
        <f>HYPERLINK("https://d33htgqikc2pj4.cloudfront.net/1806cce7-b54f-477e-87e1-8625fd147e63.jpeg", "Андрей Денисов: Ссылка на изображение")</f>
        <v>Андрей Денисов: Ссылка на изображение</v>
      </c>
    </row>
    <row r="472" spans="1:69" ht="15" customHeight="1" x14ac:dyDescent="0.35">
      <c r="A472">
        <v>453</v>
      </c>
      <c r="B472" t="s">
        <v>1390</v>
      </c>
      <c r="C472">
        <v>2</v>
      </c>
      <c r="D472" t="str">
        <f>VLOOKUP(source[[#This Row],[Приоритет]],тПриоритеты[],2,0)</f>
        <v>Значительное</v>
      </c>
      <c r="E4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2" t="s">
        <v>2273</v>
      </c>
      <c r="G472" t="s">
        <v>157</v>
      </c>
      <c r="H472" t="str">
        <f>VLOOKUP(source[[#This Row],[Отвественный]],тОтветственные[],2,0)</f>
        <v>Отв13</v>
      </c>
      <c r="I472" s="2">
        <v>43717</v>
      </c>
      <c r="J472" s="2">
        <v>43717</v>
      </c>
      <c r="K472" t="s">
        <v>375</v>
      </c>
      <c r="L472">
        <v>0</v>
      </c>
      <c r="M472">
        <v>0</v>
      </c>
      <c r="N472" t="s">
        <v>159</v>
      </c>
      <c r="Q472" t="s">
        <v>106</v>
      </c>
      <c r="R472" t="str">
        <f>HYPERLINK("https://d28ji4sm1vmprj.cloudfront.net/3e7bd1b1c8123e07928556a95537ec96/b6f4ea1a4c385def2ded1a2b1779c1a4.jpeg", "Ссылка на план")</f>
        <v>Ссылка на план</v>
      </c>
      <c r="S472" s="1">
        <v>43717.742199074077</v>
      </c>
      <c r="T472" s="1">
        <v>43717.742210648146</v>
      </c>
      <c r="U472" s="1">
        <v>43717.742210648146</v>
      </c>
      <c r="W472" s="1">
        <v>43717.743611111109</v>
      </c>
      <c r="X472" t="s">
        <v>2764</v>
      </c>
      <c r="Z472" t="s">
        <v>1389</v>
      </c>
      <c r="AA472" t="s">
        <v>3471</v>
      </c>
      <c r="AB472" t="s">
        <v>3472</v>
      </c>
      <c r="AC472" t="s">
        <v>3473</v>
      </c>
      <c r="AD472" t="s">
        <v>3474</v>
      </c>
      <c r="AE472" t="s">
        <v>3475</v>
      </c>
      <c r="AF472" t="s">
        <v>3476</v>
      </c>
      <c r="AG472" t="s">
        <v>3477</v>
      </c>
      <c r="BF472" t="s">
        <v>167</v>
      </c>
      <c r="BG472" t="s">
        <v>3478</v>
      </c>
      <c r="BH472" t="s">
        <v>2313</v>
      </c>
      <c r="BI472" t="s">
        <v>1392</v>
      </c>
      <c r="BJ472" t="str">
        <f>HYPERLINK("https://d33htgqikc2pj4.cloudfront.net/c68ec43b-0789-48d3-90b6-9a7735886f9a.jpeg", "Андрей Денисов: Ссылка на изображение")</f>
        <v>Андрей Денисов: Ссылка на изображение</v>
      </c>
      <c r="BK472" t="str">
        <f>HYPERLINK("https://d33htgqikc2pj4.cloudfront.net/a9947eaf-4df7-4456-bf1d-faa9ccaddf91.jpeg", "Андрей Денисов: Ссылка на изображение")</f>
        <v>Андрей Денисов: Ссылка на изображение</v>
      </c>
      <c r="BL472" t="str">
        <f>HYPERLINK("https://d33htgqikc2pj4.cloudfront.net/3697f5c0-0ffe-48a4-87e8-3bdb0472341e.jpeg", "Андрей Денисов: Ссылка на изображение")</f>
        <v>Андрей Денисов: Ссылка на изображение</v>
      </c>
      <c r="BM472" t="str">
        <f>HYPERLINK("https://d33htgqikc2pj4.cloudfront.net/25fbfd9b-87df-4e20-9e93-3c394aada7d6.jpeg", "Андрей Денисов: Ссылка на изображение")</f>
        <v>Андрей Денисов: Ссылка на изображение</v>
      </c>
      <c r="BN472" t="str">
        <f>HYPERLINK("https://d33htgqikc2pj4.cloudfront.net/5dc4a136-6d4b-4a18-b74d-caa8f16e71e9.jpeg", "Андрей Денисов: Ссылка на изображение")</f>
        <v>Андрей Денисов: Ссылка на изображение</v>
      </c>
      <c r="BO472" t="str">
        <f>HYPERLINK("https://d33htgqikc2pj4.cloudfront.net/242fb80b-f6be-42f1-96ee-3f2e121bf96c.jpeg", "Андрей Денисов: Ссылка на изображение")</f>
        <v>Андрей Денисов: Ссылка на изображение</v>
      </c>
      <c r="BP472" t="str">
        <f>HYPERLINK("https://d33htgqikc2pj4.cloudfront.net/59146c00-1001-4af4-aaab-bdb677f9af33.jpeg", "Андрей Денисов: Ссылка на изображение")</f>
        <v>Андрей Денисов: Ссылка на изображение</v>
      </c>
      <c r="BQ472" t="str">
        <f>HYPERLINK("https://d33htgqikc2pj4.cloudfront.net/2229c2f2-0552-4d29-bda7-5bbc584ca05c.jpeg", "Андрей Денисов: Ссылка на изображение")</f>
        <v>Андрей Денисов: Ссылка на изображение</v>
      </c>
    </row>
    <row r="473" spans="1:69" ht="15" customHeight="1" x14ac:dyDescent="0.35">
      <c r="A473">
        <v>726</v>
      </c>
      <c r="B473" t="s">
        <v>3479</v>
      </c>
      <c r="C473">
        <v>2</v>
      </c>
      <c r="D473" t="str">
        <f>VLOOKUP(source[[#This Row],[Приоритет]],тПриоритеты[],2,0)</f>
        <v>Значительное</v>
      </c>
      <c r="E4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3" t="s">
        <v>2273</v>
      </c>
      <c r="G473" t="s">
        <v>157</v>
      </c>
      <c r="H473" t="str">
        <f>VLOOKUP(source[[#This Row],[Отвественный]],тОтветственные[],2,0)</f>
        <v>Отв13</v>
      </c>
      <c r="I473" s="2">
        <v>43796</v>
      </c>
      <c r="J473" s="2">
        <v>43796</v>
      </c>
      <c r="K473" t="s">
        <v>2349</v>
      </c>
      <c r="L473">
        <v>76.900000000000006</v>
      </c>
      <c r="M473">
        <v>22.79</v>
      </c>
      <c r="N473" t="s">
        <v>213</v>
      </c>
      <c r="Q473" t="s">
        <v>106</v>
      </c>
      <c r="R473" t="str">
        <f>HYPERLINK("https://d28ji4sm1vmprj.cloudfront.net/6b0dc9e799f98d5c9a0a0ab863394e9c/e9ac1857a23bf9d0a66df9e04e6ec937.jpeg", "Ссылка на план")</f>
        <v>Ссылка на план</v>
      </c>
      <c r="S473" s="1">
        <v>43796.976666666669</v>
      </c>
      <c r="T473" s="1">
        <v>43796.976689814815</v>
      </c>
      <c r="U473" s="1">
        <v>43796.976689814815</v>
      </c>
      <c r="W473" s="1">
        <v>43796.977939814817</v>
      </c>
      <c r="X473" t="s">
        <v>1204</v>
      </c>
      <c r="AA473" t="s">
        <v>3480</v>
      </c>
      <c r="AB473" t="s">
        <v>3481</v>
      </c>
      <c r="AC473" t="s">
        <v>3482</v>
      </c>
      <c r="AD473" t="s">
        <v>3483</v>
      </c>
      <c r="AE473" t="s">
        <v>3484</v>
      </c>
      <c r="AF473" t="s">
        <v>3485</v>
      </c>
      <c r="BF473" t="s">
        <v>167</v>
      </c>
      <c r="BG473" t="s">
        <v>3486</v>
      </c>
      <c r="BH473" t="s">
        <v>3487</v>
      </c>
      <c r="BI473" t="s">
        <v>3488</v>
      </c>
      <c r="BJ473" t="str">
        <f>HYPERLINK("https://d33htgqikc2pj4.cloudfront.net/a2ec072e-d010-4f83-9965-bc689229777d.jpeg", "Андрей Денисов: Ссылка на изображение")</f>
        <v>Андрей Денисов: Ссылка на изображение</v>
      </c>
    </row>
    <row r="474" spans="1:69" ht="15" customHeight="1" x14ac:dyDescent="0.35">
      <c r="A474">
        <v>727</v>
      </c>
      <c r="B474" t="s">
        <v>3489</v>
      </c>
      <c r="C474">
        <v>2</v>
      </c>
      <c r="D474" t="str">
        <f>VLOOKUP(source[[#This Row],[Приоритет]],тПриоритеты[],2,0)</f>
        <v>Значительное</v>
      </c>
      <c r="E4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4" t="s">
        <v>2273</v>
      </c>
      <c r="G474" t="s">
        <v>157</v>
      </c>
      <c r="H474" t="str">
        <f>VLOOKUP(source[[#This Row],[Отвественный]],тОтветственные[],2,0)</f>
        <v>Отв13</v>
      </c>
      <c r="I474" s="2">
        <v>43796</v>
      </c>
      <c r="J474" s="2">
        <v>43796</v>
      </c>
      <c r="K474" t="s">
        <v>2349</v>
      </c>
      <c r="L474">
        <v>54.94</v>
      </c>
      <c r="M474">
        <v>68.08</v>
      </c>
      <c r="N474" t="s">
        <v>213</v>
      </c>
      <c r="Q474" t="s">
        <v>106</v>
      </c>
      <c r="R474" t="str">
        <f>HYPERLINK("https://d28ji4sm1vmprj.cloudfront.net/6b0dc9e799f98d5c9a0a0ab863394e9c/e9ac1857a23bf9d0a66df9e04e6ec937.jpeg", "Ссылка на план")</f>
        <v>Ссылка на план</v>
      </c>
      <c r="S474" s="1">
        <v>43796.978148148148</v>
      </c>
      <c r="T474" s="1">
        <v>43796.976689814815</v>
      </c>
      <c r="U474" s="1">
        <v>43796.976689814815</v>
      </c>
      <c r="W474" s="1">
        <v>43796.978831018518</v>
      </c>
      <c r="X474" t="s">
        <v>1204</v>
      </c>
      <c r="AA474" t="s">
        <v>3480</v>
      </c>
      <c r="AB474" t="s">
        <v>3481</v>
      </c>
      <c r="AC474" t="s">
        <v>3482</v>
      </c>
      <c r="AD474" t="s">
        <v>3483</v>
      </c>
      <c r="AE474" t="s">
        <v>3484</v>
      </c>
      <c r="AF474" t="s">
        <v>3485</v>
      </c>
      <c r="BF474" t="s">
        <v>3490</v>
      </c>
      <c r="BG474" t="str">
        <f>HYPERLINK("https://d33htgqikc2pj4.cloudfront.net/af7ad25d-65a4-453d-86f7-6151f6b26f1c.jpeg", "Андрей Денисов: Ссылка на изображение")</f>
        <v>Андрей Денисов: Ссылка на изображение</v>
      </c>
    </row>
    <row r="475" spans="1:69" ht="15" customHeight="1" x14ac:dyDescent="0.35">
      <c r="A475">
        <v>565</v>
      </c>
      <c r="B475" t="s">
        <v>1396</v>
      </c>
      <c r="C475">
        <v>2</v>
      </c>
      <c r="D475" t="str">
        <f>VLOOKUP(source[[#This Row],[Приоритет]],тПриоритеты[],2,0)</f>
        <v>Значительное</v>
      </c>
      <c r="E4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5" t="s">
        <v>2273</v>
      </c>
      <c r="G475" t="s">
        <v>157</v>
      </c>
      <c r="H475" t="str">
        <f>VLOOKUP(source[[#This Row],[Отвественный]],тОтветственные[],2,0)</f>
        <v>Отв13</v>
      </c>
      <c r="I475" s="2">
        <v>43741</v>
      </c>
      <c r="J475" s="2">
        <v>43741</v>
      </c>
      <c r="K475" t="s">
        <v>313</v>
      </c>
      <c r="L475">
        <v>0</v>
      </c>
      <c r="M475">
        <v>0</v>
      </c>
      <c r="N475" t="s">
        <v>213</v>
      </c>
      <c r="Q475" t="s">
        <v>106</v>
      </c>
      <c r="R475" t="str">
        <f>HYPERLINK("https://d28ji4sm1vmprj.cloudfront.net/464215be55b88773f54b8cd83354babd/02eaaeba9564da889c4ba5d284544147.jpeg", "Ссылка на план")</f>
        <v>Ссылка на план</v>
      </c>
      <c r="S475" s="1">
        <v>43741.565810185188</v>
      </c>
      <c r="T475" s="1">
        <v>43741.565821759257</v>
      </c>
      <c r="U475" s="1">
        <v>43741.565821759257</v>
      </c>
      <c r="W475" s="1">
        <v>43741.567835648151</v>
      </c>
      <c r="Z475" t="s">
        <v>1395</v>
      </c>
      <c r="BF475" t="s">
        <v>167</v>
      </c>
      <c r="BG475" t="s">
        <v>3491</v>
      </c>
      <c r="BH475" t="s">
        <v>2313</v>
      </c>
      <c r="BI475" t="s">
        <v>1397</v>
      </c>
      <c r="BJ475" t="str">
        <f>HYPERLINK("https://d33htgqikc2pj4.cloudfront.net/8b5923ac-bc88-4e35-b6a4-d567b03907b9.jpeg", "Андрей Денисов: Ссылка на изображение")</f>
        <v>Андрей Денисов: Ссылка на изображение</v>
      </c>
      <c r="BK475" t="str">
        <f>HYPERLINK("https://d33htgqikc2pj4.cloudfront.net/839bf143-6a2d-485d-ab5a-18ca074c2429.jpeg", "Андрей Денисов: Ссылка на изображение")</f>
        <v>Андрей Денисов: Ссылка на изображение</v>
      </c>
      <c r="BL475" t="str">
        <f>HYPERLINK("https://d33htgqikc2pj4.cloudfront.net/991b99b9-5edd-4caf-abd7-8227c0cb1c33.jpeg", "Андрей Денисов: Ссылка на изображение")</f>
        <v>Андрей Денисов: Ссылка на изображение</v>
      </c>
      <c r="BM475" t="str">
        <f>HYPERLINK("https://d33htgqikc2pj4.cloudfront.net/a1140c7a-c87c-4bda-bfa6-0428747fcd37.jpeg", "Андрей Денисов: Ссылка на изображение")</f>
        <v>Андрей Денисов: Ссылка на изображение</v>
      </c>
      <c r="BN475" t="str">
        <f>HYPERLINK("https://d33htgqikc2pj4.cloudfront.net/feb04e44-9184-43f1-ae8c-39aaebb661d3.jpeg", "Андрей Денисов: Ссылка на изображение")</f>
        <v>Андрей Денисов: Ссылка на изображение</v>
      </c>
    </row>
    <row r="476" spans="1:69" ht="15" customHeight="1" x14ac:dyDescent="0.35">
      <c r="A476">
        <v>567</v>
      </c>
      <c r="B476" t="s">
        <v>3492</v>
      </c>
      <c r="C476">
        <v>2</v>
      </c>
      <c r="D476" t="str">
        <f>VLOOKUP(source[[#This Row],[Приоритет]],тПриоритеты[],2,0)</f>
        <v>Значительное</v>
      </c>
      <c r="E4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6" t="s">
        <v>2273</v>
      </c>
      <c r="G476" t="s">
        <v>157</v>
      </c>
      <c r="H476" t="str">
        <f>VLOOKUP(source[[#This Row],[Отвественный]],тОтветственные[],2,0)</f>
        <v>Отв13</v>
      </c>
      <c r="I476" s="2">
        <v>43741</v>
      </c>
      <c r="J476" s="2">
        <v>43741</v>
      </c>
      <c r="K476" t="s">
        <v>375</v>
      </c>
      <c r="L476">
        <v>0</v>
      </c>
      <c r="M476">
        <v>0</v>
      </c>
      <c r="N476" t="s">
        <v>159</v>
      </c>
      <c r="Q476" t="s">
        <v>106</v>
      </c>
      <c r="R476" t="str">
        <f>HYPERLINK("https://d28ji4sm1vmprj.cloudfront.net/3e7bd1b1c8123e07928556a95537ec96/b6f4ea1a4c385def2ded1a2b1779c1a4.jpeg", "Ссылка на план")</f>
        <v>Ссылка на план</v>
      </c>
      <c r="S476" s="1">
        <v>43741.642696759256</v>
      </c>
      <c r="T476" s="1">
        <v>43741.642708333333</v>
      </c>
      <c r="U476" s="1">
        <v>43741.642708333333</v>
      </c>
      <c r="W476" s="1">
        <v>43741.643518518518</v>
      </c>
      <c r="X476" t="s">
        <v>2764</v>
      </c>
      <c r="AA476" t="s">
        <v>3493</v>
      </c>
      <c r="AB476" t="s">
        <v>3494</v>
      </c>
      <c r="AC476" t="s">
        <v>3495</v>
      </c>
      <c r="AD476" t="s">
        <v>3496</v>
      </c>
      <c r="AE476" t="s">
        <v>3497</v>
      </c>
      <c r="AF476" t="s">
        <v>3498</v>
      </c>
      <c r="AG476" t="s">
        <v>3499</v>
      </c>
      <c r="BF476" t="s">
        <v>167</v>
      </c>
      <c r="BG476" t="s">
        <v>3500</v>
      </c>
      <c r="BH476" t="s">
        <v>2313</v>
      </c>
      <c r="BI476" t="s">
        <v>1397</v>
      </c>
      <c r="BJ476" t="str">
        <f>HYPERLINK("https://d33htgqikc2pj4.cloudfront.net/c2ec354a-1b16-4dca-94ce-c4ae9d0a6882.jpeg", "Андрей Денисов: Ссылка на изображение")</f>
        <v>Андрей Денисов: Ссылка на изображение</v>
      </c>
      <c r="BK476" t="str">
        <f>HYPERLINK("https://d33htgqikc2pj4.cloudfront.net/416bb06b-0395-4440-93a4-9de3fbcf26cd.jpeg", "Андрей Денисов: Ссылка на изображение")</f>
        <v>Андрей Денисов: Ссылка на изображение</v>
      </c>
      <c r="BL476" t="str">
        <f>HYPERLINK("https://d33htgqikc2pj4.cloudfront.net/7660c8eb-7290-4309-b5bb-2bd0c6cbd8d9.jpeg", "Андрей Денисов: Ссылка на изображение")</f>
        <v>Андрей Денисов: Ссылка на изображение</v>
      </c>
      <c r="BM476" t="str">
        <f>HYPERLINK("https://d33htgqikc2pj4.cloudfront.net/0dc20e7b-27fd-478c-a109-a0b83f7dc6e3.jpeg", "Андрей Денисов: Ссылка на изображение")</f>
        <v>Андрей Денисов: Ссылка на изображение</v>
      </c>
      <c r="BN476" t="str">
        <f>HYPERLINK("https://d33htgqikc2pj4.cloudfront.net/ef43aaac-e8ae-4521-9a41-35c3c6e0876a.jpeg", "Андрей Денисов: Ссылка на изображение")</f>
        <v>Андрей Денисов: Ссылка на изображение</v>
      </c>
      <c r="BO476" t="str">
        <f>HYPERLINK("https://d33htgqikc2pj4.cloudfront.net/1dbfc271-f696-4bfb-bc34-547d17957d05.jpeg", "Андрей Денисов: Ссылка на изображение")</f>
        <v>Андрей Денисов: Ссылка на изображение</v>
      </c>
      <c r="BP476" t="str">
        <f>HYPERLINK("https://d33htgqikc2pj4.cloudfront.net/16fd5378-f7f8-4aca-a150-e19ed4a59743.jpeg", "Андрей Денисов: Ссылка на изображение")</f>
        <v>Андрей Денисов: Ссылка на изображение</v>
      </c>
      <c r="BQ476" t="str">
        <f>HYPERLINK("https://d33htgqikc2pj4.cloudfront.net/d311f3f0-fae5-4fb6-8413-900825736d26.jpeg", "Андрей Денисов: Ссылка на изображение")</f>
        <v>Андрей Денисов: Ссылка на изображение</v>
      </c>
    </row>
    <row r="477" spans="1:69" ht="15" customHeight="1" x14ac:dyDescent="0.35">
      <c r="A477">
        <v>824</v>
      </c>
      <c r="B477" t="s">
        <v>3501</v>
      </c>
      <c r="C477">
        <v>2</v>
      </c>
      <c r="D477" t="str">
        <f>VLOOKUP(source[[#This Row],[Приоритет]],тПриоритеты[],2,0)</f>
        <v>Значительное</v>
      </c>
      <c r="E4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7" t="s">
        <v>2273</v>
      </c>
      <c r="G477" t="s">
        <v>157</v>
      </c>
      <c r="H477" t="str">
        <f>VLOOKUP(source[[#This Row],[Отвественный]],тОтветственные[],2,0)</f>
        <v>Отв13</v>
      </c>
      <c r="I477" s="2">
        <v>43820</v>
      </c>
      <c r="J477" s="2">
        <v>43820</v>
      </c>
      <c r="K477" t="s">
        <v>337</v>
      </c>
      <c r="L477">
        <v>38.07</v>
      </c>
      <c r="M477">
        <v>49.14</v>
      </c>
      <c r="N477" t="s">
        <v>338</v>
      </c>
      <c r="Q477" t="s">
        <v>339</v>
      </c>
      <c r="R477" t="str">
        <f>HYPERLINK("https://d28ji4sm1vmprj.cloudfront.net/19dc4a1afc4fcc7f30fd79820762e797/bb9fe60bbdb1c123800b0cd50ec150cc.jpeg", "Ссылка на план")</f>
        <v>Ссылка на план</v>
      </c>
      <c r="S477" s="1">
        <v>43822.733067129629</v>
      </c>
      <c r="T477" s="1">
        <v>43820.789363425924</v>
      </c>
      <c r="U477" s="1">
        <v>43820.789363425924</v>
      </c>
      <c r="W477" s="1">
        <v>43822.733564814815</v>
      </c>
      <c r="X477" t="s">
        <v>2534</v>
      </c>
      <c r="AA477" t="s">
        <v>3502</v>
      </c>
      <c r="AB477" t="s">
        <v>3503</v>
      </c>
      <c r="AC477" t="s">
        <v>3504</v>
      </c>
      <c r="AD477" t="s">
        <v>3505</v>
      </c>
      <c r="AE477" t="s">
        <v>3506</v>
      </c>
      <c r="AF477" t="s">
        <v>3507</v>
      </c>
      <c r="AG477" t="s">
        <v>3508</v>
      </c>
      <c r="AH477" t="s">
        <v>3509</v>
      </c>
      <c r="AI477" t="s">
        <v>3510</v>
      </c>
      <c r="AJ477" t="s">
        <v>3511</v>
      </c>
      <c r="BF477" t="str">
        <f>HYPERLINK("https://d33htgqikc2pj4.cloudfront.net/38f7bf71-bc8c-4364-b492-533be3452a31.jpeg", "Андрей Денисов: Ссылка на изображение")</f>
        <v>Андрей Денисов: Ссылка на изображение</v>
      </c>
      <c r="BG477" t="str">
        <f>HYPERLINK("https://d33htgqikc2pj4.cloudfront.net/2e742d31-724c-4fdf-8829-4bd5df6a8d9f.jpeg", "Андрей Денисов: Ссылка на изображение")</f>
        <v>Андрей Денисов: Ссылка на изображение</v>
      </c>
      <c r="BH477" t="s">
        <v>3512</v>
      </c>
    </row>
    <row r="478" spans="1:69" ht="15" customHeight="1" x14ac:dyDescent="0.35">
      <c r="A478">
        <v>828</v>
      </c>
      <c r="B478" t="s">
        <v>3513</v>
      </c>
      <c r="C478">
        <v>2</v>
      </c>
      <c r="D478" t="str">
        <f>VLOOKUP(source[[#This Row],[Приоритет]],тПриоритеты[],2,0)</f>
        <v>Значительное</v>
      </c>
      <c r="E4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8" t="s">
        <v>2273</v>
      </c>
      <c r="G478" t="s">
        <v>157</v>
      </c>
      <c r="H478" t="str">
        <f>VLOOKUP(source[[#This Row],[Отвественный]],тОтветственные[],2,0)</f>
        <v>Отв13</v>
      </c>
      <c r="I478" s="2">
        <v>43820</v>
      </c>
      <c r="J478" s="2">
        <v>43820</v>
      </c>
      <c r="K478" t="s">
        <v>337</v>
      </c>
      <c r="L478">
        <v>38.49</v>
      </c>
      <c r="M478">
        <v>49.18</v>
      </c>
      <c r="N478" t="s">
        <v>338</v>
      </c>
      <c r="Q478" t="s">
        <v>339</v>
      </c>
      <c r="R478" t="str">
        <f>HYPERLINK("https://d28ji4sm1vmprj.cloudfront.net/19dc4a1afc4fcc7f30fd79820762e797/bb9fe60bbdb1c123800b0cd50ec150cc.jpeg", "Ссылка на план")</f>
        <v>Ссылка на план</v>
      </c>
      <c r="S478" s="1">
        <v>43822.734872685185</v>
      </c>
      <c r="T478" s="1">
        <v>43820.719583333332</v>
      </c>
      <c r="U478" s="1">
        <v>43820.719583333332</v>
      </c>
      <c r="W478" s="1">
        <v>43822.735439814816</v>
      </c>
      <c r="X478" t="s">
        <v>2471</v>
      </c>
      <c r="Y478" t="s">
        <v>3380</v>
      </c>
      <c r="AA478" t="s">
        <v>3514</v>
      </c>
      <c r="AB478" t="s">
        <v>3515</v>
      </c>
      <c r="AC478" t="s">
        <v>3516</v>
      </c>
      <c r="AD478" t="s">
        <v>3517</v>
      </c>
      <c r="AE478" t="s">
        <v>3518</v>
      </c>
      <c r="AF478" t="s">
        <v>3519</v>
      </c>
      <c r="AG478" t="s">
        <v>3520</v>
      </c>
      <c r="AH478" t="s">
        <v>3521</v>
      </c>
      <c r="AI478" t="s">
        <v>3522</v>
      </c>
      <c r="AJ478" t="s">
        <v>3508</v>
      </c>
      <c r="AK478" t="s">
        <v>3509</v>
      </c>
      <c r="AL478" t="s">
        <v>3523</v>
      </c>
      <c r="AM478" t="s">
        <v>3510</v>
      </c>
      <c r="AN478" t="s">
        <v>3524</v>
      </c>
      <c r="BF478" t="s">
        <v>3525</v>
      </c>
      <c r="BG478" t="s">
        <v>3526</v>
      </c>
      <c r="BH478" t="s">
        <v>3527</v>
      </c>
      <c r="BI478" t="str">
        <f>HYPERLINK("https://d33htgqikc2pj4.cloudfront.net/fc92b32a-710b-4799-8699-a4632ee427d0.jpeg", "Андрей Денисов: Ссылка на изображение")</f>
        <v>Андрей Денисов: Ссылка на изображение</v>
      </c>
      <c r="BJ478" t="s">
        <v>3528</v>
      </c>
    </row>
    <row r="479" spans="1:69" ht="15" customHeight="1" x14ac:dyDescent="0.35">
      <c r="A479">
        <v>820</v>
      </c>
      <c r="B479" t="s">
        <v>3529</v>
      </c>
      <c r="C479">
        <v>2</v>
      </c>
      <c r="D479" t="str">
        <f>VLOOKUP(source[[#This Row],[Приоритет]],тПриоритеты[],2,0)</f>
        <v>Значительное</v>
      </c>
      <c r="E47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79" t="s">
        <v>2273</v>
      </c>
      <c r="G479" t="s">
        <v>157</v>
      </c>
      <c r="H479" t="str">
        <f>VLOOKUP(source[[#This Row],[Отвественный]],тОтветственные[],2,0)</f>
        <v>Отв13</v>
      </c>
      <c r="I479" s="2">
        <v>43822</v>
      </c>
      <c r="J479" s="2">
        <v>43822</v>
      </c>
      <c r="K479" t="s">
        <v>323</v>
      </c>
      <c r="L479">
        <v>33.020000000000003</v>
      </c>
      <c r="M479">
        <v>13.88</v>
      </c>
      <c r="N479" t="s">
        <v>324</v>
      </c>
      <c r="Q479" t="s">
        <v>106</v>
      </c>
      <c r="R479" t="str">
        <f>HYPERLINK("https://d28ji4sm1vmprj.cloudfront.net/b9f0a3730bff318b29d61a045df19870/45ac0b590edfdc108d4a2e6d8918b5e0.jpeg", "Ссылка на план")</f>
        <v>Ссылка на план</v>
      </c>
      <c r="S479" s="1">
        <v>43822.727071759262</v>
      </c>
      <c r="T479" s="1">
        <v>43790.623472222222</v>
      </c>
      <c r="U479" s="1">
        <v>43790.623472222222</v>
      </c>
      <c r="W479" s="1">
        <v>43822.727835648147</v>
      </c>
      <c r="X479" t="s">
        <v>2510</v>
      </c>
      <c r="AA479" t="s">
        <v>3530</v>
      </c>
      <c r="AB479" t="s">
        <v>3531</v>
      </c>
      <c r="AC479" t="s">
        <v>3532</v>
      </c>
      <c r="AD479" t="s">
        <v>3533</v>
      </c>
      <c r="AE479" t="s">
        <v>3534</v>
      </c>
      <c r="AF479" t="s">
        <v>3535</v>
      </c>
      <c r="AG479" t="s">
        <v>3536</v>
      </c>
      <c r="AH479" t="s">
        <v>3537</v>
      </c>
      <c r="AI479" t="s">
        <v>3538</v>
      </c>
      <c r="BF479" t="str">
        <f>HYPERLINK("https://d33htgqikc2pj4.cloudfront.net/da4801dd-05dd-48e0-bcbb-7b6c95e74b8c.jpeg", "Андрей Денисов: Ссылка на изображение")</f>
        <v>Андрей Денисов: Ссылка на изображение</v>
      </c>
      <c r="BG479" t="str">
        <f>HYPERLINK("https://d33htgqikc2pj4.cloudfront.net/5a546547-240a-456b-a346-aceedd966921.jpeg", "Андрей Денисов: Ссылка на изображение")</f>
        <v>Андрей Денисов: Ссылка на изображение</v>
      </c>
      <c r="BH479" t="str">
        <f>HYPERLINK("https://d33htgqikc2pj4.cloudfront.net/62b1950a-1ab5-46f7-8cf9-8d2f48ecfa4b.jpeg", "Андрей Денисов: Ссылка на изображение")</f>
        <v>Андрей Денисов: Ссылка на изображение</v>
      </c>
      <c r="BI479" t="s">
        <v>3539</v>
      </c>
      <c r="BJ479" t="s">
        <v>3540</v>
      </c>
    </row>
    <row r="480" spans="1:69" ht="15" customHeight="1" x14ac:dyDescent="0.35">
      <c r="A480">
        <v>735</v>
      </c>
      <c r="B480" t="s">
        <v>2275</v>
      </c>
      <c r="C480">
        <v>2</v>
      </c>
      <c r="D480" t="str">
        <f>VLOOKUP(source[[#This Row],[Приоритет]],тПриоритеты[],2,0)</f>
        <v>Значительное</v>
      </c>
      <c r="E4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0" t="s">
        <v>2273</v>
      </c>
      <c r="G480" t="s">
        <v>157</v>
      </c>
      <c r="H480" t="str">
        <f>VLOOKUP(source[[#This Row],[Отвественный]],тОтветственные[],2,0)</f>
        <v>Отв13</v>
      </c>
      <c r="I480" s="2">
        <v>43798</v>
      </c>
      <c r="J480" s="2">
        <v>43798</v>
      </c>
      <c r="K480" t="s">
        <v>2274</v>
      </c>
      <c r="L480">
        <v>43.67</v>
      </c>
      <c r="M480">
        <v>43.43</v>
      </c>
      <c r="N480" t="s">
        <v>213</v>
      </c>
      <c r="Q480" t="s">
        <v>106</v>
      </c>
      <c r="R480" t="str">
        <f>HYPERLINK("https://d28ji4sm1vmprj.cloudfront.net/12150d1b48de98a530f90a998f465b55/5565710423da65dba9aad474ab74522e.jpeg", "Ссылка на план")</f>
        <v>Ссылка на план</v>
      </c>
      <c r="S480" s="1">
        <v>43798.501018518517</v>
      </c>
      <c r="T480" s="1">
        <v>43798.501157407409</v>
      </c>
      <c r="U480" s="1">
        <v>43798.501157407409</v>
      </c>
      <c r="W480" s="1">
        <v>43798.502569444441</v>
      </c>
      <c r="X480" t="s">
        <v>3541</v>
      </c>
      <c r="Z480" t="s">
        <v>2272</v>
      </c>
      <c r="AA480" t="s">
        <v>3542</v>
      </c>
      <c r="AB480" t="s">
        <v>3543</v>
      </c>
      <c r="AC480" t="s">
        <v>3544</v>
      </c>
      <c r="AD480" t="s">
        <v>3545</v>
      </c>
      <c r="AE480" t="s">
        <v>3546</v>
      </c>
      <c r="AF480" t="s">
        <v>3547</v>
      </c>
      <c r="BF480" t="s">
        <v>167</v>
      </c>
      <c r="BG480" t="s">
        <v>3548</v>
      </c>
      <c r="BH480" t="s">
        <v>3549</v>
      </c>
      <c r="BI480" t="s">
        <v>3550</v>
      </c>
      <c r="BJ480" t="s">
        <v>2313</v>
      </c>
      <c r="BK480" t="str">
        <f>HYPERLINK("https://d33htgqikc2pj4.cloudfront.net/7ee7ce2e-1dbf-429a-abc5-eddc7c7ff814.jpeg", "Андрей Денисов: Ссылка на изображение")</f>
        <v>Андрей Денисов: Ссылка на изображение</v>
      </c>
    </row>
    <row r="481" spans="1:68" ht="15" customHeight="1" x14ac:dyDescent="0.35">
      <c r="A481">
        <v>821</v>
      </c>
      <c r="B481" t="s">
        <v>3551</v>
      </c>
      <c r="C481">
        <v>2</v>
      </c>
      <c r="D481" t="str">
        <f>VLOOKUP(source[[#This Row],[Приоритет]],тПриоритеты[],2,0)</f>
        <v>Значительное</v>
      </c>
      <c r="E4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1" t="s">
        <v>2273</v>
      </c>
      <c r="G481" t="s">
        <v>157</v>
      </c>
      <c r="H481" t="str">
        <f>VLOOKUP(source[[#This Row],[Отвественный]],тОтветственные[],2,0)</f>
        <v>Отв13</v>
      </c>
      <c r="I481" s="2">
        <v>43820</v>
      </c>
      <c r="J481" s="2">
        <v>43820</v>
      </c>
      <c r="K481" t="s">
        <v>337</v>
      </c>
      <c r="L481">
        <v>37.42</v>
      </c>
      <c r="M481">
        <v>49.31</v>
      </c>
      <c r="N481" t="s">
        <v>338</v>
      </c>
      <c r="Q481" t="s">
        <v>339</v>
      </c>
      <c r="R481" t="str">
        <f>HYPERLINK("https://d28ji4sm1vmprj.cloudfront.net/19dc4a1afc4fcc7f30fd79820762e797/bb9fe60bbdb1c123800b0cd50ec150cc.jpeg", "Ссылка на план")</f>
        <v>Ссылка на план</v>
      </c>
      <c r="S481" s="1">
        <v>43822.730219907404</v>
      </c>
      <c r="T481" s="1">
        <v>43820.727164351854</v>
      </c>
      <c r="U481" s="1">
        <v>43820.727164351854</v>
      </c>
      <c r="W481" s="1">
        <v>43822.732233796298</v>
      </c>
      <c r="X481" t="s">
        <v>2493</v>
      </c>
      <c r="AA481" t="s">
        <v>3552</v>
      </c>
      <c r="AB481" t="s">
        <v>3553</v>
      </c>
      <c r="AC481" t="s">
        <v>3554</v>
      </c>
      <c r="AD481" t="s">
        <v>3555</v>
      </c>
      <c r="AE481" t="s">
        <v>3556</v>
      </c>
      <c r="AF481" t="s">
        <v>3557</v>
      </c>
      <c r="AG481" t="s">
        <v>3508</v>
      </c>
      <c r="AH481" t="s">
        <v>3509</v>
      </c>
      <c r="AI481" t="s">
        <v>3510</v>
      </c>
      <c r="AJ481" t="s">
        <v>3511</v>
      </c>
      <c r="BF481" t="str">
        <f>HYPERLINK("https://d33htgqikc2pj4.cloudfront.net/96e31a6b-39ee-4079-be67-55f1be912a61.jpeg", "Андрей Денисов: Ссылка на изображение")</f>
        <v>Андрей Денисов: Ссылка на изображение</v>
      </c>
      <c r="BG481" t="str">
        <f>HYPERLINK("https://d33htgqikc2pj4.cloudfront.net/5c0e84ed-a440-4efa-96fc-3f84433effa7.jpeg", "Андрей Денисов: Ссылка на изображение")</f>
        <v>Андрей Денисов: Ссылка на изображение</v>
      </c>
      <c r="BH481" t="s">
        <v>3558</v>
      </c>
    </row>
    <row r="482" spans="1:68" ht="15" customHeight="1" x14ac:dyDescent="0.35">
      <c r="A482">
        <v>734</v>
      </c>
      <c r="B482" t="s">
        <v>3559</v>
      </c>
      <c r="C482">
        <v>2</v>
      </c>
      <c r="D482" t="str">
        <f>VLOOKUP(source[[#This Row],[Приоритет]],тПриоритеты[],2,0)</f>
        <v>Значительное</v>
      </c>
      <c r="E4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2" t="s">
        <v>2273</v>
      </c>
      <c r="G482" t="s">
        <v>157</v>
      </c>
      <c r="H482" t="str">
        <f>VLOOKUP(source[[#This Row],[Отвественный]],тОтветственные[],2,0)</f>
        <v>Отв13</v>
      </c>
      <c r="I482" s="2">
        <v>43798</v>
      </c>
      <c r="J482" s="2">
        <v>43798</v>
      </c>
      <c r="K482" t="s">
        <v>3560</v>
      </c>
      <c r="L482">
        <v>24.64</v>
      </c>
      <c r="M482">
        <v>45.36</v>
      </c>
      <c r="N482" t="s">
        <v>213</v>
      </c>
      <c r="Q482" t="s">
        <v>106</v>
      </c>
      <c r="R482" t="str">
        <f>HYPERLINK("https://d28ji4sm1vmprj.cloudfront.net/1bb81171b11c46980bc3b0efa75292d7/5fbd7d62aedd542fd25c4d86ce5e2416.jpeg", "Ссылка на план")</f>
        <v>Ссылка на план</v>
      </c>
      <c r="S482" s="1">
        <v>43798.499710648146</v>
      </c>
      <c r="T482" s="1">
        <v>43776.666597222225</v>
      </c>
      <c r="U482" s="1">
        <v>43776.666597222225</v>
      </c>
      <c r="W482" s="1">
        <v>43798.500393518516</v>
      </c>
      <c r="X482" t="s">
        <v>1204</v>
      </c>
      <c r="AA482" t="s">
        <v>3542</v>
      </c>
      <c r="AB482" t="s">
        <v>3543</v>
      </c>
      <c r="AC482" t="s">
        <v>3544</v>
      </c>
      <c r="AD482" t="s">
        <v>3545</v>
      </c>
      <c r="AE482" t="s">
        <v>3546</v>
      </c>
      <c r="AF482" t="s">
        <v>3547</v>
      </c>
      <c r="BF482" t="s">
        <v>3561</v>
      </c>
      <c r="BG482" t="s">
        <v>3549</v>
      </c>
      <c r="BH482" t="str">
        <f>HYPERLINK("https://d33htgqikc2pj4.cloudfront.net/133f089a-f01c-4187-a43c-ab7ec17065c3.jpeg", "Андрей Денисов: Ссылка на изображение")</f>
        <v>Андрей Денисов: Ссылка на изображение</v>
      </c>
      <c r="BI482" t="str">
        <f>HYPERLINK("https://d33htgqikc2pj4.cloudfront.net/ce41d47f-456a-4f40-91b7-f01470910b4e.jpeg", "Андрей Денисов: Ссылка на изображение")</f>
        <v>Андрей Денисов: Ссылка на изображение</v>
      </c>
    </row>
    <row r="483" spans="1:68" ht="15" customHeight="1" x14ac:dyDescent="0.35">
      <c r="A483">
        <v>578</v>
      </c>
      <c r="B483" t="s">
        <v>3562</v>
      </c>
      <c r="C483">
        <v>2</v>
      </c>
      <c r="D483" t="str">
        <f>VLOOKUP(source[[#This Row],[Приоритет]],тПриоритеты[],2,0)</f>
        <v>Значительное</v>
      </c>
      <c r="E4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3" t="s">
        <v>2273</v>
      </c>
      <c r="G483" t="s">
        <v>157</v>
      </c>
      <c r="H483" t="str">
        <f>VLOOKUP(source[[#This Row],[Отвественный]],тОтветственные[],2,0)</f>
        <v>Отв13</v>
      </c>
      <c r="I483" s="2">
        <v>43745</v>
      </c>
      <c r="J483" s="2">
        <v>43745</v>
      </c>
      <c r="K483" t="s">
        <v>375</v>
      </c>
      <c r="L483">
        <v>0</v>
      </c>
      <c r="M483">
        <v>0</v>
      </c>
      <c r="N483" t="s">
        <v>159</v>
      </c>
      <c r="Q483" t="s">
        <v>106</v>
      </c>
      <c r="R483" t="str">
        <f>HYPERLINK("https://d28ji4sm1vmprj.cloudfront.net/3e7bd1b1c8123e07928556a95537ec96/b6f4ea1a4c385def2ded1a2b1779c1a4.jpeg", "Ссылка на план")</f>
        <v>Ссылка на план</v>
      </c>
      <c r="S483" s="1">
        <v>43745.768553240741</v>
      </c>
      <c r="T483" s="1">
        <v>43745.768564814818</v>
      </c>
      <c r="U483" s="1">
        <v>43745.768564814818</v>
      </c>
      <c r="W483" s="1">
        <v>43745.780150462961</v>
      </c>
      <c r="X483" t="s">
        <v>2764</v>
      </c>
      <c r="AA483" t="s">
        <v>3563</v>
      </c>
      <c r="AB483" t="s">
        <v>3564</v>
      </c>
      <c r="AC483" t="s">
        <v>3565</v>
      </c>
      <c r="AD483" t="s">
        <v>3566</v>
      </c>
      <c r="AE483" t="s">
        <v>3567</v>
      </c>
      <c r="AF483" t="s">
        <v>3568</v>
      </c>
      <c r="AG483" t="s">
        <v>3569</v>
      </c>
      <c r="BF483" t="s">
        <v>167</v>
      </c>
      <c r="BG483" t="s">
        <v>1197</v>
      </c>
      <c r="BH483" t="s">
        <v>2313</v>
      </c>
      <c r="BI483" t="s">
        <v>3570</v>
      </c>
      <c r="BJ483" t="s">
        <v>3571</v>
      </c>
      <c r="BK483" t="str">
        <f>HYPERLINK("https://d33htgqikc2pj4.cloudfront.net/7a5a8350-f87f-4ada-891f-16f81b3d54e9.jpeg", "Андрей Денисов: Ссылка на изображение")</f>
        <v>Андрей Денисов: Ссылка на изображение</v>
      </c>
      <c r="BL483" t="str">
        <f>HYPERLINK("https://d33htgqikc2pj4.cloudfront.net/5e05f602-c729-4b71-944d-e328e5050844.jpeg", "Андрей Денисов: Ссылка на изображение")</f>
        <v>Андрей Денисов: Ссылка на изображение</v>
      </c>
      <c r="BM483" t="str">
        <f>HYPERLINK("https://d33htgqikc2pj4.cloudfront.net/21174673-c2ff-4b2c-8465-389617215165.jpeg", "Андрей Денисов: Ссылка на изображение")</f>
        <v>Андрей Денисов: Ссылка на изображение</v>
      </c>
      <c r="BN483" t="str">
        <f>HYPERLINK("https://d33htgqikc2pj4.cloudfront.net/2828a3db-68be-4d7d-9c4d-f81219afc39b.jpeg", "Андрей Денисов: Ссылка на изображение")</f>
        <v>Андрей Денисов: Ссылка на изображение</v>
      </c>
      <c r="BO483" t="str">
        <f>HYPERLINK("https://d33htgqikc2pj4.cloudfront.net/32aef4c4-b416-4a56-ae3e-c193ddb485bf.jpeg", "Андрей Денисов: Ссылка на изображение")</f>
        <v>Андрей Денисов: Ссылка на изображение</v>
      </c>
      <c r="BP483" t="str">
        <f>HYPERLINK("https://d33htgqikc2pj4.cloudfront.net/4cb0f75f-6a68-4ceb-a4a6-a4a31966b457.jpeg", "Андрей Денисов: Ссылка на изображение")</f>
        <v>Андрей Денисов: Ссылка на изображение</v>
      </c>
    </row>
    <row r="484" spans="1:68" ht="15" customHeight="1" x14ac:dyDescent="0.35">
      <c r="A484">
        <v>654</v>
      </c>
      <c r="B484" t="s">
        <v>3572</v>
      </c>
      <c r="C484">
        <v>2</v>
      </c>
      <c r="D484" t="str">
        <f>VLOOKUP(source[[#This Row],[Приоритет]],тПриоритеты[],2,0)</f>
        <v>Значительное</v>
      </c>
      <c r="E4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4" t="s">
        <v>2273</v>
      </c>
      <c r="G484" t="s">
        <v>157</v>
      </c>
      <c r="H484" t="str">
        <f>VLOOKUP(source[[#This Row],[Отвественный]],тОтветственные[],2,0)</f>
        <v>Отв13</v>
      </c>
      <c r="I484" s="2">
        <v>43765</v>
      </c>
      <c r="J484" s="2">
        <v>43765</v>
      </c>
      <c r="K484" t="s">
        <v>104</v>
      </c>
      <c r="L484">
        <v>0</v>
      </c>
      <c r="M484">
        <v>0</v>
      </c>
      <c r="N484" t="s">
        <v>105</v>
      </c>
      <c r="Q484" t="s">
        <v>106</v>
      </c>
      <c r="R484" t="str">
        <f>HYPERLINK("https://d28ji4sm1vmprj.cloudfront.net/e7a526a7220c3bc5cfeeb407c455c0b3/580ffb055aff8ee0c88c6e676cfba776.jpeg", "Ссылка на план")</f>
        <v>Ссылка на план</v>
      </c>
      <c r="S484" s="1">
        <v>43766.314791666664</v>
      </c>
      <c r="T484" s="1">
        <v>43766.314814814818</v>
      </c>
      <c r="U484" s="1">
        <v>43766.314814814818</v>
      </c>
      <c r="W484" s="1">
        <v>43766.315196759257</v>
      </c>
      <c r="X484" t="s">
        <v>2333</v>
      </c>
      <c r="AA484" t="s">
        <v>3573</v>
      </c>
      <c r="AB484" t="s">
        <v>3574</v>
      </c>
      <c r="AC484" t="s">
        <v>3575</v>
      </c>
      <c r="AD484" t="s">
        <v>3576</v>
      </c>
      <c r="AE484" t="s">
        <v>3577</v>
      </c>
      <c r="AF484" t="s">
        <v>3578</v>
      </c>
      <c r="AG484" t="s">
        <v>3579</v>
      </c>
      <c r="AH484" t="s">
        <v>3580</v>
      </c>
      <c r="AI484" t="s">
        <v>3581</v>
      </c>
      <c r="BF484" t="s">
        <v>167</v>
      </c>
      <c r="BG484" t="s">
        <v>3582</v>
      </c>
      <c r="BH484" t="s">
        <v>2313</v>
      </c>
      <c r="BI484" t="s">
        <v>3583</v>
      </c>
      <c r="BJ484" t="str">
        <f>HYPERLINK("https://d33htgqikc2pj4.cloudfront.net/c778a008-91ce-4499-8ac0-bcaf01a27fb9.jpeg", "Андрей Денисов: Ссылка на изображение")</f>
        <v>Андрей Денисов: Ссылка на изображение</v>
      </c>
      <c r="BK484" t="str">
        <f>HYPERLINK("https://d33htgqikc2pj4.cloudfront.net/0321fff3-6dcb-4ef8-8b7c-aba9f6eaa146.jpeg", "Андрей Денисов: Ссылка на изображение")</f>
        <v>Андрей Денисов: Ссылка на изображение</v>
      </c>
    </row>
    <row r="485" spans="1:68" ht="15" customHeight="1" x14ac:dyDescent="0.35">
      <c r="A485">
        <v>836</v>
      </c>
      <c r="B485" t="s">
        <v>3501</v>
      </c>
      <c r="C485">
        <v>2</v>
      </c>
      <c r="D485" t="str">
        <f>VLOOKUP(source[[#This Row],[Приоритет]],тПриоритеты[],2,0)</f>
        <v>Значительное</v>
      </c>
      <c r="E4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5" t="s">
        <v>2273</v>
      </c>
      <c r="G485" t="s">
        <v>157</v>
      </c>
      <c r="H485" t="str">
        <f>VLOOKUP(source[[#This Row],[Отвественный]],тОтветственные[],2,0)</f>
        <v>Отв13</v>
      </c>
      <c r="I485" s="2">
        <v>43820</v>
      </c>
      <c r="J485" s="2">
        <v>43820</v>
      </c>
      <c r="K485" t="s">
        <v>337</v>
      </c>
      <c r="L485">
        <v>47.65</v>
      </c>
      <c r="M485">
        <v>43.96</v>
      </c>
      <c r="N485" t="s">
        <v>338</v>
      </c>
      <c r="Q485" t="s">
        <v>339</v>
      </c>
      <c r="R485" t="str">
        <f>HYPERLINK("https://d28ji4sm1vmprj.cloudfront.net/19dc4a1afc4fcc7f30fd79820762e797/bb9fe60bbdb1c123800b0cd50ec150cc.jpeg", "Ссылка на план")</f>
        <v>Ссылка на план</v>
      </c>
      <c r="S485" s="1">
        <v>43823.735833333332</v>
      </c>
      <c r="T485" s="1">
        <v>43820.789363425924</v>
      </c>
      <c r="U485" s="1">
        <v>43820.789363425924</v>
      </c>
      <c r="W485" s="1">
        <v>43823.735833333332</v>
      </c>
      <c r="X485" t="s">
        <v>2534</v>
      </c>
      <c r="AA485" t="s">
        <v>3584</v>
      </c>
      <c r="AB485" t="s">
        <v>3585</v>
      </c>
      <c r="AC485" t="s">
        <v>3586</v>
      </c>
      <c r="AD485" t="s">
        <v>3587</v>
      </c>
      <c r="AE485" t="s">
        <v>3588</v>
      </c>
      <c r="AF485" t="s">
        <v>3589</v>
      </c>
      <c r="AG485" t="s">
        <v>3590</v>
      </c>
      <c r="AH485" t="s">
        <v>3591</v>
      </c>
      <c r="AI485" t="s">
        <v>3592</v>
      </c>
      <c r="AJ485" t="s">
        <v>3593</v>
      </c>
    </row>
    <row r="486" spans="1:68" ht="15" customHeight="1" x14ac:dyDescent="0.35">
      <c r="A486">
        <v>834</v>
      </c>
      <c r="B486" t="s">
        <v>3594</v>
      </c>
      <c r="C486">
        <v>2</v>
      </c>
      <c r="D486" t="str">
        <f>VLOOKUP(source[[#This Row],[Приоритет]],тПриоритеты[],2,0)</f>
        <v>Значительное</v>
      </c>
      <c r="E4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6" t="s">
        <v>2273</v>
      </c>
      <c r="G486" t="s">
        <v>157</v>
      </c>
      <c r="H486" t="str">
        <f>VLOOKUP(source[[#This Row],[Отвественный]],тОтветственные[],2,0)</f>
        <v>Отв13</v>
      </c>
      <c r="I486" s="2">
        <v>43823</v>
      </c>
      <c r="J486" s="2">
        <v>43823</v>
      </c>
      <c r="K486" t="s">
        <v>337</v>
      </c>
      <c r="L486">
        <v>46.46</v>
      </c>
      <c r="M486">
        <v>43.84</v>
      </c>
      <c r="N486" t="s">
        <v>338</v>
      </c>
      <c r="Q486" t="s">
        <v>339</v>
      </c>
      <c r="R486" t="str">
        <f>HYPERLINK("https://d28ji4sm1vmprj.cloudfront.net/19dc4a1afc4fcc7f30fd79820762e797/bb9fe60bbdb1c123800b0cd50ec150cc.jpeg", "Ссылка на план")</f>
        <v>Ссылка на план</v>
      </c>
      <c r="S486" s="1">
        <v>43823.733854166669</v>
      </c>
      <c r="T486" s="1">
        <v>43820.727164351854</v>
      </c>
      <c r="U486" s="1">
        <v>43820.727164351854</v>
      </c>
      <c r="W486" s="1">
        <v>43823.734120370369</v>
      </c>
      <c r="X486" t="s">
        <v>2493</v>
      </c>
      <c r="AA486" t="s">
        <v>3595</v>
      </c>
      <c r="AB486" t="s">
        <v>3596</v>
      </c>
      <c r="AC486" t="s">
        <v>3597</v>
      </c>
      <c r="AD486" t="s">
        <v>3598</v>
      </c>
      <c r="AE486" t="s">
        <v>3599</v>
      </c>
      <c r="AF486" t="s">
        <v>3600</v>
      </c>
      <c r="AG486" t="s">
        <v>3590</v>
      </c>
      <c r="AH486" t="s">
        <v>3591</v>
      </c>
      <c r="AI486" t="s">
        <v>3592</v>
      </c>
      <c r="AJ486" t="s">
        <v>3593</v>
      </c>
      <c r="BF486" t="s">
        <v>3601</v>
      </c>
      <c r="BG486" t="s">
        <v>3602</v>
      </c>
      <c r="BH486" t="str">
        <f>HYPERLINK("https://d33htgqikc2pj4.cloudfront.net/e864dc45-1cf3-4e4f-8d73-4217e3cc815f.jpeg", "Андрей Денисов: Ссылка на изображение")</f>
        <v>Андрей Денисов: Ссылка на изображение</v>
      </c>
      <c r="BI486" t="str">
        <f>HYPERLINK("https://d33htgqikc2pj4.cloudfront.net/e803be29-218f-47a5-a4ef-1c4c84569edf.jpeg", "Андрей Денисов: Ссылка на изображение")</f>
        <v>Андрей Денисов: Ссылка на изображение</v>
      </c>
      <c r="BJ486" t="str">
        <f>HYPERLINK("https://d33htgqikc2pj4.cloudfront.net/e155fd29-c7ce-46ea-a5e0-2f418069eae4.jpeg", "Андрей Денисов: Ссылка на изображение")</f>
        <v>Андрей Денисов: Ссылка на изображение</v>
      </c>
      <c r="BK486" t="str">
        <f>HYPERLINK("https://d33htgqikc2pj4.cloudfront.net/56e0d02a-1a48-4fa2-b0b1-e9170765b3c0.jpeg", "Андрей Денисов: Ссылка на изображение")</f>
        <v>Андрей Денисов: Ссылка на изображение</v>
      </c>
      <c r="BL486" t="str">
        <f>HYPERLINK("https://d33htgqikc2pj4.cloudfront.net/6fcb4b9c-8673-40cf-a64a-351a2eac495d.jpeg", "Андрей Денисов: Ссылка на изображение")</f>
        <v>Андрей Денисов: Ссылка на изображение</v>
      </c>
    </row>
    <row r="487" spans="1:68" ht="15" customHeight="1" x14ac:dyDescent="0.35">
      <c r="A487">
        <v>835</v>
      </c>
      <c r="B487" t="s">
        <v>3603</v>
      </c>
      <c r="C487">
        <v>2</v>
      </c>
      <c r="D487" t="str">
        <f>VLOOKUP(source[[#This Row],[Приоритет]],тПриоритеты[],2,0)</f>
        <v>Значительное</v>
      </c>
      <c r="E4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7" t="s">
        <v>2273</v>
      </c>
      <c r="G487" t="s">
        <v>157</v>
      </c>
      <c r="H487" t="str">
        <f>VLOOKUP(source[[#This Row],[Отвественный]],тОтветственные[],2,0)</f>
        <v>Отв13</v>
      </c>
      <c r="I487" s="2">
        <v>43823</v>
      </c>
      <c r="J487" s="2">
        <v>43823</v>
      </c>
      <c r="K487" t="s">
        <v>337</v>
      </c>
      <c r="L487">
        <v>47.23</v>
      </c>
      <c r="M487">
        <v>43.92</v>
      </c>
      <c r="N487" t="s">
        <v>338</v>
      </c>
      <c r="Q487" t="s">
        <v>339</v>
      </c>
      <c r="R487" t="str">
        <f>HYPERLINK("https://d28ji4sm1vmprj.cloudfront.net/19dc4a1afc4fcc7f30fd79820762e797/bb9fe60bbdb1c123800b0cd50ec150cc.jpeg", "Ссылка на план")</f>
        <v>Ссылка на план</v>
      </c>
      <c r="S487" s="1">
        <v>43823.734976851854</v>
      </c>
      <c r="T487" s="1">
        <v>43820.719583333332</v>
      </c>
      <c r="U487" s="1">
        <v>43820.719583333332</v>
      </c>
      <c r="W487" s="1">
        <v>43823.735636574071</v>
      </c>
      <c r="X487" t="s">
        <v>2471</v>
      </c>
      <c r="Y487" t="s">
        <v>3380</v>
      </c>
      <c r="AA487" t="s">
        <v>3604</v>
      </c>
      <c r="AB487" t="s">
        <v>3605</v>
      </c>
      <c r="AC487" t="s">
        <v>3606</v>
      </c>
      <c r="AD487" t="s">
        <v>3607</v>
      </c>
      <c r="AE487" t="s">
        <v>3608</v>
      </c>
      <c r="AF487" t="s">
        <v>3609</v>
      </c>
      <c r="AG487" t="s">
        <v>3610</v>
      </c>
      <c r="AH487" t="s">
        <v>3611</v>
      </c>
      <c r="AI487" t="s">
        <v>3612</v>
      </c>
      <c r="AJ487" t="s">
        <v>3590</v>
      </c>
      <c r="AK487" t="s">
        <v>3591</v>
      </c>
      <c r="AL487" t="s">
        <v>3613</v>
      </c>
      <c r="AM487" t="s">
        <v>3592</v>
      </c>
      <c r="AN487" t="s">
        <v>3614</v>
      </c>
      <c r="BF487" t="str">
        <f>HYPERLINK("https://d33htgqikc2pj4.cloudfront.net/861279a5-1b65-43f2-8004-6f3c541f3ddc.jpeg", "Андрей Денисов: Ссылка на изображение")</f>
        <v>Андрей Денисов: Ссылка на изображение</v>
      </c>
      <c r="BG487" t="s">
        <v>3615</v>
      </c>
      <c r="BH487" t="s">
        <v>3602</v>
      </c>
    </row>
    <row r="488" spans="1:68" ht="15" customHeight="1" x14ac:dyDescent="0.35">
      <c r="A488">
        <v>738</v>
      </c>
      <c r="B488" t="s">
        <v>3616</v>
      </c>
      <c r="C488">
        <v>2</v>
      </c>
      <c r="D488" t="str">
        <f>VLOOKUP(source[[#This Row],[Приоритет]],тПриоритеты[],2,0)</f>
        <v>Значительное</v>
      </c>
      <c r="E4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8" t="s">
        <v>2273</v>
      </c>
      <c r="G488" t="s">
        <v>157</v>
      </c>
      <c r="H488" t="str">
        <f>VLOOKUP(source[[#This Row],[Отвественный]],тОтветственные[],2,0)</f>
        <v>Отв13</v>
      </c>
      <c r="I488" s="2">
        <v>43790</v>
      </c>
      <c r="J488" s="2">
        <v>43790</v>
      </c>
      <c r="K488" t="s">
        <v>323</v>
      </c>
      <c r="L488">
        <v>49.14</v>
      </c>
      <c r="M488">
        <v>51.58</v>
      </c>
      <c r="N488" t="s">
        <v>324</v>
      </c>
      <c r="Q488" t="s">
        <v>106</v>
      </c>
      <c r="R488" t="str">
        <f>HYPERLINK("https://d28ji4sm1vmprj.cloudfront.net/b9f0a3730bff318b29d61a045df19870/45ac0b590edfdc108d4a2e6d8918b5e0.jpeg", "Ссылка на план")</f>
        <v>Ссылка на план</v>
      </c>
      <c r="S488" s="1">
        <v>43800.946712962963</v>
      </c>
      <c r="T488" s="1">
        <v>43790.623472222222</v>
      </c>
      <c r="U488" s="1">
        <v>43790.623472222222</v>
      </c>
      <c r="W488" s="1">
        <v>43801.852696759262</v>
      </c>
      <c r="X488" t="s">
        <v>2510</v>
      </c>
      <c r="AA488" t="s">
        <v>3617</v>
      </c>
      <c r="AB488" t="s">
        <v>3618</v>
      </c>
      <c r="AC488" t="s">
        <v>3619</v>
      </c>
      <c r="AD488" t="s">
        <v>3620</v>
      </c>
      <c r="AE488" t="s">
        <v>3621</v>
      </c>
      <c r="AF488" t="s">
        <v>3622</v>
      </c>
      <c r="AG488" t="s">
        <v>3623</v>
      </c>
      <c r="AH488" t="s">
        <v>3624</v>
      </c>
      <c r="AI488" t="s">
        <v>3625</v>
      </c>
      <c r="BF488" t="s">
        <v>3626</v>
      </c>
      <c r="BG488" t="str">
        <f>HYPERLINK("https://d33htgqikc2pj4.cloudfront.net/e38da2e8-6c74-457b-b283-9a877de10f0b.jpeg", "Андрей Денисов: Ссылка на изображение")</f>
        <v>Андрей Денисов: Ссылка на изображение</v>
      </c>
    </row>
    <row r="489" spans="1:68" ht="15" customHeight="1" x14ac:dyDescent="0.35">
      <c r="A489">
        <v>595</v>
      </c>
      <c r="B489" t="s">
        <v>3627</v>
      </c>
      <c r="C489">
        <v>2</v>
      </c>
      <c r="D489" t="str">
        <f>VLOOKUP(source[[#This Row],[Приоритет]],тПриоритеты[],2,0)</f>
        <v>Значительное</v>
      </c>
      <c r="E4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89" t="s">
        <v>2273</v>
      </c>
      <c r="G489" t="s">
        <v>157</v>
      </c>
      <c r="H489" t="str">
        <f>VLOOKUP(source[[#This Row],[Отвественный]],тОтветственные[],2,0)</f>
        <v>Отв13</v>
      </c>
      <c r="I489" s="2">
        <v>43748</v>
      </c>
      <c r="J489" s="2">
        <v>43748</v>
      </c>
      <c r="K489" t="s">
        <v>104</v>
      </c>
      <c r="L489">
        <v>0</v>
      </c>
      <c r="M489">
        <v>0</v>
      </c>
      <c r="N489" t="s">
        <v>105</v>
      </c>
      <c r="Q489" t="s">
        <v>106</v>
      </c>
      <c r="R489" t="str">
        <f>HYPERLINK("https://d28ji4sm1vmprj.cloudfront.net/e7a526a7220c3bc5cfeeb407c455c0b3/580ffb055aff8ee0c88c6e676cfba776.jpeg", "Ссылка на план")</f>
        <v>Ссылка на план</v>
      </c>
      <c r="S489" s="1">
        <v>43749.550682870373</v>
      </c>
      <c r="T489" s="1">
        <v>43749.550706018519</v>
      </c>
      <c r="U489" s="1">
        <v>43749.550706018519</v>
      </c>
      <c r="W489" s="1">
        <v>43749.550995370373</v>
      </c>
      <c r="X489" t="s">
        <v>2333</v>
      </c>
      <c r="AA489" t="s">
        <v>3460</v>
      </c>
      <c r="AB489" t="s">
        <v>3461</v>
      </c>
      <c r="AC489" t="s">
        <v>3462</v>
      </c>
      <c r="AD489" t="s">
        <v>3463</v>
      </c>
      <c r="AE489" t="s">
        <v>3464</v>
      </c>
      <c r="AF489" t="s">
        <v>3465</v>
      </c>
      <c r="AG489" t="s">
        <v>3466</v>
      </c>
      <c r="AH489" t="s">
        <v>3628</v>
      </c>
      <c r="AI489" t="s">
        <v>3468</v>
      </c>
      <c r="BF489" t="s">
        <v>167</v>
      </c>
      <c r="BG489" t="s">
        <v>3629</v>
      </c>
      <c r="BH489" t="s">
        <v>2313</v>
      </c>
      <c r="BI489" t="s">
        <v>3630</v>
      </c>
      <c r="BJ489" t="str">
        <f>HYPERLINK("https://d33htgqikc2pj4.cloudfront.net/f6e954f7-947c-4217-9662-ab4ecb163cb6.jpeg", "Андрей Денисов: Ссылка на изображение")</f>
        <v>Андрей Денисов: Ссылка на изображение</v>
      </c>
      <c r="BK489" t="str">
        <f>HYPERLINK("https://d33htgqikc2pj4.cloudfront.net/5ffbc655-51c3-42d8-8b17-adc704dbf0fe.jpeg", "Андрей Денисов: Ссылка на изображение")</f>
        <v>Андрей Денисов: Ссылка на изображение</v>
      </c>
    </row>
    <row r="490" spans="1:68" ht="15" customHeight="1" x14ac:dyDescent="0.35">
      <c r="A490">
        <v>741</v>
      </c>
      <c r="B490" t="s">
        <v>3631</v>
      </c>
      <c r="C490">
        <v>2</v>
      </c>
      <c r="D490" t="str">
        <f>VLOOKUP(source[[#This Row],[Приоритет]],тПриоритеты[],2,0)</f>
        <v>Значительное</v>
      </c>
      <c r="E4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0" t="s">
        <v>2273</v>
      </c>
      <c r="G490" t="s">
        <v>157</v>
      </c>
      <c r="H490" t="str">
        <f>VLOOKUP(source[[#This Row],[Отвественный]],тОтветственные[],2,0)</f>
        <v>Отв13</v>
      </c>
      <c r="I490" s="2">
        <v>43792</v>
      </c>
      <c r="J490" s="2">
        <v>43792</v>
      </c>
      <c r="K490" t="s">
        <v>2349</v>
      </c>
      <c r="L490">
        <v>68.150000000000006</v>
      </c>
      <c r="M490">
        <v>51.98</v>
      </c>
      <c r="N490" t="s">
        <v>213</v>
      </c>
      <c r="Q490" t="s">
        <v>106</v>
      </c>
      <c r="R490" t="str">
        <f>HYPERLINK("https://d28ji4sm1vmprj.cloudfront.net/6b0dc9e799f98d5c9a0a0ab863394e9c/e9ac1857a23bf9d0a66df9e04e6ec937.jpeg", "Ссылка на план")</f>
        <v>Ссылка на план</v>
      </c>
      <c r="S490" s="1">
        <v>43801.851585648146</v>
      </c>
      <c r="T490" s="1">
        <v>43793.544953703706</v>
      </c>
      <c r="U490" s="1">
        <v>43793.544953703706</v>
      </c>
      <c r="W490" s="1">
        <v>43801.85193287037</v>
      </c>
      <c r="X490" t="s">
        <v>1204</v>
      </c>
      <c r="AA490" t="s">
        <v>3632</v>
      </c>
      <c r="AB490" t="s">
        <v>3633</v>
      </c>
      <c r="AC490" t="s">
        <v>3634</v>
      </c>
      <c r="AD490" t="s">
        <v>3635</v>
      </c>
      <c r="AE490" t="s">
        <v>3636</v>
      </c>
      <c r="AF490" t="s">
        <v>3637</v>
      </c>
      <c r="BF490" t="s">
        <v>3638</v>
      </c>
      <c r="BG490" t="str">
        <f>HYPERLINK("https://d33htgqikc2pj4.cloudfront.net/7d45c441-f261-46b0-ab7f-37035ea1ef8d.jpeg", "Андрей Денисов: Ссылка на изображение")</f>
        <v>Андрей Денисов: Ссылка на изображение</v>
      </c>
    </row>
    <row r="491" spans="1:68" ht="15" customHeight="1" x14ac:dyDescent="0.35">
      <c r="A491">
        <v>742</v>
      </c>
      <c r="B491" t="s">
        <v>3639</v>
      </c>
      <c r="C491">
        <v>2</v>
      </c>
      <c r="D491" t="str">
        <f>VLOOKUP(source[[#This Row],[Приоритет]],тПриоритеты[],2,0)</f>
        <v>Значительное</v>
      </c>
      <c r="E4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1" t="s">
        <v>2273</v>
      </c>
      <c r="G491" t="s">
        <v>157</v>
      </c>
      <c r="H491" t="str">
        <f>VLOOKUP(source[[#This Row],[Отвественный]],тОтветственные[],2,0)</f>
        <v>Отв13</v>
      </c>
      <c r="I491" s="2">
        <v>43790</v>
      </c>
      <c r="J491" s="2">
        <v>43790</v>
      </c>
      <c r="K491" t="s">
        <v>323</v>
      </c>
      <c r="L491">
        <v>34.32</v>
      </c>
      <c r="M491">
        <v>40.39</v>
      </c>
      <c r="N491" t="s">
        <v>324</v>
      </c>
      <c r="Q491" t="s">
        <v>106</v>
      </c>
      <c r="R491" t="str">
        <f>HYPERLINK("https://d28ji4sm1vmprj.cloudfront.net/b9f0a3730bff318b29d61a045df19870/45ac0b590edfdc108d4a2e6d8918b5e0.jpeg", "Ссылка на план")</f>
        <v>Ссылка на план</v>
      </c>
      <c r="S491" s="1">
        <v>43801.853506944448</v>
      </c>
      <c r="T491" s="1">
        <v>43790.623472222222</v>
      </c>
      <c r="U491" s="1">
        <v>43790.623472222222</v>
      </c>
      <c r="W491" s="1">
        <v>43801.85392361111</v>
      </c>
      <c r="X491" t="s">
        <v>2510</v>
      </c>
      <c r="AA491" t="s">
        <v>3640</v>
      </c>
      <c r="AB491" t="s">
        <v>3641</v>
      </c>
      <c r="AC491" t="s">
        <v>3642</v>
      </c>
      <c r="AD491" t="s">
        <v>3643</v>
      </c>
      <c r="AE491" t="s">
        <v>3644</v>
      </c>
      <c r="AF491" t="s">
        <v>3645</v>
      </c>
      <c r="AG491" t="s">
        <v>3646</v>
      </c>
      <c r="AH491" t="s">
        <v>3647</v>
      </c>
      <c r="AI491" t="s">
        <v>3648</v>
      </c>
      <c r="BF491" t="s">
        <v>3649</v>
      </c>
      <c r="BG491" t="str">
        <f>HYPERLINK("https://d33htgqikc2pj4.cloudfront.net/7db1fb72-03d1-4ff4-9794-4333605546a5.jpeg", "Андрей Денисов: Ссылка на изображение")</f>
        <v>Андрей Денисов: Ссылка на изображение</v>
      </c>
      <c r="BH491" t="str">
        <f>HYPERLINK("https://d33htgqikc2pj4.cloudfront.net/41640952-02e2-4f50-8179-18f71b6b5ef7.jpeg", "Андрей Денисов: Ссылка на изображение")</f>
        <v>Андрей Денисов: Ссылка на изображение</v>
      </c>
    </row>
    <row r="492" spans="1:68" ht="15" customHeight="1" x14ac:dyDescent="0.35">
      <c r="A492">
        <v>740</v>
      </c>
      <c r="B492" t="s">
        <v>3650</v>
      </c>
      <c r="C492">
        <v>2</v>
      </c>
      <c r="D492" t="str">
        <f>VLOOKUP(source[[#This Row],[Приоритет]],тПриоритеты[],2,0)</f>
        <v>Значительное</v>
      </c>
      <c r="E4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2" t="s">
        <v>2273</v>
      </c>
      <c r="G492" t="s">
        <v>157</v>
      </c>
      <c r="H492" t="str">
        <f>VLOOKUP(source[[#This Row],[Отвественный]],тОтветственные[],2,0)</f>
        <v>Отв13</v>
      </c>
      <c r="I492" s="2">
        <v>43798</v>
      </c>
      <c r="J492" s="2">
        <v>43798</v>
      </c>
      <c r="K492" t="s">
        <v>3560</v>
      </c>
      <c r="L492">
        <v>36</v>
      </c>
      <c r="M492">
        <v>52.08</v>
      </c>
      <c r="N492" t="s">
        <v>213</v>
      </c>
      <c r="Q492" t="s">
        <v>106</v>
      </c>
      <c r="R492" t="str">
        <f>HYPERLINK("https://d28ji4sm1vmprj.cloudfront.net/1bb81171b11c46980bc3b0efa75292d7/5fbd7d62aedd542fd25c4d86ce5e2416.jpeg", "Ссылка на план")</f>
        <v>Ссылка на план</v>
      </c>
      <c r="S492" s="1">
        <v>43801.850231481483</v>
      </c>
      <c r="T492" s="1">
        <v>43776.666597222225</v>
      </c>
      <c r="U492" s="1">
        <v>43776.666597222225</v>
      </c>
      <c r="W492" s="1">
        <v>43801.850682870368</v>
      </c>
      <c r="X492" t="s">
        <v>1204</v>
      </c>
      <c r="AA492" t="s">
        <v>3632</v>
      </c>
      <c r="AB492" t="s">
        <v>3633</v>
      </c>
      <c r="AC492" t="s">
        <v>3634</v>
      </c>
      <c r="AD492" t="s">
        <v>3635</v>
      </c>
      <c r="AE492" t="s">
        <v>3636</v>
      </c>
      <c r="AF492" t="s">
        <v>3637</v>
      </c>
      <c r="BF492" t="s">
        <v>3651</v>
      </c>
      <c r="BG492" t="str">
        <f>HYPERLINK("https://d33htgqikc2pj4.cloudfront.net/9eee44b4-a125-4782-89c4-3a43ded2d44e.jpeg", "Андрей Денисов: Ссылка на изображение")</f>
        <v>Андрей Денисов: Ссылка на изображение</v>
      </c>
    </row>
    <row r="493" spans="1:68" ht="15" customHeight="1" x14ac:dyDescent="0.35">
      <c r="A493">
        <v>750</v>
      </c>
      <c r="B493" t="s">
        <v>3652</v>
      </c>
      <c r="C493">
        <v>2</v>
      </c>
      <c r="D493" t="str">
        <f>VLOOKUP(source[[#This Row],[Приоритет]],тПриоритеты[],2,0)</f>
        <v>Значительное</v>
      </c>
      <c r="E4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3" t="s">
        <v>2273</v>
      </c>
      <c r="G493" t="s">
        <v>157</v>
      </c>
      <c r="H493" t="str">
        <f>VLOOKUP(source[[#This Row],[Отвественный]],тОтветственные[],2,0)</f>
        <v>Отв13</v>
      </c>
      <c r="I493" s="2">
        <v>43803</v>
      </c>
      <c r="J493" s="2">
        <v>43803</v>
      </c>
      <c r="K493" t="s">
        <v>323</v>
      </c>
      <c r="L493">
        <v>19.989999999999998</v>
      </c>
      <c r="M493">
        <v>45.06</v>
      </c>
      <c r="N493" t="s">
        <v>324</v>
      </c>
      <c r="Q493" t="s">
        <v>106</v>
      </c>
      <c r="R493" t="str">
        <f>HYPERLINK("https://d28ji4sm1vmprj.cloudfront.net/b9f0a3730bff318b29d61a045df19870/45ac0b590edfdc108d4a2e6d8918b5e0.jpeg", "Ссылка на план")</f>
        <v>Ссылка на план</v>
      </c>
      <c r="S493" s="1">
        <v>43803.732615740744</v>
      </c>
      <c r="T493" s="1">
        <v>43790.623472222222</v>
      </c>
      <c r="U493" s="1">
        <v>43790.623472222222</v>
      </c>
      <c r="W493" s="1">
        <v>43803.735254629632</v>
      </c>
      <c r="X493" t="s">
        <v>2510</v>
      </c>
      <c r="AA493" t="s">
        <v>3653</v>
      </c>
      <c r="AB493" t="s">
        <v>3654</v>
      </c>
      <c r="AC493" t="s">
        <v>3655</v>
      </c>
      <c r="AD493" t="s">
        <v>3656</v>
      </c>
      <c r="AE493" t="s">
        <v>3657</v>
      </c>
      <c r="AF493" t="s">
        <v>3658</v>
      </c>
      <c r="AG493" t="s">
        <v>3659</v>
      </c>
      <c r="AH493" t="s">
        <v>3660</v>
      </c>
      <c r="AI493" t="s">
        <v>3661</v>
      </c>
      <c r="BF493" t="s">
        <v>3662</v>
      </c>
      <c r="BG493" t="s">
        <v>3663</v>
      </c>
    </row>
    <row r="494" spans="1:68" ht="15" customHeight="1" x14ac:dyDescent="0.35">
      <c r="A494">
        <v>756</v>
      </c>
      <c r="B494" t="s">
        <v>3664</v>
      </c>
      <c r="C494">
        <v>2</v>
      </c>
      <c r="D494" t="str">
        <f>VLOOKUP(source[[#This Row],[Приоритет]],тПриоритеты[],2,0)</f>
        <v>Значительное</v>
      </c>
      <c r="E49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4" t="s">
        <v>2273</v>
      </c>
      <c r="G494" t="s">
        <v>157</v>
      </c>
      <c r="H494" t="str">
        <f>VLOOKUP(source[[#This Row],[Отвественный]],тОтветственные[],2,0)</f>
        <v>Отв13</v>
      </c>
      <c r="I494" s="2">
        <v>43805</v>
      </c>
      <c r="J494" s="2">
        <v>43805</v>
      </c>
      <c r="K494" t="s">
        <v>2274</v>
      </c>
      <c r="L494">
        <v>24.06</v>
      </c>
      <c r="M494">
        <v>32.119999999999997</v>
      </c>
      <c r="N494" t="s">
        <v>213</v>
      </c>
      <c r="Q494" t="s">
        <v>106</v>
      </c>
      <c r="R494" t="str">
        <f>HYPERLINK("https://d28ji4sm1vmprj.cloudfront.net/12150d1b48de98a530f90a998f465b55/5565710423da65dba9aad474ab74522e.jpeg", "Ссылка на план")</f>
        <v>Ссылка на план</v>
      </c>
      <c r="S494" s="1">
        <v>43805.732083333336</v>
      </c>
      <c r="T494" s="1">
        <v>43798.501157407409</v>
      </c>
      <c r="U494" s="1">
        <v>43798.501157407409</v>
      </c>
      <c r="W494" s="1">
        <v>43805.732511574075</v>
      </c>
      <c r="X494" t="s">
        <v>3541</v>
      </c>
      <c r="AA494" t="s">
        <v>3665</v>
      </c>
      <c r="AB494" t="s">
        <v>3666</v>
      </c>
      <c r="AC494" t="s">
        <v>3667</v>
      </c>
      <c r="AD494" t="s">
        <v>3668</v>
      </c>
      <c r="AE494" t="s">
        <v>3669</v>
      </c>
      <c r="AF494" t="s">
        <v>3670</v>
      </c>
      <c r="BF494" t="s">
        <v>3671</v>
      </c>
      <c r="BG494" t="s">
        <v>382</v>
      </c>
      <c r="BH494" t="str">
        <f>HYPERLINK("https://d33htgqikc2pj4.cloudfront.net/614b1053-c8c4-47c5-82c7-3d30951edf05.jpeg", "Андрей Денисов: Ссылка на изображение")</f>
        <v>Андрей Денисов: Ссылка на изображение</v>
      </c>
      <c r="BI494" t="str">
        <f>HYPERLINK("https://d33htgqikc2pj4.cloudfront.net/7ad1da55-a15b-4a37-a2ad-3d4ac9c6f951.jpeg", "Андрей Денисов: Ссылка на изображение")</f>
        <v>Андрей Денисов: Ссылка на изображение</v>
      </c>
    </row>
    <row r="495" spans="1:68" ht="15" customHeight="1" x14ac:dyDescent="0.35">
      <c r="A495">
        <v>753</v>
      </c>
      <c r="B495" t="s">
        <v>3672</v>
      </c>
      <c r="C495">
        <v>2</v>
      </c>
      <c r="D495" t="str">
        <f>VLOOKUP(source[[#This Row],[Приоритет]],тПриоритеты[],2,0)</f>
        <v>Значительное</v>
      </c>
      <c r="E49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5" t="s">
        <v>2273</v>
      </c>
      <c r="G495" t="s">
        <v>157</v>
      </c>
      <c r="H495" t="str">
        <f>VLOOKUP(source[[#This Row],[Отвественный]],тОтветственные[],2,0)</f>
        <v>Отв13</v>
      </c>
      <c r="I495" s="2">
        <v>43804</v>
      </c>
      <c r="J495" s="2">
        <v>43804</v>
      </c>
      <c r="K495" t="s">
        <v>3560</v>
      </c>
      <c r="L495">
        <v>15.39</v>
      </c>
      <c r="M495">
        <v>53.15</v>
      </c>
      <c r="N495" t="s">
        <v>213</v>
      </c>
      <c r="Q495" t="s">
        <v>106</v>
      </c>
      <c r="R495" t="str">
        <f>HYPERLINK("https://d28ji4sm1vmprj.cloudfront.net/1bb81171b11c46980bc3b0efa75292d7/5fbd7d62aedd542fd25c4d86ce5e2416.jpeg", "Ссылка на план")</f>
        <v>Ссылка на план</v>
      </c>
      <c r="S495" s="1">
        <v>43804.81523148148</v>
      </c>
      <c r="T495" s="1">
        <v>43776.666597222225</v>
      </c>
      <c r="U495" s="1">
        <v>43776.666597222225</v>
      </c>
      <c r="W495" s="1">
        <v>43809.704143518517</v>
      </c>
      <c r="X495" t="s">
        <v>1204</v>
      </c>
      <c r="AA495" t="s">
        <v>3673</v>
      </c>
      <c r="AB495" t="s">
        <v>3674</v>
      </c>
      <c r="AC495" t="s">
        <v>3675</v>
      </c>
      <c r="AD495" t="s">
        <v>3676</v>
      </c>
      <c r="AE495" t="s">
        <v>3677</v>
      </c>
      <c r="AF495" t="s">
        <v>3678</v>
      </c>
      <c r="BF495" t="s">
        <v>3679</v>
      </c>
      <c r="BG495" t="str">
        <f>HYPERLINK("https://d33htgqikc2pj4.cloudfront.net/99b2eff9-6350-44b9-bbb9-a0de845e9600.jpeg", "Андрей Денисов: Ссылка на изображение")</f>
        <v>Андрей Денисов: Ссылка на изображение</v>
      </c>
      <c r="BH495" t="s">
        <v>3680</v>
      </c>
    </row>
    <row r="496" spans="1:68" ht="15" customHeight="1" x14ac:dyDescent="0.35">
      <c r="A496">
        <v>754</v>
      </c>
      <c r="B496" t="s">
        <v>3681</v>
      </c>
      <c r="C496">
        <v>2</v>
      </c>
      <c r="D496" t="str">
        <f>VLOOKUP(source[[#This Row],[Приоритет]],тПриоритеты[],2,0)</f>
        <v>Значительное</v>
      </c>
      <c r="E49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6" t="s">
        <v>2273</v>
      </c>
      <c r="G496" t="s">
        <v>157</v>
      </c>
      <c r="H496" t="str">
        <f>VLOOKUP(source[[#This Row],[Отвественный]],тОтветственные[],2,0)</f>
        <v>Отв13</v>
      </c>
      <c r="I496" s="2">
        <v>43804</v>
      </c>
      <c r="J496" s="2">
        <v>43804</v>
      </c>
      <c r="K496" t="s">
        <v>2349</v>
      </c>
      <c r="L496">
        <v>67.319999999999993</v>
      </c>
      <c r="M496">
        <v>59.71</v>
      </c>
      <c r="N496" t="s">
        <v>213</v>
      </c>
      <c r="Q496" t="s">
        <v>106</v>
      </c>
      <c r="R496" t="str">
        <f>HYPERLINK("https://d28ji4sm1vmprj.cloudfront.net/6b0dc9e799f98d5c9a0a0ab863394e9c/e9ac1857a23bf9d0a66df9e04e6ec937.jpeg", "Ссылка на план")</f>
        <v>Ссылка на план</v>
      </c>
      <c r="S496" s="1">
        <v>43804.816886574074</v>
      </c>
      <c r="T496" s="1">
        <v>43793.544953703706</v>
      </c>
      <c r="U496" s="1">
        <v>43793.544953703706</v>
      </c>
      <c r="W496" s="1">
        <v>43804.83494212963</v>
      </c>
      <c r="X496" t="s">
        <v>1204</v>
      </c>
      <c r="AA496" t="s">
        <v>3673</v>
      </c>
      <c r="AB496" t="s">
        <v>3674</v>
      </c>
      <c r="AC496" t="s">
        <v>3675</v>
      </c>
      <c r="AD496" t="s">
        <v>3676</v>
      </c>
      <c r="AE496" t="s">
        <v>3677</v>
      </c>
      <c r="AF496" t="s">
        <v>3678</v>
      </c>
      <c r="BF496" t="s">
        <v>3682</v>
      </c>
      <c r="BG496" t="s">
        <v>3680</v>
      </c>
      <c r="BH496" t="str">
        <f>HYPERLINK("https://d33htgqikc2pj4.cloudfront.net/9dbd765a-d88b-4c61-b021-f6edb2bc8673.jpeg", "Андрей Денисов: Ссылка на изображение")</f>
        <v>Андрей Денисов: Ссылка на изображение</v>
      </c>
    </row>
    <row r="497" spans="1:70" ht="15" customHeight="1" x14ac:dyDescent="0.35">
      <c r="A497">
        <v>759</v>
      </c>
      <c r="B497" t="s">
        <v>3639</v>
      </c>
      <c r="C497">
        <v>2</v>
      </c>
      <c r="D497" t="str">
        <f>VLOOKUP(source[[#This Row],[Приоритет]],тПриоритеты[],2,0)</f>
        <v>Значительное</v>
      </c>
      <c r="E4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7" t="s">
        <v>2273</v>
      </c>
      <c r="G497" t="s">
        <v>157</v>
      </c>
      <c r="H497" t="str">
        <f>VLOOKUP(source[[#This Row],[Отвественный]],тОтветственные[],2,0)</f>
        <v>Отв13</v>
      </c>
      <c r="I497" s="2">
        <v>43806</v>
      </c>
      <c r="J497" s="2">
        <v>43806</v>
      </c>
      <c r="K497" t="s">
        <v>323</v>
      </c>
      <c r="L497">
        <v>25.28</v>
      </c>
      <c r="M497">
        <v>39.29</v>
      </c>
      <c r="N497" t="s">
        <v>324</v>
      </c>
      <c r="Q497" t="s">
        <v>106</v>
      </c>
      <c r="R497" t="str">
        <f>HYPERLINK("https://d28ji4sm1vmprj.cloudfront.net/b9f0a3730bff318b29d61a045df19870/45ac0b590edfdc108d4a2e6d8918b5e0.jpeg", "Ссылка на план")</f>
        <v>Ссылка на план</v>
      </c>
      <c r="S497" s="1">
        <v>43806.678182870368</v>
      </c>
      <c r="T497" s="1">
        <v>43790.623472222222</v>
      </c>
      <c r="U497" s="1">
        <v>43790.623472222222</v>
      </c>
      <c r="W497" s="1">
        <v>43806.678599537037</v>
      </c>
      <c r="X497" t="s">
        <v>2510</v>
      </c>
      <c r="AA497" t="s">
        <v>3683</v>
      </c>
      <c r="AB497" t="s">
        <v>3684</v>
      </c>
      <c r="AC497" t="s">
        <v>3685</v>
      </c>
      <c r="AD497" t="s">
        <v>3686</v>
      </c>
      <c r="AE497" t="s">
        <v>3687</v>
      </c>
      <c r="AF497" t="s">
        <v>3688</v>
      </c>
      <c r="AG497" t="s">
        <v>3689</v>
      </c>
      <c r="AH497" t="s">
        <v>3690</v>
      </c>
      <c r="AI497" t="s">
        <v>3691</v>
      </c>
      <c r="BF497" t="str">
        <f>HYPERLINK("https://d33htgqikc2pj4.cloudfront.net/770542e6-1ef4-4e35-8503-001ba0190f86.jpeg", "Андрей Денисов: Ссылка на изображение")</f>
        <v>Андрей Денисов: Ссылка на изображение</v>
      </c>
      <c r="BG497" t="str">
        <f>HYPERLINK("https://d33htgqikc2pj4.cloudfront.net/9eb94264-d11a-41c2-9c40-430abec4ad1b.jpeg", "Андрей Денисов: Ссылка на изображение")</f>
        <v>Андрей Денисов: Ссылка на изображение</v>
      </c>
      <c r="BH497" t="str">
        <f>HYPERLINK("https://d33htgqikc2pj4.cloudfront.net/2e2976ef-ae29-48b8-bfd2-a2a0b0f6f70a.jpeg", "Андрей Денисов: Ссылка на изображение")</f>
        <v>Андрей Денисов: Ссылка на изображение</v>
      </c>
      <c r="BI497" t="str">
        <f>HYPERLINK("https://d33htgqikc2pj4.cloudfront.net/7b38420b-7bb1-4c02-b880-3292647aad6b.jpeg", "Андрей Денисов: Ссылка на изображение")</f>
        <v>Андрей Денисов: Ссылка на изображение</v>
      </c>
      <c r="BJ497" t="s">
        <v>3692</v>
      </c>
    </row>
    <row r="498" spans="1:70" ht="15" customHeight="1" x14ac:dyDescent="0.35">
      <c r="A498">
        <v>678</v>
      </c>
      <c r="B498" t="s">
        <v>3693</v>
      </c>
      <c r="C498">
        <v>2</v>
      </c>
      <c r="D498" t="str">
        <f>VLOOKUP(source[[#This Row],[Приоритет]],тПриоритеты[],2,0)</f>
        <v>Значительное</v>
      </c>
      <c r="E4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8" t="s">
        <v>2273</v>
      </c>
      <c r="G498" t="s">
        <v>157</v>
      </c>
      <c r="H498" t="str">
        <f>VLOOKUP(source[[#This Row],[Отвественный]],тОтветственные[],2,0)</f>
        <v>Отв13</v>
      </c>
      <c r="I498" s="2">
        <v>43776</v>
      </c>
      <c r="J498" s="2">
        <v>43776</v>
      </c>
      <c r="K498" t="s">
        <v>3560</v>
      </c>
      <c r="L498">
        <v>65.22</v>
      </c>
      <c r="M498">
        <v>30.89</v>
      </c>
      <c r="N498" t="s">
        <v>213</v>
      </c>
      <c r="Q498" t="s">
        <v>106</v>
      </c>
      <c r="R498" t="str">
        <f>HYPERLINK("https://d28ji4sm1vmprj.cloudfront.net/1bb81171b11c46980bc3b0efa75292d7/5fbd7d62aedd542fd25c4d86ce5e2416.jpeg", "Ссылка на план")</f>
        <v>Ссылка на план</v>
      </c>
      <c r="S498" s="1">
        <v>43776.666574074072</v>
      </c>
      <c r="T498" s="1">
        <v>43776.666597222225</v>
      </c>
      <c r="U498" s="1">
        <v>43776.666597222225</v>
      </c>
      <c r="W498" s="1">
        <v>43776.667523148149</v>
      </c>
      <c r="X498" t="s">
        <v>1204</v>
      </c>
      <c r="AA498" t="s">
        <v>3694</v>
      </c>
      <c r="AB498" t="s">
        <v>3695</v>
      </c>
      <c r="AC498" t="s">
        <v>3696</v>
      </c>
      <c r="AD498" t="s">
        <v>3697</v>
      </c>
      <c r="AE498" t="s">
        <v>3698</v>
      </c>
      <c r="AF498" t="s">
        <v>3699</v>
      </c>
      <c r="BF498" t="s">
        <v>167</v>
      </c>
      <c r="BG498" t="s">
        <v>3700</v>
      </c>
      <c r="BH498" t="s">
        <v>3701</v>
      </c>
      <c r="BI498" t="str">
        <f>HYPERLINK("https://d33htgqikc2pj4.cloudfront.net/76ad54b9-d060-470b-8219-06d4c9395033.jpeg", "Андрей Денисов: Ссылка на изображение")</f>
        <v>Андрей Денисов: Ссылка на изображение</v>
      </c>
      <c r="BJ498" t="str">
        <f>HYPERLINK("https://d33htgqikc2pj4.cloudfront.net/5b6e01cb-94ec-4f51-8d5b-099ea74ee98f.jpeg", "Андрей Денисов: Ссылка на изображение")</f>
        <v>Андрей Денисов: Ссылка на изображение</v>
      </c>
    </row>
    <row r="499" spans="1:70" ht="15" customHeight="1" x14ac:dyDescent="0.35">
      <c r="A499">
        <v>765</v>
      </c>
      <c r="B499" t="s">
        <v>3702</v>
      </c>
      <c r="C499">
        <v>2</v>
      </c>
      <c r="D499" t="str">
        <f>VLOOKUP(source[[#This Row],[Приоритет]],тПриоритеты[],2,0)</f>
        <v>Значительное</v>
      </c>
      <c r="E4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499" t="s">
        <v>2273</v>
      </c>
      <c r="G499" t="s">
        <v>157</v>
      </c>
      <c r="H499" t="str">
        <f>VLOOKUP(source[[#This Row],[Отвественный]],тОтветственные[],2,0)</f>
        <v>Отв13</v>
      </c>
      <c r="I499" s="2">
        <v>43809</v>
      </c>
      <c r="J499" s="2">
        <v>43809</v>
      </c>
      <c r="K499" t="s">
        <v>3560</v>
      </c>
      <c r="L499">
        <v>12.49</v>
      </c>
      <c r="M499">
        <v>33.39</v>
      </c>
      <c r="N499" t="s">
        <v>213</v>
      </c>
      <c r="Q499" t="s">
        <v>106</v>
      </c>
      <c r="R499" t="str">
        <f>HYPERLINK("https://d28ji4sm1vmprj.cloudfront.net/1bb81171b11c46980bc3b0efa75292d7/5fbd7d62aedd542fd25c4d86ce5e2416.jpeg", "Ссылка на план")</f>
        <v>Ссылка на план</v>
      </c>
      <c r="S499" s="1">
        <v>43809.704629629632</v>
      </c>
      <c r="T499" s="1">
        <v>43776.666597222225</v>
      </c>
      <c r="U499" s="1">
        <v>43776.666597222225</v>
      </c>
      <c r="W499" s="1">
        <v>43809.706111111111</v>
      </c>
      <c r="X499" t="s">
        <v>1204</v>
      </c>
      <c r="AA499" t="s">
        <v>3703</v>
      </c>
      <c r="AB499" t="s">
        <v>3704</v>
      </c>
      <c r="AC499" t="s">
        <v>3705</v>
      </c>
      <c r="AD499" t="s">
        <v>3706</v>
      </c>
      <c r="AE499" t="s">
        <v>3707</v>
      </c>
      <c r="AF499" t="s">
        <v>3708</v>
      </c>
      <c r="BF499" t="s">
        <v>3709</v>
      </c>
      <c r="BG499" t="s">
        <v>3710</v>
      </c>
      <c r="BH499" t="str">
        <f>HYPERLINK("https://d33htgqikc2pj4.cloudfront.net/92629cc9-a4dd-4133-8ffa-c7f8629540a8.jpeg", "Андрей Денисов: Ссылка на изображение")</f>
        <v>Андрей Денисов: Ссылка на изображение</v>
      </c>
    </row>
    <row r="500" spans="1:70" ht="15" customHeight="1" x14ac:dyDescent="0.35">
      <c r="A500">
        <v>766</v>
      </c>
      <c r="B500" t="s">
        <v>3631</v>
      </c>
      <c r="C500">
        <v>2</v>
      </c>
      <c r="D500" t="str">
        <f>VLOOKUP(source[[#This Row],[Приоритет]],тПриоритеты[],2,0)</f>
        <v>Значительное</v>
      </c>
      <c r="E5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0" t="s">
        <v>2273</v>
      </c>
      <c r="G500" t="s">
        <v>157</v>
      </c>
      <c r="H500" t="str">
        <f>VLOOKUP(source[[#This Row],[Отвественный]],тОтветственные[],2,0)</f>
        <v>Отв13</v>
      </c>
      <c r="I500" s="2">
        <v>43809</v>
      </c>
      <c r="J500" s="2">
        <v>43809</v>
      </c>
      <c r="K500" t="s">
        <v>2349</v>
      </c>
      <c r="L500">
        <v>67.319999999999993</v>
      </c>
      <c r="M500">
        <v>46.51</v>
      </c>
      <c r="N500" t="s">
        <v>213</v>
      </c>
      <c r="Q500" t="s">
        <v>106</v>
      </c>
      <c r="R500" t="str">
        <f>HYPERLINK("https://d28ji4sm1vmprj.cloudfront.net/6b0dc9e799f98d5c9a0a0ab863394e9c/e9ac1857a23bf9d0a66df9e04e6ec937.jpeg", "Ссылка на план")</f>
        <v>Ссылка на план</v>
      </c>
      <c r="S500" s="1">
        <v>43809.709583333337</v>
      </c>
      <c r="T500" s="1">
        <v>43793.544953703706</v>
      </c>
      <c r="U500" s="1">
        <v>43793.544953703706</v>
      </c>
      <c r="W500" s="1">
        <v>43809.709733796299</v>
      </c>
      <c r="X500" t="s">
        <v>1204</v>
      </c>
      <c r="AA500" t="s">
        <v>3703</v>
      </c>
      <c r="AB500" t="s">
        <v>3704</v>
      </c>
      <c r="AC500" t="s">
        <v>3705</v>
      </c>
      <c r="AD500" t="s">
        <v>3706</v>
      </c>
      <c r="AE500" t="s">
        <v>3707</v>
      </c>
      <c r="AF500" t="s">
        <v>3708</v>
      </c>
      <c r="BF500" t="s">
        <v>3710</v>
      </c>
      <c r="BG500" t="str">
        <f>HYPERLINK("https://d33htgqikc2pj4.cloudfront.net/e2ba446d-b9cc-4664-ab6b-189b31bb4947.jpeg", "Андрей Денисов: Ссылка на изображение")</f>
        <v>Андрей Денисов: Ссылка на изображение</v>
      </c>
    </row>
    <row r="501" spans="1:70" ht="15" customHeight="1" x14ac:dyDescent="0.35">
      <c r="A501">
        <v>769</v>
      </c>
      <c r="B501" t="s">
        <v>3711</v>
      </c>
      <c r="C501">
        <v>2</v>
      </c>
      <c r="D501" t="str">
        <f>VLOOKUP(source[[#This Row],[Приоритет]],тПриоритеты[],2,0)</f>
        <v>Значительное</v>
      </c>
      <c r="E5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1" t="s">
        <v>2273</v>
      </c>
      <c r="G501" t="s">
        <v>157</v>
      </c>
      <c r="H501" t="str">
        <f>VLOOKUP(source[[#This Row],[Отвественный]],тОтветственные[],2,0)</f>
        <v>Отв13</v>
      </c>
      <c r="I501" s="2">
        <v>43811</v>
      </c>
      <c r="J501" s="2">
        <v>43811</v>
      </c>
      <c r="K501" t="s">
        <v>323</v>
      </c>
      <c r="L501">
        <v>48.07</v>
      </c>
      <c r="M501">
        <v>41.94</v>
      </c>
      <c r="N501" t="s">
        <v>324</v>
      </c>
      <c r="Q501" t="s">
        <v>106</v>
      </c>
      <c r="R501" t="str">
        <f>HYPERLINK("https://d28ji4sm1vmprj.cloudfront.net/b9f0a3730bff318b29d61a045df19870/45ac0b590edfdc108d4a2e6d8918b5e0.jpeg", "Ссылка на план")</f>
        <v>Ссылка на план</v>
      </c>
      <c r="S501" s="1">
        <v>43811.774155092593</v>
      </c>
      <c r="T501" s="1">
        <v>43790.623472222222</v>
      </c>
      <c r="U501" s="1">
        <v>43790.623472222222</v>
      </c>
      <c r="W501" s="1">
        <v>43811.77553240741</v>
      </c>
      <c r="X501" t="s">
        <v>2510</v>
      </c>
      <c r="AA501" t="s">
        <v>3712</v>
      </c>
      <c r="AB501" t="s">
        <v>3713</v>
      </c>
      <c r="AC501" t="s">
        <v>3714</v>
      </c>
      <c r="AD501" t="s">
        <v>3715</v>
      </c>
      <c r="AE501" t="s">
        <v>3716</v>
      </c>
      <c r="AF501" t="s">
        <v>3717</v>
      </c>
      <c r="AG501" t="s">
        <v>3718</v>
      </c>
      <c r="AH501" t="s">
        <v>3719</v>
      </c>
      <c r="AI501" t="s">
        <v>3720</v>
      </c>
      <c r="BF501" t="s">
        <v>3721</v>
      </c>
      <c r="BG501" t="str">
        <f>HYPERLINK("https://d33htgqikc2pj4.cloudfront.net/37ceb3d8-08f0-4ea0-a5c5-5974a578b98e.jpeg", "Андрей Денисов: Ссылка на изображение")</f>
        <v>Андрей Денисов: Ссылка на изображение</v>
      </c>
      <c r="BH501" t="str">
        <f>HYPERLINK("https://d33htgqikc2pj4.cloudfront.net/60b781dd-8aa3-47a8-97d7-97d20064ac3e.jpeg", "Андрей Денисов: Ссылка на изображение")</f>
        <v>Андрей Денисов: Ссылка на изображение</v>
      </c>
      <c r="BI501" t="str">
        <f>HYPERLINK("https://d33htgqikc2pj4.cloudfront.net/c0b20b61-eef0-4b82-8d49-de9788f48f33.jpeg", "Андрей Денисов: Ссылка на изображение")</f>
        <v>Андрей Денисов: Ссылка на изображение</v>
      </c>
      <c r="BJ501" t="s">
        <v>2358</v>
      </c>
    </row>
    <row r="502" spans="1:70" ht="15" customHeight="1" x14ac:dyDescent="0.35">
      <c r="A502">
        <v>771</v>
      </c>
      <c r="B502" t="s">
        <v>3722</v>
      </c>
      <c r="C502">
        <v>2</v>
      </c>
      <c r="D502" t="str">
        <f>VLOOKUP(source[[#This Row],[Приоритет]],тПриоритеты[],2,0)</f>
        <v>Значительное</v>
      </c>
      <c r="E50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2" t="s">
        <v>2273</v>
      </c>
      <c r="G502" t="s">
        <v>157</v>
      </c>
      <c r="H502" t="str">
        <f>VLOOKUP(source[[#This Row],[Отвественный]],тОтветственные[],2,0)</f>
        <v>Отв13</v>
      </c>
      <c r="I502" s="2">
        <v>43811</v>
      </c>
      <c r="J502" s="2">
        <v>43811</v>
      </c>
      <c r="K502" t="s">
        <v>3560</v>
      </c>
      <c r="L502">
        <v>13.54</v>
      </c>
      <c r="M502">
        <v>62.74</v>
      </c>
      <c r="N502" t="s">
        <v>213</v>
      </c>
      <c r="Q502" t="s">
        <v>106</v>
      </c>
      <c r="R502" t="str">
        <f>HYPERLINK("https://d28ji4sm1vmprj.cloudfront.net/1bb81171b11c46980bc3b0efa75292d7/5fbd7d62aedd542fd25c4d86ce5e2416.jpeg", "Ссылка на план")</f>
        <v>Ссылка на план</v>
      </c>
      <c r="S502" s="1">
        <v>43811.775821759256</v>
      </c>
      <c r="T502" s="1">
        <v>43776.666597222225</v>
      </c>
      <c r="U502" s="1">
        <v>43776.666597222225</v>
      </c>
      <c r="W502" s="1">
        <v>43811.776006944441</v>
      </c>
      <c r="X502" t="s">
        <v>1204</v>
      </c>
      <c r="AA502" t="s">
        <v>3723</v>
      </c>
      <c r="AB502" t="s">
        <v>3724</v>
      </c>
      <c r="AC502" t="s">
        <v>3725</v>
      </c>
      <c r="AD502" t="s">
        <v>3726</v>
      </c>
      <c r="AE502" t="s">
        <v>3727</v>
      </c>
      <c r="AF502" t="s">
        <v>3728</v>
      </c>
      <c r="BF502" t="s">
        <v>3729</v>
      </c>
      <c r="BG502" t="s">
        <v>2358</v>
      </c>
      <c r="BH502" t="str">
        <f>HYPERLINK("https://d33htgqikc2pj4.cloudfront.net/c2d2af5c-c107-4346-b05f-ec536affd442.jpeg", "Андрей Денисов: Ссылка на изображение")</f>
        <v>Андрей Денисов: Ссылка на изображение</v>
      </c>
      <c r="BI502" t="str">
        <f>HYPERLINK("https://d33htgqikc2pj4.cloudfront.net/88a6a529-30bd-4596-87bf-c9d0537bdc9b.jpeg", "Андрей Денисов: Ссылка на изображение")</f>
        <v>Андрей Денисов: Ссылка на изображение</v>
      </c>
    </row>
    <row r="503" spans="1:70" ht="15" customHeight="1" x14ac:dyDescent="0.35">
      <c r="A503">
        <v>686</v>
      </c>
      <c r="B503" t="s">
        <v>3730</v>
      </c>
      <c r="C503">
        <v>2</v>
      </c>
      <c r="D503" t="str">
        <f>VLOOKUP(source[[#This Row],[Приоритет]],тПриоритеты[],2,0)</f>
        <v>Значительное</v>
      </c>
      <c r="E50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3" t="s">
        <v>2273</v>
      </c>
      <c r="G503" t="s">
        <v>157</v>
      </c>
      <c r="H503" t="str">
        <f>VLOOKUP(source[[#This Row],[Отвественный]],тОтветственные[],2,0)</f>
        <v>Отв13</v>
      </c>
      <c r="I503" s="2">
        <v>43780</v>
      </c>
      <c r="J503" s="2">
        <v>43780</v>
      </c>
      <c r="K503" t="s">
        <v>3560</v>
      </c>
      <c r="L503">
        <v>51.09</v>
      </c>
      <c r="M503">
        <v>19.170000000000002</v>
      </c>
      <c r="N503" t="s">
        <v>213</v>
      </c>
      <c r="Q503" t="s">
        <v>106</v>
      </c>
      <c r="R503" t="str">
        <f>HYPERLINK("https://d28ji4sm1vmprj.cloudfront.net/1bb81171b11c46980bc3b0efa75292d7/5fbd7d62aedd542fd25c4d86ce5e2416.jpeg", "Ссылка на план")</f>
        <v>Ссылка на план</v>
      </c>
      <c r="S503" s="1">
        <v>43780.785844907405</v>
      </c>
      <c r="T503" s="1">
        <v>43780.785868055558</v>
      </c>
      <c r="U503" s="1">
        <v>43780.785868055558</v>
      </c>
      <c r="W503" s="1">
        <v>43780.789131944446</v>
      </c>
      <c r="X503" t="s">
        <v>1204</v>
      </c>
      <c r="AA503" t="s">
        <v>3731</v>
      </c>
      <c r="AB503" t="s">
        <v>3732</v>
      </c>
      <c r="AC503" t="s">
        <v>3733</v>
      </c>
      <c r="AD503" t="s">
        <v>3734</v>
      </c>
      <c r="AE503" t="s">
        <v>3735</v>
      </c>
      <c r="AF503" t="s">
        <v>3736</v>
      </c>
      <c r="BF503" t="s">
        <v>167</v>
      </c>
      <c r="BG503" t="s">
        <v>3737</v>
      </c>
      <c r="BH503" t="s">
        <v>3738</v>
      </c>
      <c r="BI503" t="str">
        <f>HYPERLINK("https://d33htgqikc2pj4.cloudfront.net/bc0f79d0-eec5-4487-8aba-5b1aebf637cc.jpeg", "Андрей Денисов: Ссылка на изображение")</f>
        <v>Андрей Денисов: Ссылка на изображение</v>
      </c>
      <c r="BJ503" t="str">
        <f>HYPERLINK("https://d33htgqikc2pj4.cloudfront.net/eea8188d-97f9-45c4-a451-9f7dd11e7c79.jpeg", "Андрей Денисов: Ссылка на изображение")</f>
        <v>Андрей Денисов: Ссылка на изображение</v>
      </c>
    </row>
    <row r="504" spans="1:70" ht="15" customHeight="1" x14ac:dyDescent="0.35">
      <c r="A504">
        <v>776</v>
      </c>
      <c r="B504" t="s">
        <v>3639</v>
      </c>
      <c r="C504">
        <v>2</v>
      </c>
      <c r="D504" t="str">
        <f>VLOOKUP(source[[#This Row],[Приоритет]],тПриоритеты[],2,0)</f>
        <v>Значительное</v>
      </c>
      <c r="E50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4" t="s">
        <v>2273</v>
      </c>
      <c r="G504" t="s">
        <v>157</v>
      </c>
      <c r="H504" t="str">
        <f>VLOOKUP(source[[#This Row],[Отвественный]],тОтветственные[],2,0)</f>
        <v>Отв13</v>
      </c>
      <c r="I504" s="2">
        <v>43812</v>
      </c>
      <c r="J504" s="2">
        <v>43812</v>
      </c>
      <c r="K504" t="s">
        <v>323</v>
      </c>
      <c r="L504">
        <v>20.23</v>
      </c>
      <c r="M504">
        <v>36.14</v>
      </c>
      <c r="N504" t="s">
        <v>324</v>
      </c>
      <c r="Q504" t="s">
        <v>106</v>
      </c>
      <c r="R504" t="str">
        <f>HYPERLINK("https://d28ji4sm1vmprj.cloudfront.net/b9f0a3730bff318b29d61a045df19870/45ac0b590edfdc108d4a2e6d8918b5e0.jpeg", "Ссылка на план")</f>
        <v>Ссылка на план</v>
      </c>
      <c r="S504" s="1">
        <v>43812.909583333334</v>
      </c>
      <c r="T504" s="1">
        <v>43790.623472222222</v>
      </c>
      <c r="U504" s="1">
        <v>43790.623472222222</v>
      </c>
      <c r="W504" s="1">
        <v>43812.909722222219</v>
      </c>
      <c r="X504" t="s">
        <v>2510</v>
      </c>
      <c r="AA504" t="s">
        <v>3739</v>
      </c>
      <c r="AB504" t="s">
        <v>3740</v>
      </c>
      <c r="AC504" t="s">
        <v>3741</v>
      </c>
      <c r="AD504" t="s">
        <v>3742</v>
      </c>
      <c r="AE504" t="s">
        <v>3743</v>
      </c>
      <c r="AF504" t="s">
        <v>3744</v>
      </c>
      <c r="AG504" t="s">
        <v>3745</v>
      </c>
      <c r="AH504" t="s">
        <v>3746</v>
      </c>
      <c r="AI504" t="s">
        <v>3747</v>
      </c>
      <c r="BF504" t="s">
        <v>3748</v>
      </c>
      <c r="BG504" t="str">
        <f>HYPERLINK("https://d33htgqikc2pj4.cloudfront.net/775fb5c0-4a3f-48c0-8108-8111dc3e2969.jpeg", "Андрей Денисов: Ссылка на изображение")</f>
        <v>Андрей Денисов: Ссылка на изображение</v>
      </c>
      <c r="BH504" t="str">
        <f>HYPERLINK("https://d33htgqikc2pj4.cloudfront.net/624eaa55-0299-4ea4-967c-b81a7ecd26dd.jpeg", "Андрей Денисов: Ссылка на изображение")</f>
        <v>Андрей Денисов: Ссылка на изображение</v>
      </c>
      <c r="BI504" t="str">
        <f>HYPERLINK("https://d33htgqikc2pj4.cloudfront.net/032474dc-e91c-4a6a-aeb6-c8718a9988a6.jpeg", "Андрей Денисов: Ссылка на изображение")</f>
        <v>Андрей Денисов: Ссылка на изображение</v>
      </c>
    </row>
    <row r="505" spans="1:70" ht="15" customHeight="1" x14ac:dyDescent="0.35">
      <c r="A505">
        <v>782</v>
      </c>
      <c r="B505" t="s">
        <v>3749</v>
      </c>
      <c r="C505">
        <v>2</v>
      </c>
      <c r="D505" t="str">
        <f>VLOOKUP(source[[#This Row],[Приоритет]],тПриоритеты[],2,0)</f>
        <v>Значительное</v>
      </c>
      <c r="E5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5" t="s">
        <v>2273</v>
      </c>
      <c r="G505" t="s">
        <v>157</v>
      </c>
      <c r="H505" t="str">
        <f>VLOOKUP(source[[#This Row],[Отвественный]],тОтветственные[],2,0)</f>
        <v>Отв13</v>
      </c>
      <c r="I505" s="2">
        <v>43815</v>
      </c>
      <c r="J505" s="2">
        <v>43815</v>
      </c>
      <c r="K505" t="s">
        <v>323</v>
      </c>
      <c r="L505">
        <v>48.54</v>
      </c>
      <c r="M505">
        <v>35.42</v>
      </c>
      <c r="N505" t="s">
        <v>324</v>
      </c>
      <c r="Q505" t="s">
        <v>106</v>
      </c>
      <c r="R505" t="str">
        <f>HYPERLINK("https://d28ji4sm1vmprj.cloudfront.net/b9f0a3730bff318b29d61a045df19870/45ac0b590edfdc108d4a2e6d8918b5e0.jpeg", "Ссылка на план")</f>
        <v>Ссылка на план</v>
      </c>
      <c r="S505" s="1">
        <v>43815.713645833333</v>
      </c>
      <c r="T505" s="1">
        <v>43790.623472222222</v>
      </c>
      <c r="U505" s="1">
        <v>43790.623472222222</v>
      </c>
      <c r="W505" s="1">
        <v>43815.716354166667</v>
      </c>
      <c r="X505" t="s">
        <v>2510</v>
      </c>
      <c r="AA505" t="s">
        <v>3750</v>
      </c>
      <c r="AB505" t="s">
        <v>3751</v>
      </c>
      <c r="AC505" t="s">
        <v>3752</v>
      </c>
      <c r="AD505" t="s">
        <v>3753</v>
      </c>
      <c r="AE505" t="s">
        <v>3754</v>
      </c>
      <c r="AF505" t="s">
        <v>3755</v>
      </c>
      <c r="AG505" t="s">
        <v>3756</v>
      </c>
      <c r="AH505" t="s">
        <v>3757</v>
      </c>
      <c r="AI505" t="s">
        <v>3758</v>
      </c>
      <c r="BF505" t="s">
        <v>3759</v>
      </c>
      <c r="BG505" t="str">
        <f>HYPERLINK("https://d33htgqikc2pj4.cloudfront.net/84ff5f194c227221f7d19a43470922bc/860a08caa418417664d40739eb2279c2-file.jpeg", "Андрей Денисов: Ссылка на изображение")</f>
        <v>Андрей Денисов: Ссылка на изображение</v>
      </c>
      <c r="BH505" t="str">
        <f>HYPERLINK("https://d33htgqikc2pj4.cloudfront.net/2df431cb9483847dd90b7547ef6e6d87/6d985908c519d099674881e4c2cca2f3-file.jpeg", "Андрей Денисов: Ссылка на изображение")</f>
        <v>Андрей Денисов: Ссылка на изображение</v>
      </c>
      <c r="BI505" t="s">
        <v>3760</v>
      </c>
    </row>
    <row r="506" spans="1:70" ht="15" customHeight="1" x14ac:dyDescent="0.35">
      <c r="A506">
        <v>783</v>
      </c>
      <c r="B506" t="s">
        <v>3761</v>
      </c>
      <c r="C506">
        <v>2</v>
      </c>
      <c r="D506" t="str">
        <f>VLOOKUP(source[[#This Row],[Приоритет]],тПриоритеты[],2,0)</f>
        <v>Значительное</v>
      </c>
      <c r="E5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6" t="s">
        <v>2273</v>
      </c>
      <c r="G506" t="s">
        <v>157</v>
      </c>
      <c r="H506" t="str">
        <f>VLOOKUP(source[[#This Row],[Отвественный]],тОтветственные[],2,0)</f>
        <v>Отв13</v>
      </c>
      <c r="I506" s="2">
        <v>43815</v>
      </c>
      <c r="J506" s="2">
        <v>43815</v>
      </c>
      <c r="K506" t="s">
        <v>3560</v>
      </c>
      <c r="L506">
        <v>39.07</v>
      </c>
      <c r="M506">
        <v>63.33</v>
      </c>
      <c r="N506" t="s">
        <v>213</v>
      </c>
      <c r="Q506" t="s">
        <v>106</v>
      </c>
      <c r="R506" t="str">
        <f>HYPERLINK("https://d28ji4sm1vmprj.cloudfront.net/1bb81171b11c46980bc3b0efa75292d7/5fbd7d62aedd542fd25c4d86ce5e2416.jpeg", "Ссылка на план")</f>
        <v>Ссылка на план</v>
      </c>
      <c r="S506" s="1">
        <v>43815.71707175926</v>
      </c>
      <c r="T506" s="1">
        <v>43776.666597222225</v>
      </c>
      <c r="U506" s="1">
        <v>43776.666597222225</v>
      </c>
      <c r="W506" s="1">
        <v>43815.719942129632</v>
      </c>
      <c r="X506" t="s">
        <v>1204</v>
      </c>
      <c r="AA506" t="s">
        <v>3762</v>
      </c>
      <c r="AB506" t="s">
        <v>3763</v>
      </c>
      <c r="AC506" t="s">
        <v>3764</v>
      </c>
      <c r="AD506" t="s">
        <v>3765</v>
      </c>
      <c r="AE506" t="s">
        <v>3766</v>
      </c>
      <c r="AF506" t="s">
        <v>3767</v>
      </c>
      <c r="BF506" t="s">
        <v>3768</v>
      </c>
      <c r="BG506" t="str">
        <f>HYPERLINK("https://d33htgqikc2pj4.cloudfront.net/4ac625761eb625c143124651c5738049/7a2f9e635808d4c418060ee40e7f12ba-file.jpeg", "Андрей Денисов: Ссылка на изображение")</f>
        <v>Андрей Денисов: Ссылка на изображение</v>
      </c>
      <c r="BH506" t="str">
        <f>HYPERLINK("https://d33htgqikc2pj4.cloudfront.net/9079d84cbf97990ee4827bce48a12dc0/0e7efec1f18a94943959c4dad4a15e2d-file.jpeg", "Андрей Денисов: Ссылка на изображение")</f>
        <v>Андрей Денисов: Ссылка на изображение</v>
      </c>
      <c r="BI506" t="s">
        <v>3760</v>
      </c>
    </row>
    <row r="507" spans="1:70" ht="15" customHeight="1" x14ac:dyDescent="0.35">
      <c r="A507">
        <v>694</v>
      </c>
      <c r="B507" t="s">
        <v>3769</v>
      </c>
      <c r="C507">
        <v>2</v>
      </c>
      <c r="D507" t="str">
        <f>VLOOKUP(source[[#This Row],[Приоритет]],тПриоритеты[],2,0)</f>
        <v>Значительное</v>
      </c>
      <c r="E5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7" t="s">
        <v>2273</v>
      </c>
      <c r="G507" t="s">
        <v>157</v>
      </c>
      <c r="H507" t="str">
        <f>VLOOKUP(source[[#This Row],[Отвественный]],тОтветственные[],2,0)</f>
        <v>Отв13</v>
      </c>
      <c r="I507" s="2">
        <v>43788</v>
      </c>
      <c r="J507" s="2">
        <v>43788</v>
      </c>
      <c r="K507" t="s">
        <v>3560</v>
      </c>
      <c r="L507">
        <v>0</v>
      </c>
      <c r="M507">
        <v>0</v>
      </c>
      <c r="N507" t="s">
        <v>213</v>
      </c>
      <c r="Q507" t="s">
        <v>106</v>
      </c>
      <c r="R507" t="str">
        <f>HYPERLINK("https://d28ji4sm1vmprj.cloudfront.net/1bb81171b11c46980bc3b0efa75292d7/5fbd7d62aedd542fd25c4d86ce5e2416.jpeg", "Ссылка на план")</f>
        <v>Ссылка на план</v>
      </c>
      <c r="S507" s="1">
        <v>43788.5546412037</v>
      </c>
      <c r="T507" s="1">
        <v>43788.554664351854</v>
      </c>
      <c r="U507" s="1">
        <v>43788.554664351854</v>
      </c>
      <c r="W507" s="1">
        <v>43788.556759259256</v>
      </c>
      <c r="X507" t="s">
        <v>3541</v>
      </c>
      <c r="AA507" t="s">
        <v>3770</v>
      </c>
      <c r="AB507" t="s">
        <v>3771</v>
      </c>
      <c r="AC507" t="s">
        <v>3772</v>
      </c>
      <c r="AD507" t="s">
        <v>3773</v>
      </c>
      <c r="AE507" t="s">
        <v>3774</v>
      </c>
      <c r="AF507" t="s">
        <v>3775</v>
      </c>
      <c r="BF507" t="s">
        <v>167</v>
      </c>
      <c r="BG507" t="s">
        <v>3776</v>
      </c>
      <c r="BH507" t="s">
        <v>2313</v>
      </c>
      <c r="BI507" t="s">
        <v>391</v>
      </c>
      <c r="BJ507" t="str">
        <f>HYPERLINK("https://d33htgqikc2pj4.cloudfront.net/d82aaa8b-de8b-421b-adfc-8f7070686658.jpeg", "Андрей Денисов: Ссылка на изображение")</f>
        <v>Андрей Денисов: Ссылка на изображение</v>
      </c>
    </row>
    <row r="508" spans="1:70" ht="15" customHeight="1" x14ac:dyDescent="0.35">
      <c r="A508">
        <v>215</v>
      </c>
      <c r="B508" t="s">
        <v>3777</v>
      </c>
      <c r="C508">
        <v>2</v>
      </c>
      <c r="D508" t="str">
        <f>VLOOKUP(source[[#This Row],[Приоритет]],тПриоритеты[],2,0)</f>
        <v>Значительное</v>
      </c>
      <c r="E5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8" t="s">
        <v>2273</v>
      </c>
      <c r="G508" t="s">
        <v>395</v>
      </c>
      <c r="H508" t="str">
        <f>VLOOKUP(source[[#This Row],[Отвественный]],тОтветственные[],2,0)</f>
        <v>Отв19</v>
      </c>
      <c r="I508" s="2">
        <v>43655</v>
      </c>
      <c r="J508" s="2">
        <v>43655</v>
      </c>
      <c r="K508" t="s">
        <v>375</v>
      </c>
      <c r="L508">
        <v>0</v>
      </c>
      <c r="M508">
        <v>0</v>
      </c>
      <c r="N508" t="s">
        <v>159</v>
      </c>
      <c r="Q508" t="s">
        <v>106</v>
      </c>
      <c r="R508" t="str">
        <f>HYPERLINK("https://d28ji4sm1vmprj.cloudfront.net/3e7bd1b1c8123e07928556a95537ec96/b6f4ea1a4c385def2ded1a2b1779c1a4.jpeg", "Ссылка на план")</f>
        <v>Ссылка на план</v>
      </c>
      <c r="S508" s="1">
        <v>43655.43472222222</v>
      </c>
      <c r="T508" s="1">
        <v>43655.434756944444</v>
      </c>
      <c r="U508" s="1">
        <v>43655.438761574071</v>
      </c>
      <c r="W508" s="1">
        <v>43655.438796296294</v>
      </c>
      <c r="X508" t="s">
        <v>2764</v>
      </c>
      <c r="AA508" t="s">
        <v>3778</v>
      </c>
      <c r="AB508" t="s">
        <v>3779</v>
      </c>
      <c r="AC508" t="s">
        <v>3780</v>
      </c>
      <c r="AD508" t="s">
        <v>3781</v>
      </c>
      <c r="AE508" t="s">
        <v>3782</v>
      </c>
      <c r="AF508" t="s">
        <v>3783</v>
      </c>
      <c r="AG508" t="s">
        <v>3784</v>
      </c>
      <c r="BF508" t="s">
        <v>114</v>
      </c>
      <c r="BG508" t="s">
        <v>3785</v>
      </c>
      <c r="BH508" t="s">
        <v>116</v>
      </c>
      <c r="BI508" t="str">
        <f>HYPERLINK("https://d33htgqikc2pj4.cloudfront.net/a2dbb0db-81bf-4ec2-90a6-367e84c74cd5.jpeg", "Владимир Чугунов: Ссылка на изображение")</f>
        <v>Владимир Чугунов: Ссылка на изображение</v>
      </c>
      <c r="BJ508" t="str">
        <f>HYPERLINK("https://d33htgqikc2pj4.cloudfront.net/2081b098-4157-4da9-9ca9-3bf2f7623819.jpeg", "Владимир Чугунов: Ссылка на изображение")</f>
        <v>Владимир Чугунов: Ссылка на изображение</v>
      </c>
      <c r="BK508" t="str">
        <f>HYPERLINK("https://d33htgqikc2pj4.cloudfront.net/3d193ee9-465e-4688-aa61-2342f375ccfe.jpeg", "Владимир Чугунов: Ссылка на изображение")</f>
        <v>Владимир Чугунов: Ссылка на изображение</v>
      </c>
      <c r="BL508" t="str">
        <f>HYPERLINK("https://d33htgqikc2pj4.cloudfront.net/e0e60d12-1631-4e6b-9468-7c69fe3f1a0f.jpeg", "Владимир Чугунов: Ссылка на изображение")</f>
        <v>Владимир Чугунов: Ссылка на изображение</v>
      </c>
      <c r="BM508" t="str">
        <f>HYPERLINK("https://d33htgqikc2pj4.cloudfront.net/64051e5b-4c0b-48bd-9e4d-80166cf9c311.jpeg", "Владимир Чугунов: Ссылка на изображение")</f>
        <v>Владимир Чугунов: Ссылка на изображение</v>
      </c>
      <c r="BN508" t="str">
        <f>HYPERLINK("https://d33htgqikc2pj4.cloudfront.net/0b5709b6-b7fc-42ec-836f-fd73301fe13c.jpeg", "Владимир Чугунов: Ссылка на изображение")</f>
        <v>Владимир Чугунов: Ссылка на изображение</v>
      </c>
      <c r="BO508" t="str">
        <f>HYPERLINK("https://d33htgqikc2pj4.cloudfront.net/1ce5042e-ba48-478d-8268-f73ef7c081be.jpeg", "Владимир Чугунов: Ссылка на изображение")</f>
        <v>Владимир Чугунов: Ссылка на изображение</v>
      </c>
      <c r="BP508" t="str">
        <f>HYPERLINK("https://d33htgqikc2pj4.cloudfront.net/ee400908-f244-450e-85f1-53a0bf1e0a73.jpeg", "Владимир Чугунов: Ссылка на изображение")</f>
        <v>Владимир Чугунов: Ссылка на изображение</v>
      </c>
      <c r="BQ508" t="s">
        <v>102</v>
      </c>
    </row>
    <row r="509" spans="1:70" ht="15" customHeight="1" x14ac:dyDescent="0.35">
      <c r="A509">
        <v>8</v>
      </c>
      <c r="B509" t="s">
        <v>1170</v>
      </c>
      <c r="C509">
        <v>2</v>
      </c>
      <c r="D509" t="str">
        <f>VLOOKUP(source[[#This Row],[Приоритет]],тПриоритеты[],2,0)</f>
        <v>Значительное</v>
      </c>
      <c r="E5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09" t="s">
        <v>2273</v>
      </c>
      <c r="G509" t="s">
        <v>395</v>
      </c>
      <c r="H509" t="str">
        <f>VLOOKUP(source[[#This Row],[Отвественный]],тОтветственные[],2,0)</f>
        <v>Отв19</v>
      </c>
      <c r="I509" s="2">
        <v>43549</v>
      </c>
      <c r="J509" s="2">
        <v>43549</v>
      </c>
      <c r="K509" t="s">
        <v>158</v>
      </c>
      <c r="L509">
        <v>4.41</v>
      </c>
      <c r="M509">
        <v>71.12</v>
      </c>
      <c r="N509" t="s">
        <v>1169</v>
      </c>
      <c r="Q509" t="s">
        <v>124</v>
      </c>
      <c r="R509" t="str">
        <f>HYPERLINK("https://d28ji4sm1vmprj.cloudfront.net/09622a2bb466dfd1cdfb85ce6a712a4c/080b534903fe5ecae6d56f3611cbeb01.jpeg", "Ссылка на план")</f>
        <v>Ссылка на план</v>
      </c>
      <c r="S509" s="1">
        <v>43549.6715625</v>
      </c>
      <c r="T509" s="1">
        <v>43549.671944444446</v>
      </c>
      <c r="U509" s="1">
        <v>43549.671956018516</v>
      </c>
      <c r="W509" s="1">
        <v>43549.679699074077</v>
      </c>
      <c r="X509" t="s">
        <v>406</v>
      </c>
      <c r="Z509" t="s">
        <v>1168</v>
      </c>
      <c r="AA509" t="s">
        <v>3786</v>
      </c>
      <c r="AB509" t="s">
        <v>3787</v>
      </c>
      <c r="AC509" t="s">
        <v>3788</v>
      </c>
      <c r="AD509" t="s">
        <v>3789</v>
      </c>
      <c r="AE509" t="s">
        <v>3790</v>
      </c>
      <c r="AF509" t="s">
        <v>3791</v>
      </c>
      <c r="AG509" t="s">
        <v>3792</v>
      </c>
      <c r="BF509" t="s">
        <v>114</v>
      </c>
      <c r="BG509" t="s">
        <v>102</v>
      </c>
      <c r="BH509" t="s">
        <v>3793</v>
      </c>
      <c r="BI509" t="s">
        <v>3794</v>
      </c>
      <c r="BJ509" t="s">
        <v>3795</v>
      </c>
      <c r="BK509" t="s">
        <v>3796</v>
      </c>
      <c r="BL509" t="str">
        <f>HYPERLINK("https://d33htgqikc2pj4.cloudfront.net/df3dda58-b78b-4646-a626-f6b6eeccfdb7.jpeg", "Владимир Чугунов: Ссылка на изображение")</f>
        <v>Владимир Чугунов: Ссылка на изображение</v>
      </c>
      <c r="BM509" t="str">
        <f>HYPERLINK("https://d33htgqikc2pj4.cloudfront.net/b758b6e4-120b-4fd1-91aa-dcc88d639e55.jpeg", "Владимир Чугунов: Ссылка на изображение")</f>
        <v>Владимир Чугунов: Ссылка на изображение</v>
      </c>
      <c r="BN509" t="str">
        <f>HYPERLINK("https://d33htgqikc2pj4.cloudfront.net/a2afe5b3-fc4b-40b1-9b2f-72ea04a92b58.jpeg", "Владимир Чугунов: Ссылка на изображение")</f>
        <v>Владимир Чугунов: Ссылка на изображение</v>
      </c>
      <c r="BO509" t="str">
        <f>HYPERLINK("https://d33htgqikc2pj4.cloudfront.net/74b04a0f-7de1-478a-96fe-ca1a69881d4e.jpeg", "Владимир Чугунов: Ссылка на изображение")</f>
        <v>Владимир Чугунов: Ссылка на изображение</v>
      </c>
      <c r="BP509" t="s">
        <v>3797</v>
      </c>
      <c r="BQ509" t="s">
        <v>99</v>
      </c>
      <c r="BR509" t="s">
        <v>3798</v>
      </c>
    </row>
    <row r="510" spans="1:70" ht="15" customHeight="1" x14ac:dyDescent="0.35">
      <c r="A510">
        <v>132</v>
      </c>
      <c r="B510" t="s">
        <v>3799</v>
      </c>
      <c r="C510">
        <v>2</v>
      </c>
      <c r="D510" t="str">
        <f>VLOOKUP(source[[#This Row],[Приоритет]],тПриоритеты[],2,0)</f>
        <v>Значительное</v>
      </c>
      <c r="E5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0" t="s">
        <v>2273</v>
      </c>
      <c r="G510" t="s">
        <v>395</v>
      </c>
      <c r="H510" t="str">
        <f>VLOOKUP(source[[#This Row],[Отвественный]],тОтветственные[],2,0)</f>
        <v>Отв19</v>
      </c>
      <c r="I510" s="2">
        <v>43627</v>
      </c>
      <c r="J510" s="2">
        <v>43627</v>
      </c>
      <c r="K510" t="s">
        <v>158</v>
      </c>
      <c r="L510">
        <v>0</v>
      </c>
      <c r="M510">
        <v>0</v>
      </c>
      <c r="N510" t="s">
        <v>531</v>
      </c>
      <c r="Q510" t="s">
        <v>124</v>
      </c>
      <c r="R510" t="str">
        <f>HYPERLINK("https://d28ji4sm1vmprj.cloudfront.net/09622a2bb466dfd1cdfb85ce6a712a4c/080b534903fe5ecae6d56f3611cbeb01.jpeg", "Ссылка на план")</f>
        <v>Ссылка на план</v>
      </c>
      <c r="S510" s="1">
        <v>43627.684861111113</v>
      </c>
      <c r="T510" s="1">
        <v>43627.684988425928</v>
      </c>
      <c r="U510" s="1">
        <v>43627.688379629632</v>
      </c>
      <c r="W510" s="1">
        <v>43627.688414351855</v>
      </c>
      <c r="X510" t="s">
        <v>1061</v>
      </c>
      <c r="AA510" t="s">
        <v>3800</v>
      </c>
      <c r="AB510" t="s">
        <v>3801</v>
      </c>
      <c r="AC510" t="s">
        <v>3802</v>
      </c>
      <c r="AD510" t="s">
        <v>3803</v>
      </c>
      <c r="AE510" t="s">
        <v>3804</v>
      </c>
      <c r="AF510" t="s">
        <v>3805</v>
      </c>
      <c r="AG510" t="s">
        <v>3806</v>
      </c>
      <c r="BF510" t="s">
        <v>114</v>
      </c>
      <c r="BG510" t="s">
        <v>3807</v>
      </c>
      <c r="BH510" t="s">
        <v>3808</v>
      </c>
      <c r="BI510" t="s">
        <v>1276</v>
      </c>
      <c r="BJ510" t="str">
        <f>HYPERLINK("https://d33htgqikc2pj4.cloudfront.net/ea26a899-0198-4029-998e-7f8ff7ae3457.jpeg", "Владимир Чугунов: Ссылка на изображение")</f>
        <v>Владимир Чугунов: Ссылка на изображение</v>
      </c>
      <c r="BK510" t="str">
        <f>HYPERLINK("https://d33htgqikc2pj4.cloudfront.net/52d7520a-37c4-4751-9483-62d2293ba308.jpeg", "Владимир Чугунов: Ссылка на изображение")</f>
        <v>Владимир Чугунов: Ссылка на изображение</v>
      </c>
      <c r="BL510" t="str">
        <f>HYPERLINK("https://d33htgqikc2pj4.cloudfront.net/29a722ca-a8e1-4c45-9391-d10b494d732b.jpeg", "Владимир Чугунов: Ссылка на изображение")</f>
        <v>Владимир Чугунов: Ссылка на изображение</v>
      </c>
      <c r="BM510" t="s">
        <v>127</v>
      </c>
      <c r="BN510" t="str">
        <f>HYPERLINK("https://d33htgqikc2pj4.cloudfront.net/b90570ec-4279-49a1-97e4-8830a76c1026.jpeg", "Владимир Чугунов: Ссылка на изображение")</f>
        <v>Владимир Чугунов: Ссылка на изображение</v>
      </c>
      <c r="BO510" t="s">
        <v>102</v>
      </c>
    </row>
    <row r="511" spans="1:70" ht="15" customHeight="1" x14ac:dyDescent="0.35">
      <c r="A511">
        <v>227</v>
      </c>
      <c r="B511" t="s">
        <v>3809</v>
      </c>
      <c r="C511">
        <v>2</v>
      </c>
      <c r="D511" t="str">
        <f>VLOOKUP(source[[#This Row],[Приоритет]],тПриоритеты[],2,0)</f>
        <v>Значительное</v>
      </c>
      <c r="E5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1" t="s">
        <v>2273</v>
      </c>
      <c r="G511" t="s">
        <v>395</v>
      </c>
      <c r="H511" t="str">
        <f>VLOOKUP(source[[#This Row],[Отвественный]],тОтветственные[],2,0)</f>
        <v>Отв19</v>
      </c>
      <c r="I511" s="2">
        <v>43656</v>
      </c>
      <c r="J511" s="2">
        <v>43656</v>
      </c>
      <c r="K511" t="s">
        <v>104</v>
      </c>
      <c r="L511">
        <v>0</v>
      </c>
      <c r="M511">
        <v>0</v>
      </c>
      <c r="N511" t="s">
        <v>105</v>
      </c>
      <c r="Q511" t="s">
        <v>106</v>
      </c>
      <c r="R511" t="str">
        <f>HYPERLINK("https://d28ji4sm1vmprj.cloudfront.net/e7a526a7220c3bc5cfeeb407c455c0b3/580ffb055aff8ee0c88c6e676cfba776.jpeg", "Ссылка на план")</f>
        <v>Ссылка на план</v>
      </c>
      <c r="S511" s="1">
        <v>43656.582430555558</v>
      </c>
      <c r="T511" s="1">
        <v>43656.582465277781</v>
      </c>
      <c r="U511" s="1">
        <v>43656.585682870369</v>
      </c>
      <c r="W511" s="1">
        <v>43656.586064814815</v>
      </c>
      <c r="X511" t="s">
        <v>2290</v>
      </c>
      <c r="AA511" t="s">
        <v>3810</v>
      </c>
      <c r="AB511" t="s">
        <v>3811</v>
      </c>
      <c r="AC511" t="s">
        <v>3812</v>
      </c>
      <c r="AD511" t="s">
        <v>3813</v>
      </c>
      <c r="AE511" t="s">
        <v>3814</v>
      </c>
      <c r="AF511" t="s">
        <v>3815</v>
      </c>
      <c r="AG511" t="s">
        <v>3816</v>
      </c>
      <c r="AH511" t="s">
        <v>3817</v>
      </c>
      <c r="AI511" t="s">
        <v>3818</v>
      </c>
      <c r="BF511" t="s">
        <v>114</v>
      </c>
      <c r="BG511" t="s">
        <v>3819</v>
      </c>
      <c r="BH511" t="s">
        <v>451</v>
      </c>
      <c r="BI511" t="str">
        <f>HYPERLINK("https://d33htgqikc2pj4.cloudfront.net/e130f2ca-0b9e-45d0-a111-82ba8e8b2e24.jpeg", "Владимир Чугунов: Ссылка на изображение")</f>
        <v>Владимир Чугунов: Ссылка на изображение</v>
      </c>
      <c r="BJ511" t="str">
        <f>HYPERLINK("https://d33htgqikc2pj4.cloudfront.net/754d6268-c7ca-4235-b545-1a3e87661843.jpeg", "Владимир Чугунов: Ссылка на изображение")</f>
        <v>Владимир Чугунов: Ссылка на изображение</v>
      </c>
      <c r="BK511" t="s">
        <v>102</v>
      </c>
      <c r="BL511" t="s">
        <v>3820</v>
      </c>
    </row>
    <row r="512" spans="1:70" ht="15" customHeight="1" x14ac:dyDescent="0.35">
      <c r="A512">
        <v>228</v>
      </c>
      <c r="B512" t="s">
        <v>3821</v>
      </c>
      <c r="C512">
        <v>2</v>
      </c>
      <c r="D512" t="str">
        <f>VLOOKUP(source[[#This Row],[Приоритет]],тПриоритеты[],2,0)</f>
        <v>Значительное</v>
      </c>
      <c r="E5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2" t="s">
        <v>2273</v>
      </c>
      <c r="G512" t="s">
        <v>395</v>
      </c>
      <c r="H512" t="str">
        <f>VLOOKUP(source[[#This Row],[Отвественный]],тОтветственные[],2,0)</f>
        <v>Отв19</v>
      </c>
      <c r="I512" s="2">
        <v>43656</v>
      </c>
      <c r="J512" s="2">
        <v>43656</v>
      </c>
      <c r="K512" t="s">
        <v>104</v>
      </c>
      <c r="L512">
        <v>0</v>
      </c>
      <c r="M512">
        <v>0</v>
      </c>
      <c r="N512" t="s">
        <v>105</v>
      </c>
      <c r="Q512" t="s">
        <v>106</v>
      </c>
      <c r="R512" t="str">
        <f>HYPERLINK("https://d28ji4sm1vmprj.cloudfront.net/e7a526a7220c3bc5cfeeb407c455c0b3/580ffb055aff8ee0c88c6e676cfba776.jpeg", "Ссылка на план")</f>
        <v>Ссылка на план</v>
      </c>
      <c r="S512" s="1">
        <v>43656.593148148146</v>
      </c>
      <c r="T512" s="1">
        <v>43656.593715277777</v>
      </c>
      <c r="U512" s="1">
        <v>43656.595717592594</v>
      </c>
      <c r="W512" s="1">
        <v>43656.595729166664</v>
      </c>
      <c r="BF512" t="s">
        <v>3822</v>
      </c>
      <c r="BG512" t="s">
        <v>451</v>
      </c>
      <c r="BH512" t="s">
        <v>114</v>
      </c>
      <c r="BI512" t="str">
        <f>HYPERLINK("https://d33htgqikc2pj4.cloudfront.net/e3d55e4a-614e-49e1-bdd9-ed856e863b73.jpeg", "Владимир Чугунов: Ссылка на изображение")</f>
        <v>Владимир Чугунов: Ссылка на изображение</v>
      </c>
      <c r="BJ512" t="str">
        <f>HYPERLINK("https://d33htgqikc2pj4.cloudfront.net/ccfdefae-4293-463e-bde4-6dbf30397b0b.jpeg", "Владимир Чугунов: Ссылка на изображение")</f>
        <v>Владимир Чугунов: Ссылка на изображение</v>
      </c>
      <c r="BK512" t="str">
        <f>HYPERLINK("https://d33htgqikc2pj4.cloudfront.net/285ec6bc-1501-4f91-a540-fe0d5125b5f4.jpeg", "Владимир Чугунов: Ссылка на изображение")</f>
        <v>Владимир Чугунов: Ссылка на изображение</v>
      </c>
      <c r="BL512" t="str">
        <f>HYPERLINK("https://d33htgqikc2pj4.cloudfront.net/7557281b-3aa2-4dc9-9ed2-9985a15f2626.jpeg", "Владимир Чугунов: Ссылка на изображение")</f>
        <v>Владимир Чугунов: Ссылка на изображение</v>
      </c>
      <c r="BM512" t="str">
        <f>HYPERLINK("https://d33htgqikc2pj4.cloudfront.net/58370cd8-7a2f-4eaa-a847-d848bba7ee1a.jpeg", "Владимир Чугунов: Ссылка на изображение")</f>
        <v>Владимир Чугунов: Ссылка на изображение</v>
      </c>
      <c r="BN512" t="str">
        <f>HYPERLINK("https://d33htgqikc2pj4.cloudfront.net/0c37b5c5-d56c-47ea-8b2d-0d84944ec9bb.jpeg", "Владимир Чугунов: Ссылка на изображение")</f>
        <v>Владимир Чугунов: Ссылка на изображение</v>
      </c>
      <c r="BO512" t="str">
        <f>HYPERLINK("https://d33htgqikc2pj4.cloudfront.net/3e9491ae-f8d7-4cf0-8975-2812d99c9530.jpeg", "Владимир Чугунов: Ссылка на изображение")</f>
        <v>Владимир Чугунов: Ссылка на изображение</v>
      </c>
      <c r="BP512" t="str">
        <f>HYPERLINK("https://d33htgqikc2pj4.cloudfront.net/3f12e914-3757-4fca-9046-4019d9b144ab.jpeg", "Владимир Чугунов: Ссылка на изображение")</f>
        <v>Владимир Чугунов: Ссылка на изображение</v>
      </c>
      <c r="BQ512" t="str">
        <f>HYPERLINK("https://d33htgqikc2pj4.cloudfront.net/a355360e-aebf-40a4-9f91-bb2bc2294c7a.jpeg", "Владимир Чугунов: Ссылка на изображение")</f>
        <v>Владимир Чугунов: Ссылка на изображение</v>
      </c>
      <c r="BR512" t="s">
        <v>102</v>
      </c>
    </row>
    <row r="513" spans="1:84" ht="15" customHeight="1" x14ac:dyDescent="0.35">
      <c r="A513">
        <v>229</v>
      </c>
      <c r="B513" t="s">
        <v>3823</v>
      </c>
      <c r="C513">
        <v>2</v>
      </c>
      <c r="D513" t="str">
        <f>VLOOKUP(source[[#This Row],[Приоритет]],тПриоритеты[],2,0)</f>
        <v>Значительное</v>
      </c>
      <c r="E5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3" t="s">
        <v>2273</v>
      </c>
      <c r="G513" t="s">
        <v>395</v>
      </c>
      <c r="H513" t="str">
        <f>VLOOKUP(source[[#This Row],[Отвественный]],тОтветственные[],2,0)</f>
        <v>Отв19</v>
      </c>
      <c r="I513" s="2">
        <v>43656</v>
      </c>
      <c r="J513" s="2">
        <v>43656</v>
      </c>
      <c r="K513" t="s">
        <v>104</v>
      </c>
      <c r="L513">
        <v>0</v>
      </c>
      <c r="M513">
        <v>0</v>
      </c>
      <c r="N513" t="s">
        <v>105</v>
      </c>
      <c r="Q513" t="s">
        <v>106</v>
      </c>
      <c r="R513" t="str">
        <f>HYPERLINK("https://d28ji4sm1vmprj.cloudfront.net/e7a526a7220c3bc5cfeeb407c455c0b3/580ffb055aff8ee0c88c6e676cfba776.jpeg", "Ссылка на план")</f>
        <v>Ссылка на план</v>
      </c>
      <c r="S513" s="1">
        <v>43656.769571759258</v>
      </c>
      <c r="T513" s="1">
        <v>43656.770150462966</v>
      </c>
      <c r="U513" s="1">
        <v>43656.771539351852</v>
      </c>
      <c r="W513" s="1">
        <v>43656.771585648145</v>
      </c>
      <c r="X513" t="s">
        <v>406</v>
      </c>
      <c r="AA513" t="s">
        <v>3824</v>
      </c>
      <c r="AB513" t="s">
        <v>3825</v>
      </c>
      <c r="AC513" t="s">
        <v>3826</v>
      </c>
      <c r="AD513" t="s">
        <v>3827</v>
      </c>
      <c r="AE513" t="s">
        <v>3828</v>
      </c>
      <c r="AF513" t="s">
        <v>3829</v>
      </c>
      <c r="AG513" t="s">
        <v>3830</v>
      </c>
      <c r="BF513" t="s">
        <v>3831</v>
      </c>
      <c r="BG513" t="s">
        <v>451</v>
      </c>
      <c r="BH513" t="s">
        <v>114</v>
      </c>
      <c r="BI513" t="s">
        <v>3794</v>
      </c>
      <c r="BJ513" t="str">
        <f>HYPERLINK("https://d33htgqikc2pj4.cloudfront.net/deeb7610-d986-47b1-93a6-711858c7d8a8.jpeg", "Владимир Чугунов: Ссылка на изображение")</f>
        <v>Владимир Чугунов: Ссылка на изображение</v>
      </c>
      <c r="BK513" t="str">
        <f>HYPERLINK("https://d33htgqikc2pj4.cloudfront.net/4b8c8098-6564-467c-97a0-79a46697492f.jpeg", "Владимир Чугунов: Ссылка на изображение")</f>
        <v>Владимир Чугунов: Ссылка на изображение</v>
      </c>
      <c r="BL513" t="str">
        <f>HYPERLINK("https://d33htgqikc2pj4.cloudfront.net/3c984a0e-4224-466b-884a-e6cab55f6bef.jpeg", "Владимир Чугунов: Ссылка на изображение")</f>
        <v>Владимир Чугунов: Ссылка на изображение</v>
      </c>
      <c r="BM513" t="str">
        <f>HYPERLINK("https://d33htgqikc2pj4.cloudfront.net/34cc9850-3985-4f39-aca6-62ea2b833d77.jpeg", "Владимир Чугунов: Ссылка на изображение")</f>
        <v>Владимир Чугунов: Ссылка на изображение</v>
      </c>
      <c r="BN513" t="str">
        <f>HYPERLINK("https://d33htgqikc2pj4.cloudfront.net/901896a7-76cb-4328-aab6-76a2a22beb94.jpeg", "Владимир Чугунов: Ссылка на изображение")</f>
        <v>Владимир Чугунов: Ссылка на изображение</v>
      </c>
      <c r="BO513" t="str">
        <f>HYPERLINK("https://d33htgqikc2pj4.cloudfront.net/76b924cf-4303-49b3-8160-f548f9ee4c92.jpeg", "Владимир Чугунов: Ссылка на изображение")</f>
        <v>Владимир Чугунов: Ссылка на изображение</v>
      </c>
      <c r="BP513" t="str">
        <f>HYPERLINK("https://d33htgqikc2pj4.cloudfront.net/00c25ed5-ce05-467c-8f24-e593baae1c26.jpeg", "Владимир Чугунов: Ссылка на изображение")</f>
        <v>Владимир Чугунов: Ссылка на изображение</v>
      </c>
      <c r="BQ513" t="str">
        <f>HYPERLINK("https://d33htgqikc2pj4.cloudfront.net/040cc919-680e-45b4-84db-8a3a61f6232f.jpeg", "Владимир Чугунов: Ссылка на изображение")</f>
        <v>Владимир Чугунов: Ссылка на изображение</v>
      </c>
      <c r="BR513" t="s">
        <v>102</v>
      </c>
    </row>
    <row r="514" spans="1:84" ht="15" customHeight="1" x14ac:dyDescent="0.35">
      <c r="A514">
        <v>18</v>
      </c>
      <c r="B514" t="s">
        <v>3832</v>
      </c>
      <c r="C514">
        <v>2</v>
      </c>
      <c r="D514" t="str">
        <f>VLOOKUP(source[[#This Row],[Приоритет]],тПриоритеты[],2,0)</f>
        <v>Значительное</v>
      </c>
      <c r="E5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4" t="s">
        <v>2273</v>
      </c>
      <c r="G514" t="s">
        <v>395</v>
      </c>
      <c r="H514" t="str">
        <f>VLOOKUP(source[[#This Row],[Отвественный]],тОтветственные[],2,0)</f>
        <v>Отв19</v>
      </c>
      <c r="I514" s="2">
        <v>43556</v>
      </c>
      <c r="J514" s="2">
        <v>43556</v>
      </c>
      <c r="K514" t="s">
        <v>438</v>
      </c>
      <c r="L514">
        <v>0</v>
      </c>
      <c r="M514">
        <v>0</v>
      </c>
      <c r="N514" t="s">
        <v>3833</v>
      </c>
      <c r="Q514" t="s">
        <v>124</v>
      </c>
      <c r="R514" t="str">
        <f>HYPERLINK("https://d28ji4sm1vmprj.cloudfront.net/acfc9aa0097603f62cea0f398f3db1cc/12b88cc06de177b1006ee0f4fecb634c.jpeg", "Ссылка на план")</f>
        <v>Ссылка на план</v>
      </c>
      <c r="S514" s="1">
        <v>43556.474826388891</v>
      </c>
      <c r="T514" s="1">
        <v>43556.474907407406</v>
      </c>
      <c r="U514" s="1">
        <v>43556.474907407406</v>
      </c>
      <c r="W514" s="1">
        <v>43556.475740740738</v>
      </c>
      <c r="X514" t="s">
        <v>3834</v>
      </c>
      <c r="AA514" t="s">
        <v>3835</v>
      </c>
      <c r="AB514" t="s">
        <v>3836</v>
      </c>
      <c r="AC514" t="s">
        <v>3837</v>
      </c>
      <c r="AD514" t="s">
        <v>3838</v>
      </c>
      <c r="AE514" t="s">
        <v>3839</v>
      </c>
      <c r="AF514" t="s">
        <v>3840</v>
      </c>
      <c r="AG514" t="s">
        <v>3841</v>
      </c>
      <c r="AH514" t="s">
        <v>3842</v>
      </c>
      <c r="AI514" t="s">
        <v>3843</v>
      </c>
      <c r="BF514" t="s">
        <v>102</v>
      </c>
      <c r="BG514" t="s">
        <v>3844</v>
      </c>
      <c r="BH514" t="s">
        <v>3794</v>
      </c>
      <c r="BI514" t="s">
        <v>1183</v>
      </c>
      <c r="BJ514" t="str">
        <f>HYPERLINK("https://d33htgqikc2pj4.cloudfront.net/0449c533-2a6c-4999-9ec8-53b3daa104ef.jpeg", "Владимир Чугунов: Ссылка на изображение")</f>
        <v>Владимир Чугунов: Ссылка на изображение</v>
      </c>
      <c r="BK514" t="str">
        <f>HYPERLINK("https://d33htgqikc2pj4.cloudfront.net/96e71ef7-ffae-4687-b60f-3c9b5c479fad.jpeg", "Владимир Чугунов: Ссылка на изображение")</f>
        <v>Владимир Чугунов: Ссылка на изображение</v>
      </c>
      <c r="BL514" t="str">
        <f>HYPERLINK("https://d33htgqikc2pj4.cloudfront.net/ed2edba6-51cc-4eaa-9879-2690a02c1322.jpeg", "Владимир Чугунов: Ссылка на изображение")</f>
        <v>Владимир Чугунов: Ссылка на изображение</v>
      </c>
    </row>
    <row r="515" spans="1:84" ht="15" customHeight="1" x14ac:dyDescent="0.35">
      <c r="A515">
        <v>69</v>
      </c>
      <c r="B515" t="s">
        <v>3845</v>
      </c>
      <c r="C515">
        <v>2</v>
      </c>
      <c r="D515" t="str">
        <f>VLOOKUP(source[[#This Row],[Приоритет]],тПриоритеты[],2,0)</f>
        <v>Значительное</v>
      </c>
      <c r="E5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5" t="s">
        <v>2273</v>
      </c>
      <c r="G515" t="s">
        <v>395</v>
      </c>
      <c r="H515" t="str">
        <f>VLOOKUP(source[[#This Row],[Отвественный]],тОтветственные[],2,0)</f>
        <v>Отв19</v>
      </c>
      <c r="I515" s="2">
        <v>43595</v>
      </c>
      <c r="J515" s="2">
        <v>43595</v>
      </c>
      <c r="K515" t="s">
        <v>274</v>
      </c>
      <c r="L515">
        <v>0</v>
      </c>
      <c r="M515">
        <v>0</v>
      </c>
      <c r="N515" t="s">
        <v>159</v>
      </c>
      <c r="Q515" t="s">
        <v>124</v>
      </c>
      <c r="R515" t="str">
        <f>HYPERLINK("https://d28ji4sm1vmprj.cloudfront.net/355a08c081c3838ab5b858f428b86049/8945c7522deb0c15488ad801990cffed.jpeg", "Ссылка на план")</f>
        <v>Ссылка на план</v>
      </c>
      <c r="S515" s="1">
        <v>43595.391828703701</v>
      </c>
      <c r="T515" s="1">
        <v>43595.393796296295</v>
      </c>
      <c r="U515" s="1">
        <v>43595.397986111115</v>
      </c>
      <c r="W515" s="1">
        <v>43595.398472222223</v>
      </c>
      <c r="X515" t="s">
        <v>3846</v>
      </c>
      <c r="AA515" t="s">
        <v>3847</v>
      </c>
      <c r="AB515" t="s">
        <v>3848</v>
      </c>
      <c r="AC515" t="s">
        <v>3849</v>
      </c>
      <c r="AD515" t="s">
        <v>3850</v>
      </c>
      <c r="BF515" t="s">
        <v>3851</v>
      </c>
      <c r="BG515" t="s">
        <v>3852</v>
      </c>
      <c r="BH515" t="s">
        <v>114</v>
      </c>
      <c r="BI515" t="s">
        <v>102</v>
      </c>
      <c r="BJ515" t="s">
        <v>114</v>
      </c>
      <c r="BK515" t="str">
        <f>HYPERLINK("https://d33htgqikc2pj4.cloudfront.net/17fc8588-0c40-42bc-b22e-904d29499761.jpeg", "Владимир Чугунов: Ссылка на изображение")</f>
        <v>Владимир Чугунов: Ссылка на изображение</v>
      </c>
      <c r="BL515" t="str">
        <f>HYPERLINK("https://d33htgqikc2pj4.cloudfront.net/d9aee0b6-52db-4dde-a74b-ca2a6bc6379d.jpeg", "Владимир Чугунов: Ссылка на изображение")</f>
        <v>Владимир Чугунов: Ссылка на изображение</v>
      </c>
      <c r="BM515" t="str">
        <f>HYPERLINK("https://d33htgqikc2pj4.cloudfront.net/20ce61e9-d1e2-4e9f-a0d9-ed896a75dc53.jpeg", "Владимир Чугунов: Ссылка на изображение")</f>
        <v>Владимир Чугунов: Ссылка на изображение</v>
      </c>
      <c r="BN515" t="str">
        <f>HYPERLINK("https://d33htgqikc2pj4.cloudfront.net/5aa855cd-06d9-4068-9207-150bc3512293.jpeg", "Владимир Чугунов: Ссылка на изображение")</f>
        <v>Владимир Чугунов: Ссылка на изображение</v>
      </c>
      <c r="BO515" t="str">
        <f>HYPERLINK("https://d33htgqikc2pj4.cloudfront.net/ee69fd8c-ae6d-4d98-9a61-8a1f07f6c72f.jpeg", "Владимир Чугунов: Ссылка на изображение")</f>
        <v>Владимир Чугунов: Ссылка на изображение</v>
      </c>
      <c r="BP515" t="s">
        <v>102</v>
      </c>
    </row>
    <row r="516" spans="1:84" ht="15" customHeight="1" x14ac:dyDescent="0.35">
      <c r="A516">
        <v>70</v>
      </c>
      <c r="B516" t="s">
        <v>3853</v>
      </c>
      <c r="C516">
        <v>2</v>
      </c>
      <c r="D516" t="str">
        <f>VLOOKUP(source[[#This Row],[Приоритет]],тПриоритеты[],2,0)</f>
        <v>Значительное</v>
      </c>
      <c r="E5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6" t="s">
        <v>2273</v>
      </c>
      <c r="G516" t="s">
        <v>395</v>
      </c>
      <c r="H516" t="str">
        <f>VLOOKUP(source[[#This Row],[Отвественный]],тОтветственные[],2,0)</f>
        <v>Отв19</v>
      </c>
      <c r="I516" s="2">
        <v>43595</v>
      </c>
      <c r="J516" s="2">
        <v>43595</v>
      </c>
      <c r="K516" t="s">
        <v>158</v>
      </c>
      <c r="L516">
        <v>0</v>
      </c>
      <c r="M516">
        <v>0</v>
      </c>
      <c r="N516" t="s">
        <v>159</v>
      </c>
      <c r="Q516" t="s">
        <v>124</v>
      </c>
      <c r="R516" t="str">
        <f>HYPERLINK("https://d28ji4sm1vmprj.cloudfront.net/09622a2bb466dfd1cdfb85ce6a712a4c/080b534903fe5ecae6d56f3611cbeb01.jpeg", "Ссылка на план")</f>
        <v>Ссылка на план</v>
      </c>
      <c r="S516" s="1">
        <v>43595.406307870369</v>
      </c>
      <c r="T516" s="1">
        <v>43595.406342592592</v>
      </c>
      <c r="U516" s="1">
        <v>43595.408194444448</v>
      </c>
      <c r="W516" s="1">
        <v>43595.408194444448</v>
      </c>
      <c r="X516" t="s">
        <v>3846</v>
      </c>
      <c r="AA516" t="s">
        <v>3847</v>
      </c>
      <c r="AB516" t="s">
        <v>3848</v>
      </c>
      <c r="AC516" t="s">
        <v>3849</v>
      </c>
      <c r="AD516" t="s">
        <v>3850</v>
      </c>
      <c r="BF516" t="s">
        <v>114</v>
      </c>
      <c r="BG516" t="s">
        <v>3854</v>
      </c>
      <c r="BH516" t="s">
        <v>3852</v>
      </c>
      <c r="BI516" t="str">
        <f>HYPERLINK("https://d33htgqikc2pj4.cloudfront.net/d69ca097-3b6e-43b2-a0e8-8f7aa3bb6a6b.jpeg", "Владимир Чугунов: Ссылка на изображение")</f>
        <v>Владимир Чугунов: Ссылка на изображение</v>
      </c>
      <c r="BJ516" t="str">
        <f>HYPERLINK("https://d33htgqikc2pj4.cloudfront.net/f4cd01c9-8654-4429-a63f-59d94dca22c3.jpeg", "Владимир Чугунов: Ссылка на изображение")</f>
        <v>Владимир Чугунов: Ссылка на изображение</v>
      </c>
      <c r="BK516" t="s">
        <v>102</v>
      </c>
    </row>
    <row r="517" spans="1:84" ht="15" customHeight="1" x14ac:dyDescent="0.35">
      <c r="A517">
        <v>71</v>
      </c>
      <c r="B517" t="s">
        <v>3855</v>
      </c>
      <c r="C517">
        <v>2</v>
      </c>
      <c r="D517" t="str">
        <f>VLOOKUP(source[[#This Row],[Приоритет]],тПриоритеты[],2,0)</f>
        <v>Значительное</v>
      </c>
      <c r="E5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7" t="s">
        <v>2273</v>
      </c>
      <c r="G517" t="s">
        <v>395</v>
      </c>
      <c r="H517" t="str">
        <f>VLOOKUP(source[[#This Row],[Отвественный]],тОтветственные[],2,0)</f>
        <v>Отв19</v>
      </c>
      <c r="I517" s="2">
        <v>43596</v>
      </c>
      <c r="J517" s="2">
        <v>43596</v>
      </c>
      <c r="K517" t="s">
        <v>274</v>
      </c>
      <c r="L517">
        <v>0</v>
      </c>
      <c r="M517">
        <v>0</v>
      </c>
      <c r="N517" t="s">
        <v>159</v>
      </c>
      <c r="Q517" t="s">
        <v>124</v>
      </c>
      <c r="R517" t="str">
        <f>HYPERLINK("https://d28ji4sm1vmprj.cloudfront.net/355a08c081c3838ab5b858f428b86049/8945c7522deb0c15488ad801990cffed.jpeg", "Ссылка на план")</f>
        <v>Ссылка на план</v>
      </c>
      <c r="S517" s="1">
        <v>43596.464849537035</v>
      </c>
      <c r="T517" s="1">
        <v>43596.465300925927</v>
      </c>
      <c r="U517" s="1">
        <v>43596.46947916667</v>
      </c>
      <c r="W517" s="1">
        <v>43596.46947916667</v>
      </c>
      <c r="X517" t="s">
        <v>3846</v>
      </c>
      <c r="AA517" t="s">
        <v>3856</v>
      </c>
      <c r="AB517" t="s">
        <v>3857</v>
      </c>
      <c r="AC517" t="s">
        <v>3858</v>
      </c>
      <c r="AD517" t="s">
        <v>3859</v>
      </c>
      <c r="BF517" t="s">
        <v>114</v>
      </c>
      <c r="BG517" t="s">
        <v>3794</v>
      </c>
      <c r="BH517" t="s">
        <v>3860</v>
      </c>
      <c r="BI517" t="s">
        <v>3861</v>
      </c>
      <c r="BJ517" t="str">
        <f>HYPERLINK("https://d33htgqikc2pj4.cloudfront.net/d4e5e851-d37c-45ca-ae1e-86ae0ecb4d4b.jpeg", "Владимир Чугунов: Ссылка на изображение")</f>
        <v>Владимир Чугунов: Ссылка на изображение</v>
      </c>
      <c r="BK517" t="str">
        <f>HYPERLINK("https://d33htgqikc2pj4.cloudfront.net/6640ad8e-c832-46c9-99a7-42fc8faf61af.jpeg", "Владимир Чугунов: Ссылка на изображение")</f>
        <v>Владимир Чугунов: Ссылка на изображение</v>
      </c>
      <c r="BL517" t="s">
        <v>102</v>
      </c>
    </row>
    <row r="518" spans="1:84" ht="15" customHeight="1" x14ac:dyDescent="0.35">
      <c r="A518">
        <v>24</v>
      </c>
      <c r="B518" t="s">
        <v>3862</v>
      </c>
      <c r="C518">
        <v>2</v>
      </c>
      <c r="D518" t="str">
        <f>VLOOKUP(source[[#This Row],[Приоритет]],тПриоритеты[],2,0)</f>
        <v>Значительное</v>
      </c>
      <c r="E5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8" t="s">
        <v>2273</v>
      </c>
      <c r="G518" t="s">
        <v>395</v>
      </c>
      <c r="H518" t="str">
        <f>VLOOKUP(source[[#This Row],[Отвественный]],тОтветственные[],2,0)</f>
        <v>Отв19</v>
      </c>
      <c r="I518" s="2">
        <v>43560</v>
      </c>
      <c r="J518" s="2">
        <v>43560</v>
      </c>
      <c r="K518" t="s">
        <v>158</v>
      </c>
      <c r="L518">
        <v>0</v>
      </c>
      <c r="M518">
        <v>0</v>
      </c>
      <c r="N518" t="s">
        <v>159</v>
      </c>
      <c r="Q518" t="s">
        <v>124</v>
      </c>
      <c r="R518" t="str">
        <f>HYPERLINK("https://d28ji4sm1vmprj.cloudfront.net/09622a2bb466dfd1cdfb85ce6a712a4c/080b534903fe5ecae6d56f3611cbeb01.jpeg", "Ссылка на план")</f>
        <v>Ссылка на план</v>
      </c>
      <c r="S518" s="1">
        <v>43560.464097222219</v>
      </c>
      <c r="T518" s="1">
        <v>43560.416087962964</v>
      </c>
      <c r="U518" s="1">
        <v>43560.417013888888</v>
      </c>
      <c r="W518" s="1">
        <v>43560.468321759261</v>
      </c>
      <c r="X518" t="s">
        <v>2421</v>
      </c>
      <c r="AA518" t="s">
        <v>3863</v>
      </c>
      <c r="AB518" t="s">
        <v>3864</v>
      </c>
      <c r="AC518" t="s">
        <v>3865</v>
      </c>
      <c r="AD518" t="s">
        <v>3866</v>
      </c>
      <c r="AE518" t="s">
        <v>3867</v>
      </c>
      <c r="AF518" t="s">
        <v>3868</v>
      </c>
      <c r="AG518" t="s">
        <v>3869</v>
      </c>
      <c r="BF518" t="s">
        <v>114</v>
      </c>
      <c r="BG518" t="s">
        <v>3870</v>
      </c>
      <c r="BH518" t="s">
        <v>3794</v>
      </c>
      <c r="BI518" t="s">
        <v>102</v>
      </c>
      <c r="BJ518" t="s">
        <v>3871</v>
      </c>
      <c r="BK518" t="str">
        <f>HYPERLINK("https://d33htgqikc2pj4.cloudfront.net/ac401cdd-55e8-4497-b6a3-3d9bae89b784.jpeg", "Владимир Чугунов: Ссылка на изображение")</f>
        <v>Владимир Чугунов: Ссылка на изображение</v>
      </c>
      <c r="BL518" t="str">
        <f>HYPERLINK("https://d33htgqikc2pj4.cloudfront.net/b7807396-4b8d-4d15-b1b8-94526bdb92fe.jpeg", "Владимир Чугунов: Ссылка на изображение")</f>
        <v>Владимир Чугунов: Ссылка на изображение</v>
      </c>
      <c r="BM518" t="str">
        <f>HYPERLINK("https://d33htgqikc2pj4.cloudfront.net/efd024f0-5f77-483a-bfd5-7783f1a9f012.jpeg", "Владимир Чугунов: Ссылка на изображение")</f>
        <v>Владимир Чугунов: Ссылка на изображение</v>
      </c>
      <c r="BN518" t="str">
        <f>HYPERLINK("https://d33htgqikc2pj4.cloudfront.net/489a0538-37e7-4260-a153-adfe6d3d8aad.jpeg", "Владимир Чугунов: Ссылка на изображение")</f>
        <v>Владимир Чугунов: Ссылка на изображение</v>
      </c>
      <c r="BO518" t="str">
        <f>HYPERLINK("https://d33htgqikc2pj4.cloudfront.net/99fb721b-bb39-48e1-abfc-9da50b23129a.jpeg", "Владимир Чугунов: Ссылка на изображение")</f>
        <v>Владимир Чугунов: Ссылка на изображение</v>
      </c>
      <c r="BP518" t="str">
        <f>HYPERLINK("https://d33htgqikc2pj4.cloudfront.net/79938f6a-7806-474c-91a3-2841aa1b41ee.jpeg", "Владимир Чугунов: Ссылка на изображение")</f>
        <v>Владимир Чугунов: Ссылка на изображение</v>
      </c>
      <c r="BQ518" t="str">
        <f>HYPERLINK("https://d33htgqikc2pj4.cloudfront.net/f31f0855-3b98-4834-b73e-a7e62e1f38b5.jpeg", "Владимир Чугунов: Ссылка на изображение")</f>
        <v>Владимир Чугунов: Ссылка на изображение</v>
      </c>
      <c r="BR518" t="str">
        <f>HYPERLINK("https://d33htgqikc2pj4.cloudfront.net/a4facacb-4e81-4344-9ea9-6efb2990cc38.jpeg", "Владимир Чугунов: Ссылка на изображение")</f>
        <v>Владимир Чугунов: Ссылка на изображение</v>
      </c>
      <c r="BS518" t="str">
        <f>HYPERLINK("https://d33htgqikc2pj4.cloudfront.net/cc258804-ea19-469d-8d1a-99956c1bbfb5.jpeg", "Владимир Чугунов: Ссылка на изображение")</f>
        <v>Владимир Чугунов: Ссылка на изображение</v>
      </c>
      <c r="BT518" t="str">
        <f>HYPERLINK("https://d33htgqikc2pj4.cloudfront.net/6ff49b0d-4015-4dcb-b5b5-6fe3b9833767.jpeg", "Владимир Чугунов: Ссылка на изображение")</f>
        <v>Владимир Чугунов: Ссылка на изображение</v>
      </c>
      <c r="BU518" t="str">
        <f>HYPERLINK("https://d33htgqikc2pj4.cloudfront.net/3eb92870-5c7e-4197-901a-57131bf3fc0a.jpeg", "Владимир Чугунов: Ссылка на изображение")</f>
        <v>Владимир Чугунов: Ссылка на изображение</v>
      </c>
      <c r="BV518" t="str">
        <f>HYPERLINK("https://d33htgqikc2pj4.cloudfront.net/710fae6d-ee52-4a28-9cdb-35df179b4214.jpeg", "Владимир Чугунов: Ссылка на изображение")</f>
        <v>Владимир Чугунов: Ссылка на изображение</v>
      </c>
      <c r="BW518" t="str">
        <f>HYPERLINK("https://d33htgqikc2pj4.cloudfront.net/af6f44a5-fd03-4afc-ba06-d73107b9465e.jpeg", "Владимир Чугунов: Ссылка на изображение")</f>
        <v>Владимир Чугунов: Ссылка на изображение</v>
      </c>
      <c r="BX518" t="str">
        <f>HYPERLINK("https://d33htgqikc2pj4.cloudfront.net/7c992ffb-8186-42dc-8010-bbacb0e46672.jpeg", "Владимир Чугунов: Ссылка на изображение")</f>
        <v>Владимир Чугунов: Ссылка на изображение</v>
      </c>
      <c r="BY518" t="s">
        <v>3872</v>
      </c>
      <c r="BZ518" t="s">
        <v>3872</v>
      </c>
      <c r="CA518" t="s">
        <v>3873</v>
      </c>
      <c r="CB518" t="s">
        <v>3871</v>
      </c>
      <c r="CC518" t="s">
        <v>3874</v>
      </c>
      <c r="CD518" t="s">
        <v>3874</v>
      </c>
      <c r="CE518" t="s">
        <v>3874</v>
      </c>
      <c r="CF518" t="s">
        <v>171</v>
      </c>
    </row>
    <row r="519" spans="1:84" ht="15" customHeight="1" x14ac:dyDescent="0.35">
      <c r="A519">
        <v>72</v>
      </c>
      <c r="B519" t="s">
        <v>3875</v>
      </c>
      <c r="C519">
        <v>2</v>
      </c>
      <c r="D519" t="str">
        <f>VLOOKUP(source[[#This Row],[Приоритет]],тПриоритеты[],2,0)</f>
        <v>Значительное</v>
      </c>
      <c r="E5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19" t="s">
        <v>2273</v>
      </c>
      <c r="G519" t="s">
        <v>395</v>
      </c>
      <c r="H519" t="str">
        <f>VLOOKUP(source[[#This Row],[Отвественный]],тОтветственные[],2,0)</f>
        <v>Отв19</v>
      </c>
      <c r="I519" s="2">
        <v>43598</v>
      </c>
      <c r="J519" s="2">
        <v>43598</v>
      </c>
      <c r="K519" t="s">
        <v>274</v>
      </c>
      <c r="L519">
        <v>0</v>
      </c>
      <c r="M519">
        <v>0</v>
      </c>
      <c r="N519" t="s">
        <v>159</v>
      </c>
      <c r="Q519" t="s">
        <v>124</v>
      </c>
      <c r="R519" t="str">
        <f>HYPERLINK("https://d28ji4sm1vmprj.cloudfront.net/355a08c081c3838ab5b858f428b86049/8945c7522deb0c15488ad801990cffed.jpeg", "Ссылка на план")</f>
        <v>Ссылка на план</v>
      </c>
      <c r="S519" s="1">
        <v>43598.66982638889</v>
      </c>
      <c r="T519" s="1">
        <v>43598.669849537036</v>
      </c>
      <c r="U519" s="1">
        <v>43598.671643518515</v>
      </c>
      <c r="W519" s="1">
        <v>43598.671643518515</v>
      </c>
      <c r="X519" t="s">
        <v>3846</v>
      </c>
      <c r="AA519" t="s">
        <v>3876</v>
      </c>
      <c r="AB519" t="s">
        <v>3877</v>
      </c>
      <c r="AC519" t="s">
        <v>3878</v>
      </c>
      <c r="AD519" t="s">
        <v>3879</v>
      </c>
      <c r="BF519" t="s">
        <v>114</v>
      </c>
      <c r="BG519" t="s">
        <v>3880</v>
      </c>
      <c r="BH519" t="s">
        <v>3794</v>
      </c>
      <c r="BI519" t="s">
        <v>3881</v>
      </c>
      <c r="BJ519" t="str">
        <f>HYPERLINK("https://d33htgqikc2pj4.cloudfront.net/5a8babdd-cf58-457d-b895-387f7a3441ac.jpeg", "Владимир Чугунов: Ссылка на изображение")</f>
        <v>Владимир Чугунов: Ссылка на изображение</v>
      </c>
      <c r="BK519" t="str">
        <f>HYPERLINK("https://d33htgqikc2pj4.cloudfront.net/ad23df6a-570f-43de-96a2-f9d833b59851.jpeg", "Владимир Чугунов: Ссылка на изображение")</f>
        <v>Владимир Чугунов: Ссылка на изображение</v>
      </c>
      <c r="BL519" t="str">
        <f>HYPERLINK("https://d33htgqikc2pj4.cloudfront.net/065a6efb-91be-43ed-8001-9813c64833a8.jpeg", "Владимир Чугунов: Ссылка на изображение")</f>
        <v>Владимир Чугунов: Ссылка на изображение</v>
      </c>
      <c r="BM519" t="s">
        <v>102</v>
      </c>
    </row>
    <row r="520" spans="1:84" ht="15" customHeight="1" x14ac:dyDescent="0.35">
      <c r="A520">
        <v>26</v>
      </c>
      <c r="B520" t="s">
        <v>3882</v>
      </c>
      <c r="C520">
        <v>2</v>
      </c>
      <c r="D520" t="str">
        <f>VLOOKUP(source[[#This Row],[Приоритет]],тПриоритеты[],2,0)</f>
        <v>Значительное</v>
      </c>
      <c r="E5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0" t="s">
        <v>2273</v>
      </c>
      <c r="G520" t="s">
        <v>395</v>
      </c>
      <c r="H520" t="str">
        <f>VLOOKUP(source[[#This Row],[Отвественный]],тОтветственные[],2,0)</f>
        <v>Отв19</v>
      </c>
      <c r="I520" s="2">
        <v>43563</v>
      </c>
      <c r="J520" s="2">
        <v>43563</v>
      </c>
      <c r="K520" t="s">
        <v>158</v>
      </c>
      <c r="L520">
        <v>0</v>
      </c>
      <c r="M520">
        <v>0</v>
      </c>
      <c r="N520" t="s">
        <v>195</v>
      </c>
      <c r="Q520" t="s">
        <v>124</v>
      </c>
      <c r="R520" t="str">
        <f>HYPERLINK("https://d28ji4sm1vmprj.cloudfront.net/09622a2bb466dfd1cdfb85ce6a712a4c/080b534903fe5ecae6d56f3611cbeb01.jpeg", "Ссылка на план")</f>
        <v>Ссылка на план</v>
      </c>
      <c r="S520" s="1">
        <v>43563.597766203704</v>
      </c>
      <c r="T520" s="1">
        <v>43563.597777777781</v>
      </c>
      <c r="U520" s="1">
        <v>43563.597777777781</v>
      </c>
      <c r="W520" s="1">
        <v>43563.599027777775</v>
      </c>
      <c r="X520" t="s">
        <v>3883</v>
      </c>
      <c r="AA520" t="s">
        <v>3884</v>
      </c>
      <c r="AB520" t="s">
        <v>3885</v>
      </c>
      <c r="AC520" t="s">
        <v>3886</v>
      </c>
      <c r="AD520" t="s">
        <v>3887</v>
      </c>
      <c r="AE520" t="s">
        <v>3888</v>
      </c>
      <c r="AF520" t="s">
        <v>3889</v>
      </c>
      <c r="AG520" t="s">
        <v>3890</v>
      </c>
      <c r="BF520" t="s">
        <v>102</v>
      </c>
      <c r="BG520" t="s">
        <v>3891</v>
      </c>
      <c r="BH520" t="s">
        <v>3892</v>
      </c>
      <c r="BI520" t="str">
        <f>HYPERLINK("https://d33htgqikc2pj4.cloudfront.net/f83405c0-f1d3-4bf0-9f82-b243961825f0.jpeg", "Владимир Чугунов: Ссылка на изображение")</f>
        <v>Владимир Чугунов: Ссылка на изображение</v>
      </c>
      <c r="BJ520" t="str">
        <f>HYPERLINK("https://d33htgqikc2pj4.cloudfront.net/922fdadf-06c0-449a-a86b-d5d88e35bc81.jpeg", "Владимир Чугунов: Ссылка на изображение")</f>
        <v>Владимир Чугунов: Ссылка на изображение</v>
      </c>
      <c r="BK520" t="str">
        <f>HYPERLINK("https://d33htgqikc2pj4.cloudfront.net/df18132d-ea4e-49cc-b86a-ad8d8f5fda6c.jpeg", "Владимир Чугунов: Ссылка на изображение")</f>
        <v>Владимир Чугунов: Ссылка на изображение</v>
      </c>
      <c r="BL520" t="str">
        <f>HYPERLINK("https://d33htgqikc2pj4.cloudfront.net/f50f76ef-ae99-4e97-8062-f083d029e4b9.jpeg", "Владимир Чугунов: Ссылка на изображение")</f>
        <v>Владимир Чугунов: Ссылка на изображение</v>
      </c>
    </row>
    <row r="521" spans="1:84" ht="15" customHeight="1" x14ac:dyDescent="0.35">
      <c r="A521">
        <v>139</v>
      </c>
      <c r="B521" t="s">
        <v>3893</v>
      </c>
      <c r="C521">
        <v>2</v>
      </c>
      <c r="D521" t="str">
        <f>VLOOKUP(source[[#This Row],[Приоритет]],тПриоритеты[],2,0)</f>
        <v>Значительное</v>
      </c>
      <c r="E5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1" t="s">
        <v>2273</v>
      </c>
      <c r="G521" t="s">
        <v>395</v>
      </c>
      <c r="H521" t="str">
        <f>VLOOKUP(source[[#This Row],[Отвественный]],тОтветственные[],2,0)</f>
        <v>Отв19</v>
      </c>
      <c r="K521" t="s">
        <v>471</v>
      </c>
      <c r="L521">
        <v>0</v>
      </c>
      <c r="M521">
        <v>0</v>
      </c>
      <c r="N521" t="s">
        <v>472</v>
      </c>
      <c r="Q521" t="s">
        <v>124</v>
      </c>
      <c r="R521" t="str">
        <f>HYPERLINK("https://d28ji4sm1vmprj.cloudfront.net/06203b9cd12b558b7cdbe39adaea960d/07868826f36275e270f56d723368aba7.jpeg", "Ссылка на план")</f>
        <v>Ссылка на план</v>
      </c>
      <c r="S521" s="1">
        <v>43631.450381944444</v>
      </c>
      <c r="T521" s="1">
        <v>43631.451365740744</v>
      </c>
      <c r="U521" s="1">
        <v>43631.451388888891</v>
      </c>
      <c r="W521" s="1">
        <v>43631.452187499999</v>
      </c>
      <c r="X521" t="s">
        <v>3883</v>
      </c>
      <c r="AA521" t="s">
        <v>3894</v>
      </c>
      <c r="AB521" t="s">
        <v>3895</v>
      </c>
      <c r="AC521" t="s">
        <v>3896</v>
      </c>
      <c r="AD521" t="s">
        <v>3897</v>
      </c>
      <c r="AE521" t="s">
        <v>3898</v>
      </c>
      <c r="AF521" t="s">
        <v>3899</v>
      </c>
      <c r="AG521" t="s">
        <v>3900</v>
      </c>
      <c r="BF521" t="s">
        <v>3901</v>
      </c>
      <c r="BG521" t="s">
        <v>3794</v>
      </c>
      <c r="BH521" t="s">
        <v>114</v>
      </c>
      <c r="BI521" t="s">
        <v>102</v>
      </c>
      <c r="BJ521" t="str">
        <f>HYPERLINK("https://d33htgqikc2pj4.cloudfront.net/df2b890c-0ce0-4158-92e7-c7fe8e3b16b6.jpeg", "Владимир Чугунов: Ссылка на изображение")</f>
        <v>Владимир Чугунов: Ссылка на изображение</v>
      </c>
    </row>
    <row r="522" spans="1:84" ht="15" customHeight="1" x14ac:dyDescent="0.35">
      <c r="A522">
        <v>30</v>
      </c>
      <c r="B522" t="s">
        <v>1251</v>
      </c>
      <c r="C522">
        <v>2</v>
      </c>
      <c r="D522" t="str">
        <f>VLOOKUP(source[[#This Row],[Приоритет]],тПриоритеты[],2,0)</f>
        <v>Значительное</v>
      </c>
      <c r="E5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2" t="s">
        <v>2273</v>
      </c>
      <c r="G522" t="s">
        <v>395</v>
      </c>
      <c r="H522" t="str">
        <f>VLOOKUP(source[[#This Row],[Отвественный]],тОтветственные[],2,0)</f>
        <v>Отв19</v>
      </c>
      <c r="I522" s="2">
        <v>43564</v>
      </c>
      <c r="J522" s="2">
        <v>43564</v>
      </c>
      <c r="K522" t="s">
        <v>158</v>
      </c>
      <c r="L522">
        <v>0</v>
      </c>
      <c r="M522">
        <v>0</v>
      </c>
      <c r="N522" t="s">
        <v>439</v>
      </c>
      <c r="Q522" t="s">
        <v>124</v>
      </c>
      <c r="R522" t="str">
        <f t="shared" ref="R522:R528" si="7">HYPERLINK("https://d28ji4sm1vmprj.cloudfront.net/09622a2bb466dfd1cdfb85ce6a712a4c/080b534903fe5ecae6d56f3611cbeb01.jpeg", "Ссылка на план")</f>
        <v>Ссылка на план</v>
      </c>
      <c r="S522" s="1">
        <v>43564.455127314817</v>
      </c>
      <c r="T522" s="1">
        <v>43564.456956018519</v>
      </c>
      <c r="U522" s="1">
        <v>43564.457048611112</v>
      </c>
      <c r="W522" s="1">
        <v>43564.457245370373</v>
      </c>
      <c r="X522" t="s">
        <v>406</v>
      </c>
      <c r="Z522" t="s">
        <v>1250</v>
      </c>
      <c r="AA522" t="s">
        <v>3902</v>
      </c>
      <c r="AB522" t="s">
        <v>3903</v>
      </c>
      <c r="AC522" t="s">
        <v>3904</v>
      </c>
      <c r="AD522" t="s">
        <v>3905</v>
      </c>
      <c r="AE522" t="s">
        <v>3906</v>
      </c>
      <c r="AF522" t="s">
        <v>3907</v>
      </c>
      <c r="AG522" t="s">
        <v>3908</v>
      </c>
      <c r="BF522" t="s">
        <v>114</v>
      </c>
      <c r="BG522" t="s">
        <v>3909</v>
      </c>
      <c r="BH522" t="s">
        <v>3794</v>
      </c>
      <c r="BI522" t="s">
        <v>102</v>
      </c>
      <c r="BJ522" t="s">
        <v>114</v>
      </c>
      <c r="BK522" t="s">
        <v>102</v>
      </c>
      <c r="BL522" t="s">
        <v>1252</v>
      </c>
      <c r="BM522" t="str">
        <f>HYPERLINK("https://d33htgqikc2pj4.cloudfront.net/b47dee76-f09e-4848-a9db-39f19baf46ab.jpeg", "Владимир Чугунов: Ссылка на изображение")</f>
        <v>Владимир Чугунов: Ссылка на изображение</v>
      </c>
    </row>
    <row r="523" spans="1:84" ht="15" customHeight="1" x14ac:dyDescent="0.35">
      <c r="A523">
        <v>34</v>
      </c>
      <c r="B523" t="s">
        <v>3910</v>
      </c>
      <c r="C523">
        <v>2</v>
      </c>
      <c r="D523" t="str">
        <f>VLOOKUP(source[[#This Row],[Приоритет]],тПриоритеты[],2,0)</f>
        <v>Значительное</v>
      </c>
      <c r="E5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3" t="s">
        <v>2273</v>
      </c>
      <c r="G523" t="s">
        <v>395</v>
      </c>
      <c r="H523" t="str">
        <f>VLOOKUP(source[[#This Row],[Отвественный]],тОтветственные[],2,0)</f>
        <v>Отв19</v>
      </c>
      <c r="I523" s="2">
        <v>43567</v>
      </c>
      <c r="J523" s="2">
        <v>43567</v>
      </c>
      <c r="K523" t="s">
        <v>158</v>
      </c>
      <c r="L523">
        <v>0</v>
      </c>
      <c r="M523">
        <v>0</v>
      </c>
      <c r="N523" t="s">
        <v>1169</v>
      </c>
      <c r="Q523" t="s">
        <v>124</v>
      </c>
      <c r="R523" t="str">
        <f t="shared" si="7"/>
        <v>Ссылка на план</v>
      </c>
      <c r="S523" s="1">
        <v>43567.643518518518</v>
      </c>
      <c r="T523" s="1">
        <v>43567.635937500003</v>
      </c>
      <c r="U523" s="1">
        <v>43567.641388888886</v>
      </c>
      <c r="W523" s="1">
        <v>43567.646018518521</v>
      </c>
      <c r="X523" t="s">
        <v>406</v>
      </c>
      <c r="AA523" t="s">
        <v>3911</v>
      </c>
      <c r="AB523" t="s">
        <v>3912</v>
      </c>
      <c r="AC523" t="s">
        <v>3913</v>
      </c>
      <c r="AD523" t="s">
        <v>3914</v>
      </c>
      <c r="AE523" t="s">
        <v>3915</v>
      </c>
      <c r="AF523" t="s">
        <v>3916</v>
      </c>
      <c r="AG523" t="s">
        <v>3917</v>
      </c>
      <c r="BF523" t="s">
        <v>102</v>
      </c>
      <c r="BG523" t="s">
        <v>114</v>
      </c>
      <c r="BH523" t="s">
        <v>3918</v>
      </c>
      <c r="BI523" t="s">
        <v>3794</v>
      </c>
      <c r="BJ523" t="s">
        <v>3919</v>
      </c>
      <c r="BK523" t="str">
        <f>HYPERLINK("https://d33htgqikc2pj4.cloudfront.net/f4fbc598-7a2a-4d20-b446-eea4f2a58249.jpeg", "Владимир Чугунов: Ссылка на изображение")</f>
        <v>Владимир Чугунов: Ссылка на изображение</v>
      </c>
      <c r="BL523" t="str">
        <f>HYPERLINK("https://d33htgqikc2pj4.cloudfront.net/5cdfc538-a52a-4d57-95bc-c54cbd5b810f.jpeg", "Владимир Чугунов: Ссылка на изображение")</f>
        <v>Владимир Чугунов: Ссылка на изображение</v>
      </c>
      <c r="BM523" t="str">
        <f>HYPERLINK("https://d33htgqikc2pj4.cloudfront.net/618fea64-73f1-47b7-9766-731d975309ec.jpeg", "Владимир Чугунов: Ссылка на изображение")</f>
        <v>Владимир Чугунов: Ссылка на изображение</v>
      </c>
      <c r="BN523" t="str">
        <f>HYPERLINK("https://d33htgqikc2pj4.cloudfront.net/22da55a7-7dd2-4808-9470-4bdcd6ae7a54.jpeg", "Владимир Чугунов: Ссылка на изображение")</f>
        <v>Владимир Чугунов: Ссылка на изображение</v>
      </c>
      <c r="BO523" t="str">
        <f>HYPERLINK("https://d33htgqikc2pj4.cloudfront.net/bee39371-954d-4bc9-acc8-b56ddcbcdf62.jpeg", "Владимир Чугунов: Ссылка на изображение")</f>
        <v>Владимир Чугунов: Ссылка на изображение</v>
      </c>
      <c r="BP523" t="str">
        <f>HYPERLINK("https://d33htgqikc2pj4.cloudfront.net/2a38c876-9e5e-4ece-b24a-e558b18e5ee0.jpeg", "Владимир Чугунов: Ссылка на изображение")</f>
        <v>Владимир Чугунов: Ссылка на изображение</v>
      </c>
      <c r="BQ523" t="str">
        <f>HYPERLINK("https://d33htgqikc2pj4.cloudfront.net/deb7e6ea-ace3-49e8-8ff2-40fafaecd472.jpeg", "Владимир Чугунов: Ссылка на изображение")</f>
        <v>Владимир Чугунов: Ссылка на изображение</v>
      </c>
      <c r="BR523" t="str">
        <f>HYPERLINK("https://d33htgqikc2pj4.cloudfront.net/333ad3c5-4b0b-4125-93ed-e276878e502a.jpeg", "Владимир Чугунов: Ссылка на изображение")</f>
        <v>Владимир Чугунов: Ссылка на изображение</v>
      </c>
      <c r="BS523" t="s">
        <v>102</v>
      </c>
      <c r="BT523" t="s">
        <v>3920</v>
      </c>
      <c r="BU523" t="s">
        <v>3921</v>
      </c>
    </row>
    <row r="524" spans="1:84" ht="15" customHeight="1" x14ac:dyDescent="0.35">
      <c r="A524">
        <v>38</v>
      </c>
      <c r="B524" t="s">
        <v>3922</v>
      </c>
      <c r="C524">
        <v>2</v>
      </c>
      <c r="D524" t="str">
        <f>VLOOKUP(source[[#This Row],[Приоритет]],тПриоритеты[],2,0)</f>
        <v>Значительное</v>
      </c>
      <c r="E5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4" t="s">
        <v>2273</v>
      </c>
      <c r="G524" t="s">
        <v>395</v>
      </c>
      <c r="H524" t="str">
        <f>VLOOKUP(source[[#This Row],[Отвественный]],тОтветственные[],2,0)</f>
        <v>Отв19</v>
      </c>
      <c r="I524" s="2">
        <v>43571</v>
      </c>
      <c r="J524" s="2">
        <v>43571</v>
      </c>
      <c r="K524" t="s">
        <v>158</v>
      </c>
      <c r="L524">
        <v>0</v>
      </c>
      <c r="M524">
        <v>0</v>
      </c>
      <c r="N524" t="s">
        <v>159</v>
      </c>
      <c r="Q524" t="s">
        <v>124</v>
      </c>
      <c r="R524" t="str">
        <f t="shared" si="7"/>
        <v>Ссылка на план</v>
      </c>
      <c r="S524" s="1">
        <v>43571.462418981479</v>
      </c>
      <c r="T524" s="1">
        <v>43571.462476851855</v>
      </c>
      <c r="U524" s="1">
        <v>43571.47929398148</v>
      </c>
      <c r="W524" s="1">
        <v>43571.47929398148</v>
      </c>
      <c r="X524" t="s">
        <v>2421</v>
      </c>
      <c r="AA524" t="s">
        <v>3923</v>
      </c>
      <c r="AB524" t="s">
        <v>3924</v>
      </c>
      <c r="AC524" t="s">
        <v>3925</v>
      </c>
      <c r="AD524" t="s">
        <v>3926</v>
      </c>
      <c r="AE524" t="s">
        <v>3927</v>
      </c>
      <c r="AF524" t="s">
        <v>3928</v>
      </c>
      <c r="AG524" t="s">
        <v>3929</v>
      </c>
      <c r="BF524" t="s">
        <v>114</v>
      </c>
      <c r="BG524" t="s">
        <v>3930</v>
      </c>
      <c r="BH524" t="s">
        <v>3794</v>
      </c>
      <c r="BI524" t="s">
        <v>3931</v>
      </c>
      <c r="BJ524" t="str">
        <f>HYPERLINK("https://d33htgqikc2pj4.cloudfront.net/5b1908c0-e48a-4ca2-8cbc-20534409470c.jpeg", "Владимир Чугунов: Ссылка на изображение")</f>
        <v>Владимир Чугунов: Ссылка на изображение</v>
      </c>
      <c r="BK524" t="str">
        <f>HYPERLINK("https://d33htgqikc2pj4.cloudfront.net/299b79ef-b149-4080-a3e6-50275c0e15a8.jpeg", "Владимир Чугунов: Ссылка на изображение")</f>
        <v>Владимир Чугунов: Ссылка на изображение</v>
      </c>
      <c r="BL524" t="s">
        <v>102</v>
      </c>
    </row>
    <row r="525" spans="1:84" ht="15" customHeight="1" x14ac:dyDescent="0.35">
      <c r="A525">
        <v>91</v>
      </c>
      <c r="B525" t="s">
        <v>3932</v>
      </c>
      <c r="C525">
        <v>2</v>
      </c>
      <c r="D525" t="str">
        <f>VLOOKUP(source[[#This Row],[Приоритет]],тПриоритеты[],2,0)</f>
        <v>Значительное</v>
      </c>
      <c r="E5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5" t="s">
        <v>2273</v>
      </c>
      <c r="G525" t="s">
        <v>395</v>
      </c>
      <c r="H525" t="str">
        <f>VLOOKUP(source[[#This Row],[Отвественный]],тОтветственные[],2,0)</f>
        <v>Отв19</v>
      </c>
      <c r="I525" s="2">
        <v>43603</v>
      </c>
      <c r="J525" s="2">
        <v>43603</v>
      </c>
      <c r="K525" t="s">
        <v>158</v>
      </c>
      <c r="L525">
        <v>0</v>
      </c>
      <c r="M525">
        <v>0</v>
      </c>
      <c r="N525" t="s">
        <v>159</v>
      </c>
      <c r="Q525" t="s">
        <v>124</v>
      </c>
      <c r="R525" t="str">
        <f t="shared" si="7"/>
        <v>Ссылка на план</v>
      </c>
      <c r="S525" s="1">
        <v>43603.464270833334</v>
      </c>
      <c r="T525" s="1">
        <v>43603.464502314811</v>
      </c>
      <c r="U525" s="1">
        <v>43603.468807870369</v>
      </c>
      <c r="W525" s="1">
        <v>43603.468807870369</v>
      </c>
      <c r="X525" t="s">
        <v>2421</v>
      </c>
      <c r="Y525" t="s">
        <v>3846</v>
      </c>
      <c r="AA525" t="s">
        <v>3933</v>
      </c>
      <c r="AB525" t="s">
        <v>3934</v>
      </c>
      <c r="AC525" t="s">
        <v>3935</v>
      </c>
      <c r="AD525" t="s">
        <v>3936</v>
      </c>
      <c r="AE525" t="s">
        <v>3937</v>
      </c>
      <c r="AF525" t="s">
        <v>3938</v>
      </c>
      <c r="AG525" t="s">
        <v>3939</v>
      </c>
      <c r="AH525" t="s">
        <v>3940</v>
      </c>
      <c r="AI525" t="s">
        <v>3941</v>
      </c>
      <c r="AJ525" t="s">
        <v>3942</v>
      </c>
      <c r="AK525" t="s">
        <v>3943</v>
      </c>
      <c r="BF525" t="s">
        <v>102</v>
      </c>
      <c r="BG525" t="s">
        <v>114</v>
      </c>
      <c r="BH525" t="s">
        <v>3944</v>
      </c>
      <c r="BI525" t="s">
        <v>3794</v>
      </c>
      <c r="BJ525" t="s">
        <v>3945</v>
      </c>
      <c r="BK525" t="str">
        <f>HYPERLINK("https://d33htgqikc2pj4.cloudfront.net/f68ca393-f1d5-4f18-8dff-e114d36cf3f9.jpeg", "Владимир Чугунов: Ссылка на изображение")</f>
        <v>Владимир Чугунов: Ссылка на изображение</v>
      </c>
      <c r="BL525" t="str">
        <f>HYPERLINK("https://d33htgqikc2pj4.cloudfront.net/b8897c74-9979-4bf6-8040-8527236de700.jpeg", "Владимир Чугунов: Ссылка на изображение")</f>
        <v>Владимир Чугунов: Ссылка на изображение</v>
      </c>
      <c r="BM525" t="str">
        <f>HYPERLINK("https://d33htgqikc2pj4.cloudfront.net/58a63b7e-27bf-401a-9f1f-219d4e56d0fb.jpeg", "Владимир Чугунов: Ссылка на изображение")</f>
        <v>Владимир Чугунов: Ссылка на изображение</v>
      </c>
      <c r="BN525" t="str">
        <f>HYPERLINK("https://d33htgqikc2pj4.cloudfront.net/e7397ce5-2011-48f0-8735-57be4f7efcbb.jpeg", "Владимир Чугунов: Ссылка на изображение")</f>
        <v>Владимир Чугунов: Ссылка на изображение</v>
      </c>
      <c r="BO525" t="s">
        <v>102</v>
      </c>
    </row>
    <row r="526" spans="1:84" ht="15" customHeight="1" x14ac:dyDescent="0.35">
      <c r="A526">
        <v>90</v>
      </c>
      <c r="B526" t="s">
        <v>3946</v>
      </c>
      <c r="C526">
        <v>2</v>
      </c>
      <c r="D526" t="str">
        <f>VLOOKUP(source[[#This Row],[Приоритет]],тПриоритеты[],2,0)</f>
        <v>Значительное</v>
      </c>
      <c r="E5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6" t="s">
        <v>2273</v>
      </c>
      <c r="G526" t="s">
        <v>395</v>
      </c>
      <c r="H526" t="str">
        <f>VLOOKUP(source[[#This Row],[Отвественный]],тОтветственные[],2,0)</f>
        <v>Отв19</v>
      </c>
      <c r="I526" s="2">
        <v>43603</v>
      </c>
      <c r="J526" s="2">
        <v>43603</v>
      </c>
      <c r="K526" t="s">
        <v>158</v>
      </c>
      <c r="L526">
        <v>0</v>
      </c>
      <c r="M526">
        <v>0</v>
      </c>
      <c r="N526" t="s">
        <v>159</v>
      </c>
      <c r="Q526" t="s">
        <v>124</v>
      </c>
      <c r="R526" t="str">
        <f t="shared" si="7"/>
        <v>Ссылка на план</v>
      </c>
      <c r="S526" s="1">
        <v>43603.461111111108</v>
      </c>
      <c r="T526" s="1">
        <v>43603.461145833331</v>
      </c>
      <c r="U526" s="1">
        <v>43603.464699074073</v>
      </c>
      <c r="W526" s="1">
        <v>43603.46471064815</v>
      </c>
      <c r="X526" t="s">
        <v>2421</v>
      </c>
      <c r="AA526" t="s">
        <v>3933</v>
      </c>
      <c r="AB526" t="s">
        <v>3934</v>
      </c>
      <c r="AC526" t="s">
        <v>3935</v>
      </c>
      <c r="AD526" t="s">
        <v>3936</v>
      </c>
      <c r="AE526" t="s">
        <v>3937</v>
      </c>
      <c r="AF526" t="s">
        <v>3938</v>
      </c>
      <c r="AG526" t="s">
        <v>3939</v>
      </c>
      <c r="AH526" t="s">
        <v>3947</v>
      </c>
      <c r="AI526" t="s">
        <v>3948</v>
      </c>
      <c r="AJ526" t="s">
        <v>3949</v>
      </c>
      <c r="AK526" t="s">
        <v>3950</v>
      </c>
      <c r="AL526" t="s">
        <v>3951</v>
      </c>
      <c r="AM526" t="s">
        <v>3952</v>
      </c>
      <c r="AN526" t="s">
        <v>3939</v>
      </c>
      <c r="BF526" t="s">
        <v>114</v>
      </c>
      <c r="BG526" t="s">
        <v>3953</v>
      </c>
      <c r="BH526" t="s">
        <v>3794</v>
      </c>
      <c r="BI526" t="s">
        <v>3945</v>
      </c>
      <c r="BJ526" t="str">
        <f>HYPERLINK("https://d33htgqikc2pj4.cloudfront.net/5d540f62-e7cc-4ee6-b574-50e1ef319466.jpeg", "Владимир Чугунов: Ссылка на изображение")</f>
        <v>Владимир Чугунов: Ссылка на изображение</v>
      </c>
      <c r="BK526" t="str">
        <f>HYPERLINK("https://d33htgqikc2pj4.cloudfront.net/e2142a42-cc9a-41a0-a48e-e341d98ce224.jpeg", "Владимир Чугунов: Ссылка на изображение")</f>
        <v>Владимир Чугунов: Ссылка на изображение</v>
      </c>
      <c r="BL526" t="str">
        <f>HYPERLINK("https://d33htgqikc2pj4.cloudfront.net/b03fa6c6-b975-44a6-bcfc-18ecdd6ec4aa.jpeg", "Владимир Чугунов: Ссылка на изображение")</f>
        <v>Владимир Чугунов: Ссылка на изображение</v>
      </c>
      <c r="BM526" t="s">
        <v>127</v>
      </c>
      <c r="BN526" t="str">
        <f>HYPERLINK("https://d33htgqikc2pj4.cloudfront.net/b0ec45b8-7ca6-4e89-bef7-4819e37e7154.jpeg", "Владимир Чугунов: Ссылка на изображение")</f>
        <v>Владимир Чугунов: Ссылка на изображение</v>
      </c>
      <c r="BO526" t="s">
        <v>102</v>
      </c>
    </row>
    <row r="527" spans="1:84" ht="15" customHeight="1" x14ac:dyDescent="0.35">
      <c r="A527">
        <v>45</v>
      </c>
      <c r="B527" t="s">
        <v>3954</v>
      </c>
      <c r="C527">
        <v>2</v>
      </c>
      <c r="D527" t="str">
        <f>VLOOKUP(source[[#This Row],[Приоритет]],тПриоритеты[],2,0)</f>
        <v>Значительное</v>
      </c>
      <c r="E5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7" t="s">
        <v>2273</v>
      </c>
      <c r="G527" t="s">
        <v>395</v>
      </c>
      <c r="H527" t="str">
        <f>VLOOKUP(source[[#This Row],[Отвественный]],тОтветственные[],2,0)</f>
        <v>Отв19</v>
      </c>
      <c r="I527" s="2">
        <v>43575</v>
      </c>
      <c r="J527" s="2">
        <v>43575</v>
      </c>
      <c r="K527" t="s">
        <v>158</v>
      </c>
      <c r="L527">
        <v>0</v>
      </c>
      <c r="M527">
        <v>0</v>
      </c>
      <c r="N527" t="s">
        <v>159</v>
      </c>
      <c r="Q527" t="s">
        <v>124</v>
      </c>
      <c r="R527" t="str">
        <f t="shared" si="7"/>
        <v>Ссылка на план</v>
      </c>
      <c r="S527" s="1">
        <v>43575.431064814817</v>
      </c>
      <c r="T527" s="1">
        <v>43575.43310185185</v>
      </c>
      <c r="U527" s="1">
        <v>43575.433912037035</v>
      </c>
      <c r="W527" s="1">
        <v>43575.433912037035</v>
      </c>
      <c r="BF527" t="s">
        <v>114</v>
      </c>
      <c r="BG527" t="s">
        <v>3955</v>
      </c>
      <c r="BH527" t="s">
        <v>3794</v>
      </c>
      <c r="BI527" t="s">
        <v>3956</v>
      </c>
      <c r="BJ527" t="s">
        <v>102</v>
      </c>
      <c r="BK527" t="s">
        <v>114</v>
      </c>
      <c r="BL527" t="str">
        <f>HYPERLINK("https://d33htgqikc2pj4.cloudfront.net/b44a4e78-3aee-4ffb-93a0-a3ce295863b9.jpeg", "Владимир Чугунов: Ссылка на изображение")</f>
        <v>Владимир Чугунов: Ссылка на изображение</v>
      </c>
      <c r="BM527" t="str">
        <f>HYPERLINK("https://d33htgqikc2pj4.cloudfront.net/4623d7e8-a886-4847-92f4-aace89b69fac.jpeg", "Владимир Чугунов: Ссылка на изображение")</f>
        <v>Владимир Чугунов: Ссылка на изображение</v>
      </c>
      <c r="BN527" t="str">
        <f>HYPERLINK("https://d33htgqikc2pj4.cloudfront.net/e1e59345-733e-4bbd-826f-7f0b708a992a.jpeg", "Владимир Чугунов: Ссылка на изображение")</f>
        <v>Владимир Чугунов: Ссылка на изображение</v>
      </c>
      <c r="BO527" t="str">
        <f>HYPERLINK("https://d33htgqikc2pj4.cloudfront.net/fb36a43d-8b8d-4d85-8956-8d04834c2a8b.jpeg", "Владимир Чугунов: Ссылка на изображение")</f>
        <v>Владимир Чугунов: Ссылка на изображение</v>
      </c>
      <c r="BP527" t="str">
        <f>HYPERLINK("https://d33htgqikc2pj4.cloudfront.net/e05ff858-e1ed-40d1-975d-c6ef64bf5aaa.jpeg", "Владимир Чугунов: Ссылка на изображение")</f>
        <v>Владимир Чугунов: Ссылка на изображение</v>
      </c>
      <c r="BQ527" t="str">
        <f>HYPERLINK("https://d33htgqikc2pj4.cloudfront.net/276c88ec-f0a9-4249-ae40-cf74993ac2cd.jpeg", "Владимир Чугунов: Ссылка на изображение")</f>
        <v>Владимир Чугунов: Ссылка на изображение</v>
      </c>
      <c r="BR527" t="s">
        <v>102</v>
      </c>
    </row>
    <row r="528" spans="1:84" ht="15" customHeight="1" x14ac:dyDescent="0.35">
      <c r="A528">
        <v>50</v>
      </c>
      <c r="B528" t="s">
        <v>3957</v>
      </c>
      <c r="C528">
        <v>2</v>
      </c>
      <c r="D528" t="str">
        <f>VLOOKUP(source[[#This Row],[Приоритет]],тПриоритеты[],2,0)</f>
        <v>Значительное</v>
      </c>
      <c r="E5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8" t="s">
        <v>2273</v>
      </c>
      <c r="G528" t="s">
        <v>395</v>
      </c>
      <c r="H528" t="str">
        <f>VLOOKUP(source[[#This Row],[Отвественный]],тОтветственные[],2,0)</f>
        <v>Отв19</v>
      </c>
      <c r="I528" s="2">
        <v>43580</v>
      </c>
      <c r="J528" s="2">
        <v>43580</v>
      </c>
      <c r="K528" t="s">
        <v>158</v>
      </c>
      <c r="L528">
        <v>0</v>
      </c>
      <c r="M528">
        <v>0</v>
      </c>
      <c r="N528" t="s">
        <v>159</v>
      </c>
      <c r="Q528" t="s">
        <v>124</v>
      </c>
      <c r="R528" t="str">
        <f t="shared" si="7"/>
        <v>Ссылка на план</v>
      </c>
      <c r="S528" s="1">
        <v>43580.427731481483</v>
      </c>
      <c r="T528" s="1">
        <v>43580.427777777775</v>
      </c>
      <c r="U528" s="1">
        <v>43580.43068287037</v>
      </c>
      <c r="W528" s="1">
        <v>43580.43068287037</v>
      </c>
      <c r="X528" t="s">
        <v>3846</v>
      </c>
      <c r="AA528" t="s">
        <v>3958</v>
      </c>
      <c r="AB528" t="s">
        <v>3959</v>
      </c>
      <c r="AC528" t="s">
        <v>3960</v>
      </c>
      <c r="AD528" t="s">
        <v>3961</v>
      </c>
      <c r="BF528" t="s">
        <v>114</v>
      </c>
      <c r="BG528" t="s">
        <v>3962</v>
      </c>
      <c r="BH528" t="s">
        <v>869</v>
      </c>
      <c r="BI528" t="s">
        <v>3794</v>
      </c>
      <c r="BJ528" t="s">
        <v>3963</v>
      </c>
      <c r="BK528" t="str">
        <f>HYPERLINK("https://d33htgqikc2pj4.cloudfront.net/76a5a24d-33b2-45ec-84eb-aae088ef034e.jpeg", "Владимир Чугунов: Ссылка на изображение")</f>
        <v>Владимир Чугунов: Ссылка на изображение</v>
      </c>
      <c r="BL528" t="str">
        <f>HYPERLINK("https://d33htgqikc2pj4.cloudfront.net/3d75368f-8221-4bd8-b130-41cb8a42e2f0.jpeg", "Владимир Чугунов: Ссылка на изображение")</f>
        <v>Владимир Чугунов: Ссылка на изображение</v>
      </c>
      <c r="BM528" t="str">
        <f>HYPERLINK("https://d33htgqikc2pj4.cloudfront.net/fc4f2300-44d6-424d-9f3a-1dcf7561c1a6.jpeg", "Владимир Чугунов: Ссылка на изображение")</f>
        <v>Владимир Чугунов: Ссылка на изображение</v>
      </c>
      <c r="BN528" t="str">
        <f>HYPERLINK("https://d33htgqikc2pj4.cloudfront.net/83621bfa-3dd9-430c-ba94-6a2dee145671.jpeg", "Владимир Чугунов: Ссылка на изображение")</f>
        <v>Владимир Чугунов: Ссылка на изображение</v>
      </c>
      <c r="BO528" t="s">
        <v>102</v>
      </c>
    </row>
    <row r="529" spans="1:81" ht="15" customHeight="1" x14ac:dyDescent="0.35">
      <c r="A529">
        <v>51</v>
      </c>
      <c r="B529" t="s">
        <v>3964</v>
      </c>
      <c r="C529">
        <v>2</v>
      </c>
      <c r="D529" t="str">
        <f>VLOOKUP(source[[#This Row],[Приоритет]],тПриоритеты[],2,0)</f>
        <v>Значительное</v>
      </c>
      <c r="E5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29" t="s">
        <v>2273</v>
      </c>
      <c r="G529" t="s">
        <v>395</v>
      </c>
      <c r="H529" t="str">
        <f>VLOOKUP(source[[#This Row],[Отвественный]],тОтветственные[],2,0)</f>
        <v>Отв19</v>
      </c>
      <c r="I529" s="2">
        <v>43580</v>
      </c>
      <c r="J529" s="2">
        <v>43580</v>
      </c>
      <c r="K529" t="s">
        <v>274</v>
      </c>
      <c r="L529">
        <v>0</v>
      </c>
      <c r="M529">
        <v>0</v>
      </c>
      <c r="N529" t="s">
        <v>159</v>
      </c>
      <c r="Q529" t="s">
        <v>124</v>
      </c>
      <c r="R529" t="str">
        <f>HYPERLINK("https://d28ji4sm1vmprj.cloudfront.net/355a08c081c3838ab5b858f428b86049/8945c7522deb0c15488ad801990cffed.jpeg", "Ссылка на план")</f>
        <v>Ссылка на план</v>
      </c>
      <c r="S529" s="1">
        <v>43580.430752314816</v>
      </c>
      <c r="T529" s="1">
        <v>43580.430810185186</v>
      </c>
      <c r="U529" s="1">
        <v>43580.432847222219</v>
      </c>
      <c r="W529" s="1">
        <v>43580.432847222219</v>
      </c>
      <c r="X529" t="s">
        <v>3846</v>
      </c>
      <c r="AA529" t="s">
        <v>3958</v>
      </c>
      <c r="AB529" t="s">
        <v>3959</v>
      </c>
      <c r="AC529" t="s">
        <v>3960</v>
      </c>
      <c r="AD529" t="s">
        <v>3961</v>
      </c>
      <c r="BF529" t="s">
        <v>114</v>
      </c>
      <c r="BG529" t="s">
        <v>3965</v>
      </c>
      <c r="BH529" t="s">
        <v>3794</v>
      </c>
      <c r="BI529" t="s">
        <v>3963</v>
      </c>
      <c r="BJ529" t="str">
        <f>HYPERLINK("https://d33htgqikc2pj4.cloudfront.net/ab17c7fb-d0f5-4d71-9a2f-f29b02ecf14b.jpeg", "Владимир Чугунов: Ссылка на изображение")</f>
        <v>Владимир Чугунов: Ссылка на изображение</v>
      </c>
      <c r="BK529" t="str">
        <f>HYPERLINK("https://d33htgqikc2pj4.cloudfront.net/b5914fba-2ab8-4bc2-99a0-ae60e7aeb39a.jpeg", "Владимир Чугунов: Ссылка на изображение")</f>
        <v>Владимир Чугунов: Ссылка на изображение</v>
      </c>
      <c r="BL529" t="s">
        <v>102</v>
      </c>
      <c r="BM529" t="s">
        <v>127</v>
      </c>
    </row>
    <row r="530" spans="1:81" ht="15" customHeight="1" x14ac:dyDescent="0.35">
      <c r="A530">
        <v>49</v>
      </c>
      <c r="B530" t="s">
        <v>3966</v>
      </c>
      <c r="C530">
        <v>2</v>
      </c>
      <c r="D530" t="str">
        <f>VLOOKUP(source[[#This Row],[Приоритет]],тПриоритеты[],2,0)</f>
        <v>Значительное</v>
      </c>
      <c r="E5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0" t="s">
        <v>2273</v>
      </c>
      <c r="G530" t="s">
        <v>395</v>
      </c>
      <c r="H530" t="str">
        <f>VLOOKUP(source[[#This Row],[Отвественный]],тОтветственные[],2,0)</f>
        <v>Отв19</v>
      </c>
      <c r="I530" s="2">
        <v>43580</v>
      </c>
      <c r="J530" s="2">
        <v>43580</v>
      </c>
      <c r="K530" t="s">
        <v>158</v>
      </c>
      <c r="L530">
        <v>0</v>
      </c>
      <c r="M530">
        <v>0</v>
      </c>
      <c r="N530" t="s">
        <v>159</v>
      </c>
      <c r="Q530" t="s">
        <v>124</v>
      </c>
      <c r="R530" t="str">
        <f>HYPERLINK("https://d28ji4sm1vmprj.cloudfront.net/09622a2bb466dfd1cdfb85ce6a712a4c/080b534903fe5ecae6d56f3611cbeb01.jpeg", "Ссылка на план")</f>
        <v>Ссылка на план</v>
      </c>
      <c r="S530" s="1">
        <v>43580.42496527778</v>
      </c>
      <c r="T530" s="1">
        <v>43580.425000000003</v>
      </c>
      <c r="U530" s="1">
        <v>43580.42763888889</v>
      </c>
      <c r="W530" s="1">
        <v>43580.42765046296</v>
      </c>
      <c r="X530" t="s">
        <v>3846</v>
      </c>
      <c r="AA530" t="s">
        <v>3958</v>
      </c>
      <c r="AB530" t="s">
        <v>3959</v>
      </c>
      <c r="AC530" t="s">
        <v>3960</v>
      </c>
      <c r="AD530" t="s">
        <v>3961</v>
      </c>
      <c r="BF530" t="s">
        <v>114</v>
      </c>
      <c r="BG530" t="s">
        <v>3967</v>
      </c>
      <c r="BH530" t="s">
        <v>3794</v>
      </c>
      <c r="BI530" t="s">
        <v>3963</v>
      </c>
      <c r="BJ530" t="str">
        <f>HYPERLINK("https://d33htgqikc2pj4.cloudfront.net/2f084a6b-e1b1-42c5-b37e-64953c1146d2.jpeg", "Владимир Чугунов: Ссылка на изображение")</f>
        <v>Владимир Чугунов: Ссылка на изображение</v>
      </c>
      <c r="BK530" t="str">
        <f>HYPERLINK("https://d33htgqikc2pj4.cloudfront.net/2b7c1560-9e68-44ef-bb34-1f7fe2464ac7.jpeg", "Владимир Чугунов: Ссылка на изображение")</f>
        <v>Владимир Чугунов: Ссылка на изображение</v>
      </c>
      <c r="BL530" t="str">
        <f>HYPERLINK("https://d33htgqikc2pj4.cloudfront.net/6f54c88c-6236-4643-84b5-8c131576170c.jpeg", "Владимир Чугунов: Ссылка на изображение")</f>
        <v>Владимир Чугунов: Ссылка на изображение</v>
      </c>
      <c r="BM530" t="str">
        <f>HYPERLINK("https://d33htgqikc2pj4.cloudfront.net/f3319a13-e193-44ec-9226-96377dfd672e.jpeg", "Владимир Чугунов: Ссылка на изображение")</f>
        <v>Владимир Чугунов: Ссылка на изображение</v>
      </c>
      <c r="BN530" t="s">
        <v>102</v>
      </c>
    </row>
    <row r="531" spans="1:81" ht="15" customHeight="1" x14ac:dyDescent="0.35">
      <c r="A531">
        <v>252</v>
      </c>
      <c r="B531" t="s">
        <v>3968</v>
      </c>
      <c r="C531">
        <v>2</v>
      </c>
      <c r="D531" t="str">
        <f>VLOOKUP(source[[#This Row],[Приоритет]],тПриоритеты[],2,0)</f>
        <v>Значительное</v>
      </c>
      <c r="E5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1" t="s">
        <v>2273</v>
      </c>
      <c r="G531" t="s">
        <v>395</v>
      </c>
      <c r="H531" t="str">
        <f>VLOOKUP(source[[#This Row],[Отвественный]],тОтветственные[],2,0)</f>
        <v>Отв19</v>
      </c>
      <c r="I531" s="2">
        <v>43659</v>
      </c>
      <c r="J531" s="2">
        <v>43659</v>
      </c>
      <c r="K531" t="s">
        <v>104</v>
      </c>
      <c r="L531">
        <v>0</v>
      </c>
      <c r="M531">
        <v>0</v>
      </c>
      <c r="N531" t="s">
        <v>105</v>
      </c>
      <c r="Q531" t="s">
        <v>106</v>
      </c>
      <c r="R531" t="str">
        <f>HYPERLINK("https://d28ji4sm1vmprj.cloudfront.net/e7a526a7220c3bc5cfeeb407c455c0b3/580ffb055aff8ee0c88c6e676cfba776.jpeg", "Ссылка на план")</f>
        <v>Ссылка на план</v>
      </c>
      <c r="S531" s="1">
        <v>43659.662233796298</v>
      </c>
      <c r="T531" s="1">
        <v>43659.787060185183</v>
      </c>
      <c r="U531" s="1">
        <v>43662.410115740742</v>
      </c>
      <c r="W531" s="1">
        <v>43662.410138888888</v>
      </c>
      <c r="BF531" t="s">
        <v>114</v>
      </c>
      <c r="BG531" t="s">
        <v>3969</v>
      </c>
      <c r="BH531" t="s">
        <v>3970</v>
      </c>
      <c r="BI531" t="s">
        <v>127</v>
      </c>
      <c r="BJ531" t="str">
        <f>HYPERLINK("https://d33htgqikc2pj4.cloudfront.net/8b35f463-ce3b-4818-aee7-7039aeca7a0e.jpeg", "Владимир Чугунов: Ссылка на изображение")</f>
        <v>Владимир Чугунов: Ссылка на изображение</v>
      </c>
      <c r="BK531" t="str">
        <f>HYPERLINK("https://d33htgqikc2pj4.cloudfront.net/ffb3edfb-d56f-4794-9031-6fc60ff569a4.jpeg", "Владимир Чугунов: Ссылка на изображение")</f>
        <v>Владимир Чугунов: Ссылка на изображение</v>
      </c>
      <c r="BL531" t="s">
        <v>102</v>
      </c>
    </row>
    <row r="532" spans="1:81" ht="15" customHeight="1" x14ac:dyDescent="0.35">
      <c r="A532">
        <v>262</v>
      </c>
      <c r="B532" t="s">
        <v>3971</v>
      </c>
      <c r="C532">
        <v>2</v>
      </c>
      <c r="D532" t="str">
        <f>VLOOKUP(source[[#This Row],[Приоритет]],тПриоритеты[],2,0)</f>
        <v>Значительное</v>
      </c>
      <c r="E5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2" t="s">
        <v>2273</v>
      </c>
      <c r="G532" t="s">
        <v>395</v>
      </c>
      <c r="H532" t="str">
        <f>VLOOKUP(source[[#This Row],[Отвественный]],тОтветственные[],2,0)</f>
        <v>Отв19</v>
      </c>
      <c r="I532" s="2">
        <v>43662</v>
      </c>
      <c r="J532" s="2">
        <v>43662</v>
      </c>
      <c r="K532" t="s">
        <v>104</v>
      </c>
      <c r="L532">
        <v>0</v>
      </c>
      <c r="M532">
        <v>0</v>
      </c>
      <c r="N532" t="s">
        <v>105</v>
      </c>
      <c r="Q532" t="s">
        <v>106</v>
      </c>
      <c r="R532" t="str">
        <f>HYPERLINK("https://d28ji4sm1vmprj.cloudfront.net/e7a526a7220c3bc5cfeeb407c455c0b3/580ffb055aff8ee0c88c6e676cfba776.jpeg", "Ссылка на план")</f>
        <v>Ссылка на план</v>
      </c>
      <c r="S532" s="1">
        <v>43662.440115740741</v>
      </c>
      <c r="T532" s="1">
        <v>43662.440636574072</v>
      </c>
      <c r="U532" s="1">
        <v>43662.44153935185</v>
      </c>
      <c r="W532" s="1">
        <v>43662.441550925927</v>
      </c>
      <c r="X532" t="s">
        <v>3972</v>
      </c>
      <c r="AA532" t="s">
        <v>3973</v>
      </c>
      <c r="AB532" t="s">
        <v>3974</v>
      </c>
      <c r="AC532" t="s">
        <v>3975</v>
      </c>
      <c r="AD532" t="s">
        <v>3976</v>
      </c>
      <c r="AE532" t="s">
        <v>3977</v>
      </c>
      <c r="BF532" t="s">
        <v>3978</v>
      </c>
      <c r="BG532" t="s">
        <v>1258</v>
      </c>
      <c r="BH532" t="s">
        <v>114</v>
      </c>
      <c r="BI532" t="str">
        <f>HYPERLINK("https://d33htgqikc2pj4.cloudfront.net/93841a79-471a-4ba3-a226-5ee3e1aa4e00.jpeg", "Владимир Чугунов: Ссылка на изображение")</f>
        <v>Владимир Чугунов: Ссылка на изображение</v>
      </c>
      <c r="BJ532" t="str">
        <f>HYPERLINK("https://d33htgqikc2pj4.cloudfront.net/09d27d6e-e80d-4f5c-bd59-16d5dfefdb3d.jpeg", "Владимир Чугунов: Ссылка на изображение")</f>
        <v>Владимир Чугунов: Ссылка на изображение</v>
      </c>
      <c r="BK532" t="str">
        <f>HYPERLINK("https://d33htgqikc2pj4.cloudfront.net/ea22ff43-d197-4feb-975c-81248eeba37f.jpeg", "Владимир Чугунов: Ссылка на изображение")</f>
        <v>Владимир Чугунов: Ссылка на изображение</v>
      </c>
      <c r="BL532" t="str">
        <f>HYPERLINK("https://d33htgqikc2pj4.cloudfront.net/fe69bd3a-b6a2-4b10-bc3e-56a3332a89e8.jpeg", "Владимир Чугунов: Ссылка на изображение")</f>
        <v>Владимир Чугунов: Ссылка на изображение</v>
      </c>
      <c r="BM532" t="str">
        <f>HYPERLINK("https://d33htgqikc2pj4.cloudfront.net/041e2390-7e15-4da5-843c-bfae706c6e6a.jpeg", "Владимир Чугунов: Ссылка на изображение")</f>
        <v>Владимир Чугунов: Ссылка на изображение</v>
      </c>
      <c r="BN532" t="str">
        <f>HYPERLINK("https://d33htgqikc2pj4.cloudfront.net/f0b2d5c1-ba68-401a-bf1a-96a38ee5f515.jpeg", "Владимир Чугунов: Ссылка на изображение")</f>
        <v>Владимир Чугунов: Ссылка на изображение</v>
      </c>
      <c r="BO532" t="s">
        <v>102</v>
      </c>
    </row>
    <row r="533" spans="1:81" ht="15" customHeight="1" x14ac:dyDescent="0.35">
      <c r="A533">
        <v>57</v>
      </c>
      <c r="B533" t="s">
        <v>3979</v>
      </c>
      <c r="C533">
        <v>2</v>
      </c>
      <c r="D533" t="str">
        <f>VLOOKUP(source[[#This Row],[Приоритет]],тПриоритеты[],2,0)</f>
        <v>Значительное</v>
      </c>
      <c r="E5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3" t="s">
        <v>2273</v>
      </c>
      <c r="G533" t="s">
        <v>395</v>
      </c>
      <c r="H533" t="str">
        <f>VLOOKUP(source[[#This Row],[Отвественный]],тОтветственные[],2,0)</f>
        <v>Отв19</v>
      </c>
      <c r="I533" s="2">
        <v>43584</v>
      </c>
      <c r="J533" s="2">
        <v>43584</v>
      </c>
      <c r="K533" t="s">
        <v>274</v>
      </c>
      <c r="L533">
        <v>0</v>
      </c>
      <c r="M533">
        <v>0</v>
      </c>
      <c r="N533" t="s">
        <v>195</v>
      </c>
      <c r="Q533" t="s">
        <v>124</v>
      </c>
      <c r="R533" t="str">
        <f>HYPERLINK("https://d28ji4sm1vmprj.cloudfront.net/355a08c081c3838ab5b858f428b86049/8945c7522deb0c15488ad801990cffed.jpeg", "Ссылка на план")</f>
        <v>Ссылка на план</v>
      </c>
      <c r="S533" s="1">
        <v>43584.652060185188</v>
      </c>
      <c r="T533" s="1">
        <v>43584.653171296297</v>
      </c>
      <c r="U533" s="1">
        <v>43585.621736111112</v>
      </c>
      <c r="W533" s="1">
        <v>43585.621736111112</v>
      </c>
      <c r="X533" t="s">
        <v>406</v>
      </c>
      <c r="AA533" t="s">
        <v>3980</v>
      </c>
      <c r="AB533" t="s">
        <v>3981</v>
      </c>
      <c r="AC533" t="s">
        <v>3982</v>
      </c>
      <c r="AD533" t="s">
        <v>3983</v>
      </c>
      <c r="AE533" t="s">
        <v>3984</v>
      </c>
      <c r="AF533" t="s">
        <v>3985</v>
      </c>
      <c r="AG533" t="s">
        <v>3986</v>
      </c>
      <c r="BF533" t="s">
        <v>3987</v>
      </c>
      <c r="BG533" t="s">
        <v>3794</v>
      </c>
      <c r="BH533" t="s">
        <v>3988</v>
      </c>
      <c r="BI533" t="s">
        <v>114</v>
      </c>
      <c r="BJ533" t="str">
        <f>HYPERLINK("https://d33htgqikc2pj4.cloudfront.net/8c066478-9a3d-4e49-a19b-dd364118f680.jpeg", "Владимир Чугунов: Ссылка на изображение")</f>
        <v>Владимир Чугунов: Ссылка на изображение</v>
      </c>
      <c r="BK533" t="str">
        <f>HYPERLINK("https://d33htgqikc2pj4.cloudfront.net/9bf9a1da-d9bf-48eb-9223-f4abfe5668c9.jpeg", "Владимир Чугунов: Ссылка на изображение")</f>
        <v>Владимир Чугунов: Ссылка на изображение</v>
      </c>
      <c r="BL533" t="str">
        <f>HYPERLINK("https://d33htgqikc2pj4.cloudfront.net/09005e41-d350-4021-bfc9-e6c1a0d31cec.jpeg", "Владимир Чугунов: Ссылка на изображение")</f>
        <v>Владимир Чугунов: Ссылка на изображение</v>
      </c>
      <c r="BM533" t="s">
        <v>102</v>
      </c>
    </row>
    <row r="534" spans="1:81" ht="15" customHeight="1" x14ac:dyDescent="0.35">
      <c r="A534">
        <v>104</v>
      </c>
      <c r="B534" t="s">
        <v>3989</v>
      </c>
      <c r="C534">
        <v>2</v>
      </c>
      <c r="D534" t="str">
        <f>VLOOKUP(source[[#This Row],[Приоритет]],тПриоритеты[],2,0)</f>
        <v>Значительное</v>
      </c>
      <c r="E5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4" t="s">
        <v>2273</v>
      </c>
      <c r="G534" t="s">
        <v>395</v>
      </c>
      <c r="H534" t="str">
        <f>VLOOKUP(source[[#This Row],[Отвественный]],тОтветственные[],2,0)</f>
        <v>Отв19</v>
      </c>
      <c r="I534" s="2">
        <v>43609</v>
      </c>
      <c r="J534" s="2">
        <v>43609</v>
      </c>
      <c r="K534" t="s">
        <v>158</v>
      </c>
      <c r="L534">
        <v>0</v>
      </c>
      <c r="M534">
        <v>0</v>
      </c>
      <c r="N534" t="s">
        <v>531</v>
      </c>
      <c r="Q534" t="s">
        <v>124</v>
      </c>
      <c r="R534" t="str">
        <f>HYPERLINK("https://d28ji4sm1vmprj.cloudfront.net/09622a2bb466dfd1cdfb85ce6a712a4c/080b534903fe5ecae6d56f3611cbeb01.jpeg", "Ссылка на план")</f>
        <v>Ссылка на план</v>
      </c>
      <c r="S534" s="1">
        <v>43609.709629629629</v>
      </c>
      <c r="T534" s="1">
        <v>43609.696400462963</v>
      </c>
      <c r="U534" s="1">
        <v>43609.697905092595</v>
      </c>
      <c r="W534" s="1">
        <v>43609.709675925929</v>
      </c>
      <c r="X534" t="s">
        <v>3023</v>
      </c>
      <c r="AA534" t="s">
        <v>3990</v>
      </c>
      <c r="AB534" t="s">
        <v>3991</v>
      </c>
      <c r="AC534" t="s">
        <v>3992</v>
      </c>
      <c r="AD534" t="s">
        <v>3993</v>
      </c>
      <c r="AE534" t="s">
        <v>3994</v>
      </c>
      <c r="AF534" t="s">
        <v>3995</v>
      </c>
      <c r="BF534" t="s">
        <v>114</v>
      </c>
      <c r="BG534" t="s">
        <v>3996</v>
      </c>
      <c r="BH534" t="s">
        <v>1269</v>
      </c>
      <c r="BI534" t="str">
        <f>HYPERLINK("https://d33htgqikc2pj4.cloudfront.net/d698c345-f988-4642-bebf-ccf7832fad67.jpeg", "Владимир Чугунов: Ссылка на изображение")</f>
        <v>Владимир Чугунов: Ссылка на изображение</v>
      </c>
      <c r="BJ534" t="str">
        <f>HYPERLINK("https://d33htgqikc2pj4.cloudfront.net/442755a3-ad8a-495a-ac59-495084e8a4c5.jpeg", "Владимир Чугунов: Ссылка на изображение")</f>
        <v>Владимир Чугунов: Ссылка на изображение</v>
      </c>
      <c r="BK534" t="str">
        <f>HYPERLINK("https://d33htgqikc2pj4.cloudfront.net/80d41e13-6893-4f1e-9dec-f88fb12dd76b.jpeg", "Владимир Чугунов: Ссылка на изображение")</f>
        <v>Владимир Чугунов: Ссылка на изображение</v>
      </c>
      <c r="BL534" t="str">
        <f>HYPERLINK("https://d33htgqikc2pj4.cloudfront.net/62a2cdc4-e2c3-4582-a907-85710ec4f3c0.jpeg", "Владимир Чугунов: Ссылка на изображение")</f>
        <v>Владимир Чугунов: Ссылка на изображение</v>
      </c>
      <c r="BM534" t="str">
        <f>HYPERLINK("https://d33htgqikc2pj4.cloudfront.net/790c9f99-7814-48c7-8ac9-e9737418e9b4.jpeg", "Владимир Чугунов: Ссылка на изображение")</f>
        <v>Владимир Чугунов: Ссылка на изображение</v>
      </c>
      <c r="BN534" t="s">
        <v>102</v>
      </c>
    </row>
    <row r="535" spans="1:81" ht="15" customHeight="1" x14ac:dyDescent="0.35">
      <c r="A535">
        <v>306</v>
      </c>
      <c r="B535" t="s">
        <v>3997</v>
      </c>
      <c r="C535">
        <v>2</v>
      </c>
      <c r="D535" t="str">
        <f>VLOOKUP(source[[#This Row],[Приоритет]],тПриоритеты[],2,0)</f>
        <v>Значительное</v>
      </c>
      <c r="E5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5" t="s">
        <v>2273</v>
      </c>
      <c r="G535" t="s">
        <v>395</v>
      </c>
      <c r="H535" t="str">
        <f>VLOOKUP(source[[#This Row],[Отвественный]],тОтветственные[],2,0)</f>
        <v>Отв19</v>
      </c>
      <c r="I535" s="2">
        <v>43672</v>
      </c>
      <c r="J535" s="2">
        <v>43672</v>
      </c>
      <c r="K535" t="s">
        <v>104</v>
      </c>
      <c r="L535">
        <v>0</v>
      </c>
      <c r="M535">
        <v>0</v>
      </c>
      <c r="N535" t="s">
        <v>105</v>
      </c>
      <c r="Q535" t="s">
        <v>106</v>
      </c>
      <c r="R535" t="str">
        <f>HYPERLINK("https://d28ji4sm1vmprj.cloudfront.net/e7a526a7220c3bc5cfeeb407c455c0b3/580ffb055aff8ee0c88c6e676cfba776.jpeg", "Ссылка на план")</f>
        <v>Ссылка на план</v>
      </c>
      <c r="S535" s="1">
        <v>43672.709189814814</v>
      </c>
      <c r="T535" s="1">
        <v>43672.70988425926</v>
      </c>
      <c r="U535" s="1">
        <v>43672.711840277778</v>
      </c>
      <c r="W535" s="1">
        <v>43672.711851851855</v>
      </c>
      <c r="X535" t="s">
        <v>406</v>
      </c>
      <c r="AA535" t="s">
        <v>3998</v>
      </c>
      <c r="AB535" t="s">
        <v>3999</v>
      </c>
      <c r="AC535" t="s">
        <v>4000</v>
      </c>
      <c r="AD535" t="s">
        <v>4001</v>
      </c>
      <c r="AE535" t="s">
        <v>4002</v>
      </c>
      <c r="AF535" t="s">
        <v>4003</v>
      </c>
      <c r="AG535" t="s">
        <v>4004</v>
      </c>
      <c r="BF535" t="s">
        <v>4005</v>
      </c>
      <c r="BG535" t="s">
        <v>690</v>
      </c>
      <c r="BH535" t="s">
        <v>114</v>
      </c>
      <c r="BI535" t="str">
        <f>HYPERLINK("https://d33htgqikc2pj4.cloudfront.net/de758e4c-41ac-4a08-9311-045b8cc27886.jpeg", "Владимир Чугунов: Ссылка на изображение")</f>
        <v>Владимир Чугунов: Ссылка на изображение</v>
      </c>
      <c r="BJ535" t="str">
        <f>HYPERLINK("https://d33htgqikc2pj4.cloudfront.net/85264a7a-f69c-4c1e-ac95-b514581d9934.jpeg", "Владимир Чугунов: Ссылка на изображение")</f>
        <v>Владимир Чугунов: Ссылка на изображение</v>
      </c>
      <c r="BK535" t="str">
        <f>HYPERLINK("https://d33htgqikc2pj4.cloudfront.net/2447df0c-75df-4d92-90a6-3ba3a7111ef4.jpeg", "Владимир Чугунов: Ссылка на изображение")</f>
        <v>Владимир Чугунов: Ссылка на изображение</v>
      </c>
      <c r="BL535" t="str">
        <f>HYPERLINK("https://d33htgqikc2pj4.cloudfront.net/38568ece-fda9-4b1e-99d4-0884e3a9fabf.jpeg", "Владимир Чугунов: Ссылка на изображение")</f>
        <v>Владимир Чугунов: Ссылка на изображение</v>
      </c>
      <c r="BM535" t="str">
        <f>HYPERLINK("https://d33htgqikc2pj4.cloudfront.net/60f21903-543c-4efd-b056-5b4eb80dd48b.jpeg", "Владимир Чугунов: Ссылка на изображение")</f>
        <v>Владимир Чугунов: Ссылка на изображение</v>
      </c>
      <c r="BN535" t="str">
        <f>HYPERLINK("https://d33htgqikc2pj4.cloudfront.net/100a1e8c-6a73-4f80-8444-7fe57f2de1d0.jpeg", "Владимир Чугунов: Ссылка на изображение")</f>
        <v>Владимир Чугунов: Ссылка на изображение</v>
      </c>
      <c r="BO535" t="str">
        <f>HYPERLINK("https://d33htgqikc2pj4.cloudfront.net/e272c818-bfc3-40d7-83bd-c8233d341dc1.jpeg", "Владимир Чугунов: Ссылка на изображение")</f>
        <v>Владимир Чугунов: Ссылка на изображение</v>
      </c>
      <c r="BP535" t="str">
        <f>HYPERLINK("https://d33htgqikc2pj4.cloudfront.net/83816257-51c4-4dfd-9640-64829c58654f.jpeg", "Владимир Чугунов: Ссылка на изображение")</f>
        <v>Владимир Чугунов: Ссылка на изображение</v>
      </c>
      <c r="BQ535" t="s">
        <v>102</v>
      </c>
    </row>
    <row r="536" spans="1:81" ht="15" customHeight="1" x14ac:dyDescent="0.35">
      <c r="A536">
        <v>471</v>
      </c>
      <c r="B536" t="s">
        <v>4006</v>
      </c>
      <c r="C536">
        <v>2</v>
      </c>
      <c r="D536" t="str">
        <f>VLOOKUP(source[[#This Row],[Приоритет]],тПриоритеты[],2,0)</f>
        <v>Значительное</v>
      </c>
      <c r="E5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6" t="s">
        <v>2273</v>
      </c>
      <c r="G536" t="s">
        <v>395</v>
      </c>
      <c r="H536" t="str">
        <f>VLOOKUP(source[[#This Row],[Отвественный]],тОтветственные[],2,0)</f>
        <v>Отв19</v>
      </c>
      <c r="I536" s="2">
        <v>43721</v>
      </c>
      <c r="J536" s="2">
        <v>43721</v>
      </c>
      <c r="K536" t="s">
        <v>104</v>
      </c>
      <c r="L536">
        <v>0</v>
      </c>
      <c r="M536">
        <v>0</v>
      </c>
      <c r="N536" t="s">
        <v>105</v>
      </c>
      <c r="Q536" t="s">
        <v>106</v>
      </c>
      <c r="R536" t="str">
        <f>HYPERLINK("https://d28ji4sm1vmprj.cloudfront.net/e7a526a7220c3bc5cfeeb407c455c0b3/580ffb055aff8ee0c88c6e676cfba776.jpeg", "Ссылка на план")</f>
        <v>Ссылка на план</v>
      </c>
      <c r="S536" s="1">
        <v>43721.627962962964</v>
      </c>
      <c r="T536" s="1">
        <v>43721.628009259257</v>
      </c>
      <c r="U536" s="1">
        <v>43721.62903935185</v>
      </c>
      <c r="W536" s="1">
        <v>43721.629050925927</v>
      </c>
      <c r="X536" t="s">
        <v>406</v>
      </c>
      <c r="AA536" t="s">
        <v>4007</v>
      </c>
      <c r="AB536" t="s">
        <v>4008</v>
      </c>
      <c r="AC536" t="s">
        <v>4009</v>
      </c>
      <c r="AD536" t="s">
        <v>4010</v>
      </c>
      <c r="AE536" t="s">
        <v>4011</v>
      </c>
      <c r="AF536" t="s">
        <v>4012</v>
      </c>
      <c r="AG536" t="s">
        <v>4013</v>
      </c>
      <c r="BF536" t="s">
        <v>114</v>
      </c>
      <c r="BG536" t="s">
        <v>4014</v>
      </c>
      <c r="BH536" t="s">
        <v>529</v>
      </c>
      <c r="BI536" t="str">
        <f>HYPERLINK("https://d33htgqikc2pj4.cloudfront.net/9ad4241e-9c6e-43b0-b21b-23702025c346.jpeg", "Владимир Чугунов: Ссылка на изображение")</f>
        <v>Владимир Чугунов: Ссылка на изображение</v>
      </c>
      <c r="BJ536" t="str">
        <f>HYPERLINK("https://d33htgqikc2pj4.cloudfront.net/504ce69a-3347-4f6d-ab20-adfbd893eca4.jpeg", "Владимир Чугунов: Ссылка на изображение")</f>
        <v>Владимир Чугунов: Ссылка на изображение</v>
      </c>
      <c r="BK536" t="str">
        <f>HYPERLINK("https://d33htgqikc2pj4.cloudfront.net/05974e8a-d539-41ad-8ec7-1b22ee29ac50.jpeg", "Владимир Чугунов: Ссылка на изображение")</f>
        <v>Владимир Чугунов: Ссылка на изображение</v>
      </c>
      <c r="BL536" t="str">
        <f>HYPERLINK("https://d33htgqikc2pj4.cloudfront.net/5596c93d-10db-4d42-bac4-ff0c8f50d015.jpeg", "Владимир Чугунов: Ссылка на изображение")</f>
        <v>Владимир Чугунов: Ссылка на изображение</v>
      </c>
      <c r="BM536" t="str">
        <f>HYPERLINK("https://d33htgqikc2pj4.cloudfront.net/6b540126-0983-45e5-a065-23b0cdadfd1a.jpeg", "Владимир Чугунов: Ссылка на изображение")</f>
        <v>Владимир Чугунов: Ссылка на изображение</v>
      </c>
      <c r="BN536" t="str">
        <f>HYPERLINK("https://d33htgqikc2pj4.cloudfront.net/a909c601-7ab0-47c3-a106-148be61c37bc.jpeg", "Владимир Чугунов: Ссылка на изображение")</f>
        <v>Владимир Чугунов: Ссылка на изображение</v>
      </c>
      <c r="BO536" t="str">
        <f>HYPERLINK("https://d33htgqikc2pj4.cloudfront.net/81a98ca8-1385-4f4b-8f56-7c9a6b835bb1.jpeg", "Владимир Чугунов: Ссылка на изображение")</f>
        <v>Владимир Чугунов: Ссылка на изображение</v>
      </c>
      <c r="BP536" t="s">
        <v>102</v>
      </c>
    </row>
    <row r="537" spans="1:81" ht="15" customHeight="1" x14ac:dyDescent="0.35">
      <c r="A537">
        <v>16</v>
      </c>
      <c r="B537" t="s">
        <v>1181</v>
      </c>
      <c r="C537">
        <v>2</v>
      </c>
      <c r="D537" t="str">
        <f>VLOOKUP(source[[#This Row],[Приоритет]],тПриоритеты[],2,0)</f>
        <v>Значительное</v>
      </c>
      <c r="E5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7" t="s">
        <v>2273</v>
      </c>
      <c r="G537" t="s">
        <v>395</v>
      </c>
      <c r="H537" t="str">
        <f>VLOOKUP(source[[#This Row],[Отвественный]],тОтветственные[],2,0)</f>
        <v>Отв19</v>
      </c>
      <c r="I537" s="2">
        <v>43556</v>
      </c>
      <c r="J537" s="2">
        <v>43556</v>
      </c>
      <c r="K537" t="s">
        <v>158</v>
      </c>
      <c r="L537">
        <v>0</v>
      </c>
      <c r="M537">
        <v>0</v>
      </c>
      <c r="N537" t="s">
        <v>195</v>
      </c>
      <c r="Q537" t="s">
        <v>124</v>
      </c>
      <c r="R537" t="str">
        <f>HYPERLINK("https://d28ji4sm1vmprj.cloudfront.net/09622a2bb466dfd1cdfb85ce6a712a4c/080b534903fe5ecae6d56f3611cbeb01.jpeg", "Ссылка на план")</f>
        <v>Ссылка на план</v>
      </c>
      <c r="S537" s="1">
        <v>43556.42459490741</v>
      </c>
      <c r="T537" s="1">
        <v>43556.422777777778</v>
      </c>
      <c r="U537" s="1">
        <v>43556.422777777778</v>
      </c>
      <c r="W537" s="1">
        <v>43721.662476851852</v>
      </c>
      <c r="X537" t="s">
        <v>406</v>
      </c>
      <c r="Z537" t="s">
        <v>1180</v>
      </c>
      <c r="AA537" t="s">
        <v>4015</v>
      </c>
      <c r="AB537" t="s">
        <v>4016</v>
      </c>
      <c r="AC537" t="s">
        <v>4017</v>
      </c>
      <c r="AD537" t="s">
        <v>4018</v>
      </c>
      <c r="AE537" t="s">
        <v>4019</v>
      </c>
      <c r="AF537" t="s">
        <v>4020</v>
      </c>
      <c r="AG537" t="s">
        <v>4021</v>
      </c>
      <c r="BF537" t="s">
        <v>102</v>
      </c>
      <c r="BG537" t="s">
        <v>4022</v>
      </c>
      <c r="BH537" t="s">
        <v>869</v>
      </c>
      <c r="BI537" t="s">
        <v>1183</v>
      </c>
      <c r="BJ537" t="str">
        <f>HYPERLINK("https://d33htgqikc2pj4.cloudfront.net/7ef83ff5-bd65-4eaa-83a5-7f395d67a3fd.jpeg", "Владимир Чугунов: Ссылка на изображение")</f>
        <v>Владимир Чугунов: Ссылка на изображение</v>
      </c>
      <c r="BK537" t="str">
        <f>HYPERLINK("https://d33htgqikc2pj4.cloudfront.net/6b29ffff-e32e-4a01-8ef3-da9bac1989f6.jpeg", "Владимир Чугунов: Ссылка на изображение")</f>
        <v>Владимир Чугунов: Ссылка на изображение</v>
      </c>
      <c r="BL537" t="str">
        <f>HYPERLINK("https://d33htgqikc2pj4.cloudfront.net/a693996c-5d92-41bc-bcb1-cb50efeb934e.jpeg", "Владимир Чугунов: Ссылка на изображение")</f>
        <v>Владимир Чугунов: Ссылка на изображение</v>
      </c>
      <c r="BM537" t="str">
        <f>HYPERLINK("https://d33htgqikc2pj4.cloudfront.net/599b6929-5b95-4082-b5ad-0b1a97ea2355.jpeg", "Владимир Чугунов: Ссылка на изображение")</f>
        <v>Владимир Чугунов: Ссылка на изображение</v>
      </c>
      <c r="BN537" t="str">
        <f>HYPERLINK("https://d33htgqikc2pj4.cloudfront.net/771f7ef1-16c4-4ddc-9cbe-1b98f9b518d5.jpeg", "Владимир Чугунов: Ссылка на изображение")</f>
        <v>Владимир Чугунов: Ссылка на изображение</v>
      </c>
      <c r="BO537" t="str">
        <f>HYPERLINK("https://d33htgqikc2pj4.cloudfront.net/b46a5373-7516-47c1-98d4-04fb909593c7.jpeg", "Владимир Чугунов: Ссылка на изображение")</f>
        <v>Владимир Чугунов: Ссылка на изображение</v>
      </c>
      <c r="BP537" t="str">
        <f>HYPERLINK("https://d33htgqikc2pj4.cloudfront.net/22ca5ff1-4dba-48e7-bd3b-b5e9becd2ca1.jpeg", "Владимир Чугунов: Ссылка на изображение")</f>
        <v>Владимир Чугунов: Ссылка на изображение</v>
      </c>
      <c r="BQ537" t="str">
        <f>HYPERLINK("https://d33htgqikc2pj4.cloudfront.net/d7f04bf7-1e2c-4922-9107-cfcf99b180b1.jpeg", "Владимир Чугунов: Ссылка на изображение")</f>
        <v>Владимир Чугунов: Ссылка на изображение</v>
      </c>
      <c r="BR537" t="str">
        <f>HYPERLINK("https://d33htgqikc2pj4.cloudfront.net/b1b82a9b-d94d-4f38-a518-96f2c80ef9ef.jpeg", "Владимир Чугунов: Ссылка на изображение")</f>
        <v>Владимир Чугунов: Ссылка на изображение</v>
      </c>
      <c r="BS537" t="str">
        <f>HYPERLINK("https://d33htgqikc2pj4.cloudfront.net/af286d35-de5e-4498-9de5-56a65e471c59.jpeg", "Владимир Чугунов: Ссылка на изображение")</f>
        <v>Владимир Чугунов: Ссылка на изображение</v>
      </c>
      <c r="BT537" t="str">
        <f>HYPERLINK("https://d33htgqikc2pj4.cloudfront.net/0e4cee25-4379-4aec-8028-0ccb6379bbec.jpeg", "Владимир Чугунов: Ссылка на изображение")</f>
        <v>Владимир Чугунов: Ссылка на изображение</v>
      </c>
      <c r="BU537" t="str">
        <f>HYPERLINK("https://d33htgqikc2pj4.cloudfront.net/87ae506d-b129-4445-b911-26e01b1cb3ce.jpeg", "Владимир Чугунов: Ссылка на изображение")</f>
        <v>Владимир Чугунов: Ссылка на изображение</v>
      </c>
      <c r="BV537" t="str">
        <f>HYPERLINK("https://d33htgqikc2pj4.cloudfront.net/87f7c843-8dd5-4fc2-8a72-5f578b478125.jpeg", "Владимир Чугунов: Ссылка на изображение")</f>
        <v>Владимир Чугунов: Ссылка на изображение</v>
      </c>
      <c r="BW537" t="str">
        <f>HYPERLINK("https://d33htgqikc2pj4.cloudfront.net/997578ff-1238-49b6-98dc-0643b7435984.jpeg", "Владимир Чугунов: Ссылка на изображение")</f>
        <v>Владимир Чугунов: Ссылка на изображение</v>
      </c>
      <c r="BX537" t="str">
        <f>HYPERLINK("https://d33htgqikc2pj4.cloudfront.net/d0a5d129-8485-44e4-b20f-c4ad400f952f.jpeg", "Владимир Чугунов: Ссылка на изображение")</f>
        <v>Владимир Чугунов: Ссылка на изображение</v>
      </c>
      <c r="BY537" t="str">
        <f>HYPERLINK("https://d33htgqikc2pj4.cloudfront.net/42dac9c7-74aa-4416-90c1-89f0525066a3.jpeg", "Владимир Чугунов: Ссылка на изображение")</f>
        <v>Владимир Чугунов: Ссылка на изображение</v>
      </c>
      <c r="BZ537" t="s">
        <v>4023</v>
      </c>
      <c r="CA537" t="str">
        <f>HYPERLINK("https://d33htgqikc2pj4.cloudfront.net/514cfa85-e1de-49bd-af1d-07c3abe8937f.jpeg", "Владимир Чугунов: Ссылка на изображение")</f>
        <v>Владимир Чугунов: Ссылка на изображение</v>
      </c>
      <c r="CB537" t="str">
        <f>HYPERLINK("https://d33htgqikc2pj4.cloudfront.net/fef77198-335e-4cf1-b974-30a57e8477c4.jpeg", "Владимир Чугунов: Ссылка на изображение")</f>
        <v>Владимир Чугунов: Ссылка на изображение</v>
      </c>
      <c r="CC537" t="s">
        <v>2313</v>
      </c>
    </row>
    <row r="538" spans="1:81" ht="15" customHeight="1" x14ac:dyDescent="0.35">
      <c r="A538">
        <v>110</v>
      </c>
      <c r="B538" t="s">
        <v>4024</v>
      </c>
      <c r="C538">
        <v>2</v>
      </c>
      <c r="D538" t="str">
        <f>VLOOKUP(source[[#This Row],[Приоритет]],тПриоритеты[],2,0)</f>
        <v>Значительное</v>
      </c>
      <c r="E5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8" t="s">
        <v>2273</v>
      </c>
      <c r="G538" t="s">
        <v>395</v>
      </c>
      <c r="H538" t="str">
        <f>VLOOKUP(source[[#This Row],[Отвественный]],тОтветственные[],2,0)</f>
        <v>Отв19</v>
      </c>
      <c r="I538" s="2">
        <v>43614</v>
      </c>
      <c r="J538" s="2">
        <v>43614</v>
      </c>
      <c r="K538" t="s">
        <v>158</v>
      </c>
      <c r="L538">
        <v>0</v>
      </c>
      <c r="M538">
        <v>0</v>
      </c>
      <c r="N538" t="s">
        <v>531</v>
      </c>
      <c r="Q538" t="s">
        <v>124</v>
      </c>
      <c r="R538" t="str">
        <f>HYPERLINK("https://d28ji4sm1vmprj.cloudfront.net/09622a2bb466dfd1cdfb85ce6a712a4c/080b534903fe5ecae6d56f3611cbeb01.jpeg", "Ссылка на план")</f>
        <v>Ссылка на план</v>
      </c>
      <c r="S538" s="1">
        <v>43614.509143518517</v>
      </c>
      <c r="T538" s="1">
        <v>43614.509525462963</v>
      </c>
      <c r="U538" s="1">
        <v>43614.509722222225</v>
      </c>
      <c r="W538" s="1">
        <v>43614.511886574073</v>
      </c>
      <c r="X538" t="s">
        <v>1061</v>
      </c>
      <c r="AA538" t="s">
        <v>4025</v>
      </c>
      <c r="AB538" t="s">
        <v>4026</v>
      </c>
      <c r="AC538" t="s">
        <v>4027</v>
      </c>
      <c r="AD538" t="s">
        <v>4028</v>
      </c>
      <c r="AE538" t="s">
        <v>4029</v>
      </c>
      <c r="AF538" t="s">
        <v>4030</v>
      </c>
      <c r="AG538" t="s">
        <v>4031</v>
      </c>
      <c r="BF538" t="s">
        <v>4032</v>
      </c>
      <c r="BG538" t="s">
        <v>114</v>
      </c>
      <c r="BH538" t="s">
        <v>102</v>
      </c>
      <c r="BI538" t="s">
        <v>539</v>
      </c>
      <c r="BJ538" t="str">
        <f>HYPERLINK("https://d33htgqikc2pj4.cloudfront.net/b52431b0-0a97-4ad7-a4ef-8caaafc493dc.jpeg", "Владимир Чугунов: Ссылка на изображение")</f>
        <v>Владимир Чугунов: Ссылка на изображение</v>
      </c>
      <c r="BK538" t="str">
        <f>HYPERLINK("https://d33htgqikc2pj4.cloudfront.net/be3e69b0-212c-4959-b5dd-a079ef268acd.jpeg", "Владимир Чугунов: Ссылка на изображение")</f>
        <v>Владимир Чугунов: Ссылка на изображение</v>
      </c>
      <c r="BL538" t="str">
        <f>HYPERLINK("https://d33htgqikc2pj4.cloudfront.net/2a3a5398-de74-4f7e-b44e-44f66c702fe4.jpeg", "Владимир Чугунов: Ссылка на изображение")</f>
        <v>Владимир Чугунов: Ссылка на изображение</v>
      </c>
      <c r="BM538" t="str">
        <f>HYPERLINK("https://d33htgqikc2pj4.cloudfront.net/7a180ede-3bbe-4490-a066-477f3c092441.jpeg", "Владимир Чугунов: Ссылка на изображение")</f>
        <v>Владимир Чугунов: Ссылка на изображение</v>
      </c>
      <c r="BN538" t="s">
        <v>4033</v>
      </c>
    </row>
    <row r="539" spans="1:81" ht="15" customHeight="1" x14ac:dyDescent="0.35">
      <c r="A539">
        <v>267</v>
      </c>
      <c r="B539" t="s">
        <v>4034</v>
      </c>
      <c r="C539">
        <v>2</v>
      </c>
      <c r="D539" t="str">
        <f>VLOOKUP(source[[#This Row],[Приоритет]],тПриоритеты[],2,0)</f>
        <v>Значительное</v>
      </c>
      <c r="E5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39" t="s">
        <v>2273</v>
      </c>
      <c r="G539" t="s">
        <v>395</v>
      </c>
      <c r="H539" t="str">
        <f>VLOOKUP(source[[#This Row],[Отвественный]],тОтветственные[],2,0)</f>
        <v>Отв19</v>
      </c>
      <c r="I539" s="2">
        <v>43663</v>
      </c>
      <c r="J539" s="2">
        <v>43663</v>
      </c>
      <c r="K539" t="s">
        <v>104</v>
      </c>
      <c r="L539">
        <v>0</v>
      </c>
      <c r="M539">
        <v>0</v>
      </c>
      <c r="N539" t="s">
        <v>105</v>
      </c>
      <c r="Q539" t="s">
        <v>106</v>
      </c>
      <c r="R539" t="str">
        <f>HYPERLINK("https://d28ji4sm1vmprj.cloudfront.net/e7a526a7220c3bc5cfeeb407c455c0b3/580ffb055aff8ee0c88c6e676cfba776.jpeg", "Ссылка на план")</f>
        <v>Ссылка на план</v>
      </c>
      <c r="S539" s="1">
        <v>43663.760335648149</v>
      </c>
      <c r="T539" s="1">
        <v>43663.760821759257</v>
      </c>
      <c r="U539" s="1">
        <v>43663.761365740742</v>
      </c>
      <c r="W539" s="1">
        <v>43663.761469907404</v>
      </c>
      <c r="BF539" t="s">
        <v>4035</v>
      </c>
      <c r="BG539" t="s">
        <v>114</v>
      </c>
      <c r="BH539" t="s">
        <v>548</v>
      </c>
      <c r="BI539" t="str">
        <f>HYPERLINK("https://d33htgqikc2pj4.cloudfront.net/47c95f9b-f4a6-49cd-8648-52ba1add5ff4.jpeg", "Владимир Чугунов: Ссылка на изображение")</f>
        <v>Владимир Чугунов: Ссылка на изображение</v>
      </c>
      <c r="BJ539" t="s">
        <v>102</v>
      </c>
    </row>
    <row r="540" spans="1:81" ht="15" customHeight="1" x14ac:dyDescent="0.35">
      <c r="A540">
        <v>265</v>
      </c>
      <c r="B540" t="s">
        <v>4036</v>
      </c>
      <c r="C540">
        <v>2</v>
      </c>
      <c r="D540" t="str">
        <f>VLOOKUP(source[[#This Row],[Приоритет]],тПриоритеты[],2,0)</f>
        <v>Значительное</v>
      </c>
      <c r="E5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0" t="s">
        <v>2273</v>
      </c>
      <c r="G540" t="s">
        <v>395</v>
      </c>
      <c r="H540" t="str">
        <f>VLOOKUP(source[[#This Row],[Отвественный]],тОтветственные[],2,0)</f>
        <v>Отв19</v>
      </c>
      <c r="I540" s="2">
        <v>43662</v>
      </c>
      <c r="J540" s="2">
        <v>43662</v>
      </c>
      <c r="K540" t="s">
        <v>104</v>
      </c>
      <c r="L540">
        <v>0</v>
      </c>
      <c r="M540">
        <v>0</v>
      </c>
      <c r="N540" t="s">
        <v>105</v>
      </c>
      <c r="Q540" t="s">
        <v>106</v>
      </c>
      <c r="R540" t="str">
        <f>HYPERLINK("https://d28ji4sm1vmprj.cloudfront.net/e7a526a7220c3bc5cfeeb407c455c0b3/580ffb055aff8ee0c88c6e676cfba776.jpeg", "Ссылка на план")</f>
        <v>Ссылка на план</v>
      </c>
      <c r="S540" s="1">
        <v>43663.464409722219</v>
      </c>
      <c r="T540" s="1">
        <v>43663.388171296298</v>
      </c>
      <c r="U540" s="1">
        <v>43663.389664351853</v>
      </c>
      <c r="W540" s="1">
        <v>43663.464432870373</v>
      </c>
      <c r="X540" t="s">
        <v>406</v>
      </c>
      <c r="AA540" t="s">
        <v>4037</v>
      </c>
      <c r="AB540" t="s">
        <v>4038</v>
      </c>
      <c r="AC540" t="s">
        <v>4039</v>
      </c>
      <c r="AD540" t="s">
        <v>4040</v>
      </c>
      <c r="AE540" t="s">
        <v>4041</v>
      </c>
      <c r="AF540" t="s">
        <v>4042</v>
      </c>
      <c r="AG540" t="s">
        <v>4043</v>
      </c>
      <c r="BF540" t="s">
        <v>114</v>
      </c>
      <c r="BG540" t="s">
        <v>4044</v>
      </c>
      <c r="BH540" t="s">
        <v>1258</v>
      </c>
      <c r="BI540" t="str">
        <f>HYPERLINK("https://d33htgqikc2pj4.cloudfront.net/f62ba732-7f2b-4b08-9b29-05f3d89a1ef2.jpeg", "Владимир Чугунов: Ссылка на изображение")</f>
        <v>Владимир Чугунов: Ссылка на изображение</v>
      </c>
      <c r="BJ540" t="str">
        <f>HYPERLINK("https://d33htgqikc2pj4.cloudfront.net/8227a31b-6edf-4847-af24-9b3294817360.jpeg", "Владимир Чугунов: Ссылка на изображение")</f>
        <v>Владимир Чугунов: Ссылка на изображение</v>
      </c>
      <c r="BK540" t="str">
        <f>HYPERLINK("https://d33htgqikc2pj4.cloudfront.net/d0d56b90-fafe-4766-a842-201a5c691781.jpeg", "Владимир Чугунов: Ссылка на изображение")</f>
        <v>Владимир Чугунов: Ссылка на изображение</v>
      </c>
      <c r="BL540" t="str">
        <f>HYPERLINK("https://d33htgqikc2pj4.cloudfront.net/0414811f-334a-43b1-b987-45e4ead86b34.jpeg", "Владимир Чугунов: Ссылка на изображение")</f>
        <v>Владимир Чугунов: Ссылка на изображение</v>
      </c>
      <c r="BM540" t="str">
        <f>HYPERLINK("https://d33htgqikc2pj4.cloudfront.net/47f51e68-9dde-46e5-93a9-f4a5d8d8b683.jpeg", "Владимир Чугунов: Ссылка на изображение")</f>
        <v>Владимир Чугунов: Ссылка на изображение</v>
      </c>
      <c r="BN540" t="str">
        <f>HYPERLINK("https://d33htgqikc2pj4.cloudfront.net/0c066a74-5d4e-4e79-8408-832f151f3c6c.jpeg", "Владимир Чугунов: Ссылка на изображение")</f>
        <v>Владимир Чугунов: Ссылка на изображение</v>
      </c>
      <c r="BO540" t="str">
        <f>HYPERLINK("https://d33htgqikc2pj4.cloudfront.net/01262333-cbd8-46b8-997c-78693d9b306d.jpeg", "Владимир Чугунов: Ссылка на изображение")</f>
        <v>Владимир Чугунов: Ссылка на изображение</v>
      </c>
      <c r="BP540" t="s">
        <v>4045</v>
      </c>
      <c r="BQ540" t="s">
        <v>102</v>
      </c>
    </row>
    <row r="541" spans="1:81" ht="15" customHeight="1" x14ac:dyDescent="0.35">
      <c r="A541">
        <v>112</v>
      </c>
      <c r="B541" t="s">
        <v>4046</v>
      </c>
      <c r="C541">
        <v>2</v>
      </c>
      <c r="D541" t="str">
        <f>VLOOKUP(source[[#This Row],[Приоритет]],тПриоритеты[],2,0)</f>
        <v>Значительное</v>
      </c>
      <c r="E5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1" t="s">
        <v>2273</v>
      </c>
      <c r="G541" t="s">
        <v>395</v>
      </c>
      <c r="H541" t="str">
        <f>VLOOKUP(source[[#This Row],[Отвественный]],тОтветственные[],2,0)</f>
        <v>Отв19</v>
      </c>
      <c r="I541" s="2">
        <v>43617</v>
      </c>
      <c r="J541" s="2">
        <v>43617</v>
      </c>
      <c r="K541" t="s">
        <v>274</v>
      </c>
      <c r="L541">
        <v>0</v>
      </c>
      <c r="M541">
        <v>0</v>
      </c>
      <c r="N541" t="s">
        <v>159</v>
      </c>
      <c r="Q541" t="s">
        <v>124</v>
      </c>
      <c r="R541" t="str">
        <f>HYPERLINK("https://d28ji4sm1vmprj.cloudfront.net/355a08c081c3838ab5b858f428b86049/8945c7522deb0c15488ad801990cffed.jpeg", "Ссылка на план")</f>
        <v>Ссылка на план</v>
      </c>
      <c r="S541" s="1">
        <v>43617.433263888888</v>
      </c>
      <c r="T541" s="1">
        <v>43617.433298611111</v>
      </c>
      <c r="U541" s="1">
        <v>43617.435127314813</v>
      </c>
      <c r="W541" s="1">
        <v>43617.435127314813</v>
      </c>
      <c r="X541" t="s">
        <v>3846</v>
      </c>
      <c r="AA541" t="s">
        <v>4047</v>
      </c>
      <c r="AB541" t="s">
        <v>4048</v>
      </c>
      <c r="AC541" t="s">
        <v>4049</v>
      </c>
      <c r="AD541" t="s">
        <v>4050</v>
      </c>
      <c r="BF541" t="s">
        <v>114</v>
      </c>
      <c r="BG541" t="s">
        <v>4051</v>
      </c>
      <c r="BH541" t="s">
        <v>4052</v>
      </c>
      <c r="BI541" t="str">
        <f>HYPERLINK("https://d33htgqikc2pj4.cloudfront.net/5a0a07c1-47a7-42c8-aeed-a541207775ac.jpeg", "Владимир Чугунов: Ссылка на изображение")</f>
        <v>Владимир Чугунов: Ссылка на изображение</v>
      </c>
      <c r="BJ541" t="str">
        <f>HYPERLINK("https://d33htgqikc2pj4.cloudfront.net/4e2ca860-6cb2-4506-870b-fe61801aa980.jpeg", "Владимир Чугунов: Ссылка на изображение")</f>
        <v>Владимир Чугунов: Ссылка на изображение</v>
      </c>
      <c r="BK541" t="s">
        <v>102</v>
      </c>
    </row>
    <row r="542" spans="1:81" ht="15" customHeight="1" x14ac:dyDescent="0.35">
      <c r="A542">
        <v>113</v>
      </c>
      <c r="B542" t="s">
        <v>4053</v>
      </c>
      <c r="C542">
        <v>2</v>
      </c>
      <c r="D542" t="str">
        <f>VLOOKUP(source[[#This Row],[Приоритет]],тПриоритеты[],2,0)</f>
        <v>Значительное</v>
      </c>
      <c r="E5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2" t="s">
        <v>2273</v>
      </c>
      <c r="G542" t="s">
        <v>395</v>
      </c>
      <c r="H542" t="str">
        <f>VLOOKUP(source[[#This Row],[Отвественный]],тОтветственные[],2,0)</f>
        <v>Отв19</v>
      </c>
      <c r="I542" s="2">
        <v>43617</v>
      </c>
      <c r="J542" s="2">
        <v>43617</v>
      </c>
      <c r="K542" t="s">
        <v>158</v>
      </c>
      <c r="L542">
        <v>0</v>
      </c>
      <c r="M542">
        <v>0</v>
      </c>
      <c r="N542" t="s">
        <v>159</v>
      </c>
      <c r="Q542" t="s">
        <v>124</v>
      </c>
      <c r="R542" t="str">
        <f>HYPERLINK("https://d28ji4sm1vmprj.cloudfront.net/09622a2bb466dfd1cdfb85ce6a712a4c/080b534903fe5ecae6d56f3611cbeb01.jpeg", "Ссылка на план")</f>
        <v>Ссылка на план</v>
      </c>
      <c r="S542" s="1">
        <v>43617.435173611113</v>
      </c>
      <c r="T542" s="1">
        <v>43617.435219907406</v>
      </c>
      <c r="U542" s="1">
        <v>43617.436701388891</v>
      </c>
      <c r="W542" s="1">
        <v>43617.436712962961</v>
      </c>
      <c r="X542" t="s">
        <v>3846</v>
      </c>
      <c r="AA542" t="s">
        <v>4047</v>
      </c>
      <c r="AB542" t="s">
        <v>4048</v>
      </c>
      <c r="AC542" t="s">
        <v>4049</v>
      </c>
      <c r="AD542" t="s">
        <v>4050</v>
      </c>
      <c r="BF542" t="s">
        <v>114</v>
      </c>
      <c r="BG542" t="s">
        <v>4054</v>
      </c>
      <c r="BH542" t="s">
        <v>4052</v>
      </c>
      <c r="BI542" t="str">
        <f>HYPERLINK("https://d33htgqikc2pj4.cloudfront.net/775861e6-02b7-4140-8c86-f87bd7585397.jpeg", "Владимир Чугунов: Ссылка на изображение")</f>
        <v>Владимир Чугунов: Ссылка на изображение</v>
      </c>
      <c r="BJ542" t="str">
        <f>HYPERLINK("https://d33htgqikc2pj4.cloudfront.net/f8940ad5-26c0-4c33-82cb-d9f6c4079391.jpeg", "Владимир Чугунов: Ссылка на изображение")</f>
        <v>Владимир Чугунов: Ссылка на изображение</v>
      </c>
      <c r="BK542" t="str">
        <f>HYPERLINK("https://d33htgqikc2pj4.cloudfront.net/034e586b-0dad-4747-88a7-6afb2b33b14b.jpeg", "Владимир Чугунов: Ссылка на изображение")</f>
        <v>Владимир Чугунов: Ссылка на изображение</v>
      </c>
      <c r="BL542" t="str">
        <f>HYPERLINK("https://d33htgqikc2pj4.cloudfront.net/8017d3f9-3944-4129-a3a4-739cdbf290a3.jpeg", "Владимир Чугунов: Ссылка на изображение")</f>
        <v>Владимир Чугунов: Ссылка на изображение</v>
      </c>
      <c r="BM542" t="s">
        <v>102</v>
      </c>
    </row>
    <row r="543" spans="1:81" ht="15" customHeight="1" x14ac:dyDescent="0.35">
      <c r="A543">
        <v>268</v>
      </c>
      <c r="B543" t="s">
        <v>4055</v>
      </c>
      <c r="C543">
        <v>2</v>
      </c>
      <c r="D543" t="str">
        <f>VLOOKUP(source[[#This Row],[Приоритет]],тПриоритеты[],2,0)</f>
        <v>Значительное</v>
      </c>
      <c r="E5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3" t="s">
        <v>2273</v>
      </c>
      <c r="G543" t="s">
        <v>395</v>
      </c>
      <c r="H543" t="str">
        <f>VLOOKUP(source[[#This Row],[Отвественный]],тОтветственные[],2,0)</f>
        <v>Отв19</v>
      </c>
      <c r="I543" s="2">
        <v>43663</v>
      </c>
      <c r="J543" s="2">
        <v>43663</v>
      </c>
      <c r="K543" t="s">
        <v>104</v>
      </c>
      <c r="L543">
        <v>0</v>
      </c>
      <c r="M543">
        <v>0</v>
      </c>
      <c r="N543" t="s">
        <v>105</v>
      </c>
      <c r="Q543" t="s">
        <v>106</v>
      </c>
      <c r="R543" t="str">
        <f>HYPERLINK("https://d28ji4sm1vmprj.cloudfront.net/e7a526a7220c3bc5cfeeb407c455c0b3/580ffb055aff8ee0c88c6e676cfba776.jpeg", "Ссылка на план")</f>
        <v>Ссылка на план</v>
      </c>
      <c r="S543" s="1">
        <v>43663.761469907404</v>
      </c>
      <c r="T543" s="1">
        <v>43663.76185185185</v>
      </c>
      <c r="U543" s="1">
        <v>43663.76284722222</v>
      </c>
      <c r="W543" s="1">
        <v>43663.765706018516</v>
      </c>
      <c r="BF543" t="s">
        <v>4056</v>
      </c>
      <c r="BG543" t="s">
        <v>548</v>
      </c>
      <c r="BH543" t="s">
        <v>114</v>
      </c>
      <c r="BI543" t="str">
        <f>HYPERLINK("https://d33htgqikc2pj4.cloudfront.net/83031e81-a9a9-4741-bd2d-5aa56b527396.jpeg", "Владимир Чугунов: Ссылка на изображение")</f>
        <v>Владимир Чугунов: Ссылка на изображение</v>
      </c>
      <c r="BJ543" t="str">
        <f>HYPERLINK("https://d33htgqikc2pj4.cloudfront.net/133b34ac-541f-4a1d-817a-5022bb071270.jpeg", "Владимир Чугунов: Ссылка на изображение")</f>
        <v>Владимир Чугунов: Ссылка на изображение</v>
      </c>
      <c r="BK543" t="str">
        <f>HYPERLINK("https://d33htgqikc2pj4.cloudfront.net/8bdf4803-ae9a-4bbd-b358-b2d31505e9af.jpeg", "Владимир Чугунов: Ссылка на изображение")</f>
        <v>Владимир Чугунов: Ссылка на изображение</v>
      </c>
      <c r="BL543" t="str">
        <f>HYPERLINK("https://d33htgqikc2pj4.cloudfront.net/04c1eac9-196e-4dc8-bd07-46847c3e76ab.jpeg", "Владимир Чугунов: Ссылка на изображение")</f>
        <v>Владимир Чугунов: Ссылка на изображение</v>
      </c>
      <c r="BM543" t="str">
        <f>HYPERLINK("https://d33htgqikc2pj4.cloudfront.net/e5a62c37-6b1c-4922-a965-e3e6ed47d539.jpeg", "Владимир Чугунов: Ссылка на изображение")</f>
        <v>Владимир Чугунов: Ссылка на изображение</v>
      </c>
      <c r="BN543" t="str">
        <f>HYPERLINK("https://d33htgqikc2pj4.cloudfront.net/ec7c812b-2e9f-4c9d-a26a-c9ac81ed5bce.jpeg", "Владимир Чугунов: Ссылка на изображение")</f>
        <v>Владимир Чугунов: Ссылка на изображение</v>
      </c>
      <c r="BO543" t="str">
        <f>HYPERLINK("https://d33htgqikc2pj4.cloudfront.net/abefd418-c3a7-4975-b1c5-23a7a0c44d1f.jpeg", "Владимир Чугунов: Ссылка на изображение")</f>
        <v>Владимир Чугунов: Ссылка на изображение</v>
      </c>
      <c r="BP543" t="s">
        <v>102</v>
      </c>
    </row>
    <row r="544" spans="1:81" ht="15" customHeight="1" x14ac:dyDescent="0.35">
      <c r="A544">
        <v>168</v>
      </c>
      <c r="B544" t="s">
        <v>4057</v>
      </c>
      <c r="C544">
        <v>2</v>
      </c>
      <c r="D544" t="str">
        <f>VLOOKUP(source[[#This Row],[Приоритет]],тПриоритеты[],2,0)</f>
        <v>Значительное</v>
      </c>
      <c r="E5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4" t="s">
        <v>2273</v>
      </c>
      <c r="G544" t="s">
        <v>395</v>
      </c>
      <c r="H544" t="str">
        <f>VLOOKUP(source[[#This Row],[Отвественный]],тОтветственные[],2,0)</f>
        <v>Отв19</v>
      </c>
      <c r="I544" s="2">
        <v>43641</v>
      </c>
      <c r="J544" s="2">
        <v>43663</v>
      </c>
      <c r="K544" t="s">
        <v>122</v>
      </c>
      <c r="L544">
        <v>0</v>
      </c>
      <c r="M544">
        <v>0</v>
      </c>
      <c r="N544" t="s">
        <v>123</v>
      </c>
      <c r="Q544" t="s">
        <v>124</v>
      </c>
      <c r="R544" t="str">
        <f>HYPERLINK("https://d28ji4sm1vmprj.cloudfront.net/78b1fbd1c87eb90dac050448d7e72c8d/a7fb9bbb452cbb899c601a0b8b67fd7d.jpeg", "Ссылка на план")</f>
        <v>Ссылка на план</v>
      </c>
      <c r="S544" s="1">
        <v>43641.549259259256</v>
      </c>
      <c r="T544" s="1">
        <v>43641.549293981479</v>
      </c>
      <c r="U544" s="1">
        <v>43641.552430555559</v>
      </c>
      <c r="W544" s="1">
        <v>43670.677951388891</v>
      </c>
      <c r="X544" t="s">
        <v>3883</v>
      </c>
      <c r="AA544" t="s">
        <v>4058</v>
      </c>
      <c r="AB544" t="s">
        <v>4059</v>
      </c>
      <c r="AC544" t="s">
        <v>4060</v>
      </c>
      <c r="AD544" t="s">
        <v>4061</v>
      </c>
      <c r="AE544" t="s">
        <v>4062</v>
      </c>
      <c r="AF544" t="s">
        <v>4063</v>
      </c>
      <c r="AG544" t="s">
        <v>4064</v>
      </c>
      <c r="BF544" t="s">
        <v>114</v>
      </c>
      <c r="BG544" t="s">
        <v>558</v>
      </c>
      <c r="BH544" t="s">
        <v>4065</v>
      </c>
      <c r="BI544" t="str">
        <f>HYPERLINK("https://d33htgqikc2pj4.cloudfront.net/5bf6bbbe-8fbb-4a7a-ac56-9e9f82846b71.jpeg", "Владимир Чугунов: Ссылка на изображение")</f>
        <v>Владимир Чугунов: Ссылка на изображение</v>
      </c>
      <c r="BJ544" t="str">
        <f>HYPERLINK("https://d33htgqikc2pj4.cloudfront.net/882ffe2d-c41d-4f51-81d1-aa9184dc7d44.jpeg", "Владимир Чугунов: Ссылка на изображение")</f>
        <v>Владимир Чугунов: Ссылка на изображение</v>
      </c>
      <c r="BK544" t="str">
        <f>HYPERLINK("https://d33htgqikc2pj4.cloudfront.net/82fe4bf6-0433-4fc9-816b-1b725c815e65.jpeg", "Владимир Чугунов: Ссылка на изображение")</f>
        <v>Владимир Чугунов: Ссылка на изображение</v>
      </c>
      <c r="BL544" t="str">
        <f>HYPERLINK("https://d33htgqikc2pj4.cloudfront.net/d5a15e81-cad2-410f-9a96-7fc2f3189774.jpeg", "Владимир Чугунов: Ссылка на изображение")</f>
        <v>Владимир Чугунов: Ссылка на изображение</v>
      </c>
      <c r="BM544" t="str">
        <f>HYPERLINK("https://d33htgqikc2pj4.cloudfront.net/05bf6700-f851-4081-b7d6-7b02d46584ad.jpeg", "Владимир Чугунов: Ссылка на изображение")</f>
        <v>Владимир Чугунов: Ссылка на изображение</v>
      </c>
      <c r="BN544" t="str">
        <f>HYPERLINK("https://d33htgqikc2pj4.cloudfront.net/bf57b934-06d0-46e6-8955-33537181f97f.jpeg", "Владимир Чугунов: Ссылка на изображение")</f>
        <v>Владимир Чугунов: Ссылка на изображение</v>
      </c>
      <c r="BO544" t="s">
        <v>102</v>
      </c>
      <c r="BP544" t="s">
        <v>4066</v>
      </c>
    </row>
    <row r="545" spans="1:73" ht="15" customHeight="1" x14ac:dyDescent="0.35">
      <c r="A545">
        <v>178</v>
      </c>
      <c r="B545" t="s">
        <v>4067</v>
      </c>
      <c r="C545">
        <v>2</v>
      </c>
      <c r="D545" t="str">
        <f>VLOOKUP(source[[#This Row],[Приоритет]],тПриоритеты[],2,0)</f>
        <v>Значительное</v>
      </c>
      <c r="E5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5" t="s">
        <v>2273</v>
      </c>
      <c r="G545" t="s">
        <v>395</v>
      </c>
      <c r="H545" t="str">
        <f>VLOOKUP(source[[#This Row],[Отвественный]],тОтветственные[],2,0)</f>
        <v>Отв19</v>
      </c>
      <c r="I545" s="2">
        <v>43644</v>
      </c>
      <c r="J545" s="2">
        <v>43644</v>
      </c>
      <c r="K545" t="s">
        <v>1239</v>
      </c>
      <c r="L545">
        <v>0</v>
      </c>
      <c r="M545">
        <v>0</v>
      </c>
      <c r="N545" t="s">
        <v>213</v>
      </c>
      <c r="Q545" t="s">
        <v>106</v>
      </c>
      <c r="R545" t="str">
        <f>HYPERLINK("https://d28ji4sm1vmprj.cloudfront.net/ccf34eba00e06214379800cff12ee85c/5ead71be54780691edd782b428416714.jpeg", "Ссылка на план")</f>
        <v>Ссылка на план</v>
      </c>
      <c r="S545" s="1">
        <v>43644.452974537038</v>
      </c>
      <c r="T545" s="1">
        <v>43644.453020833331</v>
      </c>
      <c r="U545" s="1">
        <v>43644.45412037037</v>
      </c>
      <c r="W545" s="1">
        <v>43644.454131944447</v>
      </c>
      <c r="X545" t="s">
        <v>1204</v>
      </c>
      <c r="AA545" t="s">
        <v>4068</v>
      </c>
      <c r="AB545" t="s">
        <v>4069</v>
      </c>
      <c r="AC545" t="s">
        <v>4070</v>
      </c>
      <c r="AD545" t="s">
        <v>4071</v>
      </c>
      <c r="AE545" t="s">
        <v>4072</v>
      </c>
      <c r="AF545" t="s">
        <v>4073</v>
      </c>
      <c r="BF545" t="s">
        <v>114</v>
      </c>
      <c r="BG545" t="s">
        <v>4074</v>
      </c>
      <c r="BH545" t="s">
        <v>4075</v>
      </c>
      <c r="BI545" t="str">
        <f>HYPERLINK("https://d33htgqikc2pj4.cloudfront.net/ca210aae-8396-40c6-94fc-959b6a69ef2c.jpeg", "Владимир Чугунов: Ссылка на изображение")</f>
        <v>Владимир Чугунов: Ссылка на изображение</v>
      </c>
      <c r="BJ545" t="str">
        <f>HYPERLINK("https://d33htgqikc2pj4.cloudfront.net/1727a36c-19d4-4bfd-abdd-a6b0dcdb02bb.jpeg", "Владимир Чугунов: Ссылка на изображение")</f>
        <v>Владимир Чугунов: Ссылка на изображение</v>
      </c>
      <c r="BK545" t="s">
        <v>102</v>
      </c>
    </row>
    <row r="546" spans="1:73" ht="15" customHeight="1" x14ac:dyDescent="0.35">
      <c r="A546">
        <v>179</v>
      </c>
      <c r="B546" t="s">
        <v>4076</v>
      </c>
      <c r="C546">
        <v>2</v>
      </c>
      <c r="D546" t="str">
        <f>VLOOKUP(source[[#This Row],[Приоритет]],тПриоритеты[],2,0)</f>
        <v>Значительное</v>
      </c>
      <c r="E5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6" t="s">
        <v>2273</v>
      </c>
      <c r="G546" t="s">
        <v>395</v>
      </c>
      <c r="H546" t="str">
        <f>VLOOKUP(source[[#This Row],[Отвественный]],тОтветственные[],2,0)</f>
        <v>Отв19</v>
      </c>
      <c r="I546" s="2">
        <v>43644</v>
      </c>
      <c r="J546" s="2">
        <v>43644</v>
      </c>
      <c r="K546" t="s">
        <v>122</v>
      </c>
      <c r="L546">
        <v>0</v>
      </c>
      <c r="M546">
        <v>0</v>
      </c>
      <c r="N546" t="s">
        <v>123</v>
      </c>
      <c r="Q546" t="s">
        <v>124</v>
      </c>
      <c r="R546" t="str">
        <f>HYPERLINK("https://d28ji4sm1vmprj.cloudfront.net/78b1fbd1c87eb90dac050448d7e72c8d/a7fb9bbb452cbb899c601a0b8b67fd7d.jpeg", "Ссылка на план")</f>
        <v>Ссылка на план</v>
      </c>
      <c r="S546" s="1">
        <v>43644.577824074076</v>
      </c>
      <c r="T546" s="1">
        <v>43644.577893518515</v>
      </c>
      <c r="U546" s="1">
        <v>43644.596296296295</v>
      </c>
      <c r="W546" s="1">
        <v>43644.596319444441</v>
      </c>
      <c r="X546" t="s">
        <v>406</v>
      </c>
      <c r="AA546" t="s">
        <v>4077</v>
      </c>
      <c r="AB546" t="s">
        <v>4078</v>
      </c>
      <c r="AC546" t="s">
        <v>4079</v>
      </c>
      <c r="AD546" t="s">
        <v>4080</v>
      </c>
      <c r="AE546" t="s">
        <v>4081</v>
      </c>
      <c r="AF546" t="s">
        <v>4082</v>
      </c>
      <c r="AG546" t="s">
        <v>4083</v>
      </c>
      <c r="BF546" t="s">
        <v>114</v>
      </c>
      <c r="BG546" t="s">
        <v>4084</v>
      </c>
      <c r="BH546" t="s">
        <v>4075</v>
      </c>
      <c r="BI546" t="str">
        <f>HYPERLINK("https://d33htgqikc2pj4.cloudfront.net/1d0dbc3c-3308-4e47-b308-7ff6c92babbb.jpeg", "Владимир Чугунов: Ссылка на изображение")</f>
        <v>Владимир Чугунов: Ссылка на изображение</v>
      </c>
      <c r="BJ546" t="str">
        <f>HYPERLINK("https://d33htgqikc2pj4.cloudfront.net/eda8056f-1197-43d2-a2a2-e359a4340a3e.jpeg", "Владимир Чугунов: Ссылка на изображение")</f>
        <v>Владимир Чугунов: Ссылка на изображение</v>
      </c>
      <c r="BK546" t="str">
        <f>HYPERLINK("https://d33htgqikc2pj4.cloudfront.net/81e34587-5930-4d82-8643-254df257b2f5.jpeg", "Владимир Чугунов: Ссылка на изображение")</f>
        <v>Владимир Чугунов: Ссылка на изображение</v>
      </c>
      <c r="BL546" t="str">
        <f>HYPERLINK("https://d33htgqikc2pj4.cloudfront.net/8a3d4e5d-d84a-4a35-beef-b53bfa6b823b.jpeg", "Владимир Чугунов: Ссылка на изображение")</f>
        <v>Владимир Чугунов: Ссылка на изображение</v>
      </c>
      <c r="BM546" t="str">
        <f>HYPERLINK("https://d33htgqikc2pj4.cloudfront.net/72b6ed6e-6cb5-4589-a2fe-1e83f6bcfd95.jpeg", "Владимир Чугунов: Ссылка на изображение")</f>
        <v>Владимир Чугунов: Ссылка на изображение</v>
      </c>
      <c r="BN546" t="str">
        <f>HYPERLINK("https://d33htgqikc2pj4.cloudfront.net/f18f7598-df76-4187-a138-d5eb8482c664.jpeg", "Владимир Чугунов: Ссылка на изображение")</f>
        <v>Владимир Чугунов: Ссылка на изображение</v>
      </c>
      <c r="BO546" t="str">
        <f>HYPERLINK("https://d33htgqikc2pj4.cloudfront.net/bff324c5-7767-4030-84b3-091a1b34626b.jpeg", "Владимир Чугунов: Ссылка на изображение")</f>
        <v>Владимир Чугунов: Ссылка на изображение</v>
      </c>
      <c r="BP546" t="s">
        <v>102</v>
      </c>
    </row>
    <row r="547" spans="1:73" ht="15" customHeight="1" x14ac:dyDescent="0.35">
      <c r="A547">
        <v>182</v>
      </c>
      <c r="B547" t="s">
        <v>4085</v>
      </c>
      <c r="C547">
        <v>2</v>
      </c>
      <c r="D547" t="str">
        <f>VLOOKUP(source[[#This Row],[Приоритет]],тПриоритеты[],2,0)</f>
        <v>Значительное</v>
      </c>
      <c r="E5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7" t="s">
        <v>2273</v>
      </c>
      <c r="G547" t="s">
        <v>395</v>
      </c>
      <c r="H547" t="str">
        <f>VLOOKUP(source[[#This Row],[Отвественный]],тОтветственные[],2,0)</f>
        <v>Отв19</v>
      </c>
      <c r="I547" s="2">
        <v>43645</v>
      </c>
      <c r="J547" s="2">
        <v>43645</v>
      </c>
      <c r="K547" t="s">
        <v>122</v>
      </c>
      <c r="L547">
        <v>0</v>
      </c>
      <c r="M547">
        <v>0</v>
      </c>
      <c r="N547" t="s">
        <v>123</v>
      </c>
      <c r="Q547" t="s">
        <v>124</v>
      </c>
      <c r="R547" t="str">
        <f>HYPERLINK("https://d28ji4sm1vmprj.cloudfront.net/78b1fbd1c87eb90dac050448d7e72c8d/a7fb9bbb452cbb899c601a0b8b67fd7d.jpeg", "Ссылка на план")</f>
        <v>Ссылка на план</v>
      </c>
      <c r="S547" s="1">
        <v>43645.452673611115</v>
      </c>
      <c r="T547" s="1">
        <v>43645.452650462961</v>
      </c>
      <c r="U547" s="1">
        <v>43645.453657407408</v>
      </c>
      <c r="W547" s="1">
        <v>43645.453668981485</v>
      </c>
      <c r="X547" t="s">
        <v>3883</v>
      </c>
      <c r="AA547" t="s">
        <v>4086</v>
      </c>
      <c r="AB547" t="s">
        <v>4087</v>
      </c>
      <c r="AC547" t="s">
        <v>4088</v>
      </c>
      <c r="AD547" t="s">
        <v>4089</v>
      </c>
      <c r="AE547" t="s">
        <v>4090</v>
      </c>
      <c r="AF547" t="s">
        <v>4091</v>
      </c>
      <c r="AG547" t="s">
        <v>4092</v>
      </c>
      <c r="BF547" t="s">
        <v>4093</v>
      </c>
      <c r="BG547" t="s">
        <v>4094</v>
      </c>
      <c r="BH547" t="s">
        <v>114</v>
      </c>
      <c r="BI547" t="str">
        <f>HYPERLINK("https://d33htgqikc2pj4.cloudfront.net/c9a99dbb-adb9-46dd-bb78-c0f93a117270.jpeg", "Владимир Чугунов: Ссылка на изображение")</f>
        <v>Владимир Чугунов: Ссылка на изображение</v>
      </c>
      <c r="BJ547" t="str">
        <f>HYPERLINK("https://d33htgqikc2pj4.cloudfront.net/5b15e6a9-63fe-43f9-83a0-60a7e3ff49fb.jpeg", "Владимир Чугунов: Ссылка на изображение")</f>
        <v>Владимир Чугунов: Ссылка на изображение</v>
      </c>
      <c r="BK547" t="str">
        <f>HYPERLINK("https://d33htgqikc2pj4.cloudfront.net/b8f53796-25a3-48c5-9617-9041e7d6c658.jpeg", "Владимир Чугунов: Ссылка на изображение")</f>
        <v>Владимир Чугунов: Ссылка на изображение</v>
      </c>
      <c r="BL547" t="str">
        <f>HYPERLINK("https://d33htgqikc2pj4.cloudfront.net/4abb0495-3892-46c8-addf-5fc004012432.jpeg", "Владимир Чугунов: Ссылка на изображение")</f>
        <v>Владимир Чугунов: Ссылка на изображение</v>
      </c>
      <c r="BM547" t="str">
        <f>HYPERLINK("https://d33htgqikc2pj4.cloudfront.net/c4113a1b-a160-4349-a7f7-a66bc4edbd82.jpeg", "Владимир Чугунов: Ссылка на изображение")</f>
        <v>Владимир Чугунов: Ссылка на изображение</v>
      </c>
      <c r="BN547" t="s">
        <v>102</v>
      </c>
    </row>
    <row r="548" spans="1:73" ht="15" customHeight="1" x14ac:dyDescent="0.35">
      <c r="A548">
        <v>183</v>
      </c>
      <c r="B548" t="s">
        <v>4095</v>
      </c>
      <c r="C548">
        <v>2</v>
      </c>
      <c r="D548" t="str">
        <f>VLOOKUP(source[[#This Row],[Приоритет]],тПриоритеты[],2,0)</f>
        <v>Значительное</v>
      </c>
      <c r="E5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8" t="s">
        <v>2273</v>
      </c>
      <c r="G548" t="s">
        <v>395</v>
      </c>
      <c r="H548" t="str">
        <f>VLOOKUP(source[[#This Row],[Отвественный]],тОтветственные[],2,0)</f>
        <v>Отв19</v>
      </c>
      <c r="I548" s="2">
        <v>43645</v>
      </c>
      <c r="J548" s="2">
        <v>43645</v>
      </c>
      <c r="K548" t="s">
        <v>313</v>
      </c>
      <c r="L548">
        <v>0</v>
      </c>
      <c r="M548">
        <v>0</v>
      </c>
      <c r="N548" t="s">
        <v>159</v>
      </c>
      <c r="Q548" t="s">
        <v>106</v>
      </c>
      <c r="R548" t="str">
        <f>HYPERLINK("https://d28ji4sm1vmprj.cloudfront.net/464215be55b88773f54b8cd83354babd/02eaaeba9564da889c4ba5d284544147.jpeg", "Ссылка на план")</f>
        <v>Ссылка на план</v>
      </c>
      <c r="S548" s="1">
        <v>43645.466469907406</v>
      </c>
      <c r="T548" s="1">
        <v>43645.467002314814</v>
      </c>
      <c r="U548" s="1">
        <v>43645.468761574077</v>
      </c>
      <c r="W548" s="1">
        <v>43645.4687962963</v>
      </c>
      <c r="X548" t="s">
        <v>2764</v>
      </c>
      <c r="AA548" t="s">
        <v>4096</v>
      </c>
      <c r="AB548" t="s">
        <v>4097</v>
      </c>
      <c r="AC548" t="s">
        <v>4098</v>
      </c>
      <c r="AD548" t="s">
        <v>4099</v>
      </c>
      <c r="AE548" t="s">
        <v>4100</v>
      </c>
      <c r="AF548" t="s">
        <v>4101</v>
      </c>
      <c r="AG548" t="s">
        <v>4102</v>
      </c>
      <c r="BF548" t="s">
        <v>114</v>
      </c>
      <c r="BG548" t="s">
        <v>4103</v>
      </c>
      <c r="BH548" t="s">
        <v>4094</v>
      </c>
      <c r="BI548" t="str">
        <f>HYPERLINK("https://d33htgqikc2pj4.cloudfront.net/64cfda71-d65d-4a3b-9757-eb921b30e59b.jpeg", "Владимир Чугунов: Ссылка на изображение")</f>
        <v>Владимир Чугунов: Ссылка на изображение</v>
      </c>
      <c r="BJ548" t="str">
        <f>HYPERLINK("https://d33htgqikc2pj4.cloudfront.net/27766abf-531b-42aa-bc24-29d46e2523a3.jpeg", "Владимир Чугунов: Ссылка на изображение")</f>
        <v>Владимир Чугунов: Ссылка на изображение</v>
      </c>
      <c r="BK548" t="str">
        <f>HYPERLINK("https://d33htgqikc2pj4.cloudfront.net/c02cd176-ffac-43dd-bb29-a1bf1ea0bd4c.jpeg", "Владимир Чугунов: Ссылка на изображение")</f>
        <v>Владимир Чугунов: Ссылка на изображение</v>
      </c>
      <c r="BL548" t="str">
        <f>HYPERLINK("https://d33htgqikc2pj4.cloudfront.net/549e747a-8b43-4605-9e34-4e516db8b999.jpeg", "Владимир Чугунов: Ссылка на изображение")</f>
        <v>Владимир Чугунов: Ссылка на изображение</v>
      </c>
      <c r="BM548" t="str">
        <f>HYPERLINK("https://d33htgqikc2pj4.cloudfront.net/899df6ee-873a-4a88-8c34-ffc507886e6e.jpeg", "Владимир Чугунов: Ссылка на изображение")</f>
        <v>Владимир Чугунов: Ссылка на изображение</v>
      </c>
      <c r="BN548" t="s">
        <v>102</v>
      </c>
    </row>
    <row r="549" spans="1:73" ht="15" customHeight="1" x14ac:dyDescent="0.35">
      <c r="A549">
        <v>274</v>
      </c>
      <c r="B549" t="s">
        <v>4104</v>
      </c>
      <c r="C549">
        <v>2</v>
      </c>
      <c r="D549" t="str">
        <f>VLOOKUP(source[[#This Row],[Приоритет]],тПриоритеты[],2,0)</f>
        <v>Значительное</v>
      </c>
      <c r="E5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49" t="s">
        <v>2273</v>
      </c>
      <c r="G549" t="s">
        <v>395</v>
      </c>
      <c r="H549" t="str">
        <f>VLOOKUP(source[[#This Row],[Отвественный]],тОтветственные[],2,0)</f>
        <v>Отв19</v>
      </c>
      <c r="I549" s="2">
        <v>43665</v>
      </c>
      <c r="J549" s="2">
        <v>43665</v>
      </c>
      <c r="K549" t="s">
        <v>104</v>
      </c>
      <c r="L549">
        <v>0</v>
      </c>
      <c r="M549">
        <v>0</v>
      </c>
      <c r="N549" t="s">
        <v>105</v>
      </c>
      <c r="Q549" t="s">
        <v>106</v>
      </c>
      <c r="R549" t="str">
        <f>HYPERLINK("https://d28ji4sm1vmprj.cloudfront.net/e7a526a7220c3bc5cfeeb407c455c0b3/580ffb055aff8ee0c88c6e676cfba776.jpeg", "Ссылка на план")</f>
        <v>Ссылка на план</v>
      </c>
      <c r="S549" s="1">
        <v>43665.615451388891</v>
      </c>
      <c r="T549" s="1">
        <v>43665.615486111114</v>
      </c>
      <c r="U549" s="1">
        <v>43665.617060185185</v>
      </c>
      <c r="W549" s="1">
        <v>43665.617071759261</v>
      </c>
      <c r="X549" t="s">
        <v>406</v>
      </c>
      <c r="AA549" t="s">
        <v>4105</v>
      </c>
      <c r="AB549" t="s">
        <v>4106</v>
      </c>
      <c r="AC549" t="s">
        <v>4107</v>
      </c>
      <c r="AD549" t="s">
        <v>4108</v>
      </c>
      <c r="AE549" t="s">
        <v>4109</v>
      </c>
      <c r="AF549" t="s">
        <v>4110</v>
      </c>
      <c r="AG549" t="s">
        <v>4111</v>
      </c>
      <c r="BF549" t="s">
        <v>114</v>
      </c>
      <c r="BG549" t="s">
        <v>4112</v>
      </c>
      <c r="BH549" t="s">
        <v>585</v>
      </c>
      <c r="BI549" t="str">
        <f>HYPERLINK("https://d33htgqikc2pj4.cloudfront.net/eecca680-d261-426a-a500-064258ec1f6f.jpeg", "Владимир Чугунов: Ссылка на изображение")</f>
        <v>Владимир Чугунов: Ссылка на изображение</v>
      </c>
      <c r="BJ549" t="str">
        <f>HYPERLINK("https://d33htgqikc2pj4.cloudfront.net/3693c183-9601-4311-a57a-1e0fc9b8d177.jpeg", "Владимир Чугунов: Ссылка на изображение")</f>
        <v>Владимир Чугунов: Ссылка на изображение</v>
      </c>
      <c r="BK549" t="str">
        <f>HYPERLINK("https://d33htgqikc2pj4.cloudfront.net/5802b992-49c0-4485-af72-ec41f6b6d75f.jpeg", "Владимир Чугунов: Ссылка на изображение")</f>
        <v>Владимир Чугунов: Ссылка на изображение</v>
      </c>
      <c r="BL549" t="str">
        <f>HYPERLINK("https://d33htgqikc2pj4.cloudfront.net/d14713ac-ad1f-4f14-9383-d5273bdb211b.jpeg", "Владимир Чугунов: Ссылка на изображение")</f>
        <v>Владимир Чугунов: Ссылка на изображение</v>
      </c>
      <c r="BM549" t="str">
        <f>HYPERLINK("https://d33htgqikc2pj4.cloudfront.net/98bd6fde-b86c-4700-b2f1-f3581564f5f0.jpeg", "Владимир Чугунов: Ссылка на изображение")</f>
        <v>Владимир Чугунов: Ссылка на изображение</v>
      </c>
      <c r="BN549" t="str">
        <f>HYPERLINK("https://d33htgqikc2pj4.cloudfront.net/b5f9f1d7-353e-4902-8d21-05010cf87234.jpeg", "Владимир Чугунов: Ссылка на изображение")</f>
        <v>Владимир Чугунов: Ссылка на изображение</v>
      </c>
      <c r="BO549" t="str">
        <f>HYPERLINK("https://d33htgqikc2pj4.cloudfront.net/3dc04c50-a27c-4c8b-90a8-f7d5624b5c90.jpeg", "Владимир Чугунов: Ссылка на изображение")</f>
        <v>Владимир Чугунов: Ссылка на изображение</v>
      </c>
      <c r="BP549" t="str">
        <f>HYPERLINK("https://d33htgqikc2pj4.cloudfront.net/262dd772-a16a-4c3c-8279-f1ac17ae806f.jpeg", "Владимир Чугунов: Ссылка на изображение")</f>
        <v>Владимир Чугунов: Ссылка на изображение</v>
      </c>
      <c r="BQ549" t="str">
        <f>HYPERLINK("https://d33htgqikc2pj4.cloudfront.net/03fd4942-fbae-4322-ad8c-3023b1cbb167.jpeg", "Владимир Чугунов: Ссылка на изображение")</f>
        <v>Владимир Чугунов: Ссылка на изображение</v>
      </c>
      <c r="BR549" t="str">
        <f>HYPERLINK("https://d33htgqikc2pj4.cloudfront.net/9f18579c-295a-4683-8817-04d620a5e0c1.jpeg", "Владимир Чугунов: Ссылка на изображение")</f>
        <v>Владимир Чугунов: Ссылка на изображение</v>
      </c>
      <c r="BS549" t="str">
        <f>HYPERLINK("https://d33htgqikc2pj4.cloudfront.net/d5b1c89f-643c-4390-8a8d-3841b7b98d51.jpeg", "Владимир Чугунов: Ссылка на изображение")</f>
        <v>Владимир Чугунов: Ссылка на изображение</v>
      </c>
      <c r="BT549" t="str">
        <f>HYPERLINK("https://d33htgqikc2pj4.cloudfront.net/3b6b1b59-739c-42d1-a08f-1dd4a7ea1cfa.jpeg", "Владимир Чугунов: Ссылка на изображение")</f>
        <v>Владимир Чугунов: Ссылка на изображение</v>
      </c>
      <c r="BU549" t="s">
        <v>102</v>
      </c>
    </row>
    <row r="550" spans="1:73" ht="15" customHeight="1" x14ac:dyDescent="0.35">
      <c r="A550">
        <v>364</v>
      </c>
      <c r="B550" t="s">
        <v>4113</v>
      </c>
      <c r="C550">
        <v>2</v>
      </c>
      <c r="D550" t="str">
        <f>VLOOKUP(source[[#This Row],[Приоритет]],тПриоритеты[],2,0)</f>
        <v>Значительное</v>
      </c>
      <c r="E5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0" t="s">
        <v>2273</v>
      </c>
      <c r="G550" t="s">
        <v>395</v>
      </c>
      <c r="H550" t="str">
        <f>VLOOKUP(source[[#This Row],[Отвественный]],тОтветственные[],2,0)</f>
        <v>Отв19</v>
      </c>
      <c r="I550" s="2">
        <v>43693</v>
      </c>
      <c r="J550" s="2">
        <v>43693</v>
      </c>
      <c r="K550" t="s">
        <v>104</v>
      </c>
      <c r="L550">
        <v>0</v>
      </c>
      <c r="M550">
        <v>0</v>
      </c>
      <c r="N550" t="s">
        <v>105</v>
      </c>
      <c r="Q550" t="s">
        <v>106</v>
      </c>
      <c r="R550" t="str">
        <f>HYPERLINK("https://d28ji4sm1vmprj.cloudfront.net/e7a526a7220c3bc5cfeeb407c455c0b3/580ffb055aff8ee0c88c6e676cfba776.jpeg", "Ссылка на план")</f>
        <v>Ссылка на план</v>
      </c>
      <c r="S550" s="1">
        <v>43693.65960648148</v>
      </c>
      <c r="T550" s="1">
        <v>43693.660312499997</v>
      </c>
      <c r="U550" s="1">
        <v>43693.66128472222</v>
      </c>
      <c r="W550" s="1">
        <v>43693.661296296297</v>
      </c>
      <c r="X550" t="s">
        <v>406</v>
      </c>
      <c r="AA550" t="s">
        <v>4114</v>
      </c>
      <c r="AB550" t="s">
        <v>4115</v>
      </c>
      <c r="AC550" t="s">
        <v>4116</v>
      </c>
      <c r="AD550" t="s">
        <v>4117</v>
      </c>
      <c r="AE550" t="s">
        <v>4118</v>
      </c>
      <c r="AF550" t="s">
        <v>4119</v>
      </c>
      <c r="AG550" t="s">
        <v>4120</v>
      </c>
      <c r="BF550" t="s">
        <v>4121</v>
      </c>
      <c r="BG550" t="s">
        <v>594</v>
      </c>
      <c r="BH550" t="s">
        <v>114</v>
      </c>
      <c r="BI550" t="str">
        <f>HYPERLINK("https://d33htgqikc2pj4.cloudfront.net/f2c54e29-ab88-4366-9ea4-43e782c628f1.jpeg", "Владимир Чугунов: Ссылка на изображение")</f>
        <v>Владимир Чугунов: Ссылка на изображение</v>
      </c>
      <c r="BJ550" t="str">
        <f>HYPERLINK("https://d33htgqikc2pj4.cloudfront.net/ec619b0b-fff0-47a8-ab5d-afb986d1fb8a.jpeg", "Владимир Чугунов: Ссылка на изображение")</f>
        <v>Владимир Чугунов: Ссылка на изображение</v>
      </c>
      <c r="BK550" t="str">
        <f>HYPERLINK("https://d33htgqikc2pj4.cloudfront.net/b7225f95-3bd2-4c50-898b-3039040b490a.jpeg", "Владимир Чугунов: Ссылка на изображение")</f>
        <v>Владимир Чугунов: Ссылка на изображение</v>
      </c>
      <c r="BL550" t="str">
        <f>HYPERLINK("https://d33htgqikc2pj4.cloudfront.net/cdc55847-48ec-46b7-a4c9-67c1d278334b.jpeg", "Владимир Чугунов: Ссылка на изображение")</f>
        <v>Владимир Чугунов: Ссылка на изображение</v>
      </c>
      <c r="BM550" t="str">
        <f>HYPERLINK("https://d33htgqikc2pj4.cloudfront.net/47086a6a-bf5a-42aa-8291-118d64d506be.jpeg", "Владимир Чугунов: Ссылка на изображение")</f>
        <v>Владимир Чугунов: Ссылка на изображение</v>
      </c>
      <c r="BN550" t="str">
        <f>HYPERLINK("https://d33htgqikc2pj4.cloudfront.net/5511bd2c-d7c1-4d5d-913f-6c2a6f30197f.jpeg", "Владимир Чугунов: Ссылка на изображение")</f>
        <v>Владимир Чугунов: Ссылка на изображение</v>
      </c>
      <c r="BO550" t="str">
        <f>HYPERLINK("https://d33htgqikc2pj4.cloudfront.net/41b6e1fb-286a-4f3a-b5c0-386c26744e35.jpeg", "Владимир Чугунов: Ссылка на изображение")</f>
        <v>Владимир Чугунов: Ссылка на изображение</v>
      </c>
      <c r="BP550" t="str">
        <f>HYPERLINK("https://d33htgqikc2pj4.cloudfront.net/8cda5f1d-4cd2-41d5-b605-31b48c15004c.jpeg", "Владимир Чугунов: Ссылка на изображение")</f>
        <v>Владимир Чугунов: Ссылка на изображение</v>
      </c>
      <c r="BQ550" t="str">
        <f>HYPERLINK("https://d33htgqikc2pj4.cloudfront.net/f4f9f0b9-bfb2-4642-be8b-902f9c353221.jpeg", "Владимир Чугунов: Ссылка на изображение")</f>
        <v>Владимир Чугунов: Ссылка на изображение</v>
      </c>
      <c r="BR550" t="str">
        <f>HYPERLINK("https://d33htgqikc2pj4.cloudfront.net/cfd96c55-c77e-4027-b45a-f7753f610a18.jpeg", "Владимир Чугунов: Ссылка на изображение")</f>
        <v>Владимир Чугунов: Ссылка на изображение</v>
      </c>
      <c r="BS550" t="s">
        <v>102</v>
      </c>
    </row>
    <row r="551" spans="1:73" ht="15" customHeight="1" x14ac:dyDescent="0.35">
      <c r="A551">
        <v>194</v>
      </c>
      <c r="B551" t="s">
        <v>4122</v>
      </c>
      <c r="C551">
        <v>2</v>
      </c>
      <c r="D551" t="str">
        <f>VLOOKUP(source[[#This Row],[Приоритет]],тПриоритеты[],2,0)</f>
        <v>Значительное</v>
      </c>
      <c r="E5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1" t="s">
        <v>2273</v>
      </c>
      <c r="G551" t="s">
        <v>395</v>
      </c>
      <c r="H551" t="str">
        <f>VLOOKUP(source[[#This Row],[Отвественный]],тОтветственные[],2,0)</f>
        <v>Отв19</v>
      </c>
      <c r="I551" s="2">
        <v>43648</v>
      </c>
      <c r="J551" s="2">
        <v>43648</v>
      </c>
      <c r="K551" t="s">
        <v>122</v>
      </c>
      <c r="L551">
        <v>0</v>
      </c>
      <c r="M551">
        <v>0</v>
      </c>
      <c r="N551" t="s">
        <v>105</v>
      </c>
      <c r="Q551" t="s">
        <v>124</v>
      </c>
      <c r="R551" t="str">
        <f>HYPERLINK("https://d28ji4sm1vmprj.cloudfront.net/78b1fbd1c87eb90dac050448d7e72c8d/a7fb9bbb452cbb899c601a0b8b67fd7d.jpeg", "Ссылка на план")</f>
        <v>Ссылка на план</v>
      </c>
      <c r="S551" s="1">
        <v>43648.664085648146</v>
      </c>
      <c r="T551" s="1">
        <v>43648.6641087963</v>
      </c>
      <c r="U551" s="1">
        <v>43648.667187500003</v>
      </c>
      <c r="W551" s="1">
        <v>43648.667199074072</v>
      </c>
      <c r="X551" t="s">
        <v>406</v>
      </c>
      <c r="AA551" t="s">
        <v>4123</v>
      </c>
      <c r="AB551" t="s">
        <v>4124</v>
      </c>
      <c r="AC551" t="s">
        <v>4125</v>
      </c>
      <c r="AD551" t="s">
        <v>4126</v>
      </c>
      <c r="AE551" t="s">
        <v>4127</v>
      </c>
      <c r="AF551" t="s">
        <v>4128</v>
      </c>
      <c r="AG551" t="s">
        <v>4129</v>
      </c>
      <c r="BF551" t="s">
        <v>114</v>
      </c>
      <c r="BG551" t="s">
        <v>4130</v>
      </c>
      <c r="BH551" t="s">
        <v>604</v>
      </c>
      <c r="BI551" t="s">
        <v>3794</v>
      </c>
      <c r="BJ551" t="str">
        <f>HYPERLINK("https://d33htgqikc2pj4.cloudfront.net/28d1b07a-f9b7-4225-b57d-91208fb27fdf.jpeg", "Владимир Чугунов: Ссылка на изображение")</f>
        <v>Владимир Чугунов: Ссылка на изображение</v>
      </c>
      <c r="BK551" t="str">
        <f>HYPERLINK("https://d33htgqikc2pj4.cloudfront.net/e9372e34-e95e-4693-8aae-e2116ce0fdcb.jpeg", "Владимир Чугунов: Ссылка на изображение")</f>
        <v>Владимир Чугунов: Ссылка на изображение</v>
      </c>
      <c r="BL551" t="str">
        <f>HYPERLINK("https://d33htgqikc2pj4.cloudfront.net/a5798e3c-d1db-4dac-9d74-a1cbf7ebbf33.jpeg", "Владимир Чугунов: Ссылка на изображение")</f>
        <v>Владимир Чугунов: Ссылка на изображение</v>
      </c>
      <c r="BM551" t="str">
        <f>HYPERLINK("https://d33htgqikc2pj4.cloudfront.net/8cc2c9f1-b419-478c-9a53-cf2ef2e06d0d.jpeg", "Владимир Чугунов: Ссылка на изображение")</f>
        <v>Владимир Чугунов: Ссылка на изображение</v>
      </c>
      <c r="BN551" t="str">
        <f>HYPERLINK("https://d33htgqikc2pj4.cloudfront.net/b6ab48e3-1765-44db-8a94-d86869ac6ede.jpeg", "Владимир Чугунов: Ссылка на изображение")</f>
        <v>Владимир Чугунов: Ссылка на изображение</v>
      </c>
      <c r="BO551" t="str">
        <f>HYPERLINK("https://d33htgqikc2pj4.cloudfront.net/49a94a61-8503-4dfe-983c-eb5cd246ebfe.jpeg", "Владимир Чугунов: Ссылка на изображение")</f>
        <v>Владимир Чугунов: Ссылка на изображение</v>
      </c>
      <c r="BP551" t="str">
        <f>HYPERLINK("https://d33htgqikc2pj4.cloudfront.net/459bd768-bf18-47fa-b107-c7577bb20473.jpeg", "Владимир Чугунов: Ссылка на изображение")</f>
        <v>Владимир Чугунов: Ссылка на изображение</v>
      </c>
      <c r="BQ551" t="s">
        <v>4131</v>
      </c>
      <c r="BR551" t="s">
        <v>102</v>
      </c>
    </row>
    <row r="552" spans="1:73" ht="15" customHeight="1" x14ac:dyDescent="0.35">
      <c r="A552">
        <v>282</v>
      </c>
      <c r="B552" t="s">
        <v>4132</v>
      </c>
      <c r="C552">
        <v>2</v>
      </c>
      <c r="D552" t="str">
        <f>VLOOKUP(source[[#This Row],[Приоритет]],тПриоритеты[],2,0)</f>
        <v>Значительное</v>
      </c>
      <c r="E5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2" t="s">
        <v>2273</v>
      </c>
      <c r="G552" t="s">
        <v>395</v>
      </c>
      <c r="H552" t="str">
        <f>VLOOKUP(source[[#This Row],[Отвественный]],тОтветственные[],2,0)</f>
        <v>Отв19</v>
      </c>
      <c r="I552" s="2">
        <v>43667</v>
      </c>
      <c r="J552" s="2">
        <v>43667</v>
      </c>
      <c r="K552" t="s">
        <v>104</v>
      </c>
      <c r="L552">
        <v>0</v>
      </c>
      <c r="M552">
        <v>0</v>
      </c>
      <c r="N552" t="s">
        <v>105</v>
      </c>
      <c r="Q552" t="s">
        <v>106</v>
      </c>
      <c r="R552" t="str">
        <f t="shared" ref="R552:R560" si="8">HYPERLINK("https://d28ji4sm1vmprj.cloudfront.net/e7a526a7220c3bc5cfeeb407c455c0b3/580ffb055aff8ee0c88c6e676cfba776.jpeg", "Ссылка на план")</f>
        <v>Ссылка на план</v>
      </c>
      <c r="S552" s="1">
        <v>43668.392592592594</v>
      </c>
      <c r="T552" s="1">
        <v>43668.391597222224</v>
      </c>
      <c r="U552" s="1">
        <v>43668.392164351855</v>
      </c>
      <c r="W552" s="1">
        <v>43668.393703703703</v>
      </c>
      <c r="BF552" t="s">
        <v>4133</v>
      </c>
      <c r="BG552" t="s">
        <v>4134</v>
      </c>
      <c r="BH552" t="s">
        <v>114</v>
      </c>
      <c r="BI552" t="str">
        <f>HYPERLINK("https://d33htgqikc2pj4.cloudfront.net/989fc25c-b523-4696-a075-29be09c82389.jpeg", "Владимир Чугунов: Ссылка на изображение")</f>
        <v>Владимир Чугунов: Ссылка на изображение</v>
      </c>
      <c r="BJ552" t="str">
        <f>HYPERLINK("https://d33htgqikc2pj4.cloudfront.net/fd398d17-0c46-4409-84f7-b72554e379fa.jpeg", "Владимир Чугунов: Ссылка на изображение")</f>
        <v>Владимир Чугунов: Ссылка на изображение</v>
      </c>
      <c r="BK552" t="str">
        <f>HYPERLINK("https://d33htgqikc2pj4.cloudfront.net/eec69bef-7938-447b-9ddb-39b2a0d14534.jpeg", "Владимир Чугунов: Ссылка на изображение")</f>
        <v>Владимир Чугунов: Ссылка на изображение</v>
      </c>
      <c r="BL552" t="str">
        <f>HYPERLINK("https://d33htgqikc2pj4.cloudfront.net/a38ec149-c0f4-4e9e-87d9-766bc096f531.jpeg", "Владимир Чугунов: Ссылка на изображение")</f>
        <v>Владимир Чугунов: Ссылка на изображение</v>
      </c>
      <c r="BM552" t="str">
        <f>HYPERLINK("https://d33htgqikc2pj4.cloudfront.net/693f5080-e395-4d4d-932f-d603ab283742.jpeg", "Владимир Чугунов: Ссылка на изображение")</f>
        <v>Владимир Чугунов: Ссылка на изображение</v>
      </c>
      <c r="BN552" t="s">
        <v>102</v>
      </c>
    </row>
    <row r="553" spans="1:73" ht="15" customHeight="1" x14ac:dyDescent="0.35">
      <c r="A553">
        <v>283</v>
      </c>
      <c r="B553" t="s">
        <v>4135</v>
      </c>
      <c r="C553">
        <v>2</v>
      </c>
      <c r="D553" t="str">
        <f>VLOOKUP(source[[#This Row],[Приоритет]],тПриоритеты[],2,0)</f>
        <v>Значительное</v>
      </c>
      <c r="E5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3" t="s">
        <v>2273</v>
      </c>
      <c r="G553" t="s">
        <v>395</v>
      </c>
      <c r="H553" t="str">
        <f>VLOOKUP(source[[#This Row],[Отвественный]],тОтветственные[],2,0)</f>
        <v>Отв19</v>
      </c>
      <c r="I553" s="2">
        <v>43668</v>
      </c>
      <c r="J553" s="2">
        <v>43668</v>
      </c>
      <c r="K553" t="s">
        <v>104</v>
      </c>
      <c r="L553">
        <v>0</v>
      </c>
      <c r="M553">
        <v>0</v>
      </c>
      <c r="N553" t="s">
        <v>105</v>
      </c>
      <c r="Q553" t="s">
        <v>106</v>
      </c>
      <c r="R553" t="str">
        <f t="shared" si="8"/>
        <v>Ссылка на план</v>
      </c>
      <c r="S553" s="1">
        <v>43668.394259259258</v>
      </c>
      <c r="T553" s="1">
        <v>43668.393217592595</v>
      </c>
      <c r="U553" s="1">
        <v>43668.394097222219</v>
      </c>
      <c r="W553" s="1">
        <v>43668.395752314813</v>
      </c>
      <c r="X553" t="s">
        <v>406</v>
      </c>
      <c r="AA553" t="s">
        <v>4136</v>
      </c>
      <c r="AB553" t="s">
        <v>4137</v>
      </c>
      <c r="AC553" t="s">
        <v>4138</v>
      </c>
      <c r="AD553" t="s">
        <v>4139</v>
      </c>
      <c r="AE553" t="s">
        <v>4140</v>
      </c>
      <c r="AF553" t="s">
        <v>4141</v>
      </c>
      <c r="AG553" t="s">
        <v>4142</v>
      </c>
      <c r="BF553" t="s">
        <v>4143</v>
      </c>
      <c r="BG553" t="s">
        <v>620</v>
      </c>
      <c r="BH553" t="s">
        <v>114</v>
      </c>
      <c r="BI553" t="s">
        <v>3794</v>
      </c>
      <c r="BJ553" t="str">
        <f>HYPERLINK("https://d33htgqikc2pj4.cloudfront.net/acb940d7-eaba-4889-a18d-ca2918485227.jpeg", "Владимир Чугунов: Ссылка на изображение")</f>
        <v>Владимир Чугунов: Ссылка на изображение</v>
      </c>
      <c r="BK553" t="str">
        <f>HYPERLINK("https://d33htgqikc2pj4.cloudfront.net/7f9401f3-eacb-4949-a68c-6729f7675ef4.jpeg", "Владимир Чугунов: Ссылка на изображение")</f>
        <v>Владимир Чугунов: Ссылка на изображение</v>
      </c>
      <c r="BL553" t="str">
        <f>HYPERLINK("https://d33htgqikc2pj4.cloudfront.net/ac922756-1763-4624-874d-0d282b661501.jpeg", "Владимир Чугунов: Ссылка на изображение")</f>
        <v>Владимир Чугунов: Ссылка на изображение</v>
      </c>
      <c r="BM553" t="str">
        <f>HYPERLINK("https://d33htgqikc2pj4.cloudfront.net/2363e4c9-0651-4662-b090-8785cebd26ec.jpeg", "Владимир Чугунов: Ссылка на изображение")</f>
        <v>Владимир Чугунов: Ссылка на изображение</v>
      </c>
      <c r="BN553" t="str">
        <f>HYPERLINK("https://d33htgqikc2pj4.cloudfront.net/489ef1d2-e388-4aeb-a673-069219d1e94d.jpeg", "Владимир Чугунов: Ссылка на изображение")</f>
        <v>Владимир Чугунов: Ссылка на изображение</v>
      </c>
      <c r="BO553" t="str">
        <f>HYPERLINK("https://d33htgqikc2pj4.cloudfront.net/25d12c68-c696-40e5-a76a-d9462768acac.jpeg", "Владимир Чугунов: Ссылка на изображение")</f>
        <v>Владимир Чугунов: Ссылка на изображение</v>
      </c>
      <c r="BP553" t="s">
        <v>102</v>
      </c>
    </row>
    <row r="554" spans="1:73" ht="15" customHeight="1" x14ac:dyDescent="0.35">
      <c r="A554">
        <v>291</v>
      </c>
      <c r="B554" t="s">
        <v>4144</v>
      </c>
      <c r="C554">
        <v>2</v>
      </c>
      <c r="D554" t="str">
        <f>VLOOKUP(source[[#This Row],[Приоритет]],тПриоритеты[],2,0)</f>
        <v>Значительное</v>
      </c>
      <c r="E5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4" t="s">
        <v>2273</v>
      </c>
      <c r="G554" t="s">
        <v>395</v>
      </c>
      <c r="H554" t="str">
        <f>VLOOKUP(source[[#This Row],[Отвественный]],тОтветственные[],2,0)</f>
        <v>Отв19</v>
      </c>
      <c r="I554" s="2">
        <v>43669</v>
      </c>
      <c r="J554" s="2">
        <v>43669</v>
      </c>
      <c r="K554" t="s">
        <v>104</v>
      </c>
      <c r="L554">
        <v>0</v>
      </c>
      <c r="M554">
        <v>0</v>
      </c>
      <c r="N554" t="s">
        <v>105</v>
      </c>
      <c r="Q554" t="s">
        <v>106</v>
      </c>
      <c r="R554" t="str">
        <f t="shared" si="8"/>
        <v>Ссылка на план</v>
      </c>
      <c r="S554" s="1">
        <v>43669.652673611112</v>
      </c>
      <c r="T554" s="1">
        <v>43669.652731481481</v>
      </c>
      <c r="U554" s="1">
        <v>43669.654398148145</v>
      </c>
      <c r="W554" s="1">
        <v>43669.654398148145</v>
      </c>
      <c r="X554" t="s">
        <v>406</v>
      </c>
      <c r="AA554" t="s">
        <v>4145</v>
      </c>
      <c r="AB554" t="s">
        <v>4146</v>
      </c>
      <c r="AC554" t="s">
        <v>4147</v>
      </c>
      <c r="AD554" t="s">
        <v>4148</v>
      </c>
      <c r="AE554" t="s">
        <v>4149</v>
      </c>
      <c r="AF554" t="s">
        <v>4150</v>
      </c>
      <c r="AG554" t="s">
        <v>4151</v>
      </c>
      <c r="BF554" t="s">
        <v>114</v>
      </c>
      <c r="BG554" t="s">
        <v>4152</v>
      </c>
      <c r="BH554" t="s">
        <v>629</v>
      </c>
      <c r="BI554" t="str">
        <f>HYPERLINK("https://d33htgqikc2pj4.cloudfront.net/0ccc6863-ed68-430d-9cf4-3a61a7d220b1.jpeg", "Владимир Чугунов: Ссылка на изображение")</f>
        <v>Владимир Чугунов: Ссылка на изображение</v>
      </c>
      <c r="BJ554" t="str">
        <f>HYPERLINK("https://d33htgqikc2pj4.cloudfront.net/36da5464-5db3-4fcd-9896-d9420b9ad723.jpeg", "Владимир Чугунов: Ссылка на изображение")</f>
        <v>Владимир Чугунов: Ссылка на изображение</v>
      </c>
      <c r="BK554" t="str">
        <f>HYPERLINK("https://d33htgqikc2pj4.cloudfront.net/ea3ec8c2-3cc8-45a0-bf14-f11d6ae96576.jpeg", "Владимир Чугунов: Ссылка на изображение")</f>
        <v>Владимир Чугунов: Ссылка на изображение</v>
      </c>
      <c r="BL554" t="str">
        <f>HYPERLINK("https://d33htgqikc2pj4.cloudfront.net/afc1c73d-2473-4977-8bdb-a7889aa067ed.jpeg", "Владимир Чугунов: Ссылка на изображение")</f>
        <v>Владимир Чугунов: Ссылка на изображение</v>
      </c>
      <c r="BM554" t="str">
        <f>HYPERLINK("https://d33htgqikc2pj4.cloudfront.net/3dbe4d1b-f6b0-4d8b-b4c9-46e9402d742a.jpeg", "Владимир Чугунов: Ссылка на изображение")</f>
        <v>Владимир Чугунов: Ссылка на изображение</v>
      </c>
      <c r="BN554" t="str">
        <f>HYPERLINK("https://d33htgqikc2pj4.cloudfront.net/add517de-a761-4800-b17f-4eab8a38158d.jpeg", "Владимир Чугунов: Ссылка на изображение")</f>
        <v>Владимир Чугунов: Ссылка на изображение</v>
      </c>
      <c r="BO554" t="str">
        <f>HYPERLINK("https://d33htgqikc2pj4.cloudfront.net/4264342a-45ef-4fee-9e5c-939ed7c89d90.jpeg", "Владимир Чугунов: Ссылка на изображение")</f>
        <v>Владимир Чугунов: Ссылка на изображение</v>
      </c>
      <c r="BP554" t="s">
        <v>4153</v>
      </c>
      <c r="BQ554" t="s">
        <v>102</v>
      </c>
    </row>
    <row r="555" spans="1:73" ht="15" customHeight="1" x14ac:dyDescent="0.35">
      <c r="A555">
        <v>203</v>
      </c>
      <c r="B555" t="s">
        <v>4154</v>
      </c>
      <c r="C555">
        <v>2</v>
      </c>
      <c r="D555" t="str">
        <f>VLOOKUP(source[[#This Row],[Приоритет]],тПриоритеты[],2,0)</f>
        <v>Значительное</v>
      </c>
      <c r="E5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5" t="s">
        <v>2273</v>
      </c>
      <c r="G555" t="s">
        <v>395</v>
      </c>
      <c r="H555" t="str">
        <f>VLOOKUP(source[[#This Row],[Отвественный]],тОтветственные[],2,0)</f>
        <v>Отв19</v>
      </c>
      <c r="I555" s="2">
        <v>43651</v>
      </c>
      <c r="J555" s="2">
        <v>43651</v>
      </c>
      <c r="K555" t="s">
        <v>104</v>
      </c>
      <c r="L555">
        <v>0</v>
      </c>
      <c r="M555">
        <v>0</v>
      </c>
      <c r="N555" t="s">
        <v>105</v>
      </c>
      <c r="Q555" t="s">
        <v>106</v>
      </c>
      <c r="R555" t="str">
        <f t="shared" si="8"/>
        <v>Ссылка на план</v>
      </c>
      <c r="S555" s="1">
        <v>43651.676932870374</v>
      </c>
      <c r="T555" s="1">
        <v>43651.678912037038</v>
      </c>
      <c r="U555" s="1">
        <v>43651.67900462963</v>
      </c>
      <c r="W555" s="1">
        <v>43651.679016203707</v>
      </c>
      <c r="X555" t="s">
        <v>406</v>
      </c>
      <c r="AA555" t="s">
        <v>4155</v>
      </c>
      <c r="AB555" t="s">
        <v>4156</v>
      </c>
      <c r="AC555" t="s">
        <v>4157</v>
      </c>
      <c r="AD555" t="s">
        <v>4158</v>
      </c>
      <c r="AE555" t="s">
        <v>4159</v>
      </c>
      <c r="AF555" t="s">
        <v>4160</v>
      </c>
      <c r="AG555" t="s">
        <v>4161</v>
      </c>
      <c r="BF555" t="s">
        <v>4162</v>
      </c>
      <c r="BG555" t="s">
        <v>638</v>
      </c>
      <c r="BH555" t="s">
        <v>3794</v>
      </c>
      <c r="BI555" t="str">
        <f>HYPERLINK("https://d33htgqikc2pj4.cloudfront.net/22c86437-e882-4f1d-ac29-9e6e2b890871.jpeg", "Владимир Чугунов: Ссылка на изображение")</f>
        <v>Владимир Чугунов: Ссылка на изображение</v>
      </c>
      <c r="BJ555" t="str">
        <f>HYPERLINK("https://d33htgqikc2pj4.cloudfront.net/02023724-a38f-4542-a58b-756821dd0c58.jpeg", "Владимир Чугунов: Ссылка на изображение")</f>
        <v>Владимир Чугунов: Ссылка на изображение</v>
      </c>
      <c r="BK555" t="str">
        <f>HYPERLINK("https://d33htgqikc2pj4.cloudfront.net/b540039e-ac5a-485d-9b7f-4b55fde74d5f.jpeg", "Владимир Чугунов: Ссылка на изображение")</f>
        <v>Владимир Чугунов: Ссылка на изображение</v>
      </c>
      <c r="BL555" t="str">
        <f>HYPERLINK("https://d33htgqikc2pj4.cloudfront.net/66b413da-84ec-4a4a-bb8f-13200e698c94.jpeg", "Владимир Чугунов: Ссылка на изображение")</f>
        <v>Владимир Чугунов: Ссылка на изображение</v>
      </c>
      <c r="BM555" t="str">
        <f>HYPERLINK("https://d33htgqikc2pj4.cloudfront.net/31a1cf4e-7c87-4526-a106-ae22a664cfec.jpeg", "Владимир Чугунов: Ссылка на изображение")</f>
        <v>Владимир Чугунов: Ссылка на изображение</v>
      </c>
      <c r="BN555" t="str">
        <f>HYPERLINK("https://d33htgqikc2pj4.cloudfront.net/37dde1a1-4761-4f73-a0ce-cbd70313049b.jpeg", "Владимир Чугунов: Ссылка на изображение")</f>
        <v>Владимир Чугунов: Ссылка на изображение</v>
      </c>
      <c r="BO555" t="str">
        <f>HYPERLINK("https://d33htgqikc2pj4.cloudfront.net/f9d92147-3875-45c2-8c96-b8331ac30e9e.jpeg", "Владимир Чугунов: Ссылка на изображение")</f>
        <v>Владимир Чугунов: Ссылка на изображение</v>
      </c>
      <c r="BP555" t="s">
        <v>114</v>
      </c>
      <c r="BQ555" t="s">
        <v>102</v>
      </c>
    </row>
    <row r="556" spans="1:73" ht="15" customHeight="1" x14ac:dyDescent="0.35">
      <c r="A556">
        <v>481</v>
      </c>
      <c r="B556" t="s">
        <v>4163</v>
      </c>
      <c r="C556">
        <v>2</v>
      </c>
      <c r="D556" t="str">
        <f>VLOOKUP(source[[#This Row],[Приоритет]],тПриоритеты[],2,0)</f>
        <v>Значительное</v>
      </c>
      <c r="E55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6" t="s">
        <v>2273</v>
      </c>
      <c r="G556" t="s">
        <v>395</v>
      </c>
      <c r="H556" t="str">
        <f>VLOOKUP(source[[#This Row],[Отвественный]],тОтветственные[],2,0)</f>
        <v>Отв19</v>
      </c>
      <c r="I556" s="2">
        <v>43724</v>
      </c>
      <c r="J556" s="2">
        <v>43724</v>
      </c>
      <c r="K556" t="s">
        <v>104</v>
      </c>
      <c r="L556">
        <v>0</v>
      </c>
      <c r="M556">
        <v>0</v>
      </c>
      <c r="N556" t="s">
        <v>105</v>
      </c>
      <c r="Q556" t="s">
        <v>106</v>
      </c>
      <c r="R556" t="str">
        <f t="shared" si="8"/>
        <v>Ссылка на план</v>
      </c>
      <c r="S556" s="1">
        <v>43724.75377314815</v>
      </c>
      <c r="T556" s="1">
        <v>43724.754432870373</v>
      </c>
      <c r="U556" s="1">
        <v>43724.76321759259</v>
      </c>
      <c r="W556" s="1">
        <v>43724.763229166667</v>
      </c>
      <c r="X556" t="s">
        <v>406</v>
      </c>
      <c r="AA556" t="s">
        <v>4164</v>
      </c>
      <c r="AB556" t="s">
        <v>4165</v>
      </c>
      <c r="AC556" t="s">
        <v>4166</v>
      </c>
      <c r="AD556" t="s">
        <v>4167</v>
      </c>
      <c r="AE556" t="s">
        <v>4168</v>
      </c>
      <c r="AF556" t="s">
        <v>4169</v>
      </c>
      <c r="AG556" t="s">
        <v>4170</v>
      </c>
      <c r="BF556" t="s">
        <v>4171</v>
      </c>
      <c r="BG556" t="s">
        <v>114</v>
      </c>
      <c r="BH556" t="s">
        <v>654</v>
      </c>
      <c r="BI556" t="str">
        <f>HYPERLINK("https://d33htgqikc2pj4.cloudfront.net/7ee2fd15-ae75-4a55-92e0-0d486cc29f73.jpeg", "Владимир Чугунов: Ссылка на изображение")</f>
        <v>Владимир Чугунов: Ссылка на изображение</v>
      </c>
      <c r="BJ556" t="str">
        <f>HYPERLINK("https://d33htgqikc2pj4.cloudfront.net/5151da20-c203-497a-be5b-462abf081ffe.jpeg", "Владимир Чугунов: Ссылка на изображение")</f>
        <v>Владимир Чугунов: Ссылка на изображение</v>
      </c>
      <c r="BK556" t="str">
        <f>HYPERLINK("https://d33htgqikc2pj4.cloudfront.net/e96ba441-91bb-4743-bc58-4b4a422276ca.jpeg", "Владимир Чугунов: Ссылка на изображение")</f>
        <v>Владимир Чугунов: Ссылка на изображение</v>
      </c>
      <c r="BL556" t="str">
        <f>HYPERLINK("https://d33htgqikc2pj4.cloudfront.net/88b00e0b-925b-4202-8c4c-0be72537339e.jpeg", "Владимир Чугунов: Ссылка на изображение")</f>
        <v>Владимир Чугунов: Ссылка на изображение</v>
      </c>
      <c r="BM556" t="str">
        <f>HYPERLINK("https://d33htgqikc2pj4.cloudfront.net/ca10373a-ae4c-46a8-bd0e-b7e167c2f6c2.jpeg", "Владимир Чугунов: Ссылка на изображение")</f>
        <v>Владимир Чугунов: Ссылка на изображение</v>
      </c>
      <c r="BN556" t="s">
        <v>4172</v>
      </c>
      <c r="BO556" t="str">
        <f>HYPERLINK("https://d33htgqikc2pj4.cloudfront.net/4d339415-9586-4f2a-a055-42203e28e7fc.jpeg", "Владимир Чугунов: Ссылка на изображение")</f>
        <v>Владимир Чугунов: Ссылка на изображение</v>
      </c>
      <c r="BP556" t="s">
        <v>102</v>
      </c>
    </row>
    <row r="557" spans="1:73" ht="15" customHeight="1" x14ac:dyDescent="0.35">
      <c r="A557">
        <v>293</v>
      </c>
      <c r="B557" t="s">
        <v>4173</v>
      </c>
      <c r="C557">
        <v>2</v>
      </c>
      <c r="D557" t="str">
        <f>VLOOKUP(source[[#This Row],[Приоритет]],тПриоритеты[],2,0)</f>
        <v>Значительное</v>
      </c>
      <c r="E55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7" t="s">
        <v>2273</v>
      </c>
      <c r="G557" t="s">
        <v>395</v>
      </c>
      <c r="H557" t="str">
        <f>VLOOKUP(source[[#This Row],[Отвественный]],тОтветственные[],2,0)</f>
        <v>Отв19</v>
      </c>
      <c r="I557" s="2">
        <v>43670</v>
      </c>
      <c r="J557" s="2">
        <v>43670</v>
      </c>
      <c r="K557" t="s">
        <v>104</v>
      </c>
      <c r="L557">
        <v>0</v>
      </c>
      <c r="M557">
        <v>0</v>
      </c>
      <c r="N557" t="s">
        <v>105</v>
      </c>
      <c r="Q557" t="s">
        <v>106</v>
      </c>
      <c r="R557" t="str">
        <f t="shared" si="8"/>
        <v>Ссылка на план</v>
      </c>
      <c r="S557" s="1">
        <v>43670.582812499997</v>
      </c>
      <c r="T557" s="1">
        <v>43670.58384259259</v>
      </c>
      <c r="U557" s="1">
        <v>43670.586157407408</v>
      </c>
      <c r="W557" s="1">
        <v>43670.586168981485</v>
      </c>
      <c r="X557" t="s">
        <v>406</v>
      </c>
      <c r="AA557" t="s">
        <v>4174</v>
      </c>
      <c r="AB557" t="s">
        <v>4175</v>
      </c>
      <c r="AC557" t="s">
        <v>4176</v>
      </c>
      <c r="AD557" t="s">
        <v>4177</v>
      </c>
      <c r="AE557" t="s">
        <v>4178</v>
      </c>
      <c r="AF557" t="s">
        <v>4179</v>
      </c>
      <c r="AG557" t="s">
        <v>4180</v>
      </c>
      <c r="BF557" t="s">
        <v>114</v>
      </c>
      <c r="BG557" t="s">
        <v>4181</v>
      </c>
      <c r="BH557" t="s">
        <v>672</v>
      </c>
      <c r="BI557" t="str">
        <f>HYPERLINK("https://d33htgqikc2pj4.cloudfront.net/ff15a3fa-a844-4e16-86eb-918e2bc2214e.jpeg", "Владимир Чугунов: Ссылка на изображение")</f>
        <v>Владимир Чугунов: Ссылка на изображение</v>
      </c>
      <c r="BJ557" t="str">
        <f>HYPERLINK("https://d33htgqikc2pj4.cloudfront.net/81bed00d-b8a3-4c96-bfca-848523e48bdf.jpeg", "Владимир Чугунов: Ссылка на изображение")</f>
        <v>Владимир Чугунов: Ссылка на изображение</v>
      </c>
      <c r="BK557" t="str">
        <f>HYPERLINK("https://d33htgqikc2pj4.cloudfront.net/7afe71f0-bb6d-4b96-a2e6-7e8ec639a9c9.jpeg", "Владимир Чугунов: Ссылка на изображение")</f>
        <v>Владимир Чугунов: Ссылка на изображение</v>
      </c>
      <c r="BL557" t="str">
        <f>HYPERLINK("https://d33htgqikc2pj4.cloudfront.net/0d890978-a53a-49e1-a47c-1ee9dc4087c9.jpeg", "Владимир Чугунов: Ссылка на изображение")</f>
        <v>Владимир Чугунов: Ссылка на изображение</v>
      </c>
      <c r="BM557" t="str">
        <f>HYPERLINK("https://d33htgqikc2pj4.cloudfront.net/070cb7de-979a-4277-8dba-fd7a8c01e3aa.jpeg", "Владимир Чугунов: Ссылка на изображение")</f>
        <v>Владимир Чугунов: Ссылка на изображение</v>
      </c>
      <c r="BN557" t="s">
        <v>102</v>
      </c>
    </row>
    <row r="558" spans="1:73" ht="15" customHeight="1" x14ac:dyDescent="0.35">
      <c r="A558">
        <v>489</v>
      </c>
      <c r="B558" t="s">
        <v>4182</v>
      </c>
      <c r="C558">
        <v>2</v>
      </c>
      <c r="D558" t="str">
        <f>VLOOKUP(source[[#This Row],[Приоритет]],тПриоритеты[],2,0)</f>
        <v>Значительное</v>
      </c>
      <c r="E55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8" t="s">
        <v>2273</v>
      </c>
      <c r="G558" t="s">
        <v>395</v>
      </c>
      <c r="H558" t="str">
        <f>VLOOKUP(source[[#This Row],[Отвественный]],тОтветственные[],2,0)</f>
        <v>Отв19</v>
      </c>
      <c r="I558" s="2">
        <v>43725</v>
      </c>
      <c r="J558" s="2">
        <v>43725</v>
      </c>
      <c r="K558" t="s">
        <v>104</v>
      </c>
      <c r="L558">
        <v>0</v>
      </c>
      <c r="M558">
        <v>0</v>
      </c>
      <c r="N558" t="s">
        <v>105</v>
      </c>
      <c r="Q558" t="s">
        <v>106</v>
      </c>
      <c r="R558" t="str">
        <f t="shared" si="8"/>
        <v>Ссылка на план</v>
      </c>
      <c r="S558" s="1">
        <v>43725.677442129629</v>
      </c>
      <c r="T558" s="1">
        <v>43725.677800925929</v>
      </c>
      <c r="U558" s="1">
        <v>43725.678229166668</v>
      </c>
      <c r="W558" s="1">
        <v>43725.678229166668</v>
      </c>
      <c r="BF558" t="s">
        <v>4183</v>
      </c>
      <c r="BG558" t="s">
        <v>114</v>
      </c>
      <c r="BH558" t="s">
        <v>699</v>
      </c>
      <c r="BI558" t="str">
        <f>HYPERLINK("https://d33htgqikc2pj4.cloudfront.net/b18d040c-ad3f-4660-b9ae-fbedb170bf05.jpeg", "Владимир Чугунов: Ссылка на изображение")</f>
        <v>Владимир Чугунов: Ссылка на изображение</v>
      </c>
      <c r="BJ558" t="str">
        <f>HYPERLINK("https://d33htgqikc2pj4.cloudfront.net/61da9691-10d7-4166-8bdf-660cfa7988bd.jpeg", "Владимир Чугунов: Ссылка на изображение")</f>
        <v>Владимир Чугунов: Ссылка на изображение</v>
      </c>
      <c r="BK558" t="str">
        <f>HYPERLINK("https://d33htgqikc2pj4.cloudfront.net/3c8afb70-bb3e-4c1b-a16f-37f2678606db.jpeg", "Владимир Чугунов: Ссылка на изображение")</f>
        <v>Владимир Чугунов: Ссылка на изображение</v>
      </c>
      <c r="BL558" t="str">
        <f>HYPERLINK("https://d33htgqikc2pj4.cloudfront.net/06bddea0-ece5-4bb1-a0fa-c73165c122e3.jpeg", "Владимир Чугунов: Ссылка на изображение")</f>
        <v>Владимир Чугунов: Ссылка на изображение</v>
      </c>
      <c r="BM558" t="s">
        <v>102</v>
      </c>
    </row>
    <row r="559" spans="1:73" ht="15" customHeight="1" x14ac:dyDescent="0.35">
      <c r="A559">
        <v>382</v>
      </c>
      <c r="B559" t="s">
        <v>4184</v>
      </c>
      <c r="C559">
        <v>2</v>
      </c>
      <c r="D559" t="str">
        <f>VLOOKUP(source[[#This Row],[Приоритет]],тПриоритеты[],2,0)</f>
        <v>Значительное</v>
      </c>
      <c r="E55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59" t="s">
        <v>2273</v>
      </c>
      <c r="G559" t="s">
        <v>395</v>
      </c>
      <c r="H559" t="str">
        <f>VLOOKUP(source[[#This Row],[Отвественный]],тОтветственные[],2,0)</f>
        <v>Отв19</v>
      </c>
      <c r="I559" s="2">
        <v>43698</v>
      </c>
      <c r="J559" s="2">
        <v>43698</v>
      </c>
      <c r="K559" t="s">
        <v>104</v>
      </c>
      <c r="L559">
        <v>0</v>
      </c>
      <c r="M559">
        <v>0</v>
      </c>
      <c r="N559" t="s">
        <v>105</v>
      </c>
      <c r="Q559" t="s">
        <v>106</v>
      </c>
      <c r="R559" t="str">
        <f t="shared" si="8"/>
        <v>Ссылка на план</v>
      </c>
      <c r="S559" s="1">
        <v>43698.65184027778</v>
      </c>
      <c r="T559" s="1">
        <v>43698.651863425926</v>
      </c>
      <c r="U559" s="1">
        <v>43698.654074074075</v>
      </c>
      <c r="W559" s="1">
        <v>43698.654074074075</v>
      </c>
      <c r="X559" t="s">
        <v>406</v>
      </c>
      <c r="AA559" t="s">
        <v>4185</v>
      </c>
      <c r="AB559" t="s">
        <v>4186</v>
      </c>
      <c r="AC559" t="s">
        <v>4187</v>
      </c>
      <c r="AD559" t="s">
        <v>4188</v>
      </c>
      <c r="AE559" t="s">
        <v>4189</v>
      </c>
      <c r="AF559" t="s">
        <v>4190</v>
      </c>
      <c r="AG559" t="s">
        <v>4191</v>
      </c>
      <c r="BF559" t="s">
        <v>114</v>
      </c>
      <c r="BG559" t="s">
        <v>4192</v>
      </c>
      <c r="BH559" t="s">
        <v>735</v>
      </c>
      <c r="BI559" t="s">
        <v>3794</v>
      </c>
      <c r="BJ559" t="str">
        <f>HYPERLINK("https://d33htgqikc2pj4.cloudfront.net/c171bfb2-b307-4205-96e8-2ba6ac99f760.jpeg", "Владимир Чугунов: Ссылка на изображение")</f>
        <v>Владимир Чугунов: Ссылка на изображение</v>
      </c>
      <c r="BK559" t="str">
        <f>HYPERLINK("https://d33htgqikc2pj4.cloudfront.net/4fbf2477-47fb-470a-abad-d4b759d80357.jpeg", "Владимир Чугунов: Ссылка на изображение")</f>
        <v>Владимир Чугунов: Ссылка на изображение</v>
      </c>
      <c r="BL559" t="str">
        <f>HYPERLINK("https://d33htgqikc2pj4.cloudfront.net/13fdb2f7-7ff0-410f-814e-11714645a970.jpeg", "Владимир Чугунов: Ссылка на изображение")</f>
        <v>Владимир Чугунов: Ссылка на изображение</v>
      </c>
      <c r="BM559" t="str">
        <f>HYPERLINK("https://d33htgqikc2pj4.cloudfront.net/8e89dbf0-e2d0-40ef-9191-adc0e3daa761.jpeg", "Владимир Чугунов: Ссылка на изображение")</f>
        <v>Владимир Чугунов: Ссылка на изображение</v>
      </c>
      <c r="BN559" t="str">
        <f>HYPERLINK("https://d33htgqikc2pj4.cloudfront.net/bff1a756-648e-45fd-8ed1-eb808912c8fa.jpeg", "Владимир Чугунов: Ссылка на изображение")</f>
        <v>Владимир Чугунов: Ссылка на изображение</v>
      </c>
      <c r="BO559" t="str">
        <f>HYPERLINK("https://d33htgqikc2pj4.cloudfront.net/6f2f822e-da1c-461f-8394-14b4ad558b96.jpeg", "Владимир Чугунов: Ссылка на изображение")</f>
        <v>Владимир Чугунов: Ссылка на изображение</v>
      </c>
      <c r="BP559" t="str">
        <f>HYPERLINK("https://d33htgqikc2pj4.cloudfront.net/b6eb1508-68b6-4b44-92eb-278dc34ec522.jpeg", "Владимир Чугунов: Ссылка на изображение")</f>
        <v>Владимир Чугунов: Ссылка на изображение</v>
      </c>
      <c r="BQ559" t="str">
        <f>HYPERLINK("https://d33htgqikc2pj4.cloudfront.net/93bec93a-d323-48ca-abcc-05fe02800a0f.jpeg", "Владимир Чугунов: Ссылка на изображение")</f>
        <v>Владимир Чугунов: Ссылка на изображение</v>
      </c>
      <c r="BR559" t="str">
        <f>HYPERLINK("https://d33htgqikc2pj4.cloudfront.net/49fa78a3-b7c9-4a63-ab4b-c27aafd6cd77.jpeg", "Владимир Чугунов: Ссылка на изображение")</f>
        <v>Владимир Чугунов: Ссылка на изображение</v>
      </c>
      <c r="BS559" t="str">
        <f>HYPERLINK("https://d33htgqikc2pj4.cloudfront.net/35f63779-8722-4cb6-aade-154ff6439684.jpeg", "Владимир Чугунов: Ссылка на изображение")</f>
        <v>Владимир Чугунов: Ссылка на изображение</v>
      </c>
      <c r="BT559" t="s">
        <v>102</v>
      </c>
    </row>
    <row r="560" spans="1:73" ht="15" customHeight="1" x14ac:dyDescent="0.35">
      <c r="A560">
        <v>494</v>
      </c>
      <c r="B560" t="s">
        <v>4193</v>
      </c>
      <c r="C560">
        <v>2</v>
      </c>
      <c r="D560" t="str">
        <f>VLOOKUP(source[[#This Row],[Приоритет]],тПриоритеты[],2,0)</f>
        <v>Значительное</v>
      </c>
      <c r="E5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0" t="s">
        <v>2273</v>
      </c>
      <c r="G560" t="s">
        <v>395</v>
      </c>
      <c r="H560" t="str">
        <f>VLOOKUP(source[[#This Row],[Отвественный]],тОтветственные[],2,0)</f>
        <v>Отв19</v>
      </c>
      <c r="I560" s="2">
        <v>43726</v>
      </c>
      <c r="J560" s="2">
        <v>43726</v>
      </c>
      <c r="K560" t="s">
        <v>104</v>
      </c>
      <c r="L560">
        <v>0</v>
      </c>
      <c r="M560">
        <v>0</v>
      </c>
      <c r="N560" t="s">
        <v>105</v>
      </c>
      <c r="Q560" t="s">
        <v>106</v>
      </c>
      <c r="R560" t="str">
        <f t="shared" si="8"/>
        <v>Ссылка на план</v>
      </c>
      <c r="S560" s="1">
        <v>43726.610891203702</v>
      </c>
      <c r="T560" s="1">
        <v>43726.611203703702</v>
      </c>
      <c r="U560" s="1">
        <v>43726.612384259257</v>
      </c>
      <c r="W560" s="1">
        <v>43726.612395833334</v>
      </c>
      <c r="BF560" t="s">
        <v>4194</v>
      </c>
      <c r="BG560" t="s">
        <v>114</v>
      </c>
      <c r="BH560" t="s">
        <v>744</v>
      </c>
      <c r="BI560" t="str">
        <f>HYPERLINK("https://d33htgqikc2pj4.cloudfront.net/029efb3b-29a0-410e-b560-bef70815045d.jpeg", "Владимир Чугунов: Ссылка на изображение")</f>
        <v>Владимир Чугунов: Ссылка на изображение</v>
      </c>
      <c r="BJ560" t="str">
        <f>HYPERLINK("https://d33htgqikc2pj4.cloudfront.net/7ff53dd3-ab31-49a3-8df1-01e27c7c369e.jpeg", "Владимир Чугунов: Ссылка на изображение")</f>
        <v>Владимир Чугунов: Ссылка на изображение</v>
      </c>
      <c r="BK560" t="str">
        <f>HYPERLINK("https://d33htgqikc2pj4.cloudfront.net/7177f196-bf5a-49f6-b028-b000057e1e56.jpeg", "Владимир Чугунов: Ссылка на изображение")</f>
        <v>Владимир Чугунов: Ссылка на изображение</v>
      </c>
      <c r="BL560" t="str">
        <f>HYPERLINK("https://d33htgqikc2pj4.cloudfront.net/aaf5004d-0984-4938-8e12-068543133a4d.jpeg", "Владимир Чугунов: Ссылка на изображение")</f>
        <v>Владимир Чугунов: Ссылка на изображение</v>
      </c>
      <c r="BM560" t="str">
        <f>HYPERLINK("https://d33htgqikc2pj4.cloudfront.net/340bb430-cf4d-41b5-aad0-c210b42f429f.jpeg", "Владимир Чугунов: Ссылка на изображение")</f>
        <v>Владимир Чугунов: Ссылка на изображение</v>
      </c>
      <c r="BN560" t="str">
        <f>HYPERLINK("https://d33htgqikc2pj4.cloudfront.net/45bda6da-5fd8-44ac-a95f-2cefbf5d92c7.jpeg", "Владимир Чугунов: Ссылка на изображение")</f>
        <v>Владимир Чугунов: Ссылка на изображение</v>
      </c>
      <c r="BO560" t="str">
        <f>HYPERLINK("https://d33htgqikc2pj4.cloudfront.net/0cd75bd6-add8-4195-bf43-31fd233f58da.jpeg", "Владимир Чугунов: Ссылка на изображение")</f>
        <v>Владимир Чугунов: Ссылка на изображение</v>
      </c>
      <c r="BP560" t="s">
        <v>102</v>
      </c>
    </row>
    <row r="561" spans="1:74" ht="15" customHeight="1" x14ac:dyDescent="0.35">
      <c r="A561">
        <v>492</v>
      </c>
      <c r="B561" t="s">
        <v>4195</v>
      </c>
      <c r="C561">
        <v>2</v>
      </c>
      <c r="D561" t="str">
        <f>VLOOKUP(source[[#This Row],[Приоритет]],тПриоритеты[],2,0)</f>
        <v>Значительное</v>
      </c>
      <c r="E5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1" t="s">
        <v>2273</v>
      </c>
      <c r="G561" t="s">
        <v>395</v>
      </c>
      <c r="H561" t="str">
        <f>VLOOKUP(source[[#This Row],[Отвественный]],тОтветственные[],2,0)</f>
        <v>Отв19</v>
      </c>
      <c r="I561" s="2">
        <v>43726</v>
      </c>
      <c r="J561" s="2">
        <v>43726</v>
      </c>
      <c r="K561" t="s">
        <v>313</v>
      </c>
      <c r="L561">
        <v>0</v>
      </c>
      <c r="M561">
        <v>0</v>
      </c>
      <c r="N561" t="s">
        <v>105</v>
      </c>
      <c r="Q561" t="s">
        <v>106</v>
      </c>
      <c r="R561" t="str">
        <f>HYPERLINK("https://d28ji4sm1vmprj.cloudfront.net/464215be55b88773f54b8cd83354babd/02eaaeba9564da889c4ba5d284544147.jpeg", "Ссылка на план")</f>
        <v>Ссылка на план</v>
      </c>
      <c r="S561" s="1">
        <v>43726.600995370369</v>
      </c>
      <c r="T561" s="1">
        <v>43726.68414351852</v>
      </c>
      <c r="U561" s="1">
        <v>43726.684155092589</v>
      </c>
      <c r="W561" s="1">
        <v>43726.602696759262</v>
      </c>
      <c r="X561" t="s">
        <v>406</v>
      </c>
      <c r="AA561" t="s">
        <v>4196</v>
      </c>
      <c r="AB561" t="s">
        <v>4197</v>
      </c>
      <c r="AC561" t="s">
        <v>4198</v>
      </c>
      <c r="AD561" t="s">
        <v>4199</v>
      </c>
      <c r="AE561" t="s">
        <v>4200</v>
      </c>
      <c r="AF561" t="s">
        <v>4201</v>
      </c>
      <c r="AG561" t="s">
        <v>4202</v>
      </c>
      <c r="BF561" t="s">
        <v>4203</v>
      </c>
      <c r="BG561" t="s">
        <v>744</v>
      </c>
      <c r="BH561" t="s">
        <v>3794</v>
      </c>
      <c r="BI561" t="s">
        <v>102</v>
      </c>
      <c r="BJ561" t="s">
        <v>114</v>
      </c>
      <c r="BK561" t="s">
        <v>114</v>
      </c>
      <c r="BL561" t="s">
        <v>102</v>
      </c>
      <c r="BM561" t="str">
        <f>HYPERLINK("https://d33htgqikc2pj4.cloudfront.net/a0bc4b3e-0c56-4504-9eb7-f45c71ad981e.jpeg", "Владимир Чугунов: Ссылка на изображение")</f>
        <v>Владимир Чугунов: Ссылка на изображение</v>
      </c>
      <c r="BN561" t="str">
        <f>HYPERLINK("https://d33htgqikc2pj4.cloudfront.net/bfacaacf-d398-41e3-b9c3-9b92371793d5.jpeg", "Владимир Чугунов: Ссылка на изображение")</f>
        <v>Владимир Чугунов: Ссылка на изображение</v>
      </c>
      <c r="BO561" t="str">
        <f>HYPERLINK("https://d33htgqikc2pj4.cloudfront.net/985bdb85-612d-49e0-9f6f-e42896b8dda2.jpeg", "Владимир Чугунов: Ссылка на изображение")</f>
        <v>Владимир Чугунов: Ссылка на изображение</v>
      </c>
      <c r="BP561" t="str">
        <f>HYPERLINK("https://d33htgqikc2pj4.cloudfront.net/ff529a79-8c24-42e7-90cc-e1abc81cd812.jpeg", "Владимир Чугунов: Ссылка на изображение")</f>
        <v>Владимир Чугунов: Ссылка на изображение</v>
      </c>
      <c r="BQ561" t="str">
        <f>HYPERLINK("https://d33htgqikc2pj4.cloudfront.net/ccfdf084-e564-4423-8caa-e978980aee5d.jpeg", "Владимир Чугунов: Ссылка на изображение")</f>
        <v>Владимир Чугунов: Ссылка на изображение</v>
      </c>
      <c r="BR561" t="str">
        <f>HYPERLINK("https://d33htgqikc2pj4.cloudfront.net/36a48438-54b9-4cf8-8661-2c7b96a39e4b.jpeg", "Владимир Чугунов: Ссылка на изображение")</f>
        <v>Владимир Чугунов: Ссылка на изображение</v>
      </c>
    </row>
    <row r="562" spans="1:74" ht="15" customHeight="1" x14ac:dyDescent="0.35">
      <c r="A562">
        <v>320</v>
      </c>
      <c r="B562" t="s">
        <v>4204</v>
      </c>
      <c r="C562">
        <v>2</v>
      </c>
      <c r="D562" t="str">
        <f>VLOOKUP(source[[#This Row],[Приоритет]],тПриоритеты[],2,0)</f>
        <v>Значительное</v>
      </c>
      <c r="E5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2" t="s">
        <v>2273</v>
      </c>
      <c r="G562" t="s">
        <v>395</v>
      </c>
      <c r="H562" t="str">
        <f>VLOOKUP(source[[#This Row],[Отвественный]],тОтветственные[],2,0)</f>
        <v>Отв19</v>
      </c>
      <c r="I562" s="2">
        <v>43675</v>
      </c>
      <c r="J562" s="2">
        <v>43675</v>
      </c>
      <c r="K562" t="s">
        <v>104</v>
      </c>
      <c r="L562">
        <v>0</v>
      </c>
      <c r="M562">
        <v>0</v>
      </c>
      <c r="N562" t="s">
        <v>105</v>
      </c>
      <c r="Q562" t="s">
        <v>106</v>
      </c>
      <c r="R562" t="str">
        <f t="shared" ref="R562:R571" si="9">HYPERLINK("https://d28ji4sm1vmprj.cloudfront.net/e7a526a7220c3bc5cfeeb407c455c0b3/580ffb055aff8ee0c88c6e676cfba776.jpeg", "Ссылка на план")</f>
        <v>Ссылка на план</v>
      </c>
      <c r="S562" s="1">
        <v>43676.709108796298</v>
      </c>
      <c r="T562" s="1">
        <v>43675.773935185185</v>
      </c>
      <c r="U562" s="1">
        <v>43675.775011574071</v>
      </c>
      <c r="W562" s="1">
        <v>43676.709143518521</v>
      </c>
      <c r="X562" t="s">
        <v>406</v>
      </c>
      <c r="AA562" t="s">
        <v>4205</v>
      </c>
      <c r="AB562" t="s">
        <v>4206</v>
      </c>
      <c r="AC562" t="s">
        <v>4207</v>
      </c>
      <c r="AD562" t="s">
        <v>4208</v>
      </c>
      <c r="AE562" t="s">
        <v>4209</v>
      </c>
      <c r="AF562" t="s">
        <v>4210</v>
      </c>
      <c r="AG562" t="s">
        <v>4211</v>
      </c>
      <c r="BF562" t="s">
        <v>4212</v>
      </c>
      <c r="BG562" t="s">
        <v>717</v>
      </c>
      <c r="BH562" t="s">
        <v>114</v>
      </c>
      <c r="BI562" t="str">
        <f>HYPERLINK("https://d33htgqikc2pj4.cloudfront.net/4d13d760-b2af-45cb-9aa3-2ac352683404.jpeg", "Владимир Чугунов: Ссылка на изображение")</f>
        <v>Владимир Чугунов: Ссылка на изображение</v>
      </c>
      <c r="BJ562" t="str">
        <f>HYPERLINK("https://d33htgqikc2pj4.cloudfront.net/bed1474c-b4fb-4f26-86a2-fd0f493a1f0c.jpeg", "Владимир Чугунов: Ссылка на изображение")</f>
        <v>Владимир Чугунов: Ссылка на изображение</v>
      </c>
      <c r="BK562" t="str">
        <f>HYPERLINK("https://d33htgqikc2pj4.cloudfront.net/b83cfeb9-fdf0-4438-a0ac-b9fa31f1f19a.jpeg", "Владимир Чугунов: Ссылка на изображение")</f>
        <v>Владимир Чугунов: Ссылка на изображение</v>
      </c>
      <c r="BL562" t="s">
        <v>102</v>
      </c>
    </row>
    <row r="563" spans="1:74" ht="15" customHeight="1" x14ac:dyDescent="0.35">
      <c r="A563">
        <v>322</v>
      </c>
      <c r="B563" t="s">
        <v>4213</v>
      </c>
      <c r="C563">
        <v>2</v>
      </c>
      <c r="D563" t="str">
        <f>VLOOKUP(source[[#This Row],[Приоритет]],тПриоритеты[],2,0)</f>
        <v>Значительное</v>
      </c>
      <c r="E5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3" t="s">
        <v>2273</v>
      </c>
      <c r="G563" t="s">
        <v>395</v>
      </c>
      <c r="H563" t="str">
        <f>VLOOKUP(source[[#This Row],[Отвественный]],тОтветственные[],2,0)</f>
        <v>Отв19</v>
      </c>
      <c r="I563" s="2">
        <v>43676</v>
      </c>
      <c r="J563" s="2">
        <v>43676</v>
      </c>
      <c r="K563" t="s">
        <v>104</v>
      </c>
      <c r="L563">
        <v>0</v>
      </c>
      <c r="M563">
        <v>0</v>
      </c>
      <c r="N563" t="s">
        <v>105</v>
      </c>
      <c r="Q563" t="s">
        <v>106</v>
      </c>
      <c r="R563" t="str">
        <f t="shared" si="9"/>
        <v>Ссылка на план</v>
      </c>
      <c r="S563" s="1">
        <v>43676.709178240744</v>
      </c>
      <c r="T563" s="1">
        <v>43676.6408912037</v>
      </c>
      <c r="U563" s="1">
        <v>43676.641875000001</v>
      </c>
      <c r="W563" s="1">
        <v>43676.709201388891</v>
      </c>
      <c r="X563" t="s">
        <v>406</v>
      </c>
      <c r="AA563" t="s">
        <v>4214</v>
      </c>
      <c r="AB563" t="s">
        <v>4215</v>
      </c>
      <c r="AC563" t="s">
        <v>4216</v>
      </c>
      <c r="AD563" t="s">
        <v>4217</v>
      </c>
      <c r="AE563" t="s">
        <v>4218</v>
      </c>
      <c r="AF563" t="s">
        <v>4219</v>
      </c>
      <c r="AG563" t="s">
        <v>4220</v>
      </c>
      <c r="BF563" t="s">
        <v>4221</v>
      </c>
      <c r="BG563" t="s">
        <v>726</v>
      </c>
      <c r="BH563" t="s">
        <v>114</v>
      </c>
      <c r="BI563" t="str">
        <f>HYPERLINK("https://d33htgqikc2pj4.cloudfront.net/f072ea69-d60e-4da3-a894-0290d7f7a787.jpeg", "Владимир Чугунов: Ссылка на изображение")</f>
        <v>Владимир Чугунов: Ссылка на изображение</v>
      </c>
      <c r="BJ563" t="str">
        <f>HYPERLINK("https://d33htgqikc2pj4.cloudfront.net/e72509d4-ff13-4b4b-87ac-74af30b9e2f8.jpeg", "Владимир Чугунов: Ссылка на изображение")</f>
        <v>Владимир Чугунов: Ссылка на изображение</v>
      </c>
      <c r="BK563" t="str">
        <f>HYPERLINK("https://d33htgqikc2pj4.cloudfront.net/5d5404a1-97a1-4859-9c42-c1dd823007af.jpeg", "Владимир Чугунов: Ссылка на изображение")</f>
        <v>Владимир Чугунов: Ссылка на изображение</v>
      </c>
      <c r="BL563" t="str">
        <f>HYPERLINK("https://d33htgqikc2pj4.cloudfront.net/2ff199e5-4ed0-4ade-a1fb-3040caac1fdc.jpeg", "Владимир Чугунов: Ссылка на изображение")</f>
        <v>Владимир Чугунов: Ссылка на изображение</v>
      </c>
      <c r="BM563" t="str">
        <f>HYPERLINK("https://d33htgqikc2pj4.cloudfront.net/bde3b576-5cfa-4cb6-b4ae-a50cc4329c64.jpeg", "Владимир Чугунов: Ссылка на изображение")</f>
        <v>Владимир Чугунов: Ссылка на изображение</v>
      </c>
      <c r="BN563" t="str">
        <f>HYPERLINK("https://d33htgqikc2pj4.cloudfront.net/80a64187-3176-4ffc-bb34-07fd1b4a1752.jpeg", "Владимир Чугунов: Ссылка на изображение")</f>
        <v>Владимир Чугунов: Ссылка на изображение</v>
      </c>
      <c r="BO563" t="str">
        <f>HYPERLINK("https://d33htgqikc2pj4.cloudfront.net/1cb9e82f-cd5a-47ed-b4a3-d4de2dd2c7c3.jpeg", "Владимир Чугунов: Ссылка на изображение")</f>
        <v>Владимир Чугунов: Ссылка на изображение</v>
      </c>
      <c r="BP563" t="str">
        <f>HYPERLINK("https://d33htgqikc2pj4.cloudfront.net/be7ef1a3-ccb9-468b-b1df-57d8d0f64d3d.jpeg", "Владимир Чугунов: Ссылка на изображение")</f>
        <v>Владимир Чугунов: Ссылка на изображение</v>
      </c>
      <c r="BQ563" t="str">
        <f>HYPERLINK("https://d33htgqikc2pj4.cloudfront.net/c313d42d-06bf-4a2b-b57e-c9efbdc6a2c6.jpeg", "Владимир Чугунов: Ссылка на изображение")</f>
        <v>Владимир Чугунов: Ссылка на изображение</v>
      </c>
      <c r="BR563" t="str">
        <f>HYPERLINK("https://d33htgqikc2pj4.cloudfront.net/d81b6165-37e6-48a2-ab7b-290cd5aa9819.jpeg", "Владимир Чугунов: Ссылка на изображение")</f>
        <v>Владимир Чугунов: Ссылка на изображение</v>
      </c>
      <c r="BS563" t="s">
        <v>3794</v>
      </c>
      <c r="BT563" t="s">
        <v>102</v>
      </c>
    </row>
    <row r="564" spans="1:74" ht="15" customHeight="1" x14ac:dyDescent="0.35">
      <c r="A564">
        <v>332</v>
      </c>
      <c r="B564" t="s">
        <v>4222</v>
      </c>
      <c r="C564">
        <v>2</v>
      </c>
      <c r="D564" t="str">
        <f>VLOOKUP(source[[#This Row],[Приоритет]],тПриоритеты[],2,0)</f>
        <v>Значительное</v>
      </c>
      <c r="E5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4" t="s">
        <v>2273</v>
      </c>
      <c r="G564" t="s">
        <v>395</v>
      </c>
      <c r="H564" t="str">
        <f>VLOOKUP(source[[#This Row],[Отвественный]],тОтветственные[],2,0)</f>
        <v>Отв19</v>
      </c>
      <c r="I564" s="2">
        <v>43678</v>
      </c>
      <c r="J564" s="2">
        <v>43678</v>
      </c>
      <c r="K564" t="s">
        <v>104</v>
      </c>
      <c r="L564">
        <v>0</v>
      </c>
      <c r="M564">
        <v>0</v>
      </c>
      <c r="N564" t="s">
        <v>105</v>
      </c>
      <c r="Q564" t="s">
        <v>106</v>
      </c>
      <c r="R564" t="str">
        <f t="shared" si="9"/>
        <v>Ссылка на план</v>
      </c>
      <c r="S564" s="1">
        <v>43678.450358796297</v>
      </c>
      <c r="T564" s="1">
        <v>43678.45039351852</v>
      </c>
      <c r="U564" s="1">
        <v>43678.841631944444</v>
      </c>
      <c r="W564" s="1">
        <v>43678.84165509259</v>
      </c>
      <c r="X564" t="s">
        <v>406</v>
      </c>
      <c r="AA564" t="s">
        <v>4223</v>
      </c>
      <c r="AB564" t="s">
        <v>4224</v>
      </c>
      <c r="AC564" t="s">
        <v>4225</v>
      </c>
      <c r="AD564" t="s">
        <v>4226</v>
      </c>
      <c r="AE564" t="s">
        <v>4227</v>
      </c>
      <c r="AF564" t="s">
        <v>4228</v>
      </c>
      <c r="AG564" t="s">
        <v>4229</v>
      </c>
      <c r="BF564" t="s">
        <v>114</v>
      </c>
      <c r="BG564" t="s">
        <v>4230</v>
      </c>
      <c r="BH564" t="s">
        <v>762</v>
      </c>
      <c r="BI564" t="s">
        <v>3794</v>
      </c>
      <c r="BJ564" t="str">
        <f>HYPERLINK("https://d33htgqikc2pj4.cloudfront.net/3bc40a8e-418e-4504-ba42-9b5a91347f55.jpeg", "Владимир Чугунов: Ссылка на изображение")</f>
        <v>Владимир Чугунов: Ссылка на изображение</v>
      </c>
      <c r="BK564" t="str">
        <f>HYPERLINK("https://d33htgqikc2pj4.cloudfront.net/d9cf95e9-6a69-49c1-809a-e6e17915677c.jpeg", "Владимир Чугунов: Ссылка на изображение")</f>
        <v>Владимир Чугунов: Ссылка на изображение</v>
      </c>
      <c r="BL564" t="str">
        <f>HYPERLINK("https://d33htgqikc2pj4.cloudfront.net/c7a3d796-f1af-47a3-a043-ecddfa2ccc73.jpeg", "Владимир Чугунов: Ссылка на изображение")</f>
        <v>Владимир Чугунов: Ссылка на изображение</v>
      </c>
      <c r="BM564" t="str">
        <f>HYPERLINK("https://d33htgqikc2pj4.cloudfront.net/265eb619-36e0-4b79-84f5-aa528c74abce.jpeg", "Владимир Чугунов: Ссылка на изображение")</f>
        <v>Владимир Чугунов: Ссылка на изображение</v>
      </c>
      <c r="BN564" t="str">
        <f>HYPERLINK("https://d33htgqikc2pj4.cloudfront.net/e3460328-c82a-4102-85a0-e1fac5c60840.jpeg", "Владимир Чугунов: Ссылка на изображение")</f>
        <v>Владимир Чугунов: Ссылка на изображение</v>
      </c>
      <c r="BO564" t="str">
        <f>HYPERLINK("https://d33htgqikc2pj4.cloudfront.net/afedaf87-7abe-463c-afcb-fe1472f16b02.jpeg", "Владимир Чугунов: Ссылка на изображение")</f>
        <v>Владимир Чугунов: Ссылка на изображение</v>
      </c>
      <c r="BP564" t="str">
        <f>HYPERLINK("https://d33htgqikc2pj4.cloudfront.net/32b19ecf-7ac3-42f7-ab69-e0f2b1f79916.jpeg", "Владимир Чугунов: Ссылка на изображение")</f>
        <v>Владимир Чугунов: Ссылка на изображение</v>
      </c>
      <c r="BQ564" t="str">
        <f>HYPERLINK("https://d33htgqikc2pj4.cloudfront.net/324d691a-aac1-4eca-9259-335ca79e4314.jpeg", "Владимир Чугунов: Ссылка на изображение")</f>
        <v>Владимир Чугунов: Ссылка на изображение</v>
      </c>
      <c r="BR564" t="s">
        <v>102</v>
      </c>
    </row>
    <row r="565" spans="1:74" ht="15" customHeight="1" x14ac:dyDescent="0.35">
      <c r="A565">
        <v>337</v>
      </c>
      <c r="B565" t="s">
        <v>4231</v>
      </c>
      <c r="C565">
        <v>2</v>
      </c>
      <c r="D565" t="str">
        <f>VLOOKUP(source[[#This Row],[Приоритет]],тПриоритеты[],2,0)</f>
        <v>Значительное</v>
      </c>
      <c r="E5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5" t="s">
        <v>2273</v>
      </c>
      <c r="G565" t="s">
        <v>395</v>
      </c>
      <c r="H565" t="str">
        <f>VLOOKUP(source[[#This Row],[Отвественный]],тОтветственные[],2,0)</f>
        <v>Отв19</v>
      </c>
      <c r="I565" s="2">
        <v>43679</v>
      </c>
      <c r="J565" s="2">
        <v>43679</v>
      </c>
      <c r="K565" t="s">
        <v>104</v>
      </c>
      <c r="L565">
        <v>0</v>
      </c>
      <c r="M565">
        <v>0</v>
      </c>
      <c r="N565" t="s">
        <v>105</v>
      </c>
      <c r="Q565" t="s">
        <v>106</v>
      </c>
      <c r="R565" t="str">
        <f t="shared" si="9"/>
        <v>Ссылка на план</v>
      </c>
      <c r="S565" s="1">
        <v>43679.644999999997</v>
      </c>
      <c r="T565" s="1">
        <v>43679.64503472222</v>
      </c>
      <c r="U565" s="1">
        <v>43679.646458333336</v>
      </c>
      <c r="W565" s="1">
        <v>43679.646469907406</v>
      </c>
      <c r="X565" t="s">
        <v>406</v>
      </c>
      <c r="AA565" t="s">
        <v>4232</v>
      </c>
      <c r="AB565" t="s">
        <v>4233</v>
      </c>
      <c r="AC565" t="s">
        <v>4234</v>
      </c>
      <c r="AD565" t="s">
        <v>4235</v>
      </c>
      <c r="AE565" t="s">
        <v>4236</v>
      </c>
      <c r="AF565" t="s">
        <v>4237</v>
      </c>
      <c r="AG565" t="s">
        <v>4238</v>
      </c>
      <c r="BF565" t="s">
        <v>114</v>
      </c>
      <c r="BG565" t="s">
        <v>4239</v>
      </c>
      <c r="BH565" t="s">
        <v>773</v>
      </c>
      <c r="BI565" t="str">
        <f>HYPERLINK("https://d33htgqikc2pj4.cloudfront.net/ab4a2b81-562e-47c5-85e7-4b3a4f930303.jpeg", "Владимир Чугунов: Ссылка на изображение")</f>
        <v>Владимир Чугунов: Ссылка на изображение</v>
      </c>
      <c r="BJ565" t="str">
        <f>HYPERLINK("https://d33htgqikc2pj4.cloudfront.net/7e5384ad-f1e3-4481-af12-9773e2e3d0a6.jpeg", "Владимир Чугунов: Ссылка на изображение")</f>
        <v>Владимир Чугунов: Ссылка на изображение</v>
      </c>
      <c r="BK565" t="str">
        <f>HYPERLINK("https://d33htgqikc2pj4.cloudfront.net/64edc780-f2ff-4c0b-99c4-bc8cb939d218.jpeg", "Владимир Чугунов: Ссылка на изображение")</f>
        <v>Владимир Чугунов: Ссылка на изображение</v>
      </c>
      <c r="BL565" t="str">
        <f>HYPERLINK("https://d33htgqikc2pj4.cloudfront.net/1abf6f97-6c57-4611-99bb-41fc54d14914.jpeg", "Владимир Чугунов: Ссылка на изображение")</f>
        <v>Владимир Чугунов: Ссылка на изображение</v>
      </c>
      <c r="BM565" t="str">
        <f>HYPERLINK("https://d33htgqikc2pj4.cloudfront.net/6a2b9d83-c59b-45e3-8c09-f2bf898c964d.jpeg", "Владимир Чугунов: Ссылка на изображение")</f>
        <v>Владимир Чугунов: Ссылка на изображение</v>
      </c>
      <c r="BN565" t="str">
        <f>HYPERLINK("https://d33htgqikc2pj4.cloudfront.net/d392b978-0914-4ca2-9a90-433aacd06e5f.jpeg", "Владимир Чугунов: Ссылка на изображение")</f>
        <v>Владимир Чугунов: Ссылка на изображение</v>
      </c>
      <c r="BO565" t="str">
        <f>HYPERLINK("https://d33htgqikc2pj4.cloudfront.net/05c3d18b-802b-4296-8f95-78b6efdbd804.jpeg", "Владимир Чугунов: Ссылка на изображение")</f>
        <v>Владимир Чугунов: Ссылка на изображение</v>
      </c>
      <c r="BP565" t="str">
        <f>HYPERLINK("https://d33htgqikc2pj4.cloudfront.net/5474f1a7-b68b-4385-90d6-2b32c9420889.jpeg", "Владимир Чугунов: Ссылка на изображение")</f>
        <v>Владимир Чугунов: Ссылка на изображение</v>
      </c>
      <c r="BQ565" t="s">
        <v>102</v>
      </c>
    </row>
    <row r="566" spans="1:74" ht="15" customHeight="1" x14ac:dyDescent="0.35">
      <c r="A566">
        <v>340</v>
      </c>
      <c r="B566" t="s">
        <v>4240</v>
      </c>
      <c r="C566">
        <v>2</v>
      </c>
      <c r="D566" t="str">
        <f>VLOOKUP(source[[#This Row],[Приоритет]],тПриоритеты[],2,0)</f>
        <v>Значительное</v>
      </c>
      <c r="E5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6" t="s">
        <v>2273</v>
      </c>
      <c r="G566" t="s">
        <v>395</v>
      </c>
      <c r="H566" t="str">
        <f>VLOOKUP(source[[#This Row],[Отвественный]],тОтветственные[],2,0)</f>
        <v>Отв19</v>
      </c>
      <c r="I566" s="2">
        <v>43681</v>
      </c>
      <c r="J566" s="2">
        <v>43681</v>
      </c>
      <c r="K566" t="s">
        <v>104</v>
      </c>
      <c r="L566">
        <v>0</v>
      </c>
      <c r="M566">
        <v>0</v>
      </c>
      <c r="N566" t="s">
        <v>105</v>
      </c>
      <c r="Q566" t="s">
        <v>106</v>
      </c>
      <c r="R566" t="str">
        <f t="shared" si="9"/>
        <v>Ссылка на план</v>
      </c>
      <c r="S566" s="1">
        <v>43681.653009259258</v>
      </c>
      <c r="T566" s="1">
        <v>43681.653078703705</v>
      </c>
      <c r="U566" s="1">
        <v>43681.654594907406</v>
      </c>
      <c r="W566" s="1">
        <v>43681.655578703707</v>
      </c>
      <c r="X566" t="s">
        <v>406</v>
      </c>
      <c r="AA566" t="s">
        <v>4241</v>
      </c>
      <c r="AB566" t="s">
        <v>4242</v>
      </c>
      <c r="AC566" t="s">
        <v>4243</v>
      </c>
      <c r="AD566" t="s">
        <v>4244</v>
      </c>
      <c r="AE566" t="s">
        <v>4245</v>
      </c>
      <c r="AF566" t="s">
        <v>4246</v>
      </c>
      <c r="AG566" t="s">
        <v>4247</v>
      </c>
      <c r="BF566" t="s">
        <v>114</v>
      </c>
      <c r="BG566" t="s">
        <v>4248</v>
      </c>
      <c r="BH566" t="s">
        <v>789</v>
      </c>
      <c r="BI566" t="str">
        <f>HYPERLINK("https://d33htgqikc2pj4.cloudfront.net/a63bddec-c026-47c1-9b9e-848b6689e968.jpeg", "Владимир Чугунов: Ссылка на изображение")</f>
        <v>Владимир Чугунов: Ссылка на изображение</v>
      </c>
      <c r="BJ566" t="str">
        <f>HYPERLINK("https://d33htgqikc2pj4.cloudfront.net/06285b82-c06d-41cb-bd81-78ca8f2bdbba.jpeg", "Владимир Чугунов: Ссылка на изображение")</f>
        <v>Владимир Чугунов: Ссылка на изображение</v>
      </c>
      <c r="BK566" t="str">
        <f>HYPERLINK("https://d33htgqikc2pj4.cloudfront.net/7a0e8d20-185a-4a4f-90bc-d063a095c12b.jpeg", "Владимир Чугунов: Ссылка на изображение")</f>
        <v>Владимир Чугунов: Ссылка на изображение</v>
      </c>
      <c r="BL566" t="str">
        <f>HYPERLINK("https://d33htgqikc2pj4.cloudfront.net/d225fa29-85ab-495c-80f1-9dd2e1fc604b.jpeg", "Владимир Чугунов: Ссылка на изображение")</f>
        <v>Владимир Чугунов: Ссылка на изображение</v>
      </c>
      <c r="BM566" t="str">
        <f>HYPERLINK("https://d33htgqikc2pj4.cloudfront.net/32e03dee-836c-4a6d-be50-e0ed26127f2c.jpeg", "Владимир Чугунов: Ссылка на изображение")</f>
        <v>Владимир Чугунов: Ссылка на изображение</v>
      </c>
      <c r="BN566" t="str">
        <f>HYPERLINK("https://d33htgqikc2pj4.cloudfront.net/e793b733-6cfe-480f-aca3-7702c63658a7.jpeg", "Владимир Чугунов: Ссылка на изображение")</f>
        <v>Владимир Чугунов: Ссылка на изображение</v>
      </c>
      <c r="BO566" t="s">
        <v>102</v>
      </c>
    </row>
    <row r="567" spans="1:74" ht="15" customHeight="1" x14ac:dyDescent="0.35">
      <c r="A567">
        <v>502</v>
      </c>
      <c r="B567" t="s">
        <v>4249</v>
      </c>
      <c r="C567">
        <v>2</v>
      </c>
      <c r="D567" t="str">
        <f>VLOOKUP(source[[#This Row],[Приоритет]],тПриоритеты[],2,0)</f>
        <v>Значительное</v>
      </c>
      <c r="E5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7" t="s">
        <v>2273</v>
      </c>
      <c r="G567" t="s">
        <v>395</v>
      </c>
      <c r="H567" t="str">
        <f>VLOOKUP(source[[#This Row],[Отвественный]],тОтветственные[],2,0)</f>
        <v>Отв19</v>
      </c>
      <c r="I567" s="2">
        <v>43728</v>
      </c>
      <c r="J567" s="2">
        <v>43728</v>
      </c>
      <c r="K567" t="s">
        <v>104</v>
      </c>
      <c r="L567">
        <v>0</v>
      </c>
      <c r="M567">
        <v>0</v>
      </c>
      <c r="N567" t="s">
        <v>105</v>
      </c>
      <c r="Q567" t="s">
        <v>106</v>
      </c>
      <c r="R567" t="str">
        <f t="shared" si="9"/>
        <v>Ссылка на план</v>
      </c>
      <c r="S567" s="1">
        <v>43728.631412037037</v>
      </c>
      <c r="T567" s="1">
        <v>43728.631469907406</v>
      </c>
      <c r="U567" s="1">
        <v>43728.632372685184</v>
      </c>
      <c r="W567" s="1">
        <v>43728.632372685184</v>
      </c>
      <c r="X567" t="s">
        <v>406</v>
      </c>
      <c r="AA567" t="s">
        <v>4250</v>
      </c>
      <c r="AB567" t="s">
        <v>4251</v>
      </c>
      <c r="AC567" t="s">
        <v>4252</v>
      </c>
      <c r="AD567" t="s">
        <v>4253</v>
      </c>
      <c r="AE567" t="s">
        <v>4254</v>
      </c>
      <c r="AF567" t="s">
        <v>4255</v>
      </c>
      <c r="AG567" t="s">
        <v>4256</v>
      </c>
      <c r="BF567" t="s">
        <v>114</v>
      </c>
      <c r="BG567" t="s">
        <v>4257</v>
      </c>
      <c r="BH567" t="s">
        <v>835</v>
      </c>
      <c r="BI567" t="str">
        <f>HYPERLINK("https://d33htgqikc2pj4.cloudfront.net/d4ef2a2c-b384-4d68-8af6-676aa5d1240a.jpeg", "Владимир Чугунов: Ссылка на изображение")</f>
        <v>Владимир Чугунов: Ссылка на изображение</v>
      </c>
      <c r="BJ567" t="str">
        <f>HYPERLINK("https://d33htgqikc2pj4.cloudfront.net/3df67680-7daf-4898-ad47-642990bef7b4.jpeg", "Владимир Чугунов: Ссылка на изображение")</f>
        <v>Владимир Чугунов: Ссылка на изображение</v>
      </c>
      <c r="BK567" t="str">
        <f>HYPERLINK("https://d33htgqikc2pj4.cloudfront.net/08d6aad3-7a83-49fc-bd4d-ea3c5e1fc1ec.jpeg", "Владимир Чугунов: Ссылка на изображение")</f>
        <v>Владимир Чугунов: Ссылка на изображение</v>
      </c>
      <c r="BL567" t="str">
        <f>HYPERLINK("https://d33htgqikc2pj4.cloudfront.net/775b69bc-fdc3-466e-8e53-4e6f24f6ca6b.jpeg", "Владимир Чугунов: Ссылка на изображение")</f>
        <v>Владимир Чугунов: Ссылка на изображение</v>
      </c>
      <c r="BM567" t="s">
        <v>102</v>
      </c>
    </row>
    <row r="568" spans="1:74" ht="15" customHeight="1" x14ac:dyDescent="0.35">
      <c r="A568">
        <v>393</v>
      </c>
      <c r="B568" t="s">
        <v>4258</v>
      </c>
      <c r="C568">
        <v>2</v>
      </c>
      <c r="D568" t="str">
        <f>VLOOKUP(source[[#This Row],[Приоритет]],тПриоритеты[],2,0)</f>
        <v>Значительное</v>
      </c>
      <c r="E5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8" t="s">
        <v>2273</v>
      </c>
      <c r="G568" t="s">
        <v>395</v>
      </c>
      <c r="H568" t="str">
        <f>VLOOKUP(source[[#This Row],[Отвественный]],тОтветственные[],2,0)</f>
        <v>Отв19</v>
      </c>
      <c r="I568" s="2">
        <v>43703</v>
      </c>
      <c r="J568" s="2">
        <v>43703</v>
      </c>
      <c r="K568" t="s">
        <v>104</v>
      </c>
      <c r="L568">
        <v>0</v>
      </c>
      <c r="M568">
        <v>0</v>
      </c>
      <c r="N568" t="s">
        <v>105</v>
      </c>
      <c r="Q568" t="s">
        <v>106</v>
      </c>
      <c r="R568" t="str">
        <f t="shared" si="9"/>
        <v>Ссылка на план</v>
      </c>
      <c r="S568" s="1">
        <v>43703.641643518517</v>
      </c>
      <c r="T568" s="1">
        <v>43703.683206018519</v>
      </c>
      <c r="U568" s="1">
        <v>43703.643043981479</v>
      </c>
      <c r="W568" s="1">
        <v>43703.643067129633</v>
      </c>
      <c r="X568" t="s">
        <v>406</v>
      </c>
      <c r="AA568" t="s">
        <v>4259</v>
      </c>
      <c r="AB568" t="s">
        <v>4260</v>
      </c>
      <c r="AC568" t="s">
        <v>4261</v>
      </c>
      <c r="AD568" t="s">
        <v>4262</v>
      </c>
      <c r="AE568" t="s">
        <v>4263</v>
      </c>
      <c r="AF568" t="s">
        <v>4264</v>
      </c>
      <c r="AG568" t="s">
        <v>4265</v>
      </c>
      <c r="BF568" t="s">
        <v>114</v>
      </c>
      <c r="BG568" t="s">
        <v>4266</v>
      </c>
      <c r="BH568" t="s">
        <v>782</v>
      </c>
      <c r="BI568" t="str">
        <f>HYPERLINK("https://d33htgqikc2pj4.cloudfront.net/7730d75a-8b48-49f4-843f-a61d7e4b73ea.jpeg", "Владимир Чугунов: Ссылка на изображение")</f>
        <v>Владимир Чугунов: Ссылка на изображение</v>
      </c>
      <c r="BJ568" t="str">
        <f>HYPERLINK("https://d33htgqikc2pj4.cloudfront.net/d5952380-a5f4-4750-aaaa-be0721e51181.jpeg", "Владимир Чугунов: Ссылка на изображение")</f>
        <v>Владимир Чугунов: Ссылка на изображение</v>
      </c>
      <c r="BK568" t="str">
        <f>HYPERLINK("https://d33htgqikc2pj4.cloudfront.net/27fd3ba5-4da0-4e49-916e-1db2c739dc37.jpeg", "Владимир Чугунов: Ссылка на изображение")</f>
        <v>Владимир Чугунов: Ссылка на изображение</v>
      </c>
      <c r="BL568" t="str">
        <f>HYPERLINK("https://d33htgqikc2pj4.cloudfront.net/7cc05b5d-e59c-4139-9097-a90a1ce6aa7d.jpeg", "Владимир Чугунов: Ссылка на изображение")</f>
        <v>Владимир Чугунов: Ссылка на изображение</v>
      </c>
      <c r="BM568" t="s">
        <v>102</v>
      </c>
    </row>
    <row r="569" spans="1:74" ht="15" customHeight="1" x14ac:dyDescent="0.35">
      <c r="A569">
        <v>345</v>
      </c>
      <c r="B569" t="s">
        <v>4267</v>
      </c>
      <c r="C569">
        <v>2</v>
      </c>
      <c r="D569" t="str">
        <f>VLOOKUP(source[[#This Row],[Приоритет]],тПриоритеты[],2,0)</f>
        <v>Значительное</v>
      </c>
      <c r="E5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69" t="s">
        <v>2273</v>
      </c>
      <c r="G569" t="s">
        <v>395</v>
      </c>
      <c r="H569" t="str">
        <f>VLOOKUP(source[[#This Row],[Отвественный]],тОтветственные[],2,0)</f>
        <v>Отв19</v>
      </c>
      <c r="I569" s="2">
        <v>43683</v>
      </c>
      <c r="J569" s="2">
        <v>43683</v>
      </c>
      <c r="K569" t="s">
        <v>104</v>
      </c>
      <c r="L569">
        <v>0</v>
      </c>
      <c r="M569">
        <v>0</v>
      </c>
      <c r="N569" t="s">
        <v>105</v>
      </c>
      <c r="Q569" t="s">
        <v>106</v>
      </c>
      <c r="R569" t="str">
        <f t="shared" si="9"/>
        <v>Ссылка на план</v>
      </c>
      <c r="S569" s="1">
        <v>43683.647627314815</v>
      </c>
      <c r="T569" s="1">
        <v>43683.647662037038</v>
      </c>
      <c r="U569" s="1">
        <v>43683.648518518516</v>
      </c>
      <c r="W569" s="1">
        <v>43683.648784722223</v>
      </c>
      <c r="X569" t="s">
        <v>406</v>
      </c>
      <c r="AA569" t="s">
        <v>4268</v>
      </c>
      <c r="AB569" t="s">
        <v>4269</v>
      </c>
      <c r="AC569" t="s">
        <v>4270</v>
      </c>
      <c r="AD569" t="s">
        <v>4271</v>
      </c>
      <c r="AE569" t="s">
        <v>4272</v>
      </c>
      <c r="AF569" t="s">
        <v>4273</v>
      </c>
      <c r="AG569" t="s">
        <v>4274</v>
      </c>
      <c r="BF569" t="s">
        <v>4275</v>
      </c>
      <c r="BG569" t="s">
        <v>798</v>
      </c>
      <c r="BH569" t="s">
        <v>114</v>
      </c>
      <c r="BI569" t="str">
        <f>HYPERLINK("https://d33htgqikc2pj4.cloudfront.net/487b5ae8-5967-4532-a56b-714b7da1b4f0.jpeg", "Владимир Чугунов: Ссылка на изображение")</f>
        <v>Владимир Чугунов: Ссылка на изображение</v>
      </c>
      <c r="BJ569" t="str">
        <f>HYPERLINK("https://d33htgqikc2pj4.cloudfront.net/9e633f73-7943-4725-9e64-075f5ce61f77.jpeg", "Владимир Чугунов: Ссылка на изображение")</f>
        <v>Владимир Чугунов: Ссылка на изображение</v>
      </c>
      <c r="BK569" t="str">
        <f>HYPERLINK("https://d33htgqikc2pj4.cloudfront.net/55e92d1d-fd1f-47a3-b975-bee4d8e07710.jpeg", "Владимир Чугунов: Ссылка на изображение")</f>
        <v>Владимир Чугунов: Ссылка на изображение</v>
      </c>
      <c r="BL569" t="str">
        <f>HYPERLINK("https://d33htgqikc2pj4.cloudfront.net/4339addd-1342-4090-a938-041c0c60e43d.jpeg", "Владимир Чугунов: Ссылка на изображение")</f>
        <v>Владимир Чугунов: Ссылка на изображение</v>
      </c>
      <c r="BM569" t="str">
        <f>HYPERLINK("https://d33htgqikc2pj4.cloudfront.net/b7508bc2-d042-4b14-bc4e-27a70213e949.jpeg", "Владимир Чугунов: Ссылка на изображение")</f>
        <v>Владимир Чугунов: Ссылка на изображение</v>
      </c>
      <c r="BN569" t="str">
        <f>HYPERLINK("https://d33htgqikc2pj4.cloudfront.net/96006262-407f-4222-8086-8554803b6a67.jpeg", "Владимир Чугунов: Ссылка на изображение")</f>
        <v>Владимир Чугунов: Ссылка на изображение</v>
      </c>
      <c r="BO569" t="s">
        <v>102</v>
      </c>
    </row>
    <row r="570" spans="1:74" ht="15" customHeight="1" x14ac:dyDescent="0.35">
      <c r="A570">
        <v>506</v>
      </c>
      <c r="B570" t="s">
        <v>4276</v>
      </c>
      <c r="C570">
        <v>2</v>
      </c>
      <c r="D570" t="str">
        <f>VLOOKUP(source[[#This Row],[Приоритет]],тПриоритеты[],2,0)</f>
        <v>Значительное</v>
      </c>
      <c r="E57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0" t="s">
        <v>2273</v>
      </c>
      <c r="G570" t="s">
        <v>395</v>
      </c>
      <c r="H570" t="str">
        <f>VLOOKUP(source[[#This Row],[Отвественный]],тОтветственные[],2,0)</f>
        <v>Отв19</v>
      </c>
      <c r="I570" s="2">
        <v>43729</v>
      </c>
      <c r="J570" s="2">
        <v>43729</v>
      </c>
      <c r="K570" t="s">
        <v>104</v>
      </c>
      <c r="L570">
        <v>0</v>
      </c>
      <c r="M570">
        <v>0</v>
      </c>
      <c r="N570" t="s">
        <v>105</v>
      </c>
      <c r="Q570" t="s">
        <v>106</v>
      </c>
      <c r="R570" t="str">
        <f t="shared" si="9"/>
        <v>Ссылка на план</v>
      </c>
      <c r="S570" s="1">
        <v>43729.560682870368</v>
      </c>
      <c r="T570" s="1">
        <v>43729.561481481483</v>
      </c>
      <c r="U570" s="1">
        <v>43729.561481481483</v>
      </c>
      <c r="W570" s="1">
        <v>43729.561493055553</v>
      </c>
      <c r="BF570" t="s">
        <v>4277</v>
      </c>
      <c r="BG570" t="s">
        <v>816</v>
      </c>
      <c r="BH570" t="str">
        <f>HYPERLINK("https://d33htgqikc2pj4.cloudfront.net/a75e80c2-b909-45e8-b2ed-2fbf9856d3b3.jpeg", "Владимир Чугунов: Ссылка на изображение")</f>
        <v>Владимир Чугунов: Ссылка на изображение</v>
      </c>
      <c r="BI570" t="str">
        <f>HYPERLINK("https://d33htgqikc2pj4.cloudfront.net/c6c0e5d5-945c-43cc-a388-58c77700063b.jpeg", "Владимир Чугунов: Ссылка на изображение")</f>
        <v>Владимир Чугунов: Ссылка на изображение</v>
      </c>
      <c r="BJ570" t="str">
        <f>HYPERLINK("https://d33htgqikc2pj4.cloudfront.net/dcabdc31-ebc7-47ef-93a5-f04ddb67552d.jpeg", "Владимир Чугунов: Ссылка на изображение")</f>
        <v>Владимир Чугунов: Ссылка на изображение</v>
      </c>
      <c r="BK570" t="str">
        <f>HYPERLINK("https://d33htgqikc2pj4.cloudfront.net/25653953-40fa-4eb3-a30d-2db6ca8db8b7.jpeg", "Владимир Чугунов: Ссылка на изображение")</f>
        <v>Владимир Чугунов: Ссылка на изображение</v>
      </c>
      <c r="BL570" t="str">
        <f>HYPERLINK("https://d33htgqikc2pj4.cloudfront.net/7f067a59-bf4d-42b9-861b-d42bf1adc938.jpeg", "Владимир Чугунов: Ссылка на изображение")</f>
        <v>Владимир Чугунов: Ссылка на изображение</v>
      </c>
      <c r="BM570" t="str">
        <f>HYPERLINK("https://d33htgqikc2pj4.cloudfront.net/c7fa732f-6822-45ac-b88b-0d6a65480ee6.jpeg", "Владимир Чугунов: Ссылка на изображение")</f>
        <v>Владимир Чугунов: Ссылка на изображение</v>
      </c>
      <c r="BN570" t="str">
        <f>HYPERLINK("https://d33htgqikc2pj4.cloudfront.net/fea27cd7-e949-4f7a-9e75-62f5abf9a09d.jpeg", "Владимир Чугунов: Ссылка на изображение")</f>
        <v>Владимир Чугунов: Ссылка на изображение</v>
      </c>
      <c r="BO570" t="str">
        <f>HYPERLINK("https://d33htgqikc2pj4.cloudfront.net/e10b5fad-3518-469e-8fb6-8f2ca90f348c.jpeg", "Владимир Чугунов: Ссылка на изображение")</f>
        <v>Владимир Чугунов: Ссылка на изображение</v>
      </c>
      <c r="BP570" t="s">
        <v>102</v>
      </c>
    </row>
    <row r="571" spans="1:74" ht="15" customHeight="1" x14ac:dyDescent="0.35">
      <c r="A571">
        <v>796</v>
      </c>
      <c r="B571" t="s">
        <v>4278</v>
      </c>
      <c r="C571">
        <v>2</v>
      </c>
      <c r="D571" t="str">
        <f>VLOOKUP(source[[#This Row],[Приоритет]],тПриоритеты[],2,0)</f>
        <v>Значительное</v>
      </c>
      <c r="E5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1" t="s">
        <v>2273</v>
      </c>
      <c r="G571" t="s">
        <v>395</v>
      </c>
      <c r="H571" t="str">
        <f>VLOOKUP(source[[#This Row],[Отвественный]],тОтветственные[],2,0)</f>
        <v>Отв19</v>
      </c>
      <c r="I571" s="2">
        <v>43819</v>
      </c>
      <c r="J571" s="2">
        <v>43819</v>
      </c>
      <c r="K571" t="s">
        <v>104</v>
      </c>
      <c r="L571">
        <v>0</v>
      </c>
      <c r="M571">
        <v>0</v>
      </c>
      <c r="N571" t="s">
        <v>396</v>
      </c>
      <c r="Q571" t="s">
        <v>106</v>
      </c>
      <c r="R571" t="str">
        <f t="shared" si="9"/>
        <v>Ссылка на план</v>
      </c>
      <c r="S571" s="1">
        <v>43819.90625</v>
      </c>
      <c r="T571" s="1">
        <v>43819.648194444446</v>
      </c>
      <c r="U571" s="1">
        <v>43819.649664351855</v>
      </c>
      <c r="W571" s="1">
        <v>43819.906331018516</v>
      </c>
      <c r="X571" t="s">
        <v>406</v>
      </c>
      <c r="AA571" t="s">
        <v>4279</v>
      </c>
      <c r="AB571" t="s">
        <v>4280</v>
      </c>
      <c r="AC571" t="s">
        <v>4281</v>
      </c>
      <c r="AD571" t="s">
        <v>4282</v>
      </c>
      <c r="AE571" t="s">
        <v>4283</v>
      </c>
      <c r="AF571" t="s">
        <v>4284</v>
      </c>
      <c r="AG571" t="s">
        <v>4285</v>
      </c>
      <c r="BF571" t="s">
        <v>114</v>
      </c>
      <c r="BG571" t="s">
        <v>4286</v>
      </c>
      <c r="BH571" t="s">
        <v>860</v>
      </c>
      <c r="BI571" t="str">
        <f>HYPERLINK("https://d33htgqikc2pj4.cloudfront.net/b7ed3f4b-2189-48b4-a4a4-e0fda20c1fad.jpeg", "Владимир Чугунов: Ссылка на изображение")</f>
        <v>Владимир Чугунов: Ссылка на изображение</v>
      </c>
      <c r="BJ571" t="str">
        <f>HYPERLINK("https://d33htgqikc2pj4.cloudfront.net/af9c68c8-481f-431c-9233-c296db929860.jpeg", "Владимир Чугунов: Ссылка на изображение")</f>
        <v>Владимир Чугунов: Ссылка на изображение</v>
      </c>
      <c r="BK571" t="str">
        <f>HYPERLINK("https://d33htgqikc2pj4.cloudfront.net/82ea194b-915c-4572-8344-c29ebc662be7.jpeg", "Владимир Чугунов: Ссылка на изображение")</f>
        <v>Владимир Чугунов: Ссылка на изображение</v>
      </c>
      <c r="BL571" t="str">
        <f>HYPERLINK("https://d33htgqikc2pj4.cloudfront.net/2ff1aea3-2620-4b89-a200-c4620ade54bb.jpeg", "Владимир Чугунов: Ссылка на изображение")</f>
        <v>Владимир Чугунов: Ссылка на изображение</v>
      </c>
      <c r="BM571" t="str">
        <f>HYPERLINK("https://d33htgqikc2pj4.cloudfront.net/95f0f18e-b145-423a-806b-7d8186cc70d0.jpeg", "Владимир Чугунов: Ссылка на изображение")</f>
        <v>Владимир Чугунов: Ссылка на изображение</v>
      </c>
      <c r="BN571" t="str">
        <f>HYPERLINK("https://d33htgqikc2pj4.cloudfront.net/0983cc96-653d-43d1-9d9d-7f58453f53bf.jpeg", "Владимир Чугунов: Ссылка на изображение")</f>
        <v>Владимир Чугунов: Ссылка на изображение</v>
      </c>
      <c r="BO571" t="str">
        <f>HYPERLINK("https://d33htgqikc2pj4.cloudfront.net/866e9880-4ec3-4daa-9947-d1003227de2c.jpeg", "Владимир Чугунов: Ссылка на изображение")</f>
        <v>Владимир Чугунов: Ссылка на изображение</v>
      </c>
      <c r="BP571" t="str">
        <f>HYPERLINK("https://d33htgqikc2pj4.cloudfront.net/def40c3a-6d38-4db7-b2f3-9da8d452cde3.jpeg", "Владимир Чугунов: Ссылка на изображение")</f>
        <v>Владимир Чугунов: Ссылка на изображение</v>
      </c>
      <c r="BQ571" t="str">
        <f>HYPERLINK("https://d33htgqikc2pj4.cloudfront.net/2ab3a8cd-908c-42c7-a480-86136e4067c7.jpeg", "Владимир Чугунов: Ссылка на изображение")</f>
        <v>Владимир Чугунов: Ссылка на изображение</v>
      </c>
      <c r="BR571" t="str">
        <f>HYPERLINK("https://d33htgqikc2pj4.cloudfront.net/3c22d1eb-46b1-4cdd-b5b1-7187d5cf0bcc.jpeg", "Владимир Чугунов: Ссылка на изображение")</f>
        <v>Владимир Чугунов: Ссылка на изображение</v>
      </c>
      <c r="BS571" t="str">
        <f>HYPERLINK("https://d33htgqikc2pj4.cloudfront.net/c4787059-5296-4e7f-899b-861a61dd3fab.jpeg", "Владимир Чугунов: Ссылка на изображение")</f>
        <v>Владимир Чугунов: Ссылка на изображение</v>
      </c>
      <c r="BT571" t="str">
        <f>HYPERLINK("https://d33htgqikc2pj4.cloudfront.net/27cf250e-f80d-47b4-921a-98c150033bd9.jpeg", "Владимир Чугунов: Ссылка на изображение")</f>
        <v>Владимир Чугунов: Ссылка на изображение</v>
      </c>
      <c r="BU571" t="str">
        <f>HYPERLINK("https://d33htgqikc2pj4.cloudfront.net/c842bcb6-6f0a-435c-bf78-cca0a616f1d1.jpeg", "Владимир Чугунов: Ссылка на изображение")</f>
        <v>Владимир Чугунов: Ссылка на изображение</v>
      </c>
      <c r="BV571" t="s">
        <v>102</v>
      </c>
    </row>
    <row r="572" spans="1:74" ht="15" customHeight="1" x14ac:dyDescent="0.35">
      <c r="A572">
        <v>798</v>
      </c>
      <c r="B572" t="s">
        <v>4287</v>
      </c>
      <c r="C572">
        <v>2</v>
      </c>
      <c r="D572" t="str">
        <f>VLOOKUP(source[[#This Row],[Приоритет]],тПриоритеты[],2,0)</f>
        <v>Значительное</v>
      </c>
      <c r="E5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2" t="s">
        <v>2273</v>
      </c>
      <c r="G572" t="s">
        <v>395</v>
      </c>
      <c r="H572" t="str">
        <f>VLOOKUP(source[[#This Row],[Отвественный]],тОтветственные[],2,0)</f>
        <v>Отв19</v>
      </c>
      <c r="I572" s="2">
        <v>43819</v>
      </c>
      <c r="J572" s="2">
        <v>43819</v>
      </c>
      <c r="K572" t="s">
        <v>955</v>
      </c>
      <c r="L572">
        <v>0</v>
      </c>
      <c r="M572">
        <v>0</v>
      </c>
      <c r="N572" t="s">
        <v>2470</v>
      </c>
      <c r="R572" t="str">
        <f>HYPERLINK("https://d28ji4sm1vmprj.cloudfront.net/7b317170271f5a7204d7ab299c9b70f6/7d105e941831ee74b817bf0b9136a752.jpeg", "Ссылка на план")</f>
        <v>Ссылка на план</v>
      </c>
      <c r="S572" s="1">
        <v>43819.906851851854</v>
      </c>
      <c r="T572" s="1">
        <v>43819.909444444442</v>
      </c>
      <c r="U572" s="1">
        <v>43819.909479166665</v>
      </c>
      <c r="W572" s="1">
        <v>43819.909594907411</v>
      </c>
      <c r="X572" t="s">
        <v>406</v>
      </c>
      <c r="AA572" t="s">
        <v>4279</v>
      </c>
      <c r="AB572" t="s">
        <v>4280</v>
      </c>
      <c r="AC572" t="s">
        <v>4281</v>
      </c>
      <c r="AD572" t="s">
        <v>4282</v>
      </c>
      <c r="AE572" t="s">
        <v>4283</v>
      </c>
      <c r="AF572" t="s">
        <v>4284</v>
      </c>
      <c r="AG572" t="s">
        <v>4288</v>
      </c>
      <c r="BF572" t="s">
        <v>4289</v>
      </c>
      <c r="BG572" t="s">
        <v>860</v>
      </c>
      <c r="BH572" t="s">
        <v>114</v>
      </c>
      <c r="BI572" t="s">
        <v>102</v>
      </c>
      <c r="BJ572" t="s">
        <v>127</v>
      </c>
      <c r="BK572" t="s">
        <v>127</v>
      </c>
      <c r="BL572" t="s">
        <v>127</v>
      </c>
      <c r="BM572" t="s">
        <v>127</v>
      </c>
      <c r="BN572" t="s">
        <v>127</v>
      </c>
      <c r="BO572" t="str">
        <f>HYPERLINK("https://d33htgqikc2pj4.cloudfront.net/a8b088bf-422a-4fc5-b4fa-703dff455dd7.jpeg", "Владимир Чугунов: Ссылка на изображение")</f>
        <v>Владимир Чугунов: Ссылка на изображение</v>
      </c>
      <c r="BP572" t="str">
        <f>HYPERLINK("https://d33htgqikc2pj4.cloudfront.net/1e642921-76d7-47b8-a3a1-49b0e87534ba.jpeg", "Владимир Чугунов: Ссылка на изображение")</f>
        <v>Владимир Чугунов: Ссылка на изображение</v>
      </c>
      <c r="BQ572" t="str">
        <f>HYPERLINK("https://d33htgqikc2pj4.cloudfront.net/fba36a5d-0399-46de-a234-7cf7ddf70383.jpeg", "Владимир Чугунов: Ссылка на изображение")</f>
        <v>Владимир Чугунов: Ссылка на изображение</v>
      </c>
      <c r="BR572" t="str">
        <f>HYPERLINK("https://d33htgqikc2pj4.cloudfront.net/1715a75e-3e9c-4f10-82af-79900efe1e0b.jpeg", "Владимир Чугунов: Ссылка на изображение")</f>
        <v>Владимир Чугунов: Ссылка на изображение</v>
      </c>
      <c r="BS572" t="str">
        <f>HYPERLINK("https://d33htgqikc2pj4.cloudfront.net/182b4da1-4388-4ae5-b383-2f73dda1d8e8.jpeg", "Владимир Чугунов: Ссылка на изображение")</f>
        <v>Владимир Чугунов: Ссылка на изображение</v>
      </c>
      <c r="BT572" t="str">
        <f>HYPERLINK("https://d33htgqikc2pj4.cloudfront.net/d800fc33-65ec-4003-aca3-84f56f9caec5.jpeg", "Владимир Чугунов: Ссылка на изображение")</f>
        <v>Владимир Чугунов: Ссылка на изображение</v>
      </c>
      <c r="BU572" t="str">
        <f>HYPERLINK("https://d33htgqikc2pj4.cloudfront.net/6f2a32bc-31e1-4f84-8f60-6612b4ba7428.jpeg", "Владимир Чугунов: Ссылка на изображение")</f>
        <v>Владимир Чугунов: Ссылка на изображение</v>
      </c>
    </row>
    <row r="573" spans="1:74" ht="15" customHeight="1" x14ac:dyDescent="0.35">
      <c r="A573">
        <v>407</v>
      </c>
      <c r="B573" t="s">
        <v>4290</v>
      </c>
      <c r="C573">
        <v>2</v>
      </c>
      <c r="D573" t="str">
        <f>VLOOKUP(source[[#This Row],[Приоритет]],тПриоритеты[],2,0)</f>
        <v>Значительное</v>
      </c>
      <c r="E5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3" t="s">
        <v>2273</v>
      </c>
      <c r="G573" t="s">
        <v>395</v>
      </c>
      <c r="H573" t="str">
        <f>VLOOKUP(source[[#This Row],[Отвественный]],тОтветственные[],2,0)</f>
        <v>Отв19</v>
      </c>
      <c r="I573" s="2">
        <v>43707</v>
      </c>
      <c r="J573" s="2">
        <v>43707</v>
      </c>
      <c r="K573" t="s">
        <v>104</v>
      </c>
      <c r="L573">
        <v>0</v>
      </c>
      <c r="M573">
        <v>0</v>
      </c>
      <c r="N573" t="s">
        <v>105</v>
      </c>
      <c r="Q573" t="s">
        <v>106</v>
      </c>
      <c r="R573" t="str">
        <f>HYPERLINK("https://d28ji4sm1vmprj.cloudfront.net/e7a526a7220c3bc5cfeeb407c455c0b3/580ffb055aff8ee0c88c6e676cfba776.jpeg", "Ссылка на план")</f>
        <v>Ссылка на план</v>
      </c>
      <c r="S573" s="1">
        <v>43707.637696759259</v>
      </c>
      <c r="T573" s="1">
        <v>43707.638136574074</v>
      </c>
      <c r="U573" s="1">
        <v>43707.638993055552</v>
      </c>
      <c r="W573" s="1">
        <v>43707.639004629629</v>
      </c>
      <c r="X573" t="s">
        <v>406</v>
      </c>
      <c r="AA573" t="s">
        <v>4291</v>
      </c>
      <c r="AB573" t="s">
        <v>4292</v>
      </c>
      <c r="AC573" t="s">
        <v>4293</v>
      </c>
      <c r="AD573" t="s">
        <v>4294</v>
      </c>
      <c r="AE573" t="s">
        <v>4295</v>
      </c>
      <c r="AF573" t="s">
        <v>4296</v>
      </c>
      <c r="AG573" t="s">
        <v>4297</v>
      </c>
      <c r="BF573" t="s">
        <v>4298</v>
      </c>
      <c r="BG573" t="s">
        <v>853</v>
      </c>
      <c r="BH573" t="s">
        <v>114</v>
      </c>
      <c r="BI573" t="str">
        <f>HYPERLINK("https://d33htgqikc2pj4.cloudfront.net/ed3e3956-91ad-4fd2-809c-a5dce7f19fcd.jpeg", "Владимир Чугунов: Ссылка на изображение")</f>
        <v>Владимир Чугунов: Ссылка на изображение</v>
      </c>
      <c r="BJ573" t="str">
        <f>HYPERLINK("https://d33htgqikc2pj4.cloudfront.net/4ac63826-5dfb-4cb5-93db-a2db24d7abfc.jpeg", "Владимир Чугунов: Ссылка на изображение")</f>
        <v>Владимир Чугунов: Ссылка на изображение</v>
      </c>
      <c r="BK573" t="str">
        <f>HYPERLINK("https://d33htgqikc2pj4.cloudfront.net/1d6d3abb-aaca-4c60-9123-5f25d2bdde9b.jpeg", "Владимир Чугунов: Ссылка на изображение")</f>
        <v>Владимир Чугунов: Ссылка на изображение</v>
      </c>
      <c r="BL573" t="str">
        <f>HYPERLINK("https://d33htgqikc2pj4.cloudfront.net/881c6df4-6d0a-4850-8d14-93ee9a61ae94.jpeg", "Владимир Чугунов: Ссылка на изображение")</f>
        <v>Владимир Чугунов: Ссылка на изображение</v>
      </c>
      <c r="BM573" t="str">
        <f>HYPERLINK("https://d33htgqikc2pj4.cloudfront.net/2fc41f9b-42ab-4fe8-94c7-b4defeb5392d.jpeg", "Владимир Чугунов: Ссылка на изображение")</f>
        <v>Владимир Чугунов: Ссылка на изображение</v>
      </c>
      <c r="BN573" t="str">
        <f>HYPERLINK("https://d33htgqikc2pj4.cloudfront.net/2fe4b801-695d-40ce-961f-584662a0442d.jpeg", "Владимир Чугунов: Ссылка на изображение")</f>
        <v>Владимир Чугунов: Ссылка на изображение</v>
      </c>
      <c r="BO573" t="str">
        <f>HYPERLINK("https://d33htgqikc2pj4.cloudfront.net/f2e9c85d-99b3-462c-a159-53e0131f4610.jpeg", "Владимир Чугунов: Ссылка на изображение")</f>
        <v>Владимир Чугунов: Ссылка на изображение</v>
      </c>
      <c r="BP573" t="s">
        <v>127</v>
      </c>
      <c r="BQ573" t="s">
        <v>102</v>
      </c>
    </row>
    <row r="574" spans="1:74" ht="15" customHeight="1" x14ac:dyDescent="0.35">
      <c r="A574">
        <v>515</v>
      </c>
      <c r="B574" t="s">
        <v>4299</v>
      </c>
      <c r="C574">
        <v>2</v>
      </c>
      <c r="D574" t="str">
        <f>VLOOKUP(source[[#This Row],[Приоритет]],тПриоритеты[],2,0)</f>
        <v>Значительное</v>
      </c>
      <c r="E5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4" t="s">
        <v>2273</v>
      </c>
      <c r="G574" t="s">
        <v>395</v>
      </c>
      <c r="H574" t="str">
        <f>VLOOKUP(source[[#This Row],[Отвественный]],тОтветственные[],2,0)</f>
        <v>Отв19</v>
      </c>
      <c r="I574" s="2">
        <v>43731</v>
      </c>
      <c r="J574" s="2">
        <v>43731</v>
      </c>
      <c r="K574" t="s">
        <v>104</v>
      </c>
      <c r="L574">
        <v>0</v>
      </c>
      <c r="M574">
        <v>0</v>
      </c>
      <c r="N574" t="s">
        <v>105</v>
      </c>
      <c r="Q574" t="s">
        <v>106</v>
      </c>
      <c r="R574" t="str">
        <f>HYPERLINK("https://d28ji4sm1vmprj.cloudfront.net/e7a526a7220c3bc5cfeeb407c455c0b3/580ffb055aff8ee0c88c6e676cfba776.jpeg", "Ссылка на план")</f>
        <v>Ссылка на план</v>
      </c>
      <c r="S574" s="1">
        <v>43731.622314814813</v>
      </c>
      <c r="T574" s="1">
        <v>43731.622349537036</v>
      </c>
      <c r="U574" s="1">
        <v>43731.623495370368</v>
      </c>
      <c r="W574" s="1">
        <v>43731.623506944445</v>
      </c>
      <c r="X574" t="s">
        <v>406</v>
      </c>
      <c r="AA574" t="s">
        <v>4300</v>
      </c>
      <c r="AB574" t="s">
        <v>4301</v>
      </c>
      <c r="AC574" t="s">
        <v>4302</v>
      </c>
      <c r="AD574" t="s">
        <v>4303</v>
      </c>
      <c r="AE574" t="s">
        <v>4304</v>
      </c>
      <c r="AF574" t="s">
        <v>4305</v>
      </c>
      <c r="AG574" t="s">
        <v>4306</v>
      </c>
      <c r="BF574" t="s">
        <v>114</v>
      </c>
      <c r="BG574" t="s">
        <v>4307</v>
      </c>
      <c r="BH574" t="s">
        <v>844</v>
      </c>
      <c r="BI574" t="str">
        <f>HYPERLINK("https://d33htgqikc2pj4.cloudfront.net/3f6015f0-5ec1-43d3-8b0b-6170f1417c24.jpeg", "Владимир Чугунов: Ссылка на изображение")</f>
        <v>Владимир Чугунов: Ссылка на изображение</v>
      </c>
      <c r="BJ574" t="str">
        <f>HYPERLINK("https://d33htgqikc2pj4.cloudfront.net/f40eb7f2-ea65-44f9-ab7a-d24f7c5d7119.jpeg", "Владимир Чугунов: Ссылка на изображение")</f>
        <v>Владимир Чугунов: Ссылка на изображение</v>
      </c>
      <c r="BK574" t="str">
        <f>HYPERLINK("https://d33htgqikc2pj4.cloudfront.net/4331f315-7459-4472-a09f-33d316bf8157.jpeg", "Владимир Чугунов: Ссылка на изображение")</f>
        <v>Владимир Чугунов: Ссылка на изображение</v>
      </c>
      <c r="BL574" t="str">
        <f>HYPERLINK("https://d33htgqikc2pj4.cloudfront.net/081933b3-81bf-4604-85c6-5a28ece85431.jpeg", "Владимир Чугунов: Ссылка на изображение")</f>
        <v>Владимир Чугунов: Ссылка на изображение</v>
      </c>
      <c r="BM574" t="str">
        <f>HYPERLINK("https://d33htgqikc2pj4.cloudfront.net/fb90c272-6eb2-4421-8156-43e5e2d8497e.jpeg", "Владимир Чугунов: Ссылка на изображение")</f>
        <v>Владимир Чугунов: Ссылка на изображение</v>
      </c>
      <c r="BN574" t="str">
        <f>HYPERLINK("https://d33htgqikc2pj4.cloudfront.net/03f16f86-e752-417a-be40-09c5829e3405.jpeg", "Владимир Чугунов: Ссылка на изображение")</f>
        <v>Владимир Чугунов: Ссылка на изображение</v>
      </c>
      <c r="BO574" t="s">
        <v>102</v>
      </c>
    </row>
    <row r="575" spans="1:74" ht="15" customHeight="1" x14ac:dyDescent="0.35">
      <c r="A575">
        <v>534</v>
      </c>
      <c r="B575" t="s">
        <v>4308</v>
      </c>
      <c r="C575">
        <v>2</v>
      </c>
      <c r="D575" t="str">
        <f>VLOOKUP(source[[#This Row],[Приоритет]],тПриоритеты[],2,0)</f>
        <v>Значительное</v>
      </c>
      <c r="E5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5" t="s">
        <v>2273</v>
      </c>
      <c r="G575" t="s">
        <v>395</v>
      </c>
      <c r="H575" t="str">
        <f>VLOOKUP(source[[#This Row],[Отвественный]],тОтветственные[],2,0)</f>
        <v>Отв19</v>
      </c>
      <c r="I575" s="2">
        <v>43733</v>
      </c>
      <c r="J575" s="2">
        <v>43733</v>
      </c>
      <c r="K575" t="s">
        <v>104</v>
      </c>
      <c r="L575">
        <v>0</v>
      </c>
      <c r="M575">
        <v>0</v>
      </c>
      <c r="N575" t="s">
        <v>105</v>
      </c>
      <c r="Q575" t="s">
        <v>106</v>
      </c>
      <c r="R575" t="str">
        <f>HYPERLINK("https://d28ji4sm1vmprj.cloudfront.net/e7a526a7220c3bc5cfeeb407c455c0b3/580ffb055aff8ee0c88c6e676cfba776.jpeg", "Ссылка на план")</f>
        <v>Ссылка на план</v>
      </c>
      <c r="S575" s="1">
        <v>43733.704560185186</v>
      </c>
      <c r="T575" s="1">
        <v>43733.704976851855</v>
      </c>
      <c r="U575" s="1">
        <v>43733.705451388887</v>
      </c>
      <c r="W575" s="1">
        <v>43733.705462962964</v>
      </c>
      <c r="X575" t="s">
        <v>406</v>
      </c>
      <c r="AA575" t="s">
        <v>4309</v>
      </c>
      <c r="AB575" t="s">
        <v>4310</v>
      </c>
      <c r="AC575" t="s">
        <v>4311</v>
      </c>
      <c r="AD575" t="s">
        <v>4312</v>
      </c>
      <c r="AE575" t="s">
        <v>4313</v>
      </c>
      <c r="AF575" t="s">
        <v>4314</v>
      </c>
      <c r="AG575" t="s">
        <v>4315</v>
      </c>
      <c r="BF575" t="s">
        <v>4316</v>
      </c>
      <c r="BG575" t="s">
        <v>897</v>
      </c>
      <c r="BH575" t="s">
        <v>114</v>
      </c>
      <c r="BI575" t="str">
        <f>HYPERLINK("https://d33htgqikc2pj4.cloudfront.net/642c255f-400b-46f5-9001-fdb1ecb3a947.jpeg", "Владимир Чугунов: Ссылка на изображение")</f>
        <v>Владимир Чугунов: Ссылка на изображение</v>
      </c>
      <c r="BJ575" t="str">
        <f>HYPERLINK("https://d33htgqikc2pj4.cloudfront.net/fcdde678-b5cf-4b0a-86d9-451daf85dbfc.jpeg", "Владимир Чугунов: Ссылка на изображение")</f>
        <v>Владимир Чугунов: Ссылка на изображение</v>
      </c>
      <c r="BK575" t="str">
        <f>HYPERLINK("https://d33htgqikc2pj4.cloudfront.net/fb556609-81ab-412b-a4ee-b9949621f82b.jpeg", "Владимир Чугунов: Ссылка на изображение")</f>
        <v>Владимир Чугунов: Ссылка на изображение</v>
      </c>
      <c r="BL575" t="str">
        <f>HYPERLINK("https://d33htgqikc2pj4.cloudfront.net/cf8b4dc6-1e93-4024-9a30-0840d626b449.jpeg", "Владимир Чугунов: Ссылка на изображение")</f>
        <v>Владимир Чугунов: Ссылка на изображение</v>
      </c>
      <c r="BM575" t="str">
        <f>HYPERLINK("https://d33htgqikc2pj4.cloudfront.net/da58261b-6ac7-4897-9216-34b91b388ff0.jpeg", "Владимир Чугунов: Ссылка на изображение")</f>
        <v>Владимир Чугунов: Ссылка на изображение</v>
      </c>
      <c r="BN575" t="str">
        <f>HYPERLINK("https://d33htgqikc2pj4.cloudfront.net/42bc3a99-77ea-4695-a2da-b61a044b5a0f.jpeg", "Владимир Чугунов: Ссылка на изображение")</f>
        <v>Владимир Чугунов: Ссылка на изображение</v>
      </c>
      <c r="BO575" t="s">
        <v>102</v>
      </c>
    </row>
    <row r="576" spans="1:74" ht="15" customHeight="1" x14ac:dyDescent="0.35">
      <c r="A576">
        <v>424</v>
      </c>
      <c r="B576" t="s">
        <v>4317</v>
      </c>
      <c r="C576">
        <v>2</v>
      </c>
      <c r="D576" t="str">
        <f>VLOOKUP(source[[#This Row],[Приоритет]],тПриоритеты[],2,0)</f>
        <v>Значительное</v>
      </c>
      <c r="E5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6" t="s">
        <v>2273</v>
      </c>
      <c r="G576" t="s">
        <v>395</v>
      </c>
      <c r="H576" t="str">
        <f>VLOOKUP(source[[#This Row],[Отвественный]],тОтветственные[],2,0)</f>
        <v>Отв19</v>
      </c>
      <c r="I576" s="2">
        <v>43711</v>
      </c>
      <c r="J576" s="2">
        <v>43711</v>
      </c>
      <c r="K576" t="s">
        <v>104</v>
      </c>
      <c r="L576">
        <v>0</v>
      </c>
      <c r="M576">
        <v>0</v>
      </c>
      <c r="N576" t="s">
        <v>105</v>
      </c>
      <c r="Q576" t="s">
        <v>106</v>
      </c>
      <c r="R576" t="str">
        <f>HYPERLINK("https://d28ji4sm1vmprj.cloudfront.net/e7a526a7220c3bc5cfeeb407c455c0b3/580ffb055aff8ee0c88c6e676cfba776.jpeg", "Ссылка на план")</f>
        <v>Ссылка на план</v>
      </c>
      <c r="S576" s="1">
        <v>43711.604224537034</v>
      </c>
      <c r="T576" s="1">
        <v>43711.604259259257</v>
      </c>
      <c r="U576" s="1">
        <v>43711.606273148151</v>
      </c>
      <c r="W576" s="1">
        <v>43711.606307870374</v>
      </c>
      <c r="X576" t="s">
        <v>406</v>
      </c>
      <c r="AA576" t="s">
        <v>4318</v>
      </c>
      <c r="AB576" t="s">
        <v>4319</v>
      </c>
      <c r="AC576" t="s">
        <v>4320</v>
      </c>
      <c r="AD576" t="s">
        <v>4321</v>
      </c>
      <c r="AE576" t="s">
        <v>4322</v>
      </c>
      <c r="AF576" t="s">
        <v>4323</v>
      </c>
      <c r="AG576" t="s">
        <v>4324</v>
      </c>
      <c r="BF576" t="s">
        <v>114</v>
      </c>
      <c r="BG576" t="s">
        <v>4325</v>
      </c>
      <c r="BH576" t="s">
        <v>906</v>
      </c>
      <c r="BI576" t="str">
        <f>HYPERLINK("https://d33htgqikc2pj4.cloudfront.net/b628f6c4-d3b8-4634-89eb-0f2bc8033700.jpeg", "Владимир Чугунов: Ссылка на изображение")</f>
        <v>Владимир Чугунов: Ссылка на изображение</v>
      </c>
      <c r="BJ576" t="str">
        <f>HYPERLINK("https://d33htgqikc2pj4.cloudfront.net/90247953-074b-4801-9f71-e2bceae089f1.jpeg", "Владимир Чугунов: Ссылка на изображение")</f>
        <v>Владимир Чугунов: Ссылка на изображение</v>
      </c>
      <c r="BK576" t="str">
        <f>HYPERLINK("https://d33htgqikc2pj4.cloudfront.net/eb1948f0-d038-4831-a089-a417471bfb55.jpeg", "Владимир Чугунов: Ссылка на изображение")</f>
        <v>Владимир Чугунов: Ссылка на изображение</v>
      </c>
      <c r="BL576" t="str">
        <f>HYPERLINK("https://d33htgqikc2pj4.cloudfront.net/3d48bdbe-ddc4-4914-9a0f-41a1510b4492.jpeg", "Владимир Чугунов: Ссылка на изображение")</f>
        <v>Владимир Чугунов: Ссылка на изображение</v>
      </c>
      <c r="BM576" t="str">
        <f>HYPERLINK("https://d33htgqikc2pj4.cloudfront.net/e87a6fdf-1228-4fe5-9530-b849f38c1f10.jpeg", "Владимир Чугунов: Ссылка на изображение")</f>
        <v>Владимир Чугунов: Ссылка на изображение</v>
      </c>
      <c r="BN576" t="str">
        <f>HYPERLINK("https://d33htgqikc2pj4.cloudfront.net/e7694a94-026e-465b-976e-d945874f6391.jpeg", "Владимир Чугунов: Ссылка на изображение")</f>
        <v>Владимир Чугунов: Ссылка на изображение</v>
      </c>
      <c r="BO576" t="str">
        <f>HYPERLINK("https://d33htgqikc2pj4.cloudfront.net/b64cc96d-247d-4775-bfff-f12f44e5abad.jpeg", "Владимир Чугунов: Ссылка на изображение")</f>
        <v>Владимир Чугунов: Ссылка на изображение</v>
      </c>
      <c r="BP576" t="str">
        <f>HYPERLINK("https://d33htgqikc2pj4.cloudfront.net/c262a430-bac4-4d66-9858-345fa801c426.jpeg", "Владимир Чугунов: Ссылка на изображение")</f>
        <v>Владимир Чугунов: Ссылка на изображение</v>
      </c>
      <c r="BQ576" t="str">
        <f>HYPERLINK("https://d33htgqikc2pj4.cloudfront.net/28dd60ac-9a4e-4c81-93fb-8de436bc109a.jpeg", "Владимир Чугунов: Ссылка на изображение")</f>
        <v>Владимир Чугунов: Ссылка на изображение</v>
      </c>
      <c r="BR576" t="str">
        <f>HYPERLINK("https://d33htgqikc2pj4.cloudfront.net/d9e894a7-4835-4a77-8402-cb49edde295f.jpeg", "Владимир Чугунов: Ссылка на изображение")</f>
        <v>Владимир Чугунов: Ссылка на изображение</v>
      </c>
      <c r="BS576" t="str">
        <f>HYPERLINK("https://d33htgqikc2pj4.cloudfront.net/21a88d46-7d8f-4b4e-9a1b-4ed5fd0ca756.jpeg", "Владимир Чугунов: Ссылка на изображение")</f>
        <v>Владимир Чугунов: Ссылка на изображение</v>
      </c>
      <c r="BT576" t="s">
        <v>102</v>
      </c>
    </row>
    <row r="577" spans="1:77" ht="15" customHeight="1" x14ac:dyDescent="0.35">
      <c r="A577">
        <v>541</v>
      </c>
      <c r="B577" t="s">
        <v>4326</v>
      </c>
      <c r="C577">
        <v>2</v>
      </c>
      <c r="D577" t="str">
        <f>VLOOKUP(source[[#This Row],[Приоритет]],тПриоритеты[],2,0)</f>
        <v>Значительное</v>
      </c>
      <c r="E5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7" t="s">
        <v>2273</v>
      </c>
      <c r="G577" t="s">
        <v>395</v>
      </c>
      <c r="H577" t="str">
        <f>VLOOKUP(source[[#This Row],[Отвественный]],тОтветственные[],2,0)</f>
        <v>Отв19</v>
      </c>
      <c r="I577" s="2">
        <v>43734</v>
      </c>
      <c r="J577" s="2">
        <v>43734</v>
      </c>
      <c r="K577" t="s">
        <v>158</v>
      </c>
      <c r="L577">
        <v>0</v>
      </c>
      <c r="M577">
        <v>0</v>
      </c>
      <c r="N577" t="s">
        <v>195</v>
      </c>
      <c r="Q577" t="s">
        <v>124</v>
      </c>
      <c r="R577" t="str">
        <f>HYPERLINK("https://d28ji4sm1vmprj.cloudfront.net/09622a2bb466dfd1cdfb85ce6a712a4c/080b534903fe5ecae6d56f3611cbeb01.jpeg", "Ссылка на план")</f>
        <v>Ссылка на план</v>
      </c>
      <c r="S577" s="1">
        <v>43734.77952546296</v>
      </c>
      <c r="T577" s="1">
        <v>43734.779594907406</v>
      </c>
      <c r="U577" s="1">
        <v>43734.781111111108</v>
      </c>
      <c r="W577" s="1">
        <v>43734.781122685185</v>
      </c>
      <c r="X577" t="s">
        <v>406</v>
      </c>
      <c r="AA577" t="s">
        <v>4327</v>
      </c>
      <c r="AB577" t="s">
        <v>4328</v>
      </c>
      <c r="AC577" t="s">
        <v>4329</v>
      </c>
      <c r="AD577" t="s">
        <v>4330</v>
      </c>
      <c r="AE577" t="s">
        <v>4331</v>
      </c>
      <c r="AF577" t="s">
        <v>4332</v>
      </c>
      <c r="AG577" t="s">
        <v>4333</v>
      </c>
      <c r="BF577" t="s">
        <v>114</v>
      </c>
      <c r="BG577" t="s">
        <v>4334</v>
      </c>
      <c r="BH577" t="s">
        <v>879</v>
      </c>
      <c r="BI577" t="str">
        <f>HYPERLINK("https://d33htgqikc2pj4.cloudfront.net/dea84473-84d9-4a93-b26b-c62d242a3e5a.jpeg", "Владимир Чугунов: Ссылка на изображение")</f>
        <v>Владимир Чугунов: Ссылка на изображение</v>
      </c>
      <c r="BJ577" t="str">
        <f>HYPERLINK("https://d33htgqikc2pj4.cloudfront.net/4a197b09-8d48-459d-95e3-dd30501326a7.jpeg", "Владимир Чугунов: Ссылка на изображение")</f>
        <v>Владимир Чугунов: Ссылка на изображение</v>
      </c>
      <c r="BK577" t="s">
        <v>102</v>
      </c>
    </row>
    <row r="578" spans="1:77" ht="15" customHeight="1" x14ac:dyDescent="0.35">
      <c r="A578">
        <v>545</v>
      </c>
      <c r="B578" t="s">
        <v>4335</v>
      </c>
      <c r="C578">
        <v>2</v>
      </c>
      <c r="D578" t="str">
        <f>VLOOKUP(source[[#This Row],[Приоритет]],тПриоритеты[],2,0)</f>
        <v>Значительное</v>
      </c>
      <c r="E5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8" t="s">
        <v>2273</v>
      </c>
      <c r="G578" t="s">
        <v>395</v>
      </c>
      <c r="H578" t="str">
        <f>VLOOKUP(source[[#This Row],[Отвественный]],тОтветственные[],2,0)</f>
        <v>Отв19</v>
      </c>
      <c r="I578" s="2">
        <v>43735</v>
      </c>
      <c r="J578" s="2">
        <v>43735</v>
      </c>
      <c r="K578" t="s">
        <v>104</v>
      </c>
      <c r="L578">
        <v>0</v>
      </c>
      <c r="M578">
        <v>0</v>
      </c>
      <c r="N578" t="s">
        <v>105</v>
      </c>
      <c r="Q578" t="s">
        <v>106</v>
      </c>
      <c r="R578" t="str">
        <f>HYPERLINK("https://d28ji4sm1vmprj.cloudfront.net/e7a526a7220c3bc5cfeeb407c455c0b3/580ffb055aff8ee0c88c6e676cfba776.jpeg", "Ссылка на план")</f>
        <v>Ссылка на план</v>
      </c>
      <c r="S578" s="1">
        <v>43735.652951388889</v>
      </c>
      <c r="T578" s="1">
        <v>43735.653252314813</v>
      </c>
      <c r="U578" s="1">
        <v>43735.653784722221</v>
      </c>
      <c r="W578" s="1">
        <v>43735.653784722221</v>
      </c>
      <c r="BF578" t="s">
        <v>4336</v>
      </c>
      <c r="BG578" t="s">
        <v>114</v>
      </c>
      <c r="BH578" t="s">
        <v>4337</v>
      </c>
      <c r="BI578" t="str">
        <f>HYPERLINK("https://d33htgqikc2pj4.cloudfront.net/0a509ca2-cb74-419d-b5a2-f9e5f295ad9c.jpeg", "Владимир Чугунов: Ссылка на изображение")</f>
        <v>Владимир Чугунов: Ссылка на изображение</v>
      </c>
      <c r="BJ578" t="str">
        <f>HYPERLINK("https://d33htgqikc2pj4.cloudfront.net/8ad5acad-146a-4ce7-9e2d-bf76c66fd424.jpeg", "Владимир Чугунов: Ссылка на изображение")</f>
        <v>Владимир Чугунов: Ссылка на изображение</v>
      </c>
      <c r="BK578" t="str">
        <f>HYPERLINK("https://d33htgqikc2pj4.cloudfront.net/97dc7a18-4288-464d-810f-1773f2a25945.jpeg", "Владимир Чугунов: Ссылка на изображение")</f>
        <v>Владимир Чугунов: Ссылка на изображение</v>
      </c>
      <c r="BL578" t="str">
        <f>HYPERLINK("https://d33htgqikc2pj4.cloudfront.net/8644146e-0bb1-43ed-b58d-60093689e743.jpeg", "Владимир Чугунов: Ссылка на изображение")</f>
        <v>Владимир Чугунов: Ссылка на изображение</v>
      </c>
      <c r="BM578" t="str">
        <f>HYPERLINK("https://d33htgqikc2pj4.cloudfront.net/4d768afd-556c-4e80-b784-1f4d65e3ce85.jpeg", "Владимир Чугунов: Ссылка на изображение")</f>
        <v>Владимир Чугунов: Ссылка на изображение</v>
      </c>
      <c r="BN578" t="str">
        <f>HYPERLINK("https://d33htgqikc2pj4.cloudfront.net/917d5479-a67d-4368-8da0-873e5fdaf126.jpeg", "Владимир Чугунов: Ссылка на изображение")</f>
        <v>Владимир Чугунов: Ссылка на изображение</v>
      </c>
      <c r="BO578" t="str">
        <f>HYPERLINK("https://d33htgqikc2pj4.cloudfront.net/f8e17ae5-9787-4dd7-b6cd-efd99f025b62.jpeg", "Владимир Чугунов: Ссылка на изображение")</f>
        <v>Владимир Чугунов: Ссылка на изображение</v>
      </c>
      <c r="BP578" t="str">
        <f>HYPERLINK("https://d33htgqikc2pj4.cloudfront.net/a249e62e-a0a3-44d1-af71-9413dd9df712.jpeg", "Владимир Чугунов: Ссылка на изображение")</f>
        <v>Владимир Чугунов: Ссылка на изображение</v>
      </c>
      <c r="BQ578" t="s">
        <v>102</v>
      </c>
    </row>
    <row r="579" spans="1:77" ht="15" customHeight="1" x14ac:dyDescent="0.35">
      <c r="A579">
        <v>430</v>
      </c>
      <c r="B579" t="s">
        <v>4338</v>
      </c>
      <c r="C579">
        <v>2</v>
      </c>
      <c r="D579" t="str">
        <f>VLOOKUP(source[[#This Row],[Приоритет]],тПриоритеты[],2,0)</f>
        <v>Значительное</v>
      </c>
      <c r="E57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79" t="s">
        <v>2273</v>
      </c>
      <c r="G579" t="s">
        <v>395</v>
      </c>
      <c r="H579" t="str">
        <f>VLOOKUP(source[[#This Row],[Отвественный]],тОтветственные[],2,0)</f>
        <v>Отв19</v>
      </c>
      <c r="I579" s="2">
        <v>43713</v>
      </c>
      <c r="J579" s="2">
        <v>43713</v>
      </c>
      <c r="K579" t="s">
        <v>375</v>
      </c>
      <c r="L579">
        <v>0</v>
      </c>
      <c r="M579">
        <v>0</v>
      </c>
      <c r="N579" t="s">
        <v>159</v>
      </c>
      <c r="Q579" t="s">
        <v>106</v>
      </c>
      <c r="R579" t="str">
        <f>HYPERLINK("https://d28ji4sm1vmprj.cloudfront.net/3e7bd1b1c8123e07928556a95537ec96/b6f4ea1a4c385def2ded1a2b1779c1a4.jpeg", "Ссылка на план")</f>
        <v>Ссылка на план</v>
      </c>
      <c r="S579" s="1">
        <v>43713.443888888891</v>
      </c>
      <c r="T579" s="1">
        <v>43713.443935185183</v>
      </c>
      <c r="U579" s="1">
        <v>43713.447511574072</v>
      </c>
      <c r="W579" s="1">
        <v>43713.447523148148</v>
      </c>
      <c r="X579" t="s">
        <v>2764</v>
      </c>
      <c r="AA579" t="s">
        <v>4339</v>
      </c>
      <c r="AB579" t="s">
        <v>4340</v>
      </c>
      <c r="AC579" t="s">
        <v>4341</v>
      </c>
      <c r="AD579" t="s">
        <v>4342</v>
      </c>
      <c r="AE579" t="s">
        <v>4343</v>
      </c>
      <c r="AF579" t="s">
        <v>4344</v>
      </c>
      <c r="AG579" t="s">
        <v>4345</v>
      </c>
      <c r="BF579" t="s">
        <v>114</v>
      </c>
      <c r="BG579" t="s">
        <v>4346</v>
      </c>
      <c r="BH579" t="s">
        <v>4347</v>
      </c>
      <c r="BI579" t="s">
        <v>4348</v>
      </c>
      <c r="BJ579" t="str">
        <f>HYPERLINK("https://d33htgqikc2pj4.cloudfront.net/f43cd04c-0192-4c85-835b-9a8681f93758.jpeg", "Владимир Чугунов: Ссылка на изображение")</f>
        <v>Владимир Чугунов: Ссылка на изображение</v>
      </c>
      <c r="BK579" t="str">
        <f>HYPERLINK("https://d33htgqikc2pj4.cloudfront.net/2aa96a9c-1d05-4d3d-92e4-0b3a99c3f3a8.jpeg", "Владимир Чугунов: Ссылка на изображение")</f>
        <v>Владимир Чугунов: Ссылка на изображение</v>
      </c>
      <c r="BL579" t="str">
        <f>HYPERLINK("https://d33htgqikc2pj4.cloudfront.net/3a508370-27fb-4df6-b8e5-34f797a089c6.jpeg", "Владимир Чугунов: Ссылка на изображение")</f>
        <v>Владимир Чугунов: Ссылка на изображение</v>
      </c>
      <c r="BM579" t="str">
        <f>HYPERLINK("https://d33htgqikc2pj4.cloudfront.net/78d4c6a1-da7a-4e1f-bdd3-d204da20ff76.jpeg", "Владимир Чугунов: Ссылка на изображение")</f>
        <v>Владимир Чугунов: Ссылка на изображение</v>
      </c>
      <c r="BN579" t="str">
        <f>HYPERLINK("https://d33htgqikc2pj4.cloudfront.net/8007760b-9d54-4399-b642-1a732ae86794.jpeg", "Владимир Чугунов: Ссылка на изображение")</f>
        <v>Владимир Чугунов: Ссылка на изображение</v>
      </c>
      <c r="BO579" t="str">
        <f>HYPERLINK("https://d33htgqikc2pj4.cloudfront.net/e68534c4-7094-4b1b-b69f-dddb86901e65.jpeg", "Владимир Чугунов: Ссылка на изображение")</f>
        <v>Владимир Чугунов: Ссылка на изображение</v>
      </c>
      <c r="BP579" t="str">
        <f>HYPERLINK("https://d33htgqikc2pj4.cloudfront.net/9ef726d0-8c38-4b0b-8b48-3669ceb86f5b.jpeg", "Владимир Чугунов: Ссылка на изображение")</f>
        <v>Владимир Чугунов: Ссылка на изображение</v>
      </c>
      <c r="BQ579" t="str">
        <f>HYPERLINK("https://d33htgqikc2pj4.cloudfront.net/3ddabe42-489e-4b4d-ae98-af3fa7f421f5.jpeg", "Владимир Чугунов: Ссылка на изображение")</f>
        <v>Владимир Чугунов: Ссылка на изображение</v>
      </c>
      <c r="BR579" t="str">
        <f>HYPERLINK("https://d33htgqikc2pj4.cloudfront.net/adadaedf-086e-4f05-b1e5-435fa98811c9.jpeg", "Владимир Чугунов: Ссылка на изображение")</f>
        <v>Владимир Чугунов: Ссылка на изображение</v>
      </c>
      <c r="BS579" t="str">
        <f>HYPERLINK("https://d33htgqikc2pj4.cloudfront.net/0e8faf7b-6228-49fb-802e-ec90171e7789.jpeg", "Владимир Чугунов: Ссылка на изображение")</f>
        <v>Владимир Чугунов: Ссылка на изображение</v>
      </c>
      <c r="BT579" t="str">
        <f>HYPERLINK("https://d33htgqikc2pj4.cloudfront.net/620d7729-2810-41d3-a760-49e1983dc49f.jpeg", "Владимир Чугунов: Ссылка на изображение")</f>
        <v>Владимир Чугунов: Ссылка на изображение</v>
      </c>
      <c r="BU579" t="str">
        <f>HYPERLINK("https://d33htgqikc2pj4.cloudfront.net/7e62c955-7cfb-4ca7-8f7a-eb4d0053d345.jpeg", "Владимир Чугунов: Ссылка на изображение")</f>
        <v>Владимир Чугунов: Ссылка на изображение</v>
      </c>
      <c r="BV579" t="str">
        <f>HYPERLINK("https://d33htgqikc2pj4.cloudfront.net/8097ab48-4e33-47c2-9930-8ae94f5c143f.jpeg", "Владимир Чугунов: Ссылка на изображение")</f>
        <v>Владимир Чугунов: Ссылка на изображение</v>
      </c>
      <c r="BW579" t="str">
        <f>HYPERLINK("https://d33htgqikc2pj4.cloudfront.net/19d6ae67-83bd-4b2a-87c4-6c33427741c1.jpeg", "Владимир Чугунов: Ссылка на изображение")</f>
        <v>Владимир Чугунов: Ссылка на изображение</v>
      </c>
      <c r="BX579" t="str">
        <f>HYPERLINK("https://d33htgqikc2pj4.cloudfront.net/24354df5-4795-49e5-92c2-5cfb39fb4f04.jpeg", "Владимир Чугунов: Ссылка на изображение")</f>
        <v>Владимир Чугунов: Ссылка на изображение</v>
      </c>
      <c r="BY579" t="s">
        <v>102</v>
      </c>
    </row>
    <row r="580" spans="1:77" ht="15" customHeight="1" x14ac:dyDescent="0.35">
      <c r="A580">
        <v>808</v>
      </c>
      <c r="B580" t="s">
        <v>4349</v>
      </c>
      <c r="C580">
        <v>2</v>
      </c>
      <c r="D580" t="str">
        <f>VLOOKUP(source[[#This Row],[Приоритет]],тПриоритеты[],2,0)</f>
        <v>Значительное</v>
      </c>
      <c r="E5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0" t="s">
        <v>2273</v>
      </c>
      <c r="G580" t="s">
        <v>395</v>
      </c>
      <c r="H580" t="str">
        <f>VLOOKUP(source[[#This Row],[Отвественный]],тОтветственные[],2,0)</f>
        <v>Отв19</v>
      </c>
      <c r="I580" s="2">
        <v>43821</v>
      </c>
      <c r="J580" s="2">
        <v>43821</v>
      </c>
      <c r="K580" t="s">
        <v>122</v>
      </c>
      <c r="L580">
        <v>0</v>
      </c>
      <c r="M580">
        <v>0</v>
      </c>
      <c r="N580" t="s">
        <v>419</v>
      </c>
      <c r="Q580" t="s">
        <v>124</v>
      </c>
      <c r="R580" t="str">
        <f>HYPERLINK("https://d28ji4sm1vmprj.cloudfront.net/78b1fbd1c87eb90dac050448d7e72c8d/a7fb9bbb452cbb899c601a0b8b67fd7d.jpeg", "Ссылка на план")</f>
        <v>Ссылка на план</v>
      </c>
      <c r="S580" s="1">
        <v>43821.413634259261</v>
      </c>
      <c r="T580" s="1">
        <v>43821.41375</v>
      </c>
      <c r="U580" s="1">
        <v>43821.415439814817</v>
      </c>
      <c r="W580" s="1">
        <v>43821.415451388886</v>
      </c>
      <c r="X580" t="s">
        <v>406</v>
      </c>
      <c r="AA580" t="s">
        <v>4350</v>
      </c>
      <c r="AB580" t="s">
        <v>4351</v>
      </c>
      <c r="AC580" t="s">
        <v>4352</v>
      </c>
      <c r="AD580" t="s">
        <v>4353</v>
      </c>
      <c r="AE580" t="s">
        <v>4354</v>
      </c>
      <c r="AF580" t="s">
        <v>4355</v>
      </c>
      <c r="AG580" t="s">
        <v>4356</v>
      </c>
      <c r="BF580" t="s">
        <v>114</v>
      </c>
      <c r="BG580" t="s">
        <v>4357</v>
      </c>
      <c r="BH580" t="s">
        <v>964</v>
      </c>
      <c r="BI580" t="str">
        <f>HYPERLINK("https://d33htgqikc2pj4.cloudfront.net/8cff9d2e-904d-4f69-9478-6d2ebf21e481.jpeg", "Владимир Чугунов: Ссылка на изображение")</f>
        <v>Владимир Чугунов: Ссылка на изображение</v>
      </c>
      <c r="BJ580" t="str">
        <f>HYPERLINK("https://d33htgqikc2pj4.cloudfront.net/836ce503-409d-4df8-a347-8d72a6f06f3f.jpeg", "Владимир Чугунов: Ссылка на изображение")</f>
        <v>Владимир Чугунов: Ссылка на изображение</v>
      </c>
      <c r="BK580" t="str">
        <f>HYPERLINK("https://d33htgqikc2pj4.cloudfront.net/c5467384-c229-4605-8e87-995fc407238e.jpeg", "Владимир Чугунов: Ссылка на изображение")</f>
        <v>Владимир Чугунов: Ссылка на изображение</v>
      </c>
      <c r="BL580" t="s">
        <v>102</v>
      </c>
    </row>
    <row r="581" spans="1:77" ht="15" customHeight="1" x14ac:dyDescent="0.35">
      <c r="A581">
        <v>557</v>
      </c>
      <c r="B581" t="s">
        <v>4358</v>
      </c>
      <c r="C581">
        <v>2</v>
      </c>
      <c r="D581" t="str">
        <f>VLOOKUP(source[[#This Row],[Приоритет]],тПриоритеты[],2,0)</f>
        <v>Значительное</v>
      </c>
      <c r="E5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1" t="s">
        <v>2273</v>
      </c>
      <c r="G581" t="s">
        <v>395</v>
      </c>
      <c r="H581" t="str">
        <f>VLOOKUP(source[[#This Row],[Отвественный]],тОтветственные[],2,0)</f>
        <v>Отв19</v>
      </c>
      <c r="I581" s="2">
        <v>43738</v>
      </c>
      <c r="J581" s="2">
        <v>43738</v>
      </c>
      <c r="K581" t="s">
        <v>104</v>
      </c>
      <c r="L581">
        <v>0</v>
      </c>
      <c r="M581">
        <v>0</v>
      </c>
      <c r="N581" t="s">
        <v>105</v>
      </c>
      <c r="Q581" t="s">
        <v>106</v>
      </c>
      <c r="R581" t="str">
        <f>HYPERLINK("https://d28ji4sm1vmprj.cloudfront.net/e7a526a7220c3bc5cfeeb407c455c0b3/580ffb055aff8ee0c88c6e676cfba776.jpeg", "Ссылка на план")</f>
        <v>Ссылка на план</v>
      </c>
      <c r="S581" s="1">
        <v>43738.721053240741</v>
      </c>
      <c r="T581" s="1">
        <v>43738.721932870372</v>
      </c>
      <c r="U581" s="1">
        <v>43738.722997685189</v>
      </c>
      <c r="W581" s="1">
        <v>43738.723009259258</v>
      </c>
      <c r="X581" t="s">
        <v>406</v>
      </c>
      <c r="AA581" t="s">
        <v>4359</v>
      </c>
      <c r="AB581" t="s">
        <v>4360</v>
      </c>
      <c r="AC581" t="s">
        <v>4361</v>
      </c>
      <c r="AD581" t="s">
        <v>4362</v>
      </c>
      <c r="AE581" t="s">
        <v>4363</v>
      </c>
      <c r="AF581" t="s">
        <v>4364</v>
      </c>
      <c r="AG581" t="s">
        <v>4365</v>
      </c>
      <c r="BF581" t="s">
        <v>4366</v>
      </c>
      <c r="BG581" t="s">
        <v>4367</v>
      </c>
      <c r="BH581" t="s">
        <v>944</v>
      </c>
      <c r="BI581" t="s">
        <v>114</v>
      </c>
      <c r="BJ581" t="str">
        <f>HYPERLINK("https://d33htgqikc2pj4.cloudfront.net/e5814549-6361-4105-8606-f60e7e01c172.jpeg", "Владимир Чугунов: Ссылка на изображение")</f>
        <v>Владимир Чугунов: Ссылка на изображение</v>
      </c>
      <c r="BK581" t="str">
        <f>HYPERLINK("https://d33htgqikc2pj4.cloudfront.net/2907fdfd-90c6-4a83-9ce6-d8af664bc535.jpeg", "Владимир Чугунов: Ссылка на изображение")</f>
        <v>Владимир Чугунов: Ссылка на изображение</v>
      </c>
      <c r="BL581" t="str">
        <f>HYPERLINK("https://d33htgqikc2pj4.cloudfront.net/fb9406e4-d03d-4930-aca5-c9bf7d92757b.jpeg", "Владимир Чугунов: Ссылка на изображение")</f>
        <v>Владимир Чугунов: Ссылка на изображение</v>
      </c>
      <c r="BM581" t="str">
        <f>HYPERLINK("https://d33htgqikc2pj4.cloudfront.net/2394a2c4-c436-45c0-8ba2-e69e030b5032.jpeg", "Владимир Чугунов: Ссылка на изображение")</f>
        <v>Владимир Чугунов: Ссылка на изображение</v>
      </c>
      <c r="BN581" t="str">
        <f>HYPERLINK("https://d33htgqikc2pj4.cloudfront.net/c2745c78-5c50-457c-967c-853f1cd15dbe.jpeg", "Владимир Чугунов: Ссылка на изображение")</f>
        <v>Владимир Чугунов: Ссылка на изображение</v>
      </c>
      <c r="BO581" t="str">
        <f>HYPERLINK("https://d33htgqikc2pj4.cloudfront.net/1a53a0e7-9658-4f67-9d70-acafa554ecdd.jpeg", "Владимир Чугунов: Ссылка на изображение")</f>
        <v>Владимир Чугунов: Ссылка на изображение</v>
      </c>
      <c r="BP581" t="s">
        <v>102</v>
      </c>
    </row>
    <row r="582" spans="1:77" ht="15" customHeight="1" x14ac:dyDescent="0.35">
      <c r="A582">
        <v>450</v>
      </c>
      <c r="B582" t="s">
        <v>4368</v>
      </c>
      <c r="C582">
        <v>2</v>
      </c>
      <c r="D582" t="str">
        <f>VLOOKUP(source[[#This Row],[Приоритет]],тПриоритеты[],2,0)</f>
        <v>Значительное</v>
      </c>
      <c r="E5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2" t="s">
        <v>2273</v>
      </c>
      <c r="G582" t="s">
        <v>395</v>
      </c>
      <c r="H582" t="str">
        <f>VLOOKUP(source[[#This Row],[Отвественный]],тОтветственные[],2,0)</f>
        <v>Отв19</v>
      </c>
      <c r="I582" s="2">
        <v>43717</v>
      </c>
      <c r="J582" s="2">
        <v>43717</v>
      </c>
      <c r="K582" t="s">
        <v>104</v>
      </c>
      <c r="L582">
        <v>0</v>
      </c>
      <c r="M582">
        <v>0</v>
      </c>
      <c r="N582" t="s">
        <v>105</v>
      </c>
      <c r="Q582" t="s">
        <v>106</v>
      </c>
      <c r="R582" t="str">
        <f>HYPERLINK("https://d28ji4sm1vmprj.cloudfront.net/e7a526a7220c3bc5cfeeb407c455c0b3/580ffb055aff8ee0c88c6e676cfba776.jpeg", "Ссылка на план")</f>
        <v>Ссылка на план</v>
      </c>
      <c r="S582" s="1">
        <v>43717.397673611114</v>
      </c>
      <c r="T582" s="1">
        <v>43717.39770833333</v>
      </c>
      <c r="U582" s="1">
        <v>43717.39916666667</v>
      </c>
      <c r="W582" s="1">
        <v>43717.39916666667</v>
      </c>
      <c r="BF582" t="s">
        <v>114</v>
      </c>
      <c r="BG582" t="s">
        <v>4369</v>
      </c>
      <c r="BH582" t="s">
        <v>953</v>
      </c>
      <c r="BI582" t="str">
        <f>HYPERLINK("https://d33htgqikc2pj4.cloudfront.net/baedc5ce-a46e-42d0-b892-1603685cf17d.jpeg", "Владимир Чугунов: Ссылка на изображение")</f>
        <v>Владимир Чугунов: Ссылка на изображение</v>
      </c>
      <c r="BJ582" t="str">
        <f>HYPERLINK("https://d33htgqikc2pj4.cloudfront.net/a07d14b9-d6b5-4d22-b5c8-7408ff5d5450.jpeg", "Владимир Чугунов: Ссылка на изображение")</f>
        <v>Владимир Чугунов: Ссылка на изображение</v>
      </c>
      <c r="BK582" t="str">
        <f>HYPERLINK("https://d33htgqikc2pj4.cloudfront.net/c8274728-a7d9-4deb-8b1c-a0216bea9374.jpeg", "Владимир Чугунов: Ссылка на изображение")</f>
        <v>Владимир Чугунов: Ссылка на изображение</v>
      </c>
      <c r="BL582" t="str">
        <f>HYPERLINK("https://d33htgqikc2pj4.cloudfront.net/23381669-bc4b-4586-a585-065262d490e1.jpeg", "Владимир Чугунов: Ссылка на изображение")</f>
        <v>Владимир Чугунов: Ссылка на изображение</v>
      </c>
      <c r="BM582" t="str">
        <f>HYPERLINK("https://d33htgqikc2pj4.cloudfront.net/51ac598d-d5e9-4711-8ddd-ce960fd3afdf.jpeg", "Владимир Чугунов: Ссылка на изображение")</f>
        <v>Владимир Чугунов: Ссылка на изображение</v>
      </c>
      <c r="BN582" t="str">
        <f>HYPERLINK("https://d33htgqikc2pj4.cloudfront.net/98fded3b-cde3-4c3f-a628-b9c542e0f2b5.jpeg", "Владимир Чугунов: Ссылка на изображение")</f>
        <v>Владимир Чугунов: Ссылка на изображение</v>
      </c>
      <c r="BO582" t="str">
        <f>HYPERLINK("https://d33htgqikc2pj4.cloudfront.net/8fede656-9fe6-4517-9e49-917066ea77b1.jpeg", "Владимир Чугунов: Ссылка на изображение")</f>
        <v>Владимир Чугунов: Ссылка на изображение</v>
      </c>
      <c r="BP582" t="str">
        <f>HYPERLINK("https://d33htgqikc2pj4.cloudfront.net/a28c4704-9649-4abd-b18a-7d9cfb552b64.jpeg", "Владимир Чугунов: Ссылка на изображение")</f>
        <v>Владимир Чугунов: Ссылка на изображение</v>
      </c>
      <c r="BQ582" t="s">
        <v>102</v>
      </c>
    </row>
    <row r="583" spans="1:77" ht="15" customHeight="1" x14ac:dyDescent="0.35">
      <c r="A583">
        <v>456</v>
      </c>
      <c r="B583" t="s">
        <v>4370</v>
      </c>
      <c r="C583">
        <v>2</v>
      </c>
      <c r="D583" t="str">
        <f>VLOOKUP(source[[#This Row],[Приоритет]],тПриоритеты[],2,0)</f>
        <v>Значительное</v>
      </c>
      <c r="E5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3" t="s">
        <v>2273</v>
      </c>
      <c r="G583" t="s">
        <v>395</v>
      </c>
      <c r="H583" t="str">
        <f>VLOOKUP(source[[#This Row],[Отвественный]],тОтветственные[],2,0)</f>
        <v>Отв19</v>
      </c>
      <c r="I583" s="2">
        <v>43718</v>
      </c>
      <c r="J583" s="2">
        <v>43718</v>
      </c>
      <c r="K583" t="s">
        <v>104</v>
      </c>
      <c r="L583">
        <v>0</v>
      </c>
      <c r="M583">
        <v>0</v>
      </c>
      <c r="N583" t="s">
        <v>105</v>
      </c>
      <c r="Q583" t="s">
        <v>106</v>
      </c>
      <c r="R583" t="str">
        <f>HYPERLINK("https://d28ji4sm1vmprj.cloudfront.net/e7a526a7220c3bc5cfeeb407c455c0b3/580ffb055aff8ee0c88c6e676cfba776.jpeg", "Ссылка на план")</f>
        <v>Ссылка на план</v>
      </c>
      <c r="S583" s="1">
        <v>43718.624895833331</v>
      </c>
      <c r="T583" s="1">
        <v>43718.624930555554</v>
      </c>
      <c r="U583" s="1">
        <v>43718.626030092593</v>
      </c>
      <c r="W583" s="1">
        <v>43718.62605324074</v>
      </c>
      <c r="X583" t="s">
        <v>406</v>
      </c>
      <c r="AA583" t="s">
        <v>4371</v>
      </c>
      <c r="AB583" t="s">
        <v>4372</v>
      </c>
      <c r="AC583" t="s">
        <v>4373</v>
      </c>
      <c r="AD583" t="s">
        <v>4374</v>
      </c>
      <c r="AE583" t="s">
        <v>4375</v>
      </c>
      <c r="AF583" t="s">
        <v>4376</v>
      </c>
      <c r="AG583" t="s">
        <v>4377</v>
      </c>
      <c r="BF583" t="s">
        <v>114</v>
      </c>
      <c r="BG583" t="s">
        <v>4378</v>
      </c>
      <c r="BH583" t="s">
        <v>979</v>
      </c>
      <c r="BI583" t="str">
        <f>HYPERLINK("https://d33htgqikc2pj4.cloudfront.net/f241d7dd-35dc-42b4-b4fc-730a690e4735.jpeg", "Владимир Чугунов: Ссылка на изображение")</f>
        <v>Владимир Чугунов: Ссылка на изображение</v>
      </c>
      <c r="BJ583" t="str">
        <f>HYPERLINK("https://d33htgqikc2pj4.cloudfront.net/fe339faa-65d3-4672-b658-5d2aec5e77da.jpeg", "Владимир Чугунов: Ссылка на изображение")</f>
        <v>Владимир Чугунов: Ссылка на изображение</v>
      </c>
      <c r="BK583" t="str">
        <f>HYPERLINK("https://d33htgqikc2pj4.cloudfront.net/9881a358-73aa-4b7d-9b82-9118fa97b72b.jpeg", "Владимир Чугунов: Ссылка на изображение")</f>
        <v>Владимир Чугунов: Ссылка на изображение</v>
      </c>
      <c r="BL583" t="str">
        <f>HYPERLINK("https://d33htgqikc2pj4.cloudfront.net/2e837269-3bd9-4d42-937b-ed332383eaa9.jpeg", "Владимир Чугунов: Ссылка на изображение")</f>
        <v>Владимир Чугунов: Ссылка на изображение</v>
      </c>
      <c r="BM583" t="str">
        <f>HYPERLINK("https://d33htgqikc2pj4.cloudfront.net/f902e2d9-11d7-458b-9d66-ef227cd0c54e.jpeg", "Владимир Чугунов: Ссылка на изображение")</f>
        <v>Владимир Чугунов: Ссылка на изображение</v>
      </c>
      <c r="BN583" t="str">
        <f>HYPERLINK("https://d33htgqikc2pj4.cloudfront.net/505c330a-a1cd-49af-8865-d6418d96b7ec.jpeg", "Владимир Чугунов: Ссылка на изображение")</f>
        <v>Владимир Чугунов: Ссылка на изображение</v>
      </c>
      <c r="BO583" t="str">
        <f>HYPERLINK("https://d33htgqikc2pj4.cloudfront.net/909e4daa-c9df-445a-a879-e09c10c9b77a.jpeg", "Владимир Чугунов: Ссылка на изображение")</f>
        <v>Владимир Чугунов: Ссылка на изображение</v>
      </c>
      <c r="BP583" t="str">
        <f>HYPERLINK("https://d33htgqikc2pj4.cloudfront.net/b33ce500-9478-4e2a-952f-33e5e416db0d.jpeg", "Владимир Чугунов: Ссылка на изображение")</f>
        <v>Владимир Чугунов: Ссылка на изображение</v>
      </c>
      <c r="BQ583" t="s">
        <v>102</v>
      </c>
      <c r="BR583" t="s">
        <v>102</v>
      </c>
      <c r="BS583" t="s">
        <v>102</v>
      </c>
      <c r="BT583" t="s">
        <v>102</v>
      </c>
    </row>
    <row r="584" spans="1:77" ht="15" customHeight="1" x14ac:dyDescent="0.35">
      <c r="A584">
        <v>810</v>
      </c>
      <c r="B584" t="s">
        <v>4379</v>
      </c>
      <c r="C584">
        <v>2</v>
      </c>
      <c r="D584" t="str">
        <f>VLOOKUP(source[[#This Row],[Приоритет]],тПриоритеты[],2,0)</f>
        <v>Значительное</v>
      </c>
      <c r="E5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4" t="s">
        <v>2273</v>
      </c>
      <c r="G584" t="s">
        <v>395</v>
      </c>
      <c r="H584" t="str">
        <f>VLOOKUP(source[[#This Row],[Отвественный]],тОтветственные[],2,0)</f>
        <v>Отв19</v>
      </c>
      <c r="I584" s="2">
        <v>43821</v>
      </c>
      <c r="J584" s="2">
        <v>43821</v>
      </c>
      <c r="K584" t="s">
        <v>323</v>
      </c>
      <c r="L584">
        <v>0</v>
      </c>
      <c r="M584">
        <v>0</v>
      </c>
      <c r="N584" t="s">
        <v>324</v>
      </c>
      <c r="Q584" t="s">
        <v>106</v>
      </c>
      <c r="R584" t="str">
        <f>HYPERLINK("https://d28ji4sm1vmprj.cloudfront.net/b9f0a3730bff318b29d61a045df19870/45ac0b590edfdc108d4a2e6d8918b5e0.jpeg", "Ссылка на план")</f>
        <v>Ссылка на план</v>
      </c>
      <c r="S584" s="1">
        <v>43821.607997685183</v>
      </c>
      <c r="T584" s="1">
        <v>43821.6096412037</v>
      </c>
      <c r="U584" s="1">
        <v>43821.610277777778</v>
      </c>
      <c r="W584" s="1">
        <v>43821.610300925924</v>
      </c>
      <c r="X584" t="s">
        <v>2510</v>
      </c>
      <c r="AA584" t="s">
        <v>4380</v>
      </c>
      <c r="AB584" t="s">
        <v>4381</v>
      </c>
      <c r="AC584" t="s">
        <v>4382</v>
      </c>
      <c r="AD584" t="s">
        <v>4383</v>
      </c>
      <c r="AE584" t="s">
        <v>4384</v>
      </c>
      <c r="AF584" t="s">
        <v>4385</v>
      </c>
      <c r="AG584" t="s">
        <v>4386</v>
      </c>
      <c r="AH584" t="s">
        <v>4387</v>
      </c>
      <c r="AI584" t="s">
        <v>4388</v>
      </c>
      <c r="BF584" t="s">
        <v>4389</v>
      </c>
      <c r="BG584" t="s">
        <v>964</v>
      </c>
      <c r="BH584" t="s">
        <v>114</v>
      </c>
      <c r="BI584" t="str">
        <f>HYPERLINK("https://d33htgqikc2pj4.cloudfront.net/a9e1a363-f791-402b-a705-a5b3e1ef77d6.jpeg", "Владимир Чугунов: Ссылка на изображение")</f>
        <v>Владимир Чугунов: Ссылка на изображение</v>
      </c>
      <c r="BJ584" t="s">
        <v>102</v>
      </c>
      <c r="BK584" t="str">
        <f>HYPERLINK("https://d33htgqikc2pj4.cloudfront.net/ebaae1f5-e0c5-4441-a306-6092506daabb.jpeg", "Владимир Чугунов: Ссылка на изображение")</f>
        <v>Владимир Чугунов: Ссылка на изображение</v>
      </c>
    </row>
    <row r="585" spans="1:77" ht="15" customHeight="1" x14ac:dyDescent="0.35">
      <c r="A585">
        <v>570</v>
      </c>
      <c r="B585" t="s">
        <v>4390</v>
      </c>
      <c r="C585">
        <v>2</v>
      </c>
      <c r="D585" t="str">
        <f>VLOOKUP(source[[#This Row],[Приоритет]],тПриоритеты[],2,0)</f>
        <v>Значительное</v>
      </c>
      <c r="E5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5" t="s">
        <v>2273</v>
      </c>
      <c r="G585" t="s">
        <v>395</v>
      </c>
      <c r="H585" t="str">
        <f>VLOOKUP(source[[#This Row],[Отвественный]],тОтветственные[],2,0)</f>
        <v>Отв19</v>
      </c>
      <c r="I585" s="2">
        <v>43742</v>
      </c>
      <c r="J585" s="2">
        <v>43742</v>
      </c>
      <c r="K585" t="s">
        <v>104</v>
      </c>
      <c r="L585">
        <v>0</v>
      </c>
      <c r="M585">
        <v>0</v>
      </c>
      <c r="N585" t="s">
        <v>105</v>
      </c>
      <c r="Q585" t="s">
        <v>106</v>
      </c>
      <c r="R585" t="str">
        <f>HYPERLINK("https://d28ji4sm1vmprj.cloudfront.net/e7a526a7220c3bc5cfeeb407c455c0b3/580ffb055aff8ee0c88c6e676cfba776.jpeg", "Ссылка на план")</f>
        <v>Ссылка на план</v>
      </c>
      <c r="S585" s="1">
        <v>43742.661886574075</v>
      </c>
      <c r="T585" s="1">
        <v>43742.662789351853</v>
      </c>
      <c r="U585" s="1">
        <v>43742.663773148146</v>
      </c>
      <c r="W585" s="1">
        <v>43742.663784722223</v>
      </c>
      <c r="X585" t="s">
        <v>406</v>
      </c>
      <c r="AA585" t="s">
        <v>4391</v>
      </c>
      <c r="AB585" t="s">
        <v>4392</v>
      </c>
      <c r="AC585" t="s">
        <v>4393</v>
      </c>
      <c r="AD585" t="s">
        <v>4394</v>
      </c>
      <c r="AE585" t="s">
        <v>4395</v>
      </c>
      <c r="AF585" t="s">
        <v>4396</v>
      </c>
      <c r="AG585" t="s">
        <v>4397</v>
      </c>
      <c r="BF585" t="s">
        <v>4398</v>
      </c>
      <c r="BG585" t="s">
        <v>997</v>
      </c>
      <c r="BH585" t="s">
        <v>114</v>
      </c>
      <c r="BI585" t="str">
        <f>HYPERLINK("https://d33htgqikc2pj4.cloudfront.net/9177166f-3248-41f3-a711-26cf8dc61d6f.jpeg", "Владимир Чугунов: Ссылка на изображение")</f>
        <v>Владимир Чугунов: Ссылка на изображение</v>
      </c>
      <c r="BJ585" t="str">
        <f>HYPERLINK("https://d33htgqikc2pj4.cloudfront.net/916dfe22-11dd-49e7-a80d-3251f2b8f4a5.jpeg", "Владимир Чугунов: Ссылка на изображение")</f>
        <v>Владимир Чугунов: Ссылка на изображение</v>
      </c>
      <c r="BK585" t="str">
        <f>HYPERLINK("https://d33htgqikc2pj4.cloudfront.net/05a895b6-9a7b-437b-a0fd-3d804de29bb2.jpeg", "Владимир Чугунов: Ссылка на изображение")</f>
        <v>Владимир Чугунов: Ссылка на изображение</v>
      </c>
      <c r="BL585" t="s">
        <v>102</v>
      </c>
    </row>
    <row r="586" spans="1:77" ht="15" customHeight="1" x14ac:dyDescent="0.35">
      <c r="A586">
        <v>732</v>
      </c>
      <c r="B586" t="s">
        <v>4399</v>
      </c>
      <c r="C586">
        <v>2</v>
      </c>
      <c r="D586" t="str">
        <f>VLOOKUP(source[[#This Row],[Приоритет]],тПриоритеты[],2,0)</f>
        <v>Значительное</v>
      </c>
      <c r="E5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6" t="s">
        <v>2273</v>
      </c>
      <c r="G586" t="s">
        <v>395</v>
      </c>
      <c r="H586" t="str">
        <f>VLOOKUP(source[[#This Row],[Отвественный]],тОтветственные[],2,0)</f>
        <v>Отв19</v>
      </c>
      <c r="I586" s="2">
        <v>43798</v>
      </c>
      <c r="J586" s="2">
        <v>43798</v>
      </c>
      <c r="K586" t="s">
        <v>158</v>
      </c>
      <c r="L586">
        <v>0</v>
      </c>
      <c r="M586">
        <v>0</v>
      </c>
      <c r="N586" t="s">
        <v>1010</v>
      </c>
      <c r="Q586" t="s">
        <v>124</v>
      </c>
      <c r="R586" t="str">
        <f>HYPERLINK("https://d28ji4sm1vmprj.cloudfront.net/09622a2bb466dfd1cdfb85ce6a712a4c/080b534903fe5ecae6d56f3611cbeb01.jpeg", "Ссылка на план")</f>
        <v>Ссылка на план</v>
      </c>
      <c r="S586" s="1">
        <v>43798.43953703704</v>
      </c>
      <c r="T586" s="1">
        <v>43798.439571759256</v>
      </c>
      <c r="U586" s="1">
        <v>43798.442152777781</v>
      </c>
      <c r="W586" s="1">
        <v>43798.442152777781</v>
      </c>
      <c r="X586" t="s">
        <v>1061</v>
      </c>
      <c r="AA586" t="s">
        <v>4400</v>
      </c>
      <c r="AB586" t="s">
        <v>4401</v>
      </c>
      <c r="AC586" t="s">
        <v>4402</v>
      </c>
      <c r="AD586" t="s">
        <v>4403</v>
      </c>
      <c r="AE586" t="s">
        <v>4404</v>
      </c>
      <c r="AF586" t="s">
        <v>4405</v>
      </c>
      <c r="AG586" t="s">
        <v>4406</v>
      </c>
      <c r="BF586" t="s">
        <v>114</v>
      </c>
      <c r="BG586" t="s">
        <v>4407</v>
      </c>
      <c r="BH586" t="s">
        <v>4408</v>
      </c>
      <c r="BI586" t="s">
        <v>1012</v>
      </c>
      <c r="BJ586" t="str">
        <f>HYPERLINK("https://d33htgqikc2pj4.cloudfront.net/9b5102cb-e1d8-4d02-b65a-d2f0510210f2.jpeg", "Владимир Чугунов: Ссылка на изображение")</f>
        <v>Владимир Чугунов: Ссылка на изображение</v>
      </c>
      <c r="BK586" t="str">
        <f>HYPERLINK("https://d33htgqikc2pj4.cloudfront.net/73b58392-4749-4bcd-bbee-3cfdbd24014d.jpeg", "Владимир Чугунов: Ссылка на изображение")</f>
        <v>Владимир Чугунов: Ссылка на изображение</v>
      </c>
      <c r="BL586" t="str">
        <f>HYPERLINK("https://d33htgqikc2pj4.cloudfront.net/69415978-e07b-406b-8bc7-3168ad52169c.jpeg", "Владимир Чугунов: Ссылка на изображение")</f>
        <v>Владимир Чугунов: Ссылка на изображение</v>
      </c>
      <c r="BM586" t="str">
        <f>HYPERLINK("https://d33htgqikc2pj4.cloudfront.net/5dba89fe-b69a-4b49-ab4c-8e14827f08b2.jpeg", "Владимир Чугунов: Ссылка на изображение")</f>
        <v>Владимир Чугунов: Ссылка на изображение</v>
      </c>
      <c r="BN586" t="str">
        <f>HYPERLINK("https://d33htgqikc2pj4.cloudfront.net/a3425e50-c7ee-4ac7-bd4d-62a18e4bc6fb.jpeg", "Владимир Чугунов: Ссылка на изображение")</f>
        <v>Владимир Чугунов: Ссылка на изображение</v>
      </c>
      <c r="BO586" t="str">
        <f>HYPERLINK("https://d33htgqikc2pj4.cloudfront.net/2da0a358-725a-49d2-9754-a9cf809f24a0.jpeg", "Владимир Чугунов: Ссылка на изображение")</f>
        <v>Владимир Чугунов: Ссылка на изображение</v>
      </c>
      <c r="BP586" t="str">
        <f>HYPERLINK("https://d33htgqikc2pj4.cloudfront.net/bd3655af-56d7-46cb-92dd-23afc04b8fc5.jpeg", "Владимир Чугунов: Ссылка на изображение")</f>
        <v>Владимир Чугунов: Ссылка на изображение</v>
      </c>
      <c r="BQ586" t="str">
        <f>HYPERLINK("https://d33htgqikc2pj4.cloudfront.net/6db9a7e0-cc7e-4577-91ae-75dd0d07a5a4.jpeg", "Владимир Чугунов: Ссылка на изображение")</f>
        <v>Владимир Чугунов: Ссылка на изображение</v>
      </c>
      <c r="BR586" t="s">
        <v>102</v>
      </c>
    </row>
    <row r="587" spans="1:77" ht="15" customHeight="1" x14ac:dyDescent="0.35">
      <c r="A587">
        <v>829</v>
      </c>
      <c r="B587" t="s">
        <v>4409</v>
      </c>
      <c r="C587">
        <v>2</v>
      </c>
      <c r="D587" t="str">
        <f>VLOOKUP(source[[#This Row],[Приоритет]],тПриоритеты[],2,0)</f>
        <v>Значительное</v>
      </c>
      <c r="E5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7" t="s">
        <v>2273</v>
      </c>
      <c r="G587" t="s">
        <v>395</v>
      </c>
      <c r="H587" t="str">
        <f>VLOOKUP(source[[#This Row],[Отвественный]],тОтветственные[],2,0)</f>
        <v>Отв19</v>
      </c>
      <c r="I587" s="2">
        <v>43822</v>
      </c>
      <c r="J587" s="2">
        <v>43822</v>
      </c>
      <c r="K587" t="s">
        <v>3372</v>
      </c>
      <c r="L587">
        <v>0</v>
      </c>
      <c r="M587">
        <v>0</v>
      </c>
      <c r="N587" t="s">
        <v>1010</v>
      </c>
      <c r="Q587" t="s">
        <v>3373</v>
      </c>
      <c r="R587" t="str">
        <f>HYPERLINK("https://d28ji4sm1vmprj.cloudfront.net/9fa1dbe619638fd76c5ea876a83ba583/0e82f2ec7ecacd943b5239eb2ce68a53.jpeg", "Ссылка на план")</f>
        <v>Ссылка на план</v>
      </c>
      <c r="S587" s="1">
        <v>43822.735532407409</v>
      </c>
      <c r="T587" s="1">
        <v>43822.731851851851</v>
      </c>
      <c r="U587" s="1">
        <v>43822.733715277776</v>
      </c>
      <c r="W587" s="1">
        <v>43822.735590277778</v>
      </c>
      <c r="X587" t="s">
        <v>1061</v>
      </c>
      <c r="AA587" t="s">
        <v>4410</v>
      </c>
      <c r="AB587" t="s">
        <v>4411</v>
      </c>
      <c r="AC587" t="s">
        <v>4412</v>
      </c>
      <c r="AD587" t="s">
        <v>4413</v>
      </c>
      <c r="AE587" t="s">
        <v>4414</v>
      </c>
      <c r="AF587" t="s">
        <v>4415</v>
      </c>
      <c r="AG587" t="s">
        <v>4416</v>
      </c>
      <c r="BF587" t="s">
        <v>4417</v>
      </c>
      <c r="BG587" t="s">
        <v>1008</v>
      </c>
      <c r="BH587" t="s">
        <v>114</v>
      </c>
      <c r="BI587" t="str">
        <f>HYPERLINK("https://d33htgqikc2pj4.cloudfront.net/a0ac9901-dc4f-419b-beb9-09b2f699ff81.jpeg", "Владимир Чугунов: Ссылка на изображение")</f>
        <v>Владимир Чугунов: Ссылка на изображение</v>
      </c>
      <c r="BJ587" t="str">
        <f>HYPERLINK("https://d33htgqikc2pj4.cloudfront.net/6d3ce31b-56fd-4acb-bfcc-9e2d34b30d56.jpeg", "Владимир Чугунов: Ссылка на изображение")</f>
        <v>Владимир Чугунов: Ссылка на изображение</v>
      </c>
      <c r="BK587" t="str">
        <f>HYPERLINK("https://d33htgqikc2pj4.cloudfront.net/9fc9341d-4506-43c1-b53c-07fdeccc6da0.jpeg", "Владимир Чугунов: Ссылка на изображение")</f>
        <v>Владимир Чугунов: Ссылка на изображение</v>
      </c>
      <c r="BL587" t="str">
        <f>HYPERLINK("https://d33htgqikc2pj4.cloudfront.net/c3d59ad6-e19b-46ec-be1c-d4b8558c5670.jpeg", "Владимир Чугунов: Ссылка на изображение")</f>
        <v>Владимир Чугунов: Ссылка на изображение</v>
      </c>
      <c r="BM587" t="str">
        <f>HYPERLINK("https://d33htgqikc2pj4.cloudfront.net/4d6b3797-294e-4a0e-b513-2ceb41978d0a.jpeg", "Владимир Чугунов: Ссылка на изображение")</f>
        <v>Владимир Чугунов: Ссылка на изображение</v>
      </c>
      <c r="BN587" t="str">
        <f>HYPERLINK("https://d33htgqikc2pj4.cloudfront.net/52684fd4-9716-4f1b-9f35-1a0d20f0c3a5.jpeg", "Владимир Чугунов: Ссылка на изображение")</f>
        <v>Владимир Чугунов: Ссылка на изображение</v>
      </c>
      <c r="BO587" t="str">
        <f>HYPERLINK("https://d33htgqikc2pj4.cloudfront.net/4a970968-2f1f-4bbe-b136-5cb5fa7da469.jpeg", "Владимир Чугунов: Ссылка на изображение")</f>
        <v>Владимир Чугунов: Ссылка на изображение</v>
      </c>
      <c r="BP587" t="str">
        <f>HYPERLINK("https://d33htgqikc2pj4.cloudfront.net/5db87413-ad06-4bc1-8c8f-4f76612d5596.jpeg", "Владимир Чугунов: Ссылка на изображение")</f>
        <v>Владимир Чугунов: Ссылка на изображение</v>
      </c>
      <c r="BQ587" t="s">
        <v>102</v>
      </c>
    </row>
    <row r="588" spans="1:77" ht="15" customHeight="1" x14ac:dyDescent="0.35">
      <c r="A588">
        <v>833</v>
      </c>
      <c r="B588" t="s">
        <v>4418</v>
      </c>
      <c r="C588">
        <v>2</v>
      </c>
      <c r="D588" t="str">
        <f>VLOOKUP(source[[#This Row],[Приоритет]],тПриоритеты[],2,0)</f>
        <v>Значительное</v>
      </c>
      <c r="E5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8" t="s">
        <v>2273</v>
      </c>
      <c r="G588" t="s">
        <v>395</v>
      </c>
      <c r="H588" t="str">
        <f>VLOOKUP(source[[#This Row],[Отвественный]],тОтветственные[],2,0)</f>
        <v>Отв19</v>
      </c>
      <c r="I588" s="2">
        <v>43823</v>
      </c>
      <c r="J588" s="2">
        <v>43823</v>
      </c>
      <c r="K588" t="s">
        <v>104</v>
      </c>
      <c r="L588">
        <v>0</v>
      </c>
      <c r="M588">
        <v>0</v>
      </c>
      <c r="N588" t="s">
        <v>396</v>
      </c>
      <c r="Q588" t="s">
        <v>106</v>
      </c>
      <c r="R588" t="str">
        <f>HYPERLINK("https://d28ji4sm1vmprj.cloudfront.net/e7a526a7220c3bc5cfeeb407c455c0b3/580ffb055aff8ee0c88c6e676cfba776.jpeg", "Ссылка на план")</f>
        <v>Ссылка на план</v>
      </c>
      <c r="S588" s="1">
        <v>43823.610324074078</v>
      </c>
      <c r="T588" s="1">
        <v>43823.608194444445</v>
      </c>
      <c r="U588" s="1">
        <v>43823.609131944446</v>
      </c>
      <c r="W588" s="1">
        <v>43823.610358796293</v>
      </c>
      <c r="X588" t="s">
        <v>406</v>
      </c>
      <c r="AA588" t="s">
        <v>4419</v>
      </c>
      <c r="AB588" t="s">
        <v>4420</v>
      </c>
      <c r="AC588" t="s">
        <v>4421</v>
      </c>
      <c r="AD588" t="s">
        <v>4422</v>
      </c>
      <c r="AE588" t="s">
        <v>4423</v>
      </c>
      <c r="AF588" t="s">
        <v>4424</v>
      </c>
      <c r="AG588" t="s">
        <v>4425</v>
      </c>
      <c r="BF588" t="s">
        <v>4426</v>
      </c>
      <c r="BG588" t="s">
        <v>398</v>
      </c>
      <c r="BH588" t="s">
        <v>114</v>
      </c>
      <c r="BI588" t="s">
        <v>3794</v>
      </c>
      <c r="BJ588" t="str">
        <f>HYPERLINK("https://d33htgqikc2pj4.cloudfront.net/d89cd054-c38f-474a-974f-5555e063f7f4.jpeg", "Владимир Чугунов: Ссылка на изображение")</f>
        <v>Владимир Чугунов: Ссылка на изображение</v>
      </c>
      <c r="BK588" t="str">
        <f>HYPERLINK("https://d33htgqikc2pj4.cloudfront.net/0e778973-040d-4067-a7b8-c63b5a27a46b.jpeg", "Владимир Чугунов: Ссылка на изображение")</f>
        <v>Владимир Чугунов: Ссылка на изображение</v>
      </c>
      <c r="BL588" t="str">
        <f>HYPERLINK("https://d33htgqikc2pj4.cloudfront.net/1a0712be-d50c-4b1b-9b19-69da028426df.jpeg", "Владимир Чугунов: Ссылка на изображение")</f>
        <v>Владимир Чугунов: Ссылка на изображение</v>
      </c>
      <c r="BM588" t="str">
        <f>HYPERLINK("https://d33htgqikc2pj4.cloudfront.net/07ef3ba9-e175-4c23-b27d-d4fca8f43f9e.jpeg", "Владимир Чугунов: Ссылка на изображение")</f>
        <v>Владимир Чугунов: Ссылка на изображение</v>
      </c>
      <c r="BN588" t="str">
        <f>HYPERLINK("https://d33htgqikc2pj4.cloudfront.net/10fa59ac-e2a5-44d7-b09c-1dd670b9c114.jpeg", "Владимир Чугунов: Ссылка на изображение")</f>
        <v>Владимир Чугунов: Ссылка на изображение</v>
      </c>
      <c r="BO588" t="str">
        <f>HYPERLINK("https://d33htgqikc2pj4.cloudfront.net/e8df38a3-46ae-40e4-a59b-1a1bc335fd4b.jpeg", "Владимир Чугунов: Ссылка на изображение")</f>
        <v>Владимир Чугунов: Ссылка на изображение</v>
      </c>
      <c r="BP588" t="str">
        <f>HYPERLINK("https://d33htgqikc2pj4.cloudfront.net/5cb8847b-17f6-4bfb-8696-7266560c6ad8.jpeg", "Владимир Чугунов: Ссылка на изображение")</f>
        <v>Владимир Чугунов: Ссылка на изображение</v>
      </c>
      <c r="BQ588" t="str">
        <f>HYPERLINK("https://d33htgqikc2pj4.cloudfront.net/74c20d93-fb20-421b-a107-317694637735.jpeg", "Владимир Чугунов: Ссылка на изображение")</f>
        <v>Владимир Чугунов: Ссылка на изображение</v>
      </c>
      <c r="BR588" t="str">
        <f>HYPERLINK("https://d33htgqikc2pj4.cloudfront.net/2072b2d6-e5db-4fa2-be30-1ba1868daf2f.jpeg", "Владимир Чугунов: Ссылка на изображение")</f>
        <v>Владимир Чугунов: Ссылка на изображение</v>
      </c>
      <c r="BS588" t="str">
        <f>HYPERLINK("https://d33htgqikc2pj4.cloudfront.net/3812da93-ad18-44c0-9ceb-88eef60d528c.jpeg", "Владимир Чугунов: Ссылка на изображение")</f>
        <v>Владимир Чугунов: Ссылка на изображение</v>
      </c>
      <c r="BT588" t="s">
        <v>102</v>
      </c>
    </row>
    <row r="589" spans="1:77" ht="15" customHeight="1" x14ac:dyDescent="0.35">
      <c r="A589">
        <v>658</v>
      </c>
      <c r="B589" t="s">
        <v>4427</v>
      </c>
      <c r="C589">
        <v>2</v>
      </c>
      <c r="D589" t="str">
        <f>VLOOKUP(source[[#This Row],[Приоритет]],тПриоритеты[],2,0)</f>
        <v>Значительное</v>
      </c>
      <c r="E5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89" t="s">
        <v>2273</v>
      </c>
      <c r="G589" t="s">
        <v>395</v>
      </c>
      <c r="H589" t="str">
        <f>VLOOKUP(source[[#This Row],[Отвественный]],тОтветственные[],2,0)</f>
        <v>Отв19</v>
      </c>
      <c r="I589" s="2">
        <v>43767</v>
      </c>
      <c r="J589" s="2">
        <v>43767</v>
      </c>
      <c r="K589" t="s">
        <v>104</v>
      </c>
      <c r="L589">
        <v>0</v>
      </c>
      <c r="M589">
        <v>0</v>
      </c>
      <c r="N589" t="s">
        <v>105</v>
      </c>
      <c r="Q589" t="s">
        <v>106</v>
      </c>
      <c r="R589" t="str">
        <f>HYPERLINK("https://d28ji4sm1vmprj.cloudfront.net/e7a526a7220c3bc5cfeeb407c455c0b3/580ffb055aff8ee0c88c6e676cfba776.jpeg", "Ссылка на план")</f>
        <v>Ссылка на план</v>
      </c>
      <c r="S589" s="1">
        <v>43767.615347222221</v>
      </c>
      <c r="T589" s="1">
        <v>43767.615856481483</v>
      </c>
      <c r="U589" s="1">
        <v>43767.617291666669</v>
      </c>
      <c r="W589" s="1">
        <v>43767.617303240739</v>
      </c>
      <c r="BF589" t="s">
        <v>4428</v>
      </c>
      <c r="BG589" t="s">
        <v>114</v>
      </c>
      <c r="BH589" t="s">
        <v>4429</v>
      </c>
      <c r="BI589" t="s">
        <v>4428</v>
      </c>
      <c r="BJ589" t="s">
        <v>1026</v>
      </c>
      <c r="BK589" t="str">
        <f>HYPERLINK("https://d33htgqikc2pj4.cloudfront.net/0f24ee5c-e080-4b51-85c9-e043d7669d76.jpeg", "Владимир Чугунов: Ссылка на изображение")</f>
        <v>Владимир Чугунов: Ссылка на изображение</v>
      </c>
      <c r="BL589" t="str">
        <f>HYPERLINK("https://d33htgqikc2pj4.cloudfront.net/5e463892-096a-44b4-9bc1-86384e4fd4d4.jpeg", "Владимир Чугунов: Ссылка на изображение")</f>
        <v>Владимир Чугунов: Ссылка на изображение</v>
      </c>
      <c r="BM589" t="str">
        <f>HYPERLINK("https://d33htgqikc2pj4.cloudfront.net/0a1d369e-afdf-4045-9cba-702314d243d3.jpeg", "Владимир Чугунов: Ссылка на изображение")</f>
        <v>Владимир Чугунов: Ссылка на изображение</v>
      </c>
      <c r="BN589" t="str">
        <f>HYPERLINK("https://d33htgqikc2pj4.cloudfront.net/1deea727-7769-4851-a440-f53580e7e010.jpeg", "Владимир Чугунов: Ссылка на изображение")</f>
        <v>Владимир Чугунов: Ссылка на изображение</v>
      </c>
      <c r="BO589" t="str">
        <f>HYPERLINK("https://d33htgqikc2pj4.cloudfront.net/07e07895-8129-49f2-802e-7406a5937362.jpeg", "Владимир Чугунов: Ссылка на изображение")</f>
        <v>Владимир Чугунов: Ссылка на изображение</v>
      </c>
      <c r="BP589" t="str">
        <f>HYPERLINK("https://d33htgqikc2pj4.cloudfront.net/f135eed2-4c97-4a3f-9b21-4ec3d0521555.jpeg", "Владимир Чугунов: Ссылка на изображение")</f>
        <v>Владимир Чугунов: Ссылка на изображение</v>
      </c>
      <c r="BQ589" t="str">
        <f>HYPERLINK("https://d33htgqikc2pj4.cloudfront.net/88e239a1-6f38-499c-8265-87f71827a7b7.jpeg", "Владимир Чугунов: Ссылка на изображение")</f>
        <v>Владимир Чугунов: Ссылка на изображение</v>
      </c>
      <c r="BR589" t="str">
        <f>HYPERLINK("https://d33htgqikc2pj4.cloudfront.net/426dfa17-9c1c-446e-a6e8-d6450c786919.jpeg", "Владимир Чугунов: Ссылка на изображение")</f>
        <v>Владимир Чугунов: Ссылка на изображение</v>
      </c>
      <c r="BS589" t="str">
        <f>HYPERLINK("https://d33htgqikc2pj4.cloudfront.net/5a419db9-51d2-438b-8512-9c39733f80a2.jpeg", "Владимир Чугунов: Ссылка на изображение")</f>
        <v>Владимир Чугунов: Ссылка на изображение</v>
      </c>
      <c r="BT589" t="s">
        <v>102</v>
      </c>
    </row>
    <row r="590" spans="1:77" ht="15" customHeight="1" x14ac:dyDescent="0.35">
      <c r="A590">
        <v>758</v>
      </c>
      <c r="B590" t="s">
        <v>4430</v>
      </c>
      <c r="C590">
        <v>2</v>
      </c>
      <c r="D590" t="str">
        <f>VLOOKUP(source[[#This Row],[Приоритет]],тПриоритеты[],2,0)</f>
        <v>Значительное</v>
      </c>
      <c r="E5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0" t="s">
        <v>2273</v>
      </c>
      <c r="G590" t="s">
        <v>395</v>
      </c>
      <c r="H590" t="str">
        <f>VLOOKUP(source[[#This Row],[Отвественный]],тОтветственные[],2,0)</f>
        <v>Отв19</v>
      </c>
      <c r="I590" s="2">
        <v>43805</v>
      </c>
      <c r="J590" s="2">
        <v>43805</v>
      </c>
      <c r="K590" t="s">
        <v>955</v>
      </c>
      <c r="L590">
        <v>0</v>
      </c>
      <c r="M590">
        <v>0</v>
      </c>
      <c r="N590" t="s">
        <v>2470</v>
      </c>
      <c r="R590" t="str">
        <f>HYPERLINK("https://d28ji4sm1vmprj.cloudfront.net/7b317170271f5a7204d7ab299c9b70f6/7d105e941831ee74b817bf0b9136a752.jpeg", "Ссылка на план")</f>
        <v>Ссылка на план</v>
      </c>
      <c r="S590" s="1">
        <v>43805.91065972222</v>
      </c>
      <c r="T590" s="1">
        <v>43805.911597222221</v>
      </c>
      <c r="U590" s="1">
        <v>43805.912499999999</v>
      </c>
      <c r="W590" s="1">
        <v>43805.912511574075</v>
      </c>
      <c r="X590" t="s">
        <v>2534</v>
      </c>
      <c r="AA590" t="s">
        <v>4431</v>
      </c>
      <c r="AB590" t="s">
        <v>4432</v>
      </c>
      <c r="AC590" t="s">
        <v>4433</v>
      </c>
      <c r="AD590" t="s">
        <v>4434</v>
      </c>
      <c r="AE590" t="s">
        <v>4435</v>
      </c>
      <c r="AF590" t="s">
        <v>4436</v>
      </c>
      <c r="AG590" t="s">
        <v>4437</v>
      </c>
      <c r="AH590" t="s">
        <v>4438</v>
      </c>
      <c r="AI590" t="s">
        <v>4439</v>
      </c>
      <c r="AJ590" t="s">
        <v>4440</v>
      </c>
      <c r="BF590" t="s">
        <v>4441</v>
      </c>
      <c r="BG590" t="s">
        <v>4442</v>
      </c>
      <c r="BH590" t="s">
        <v>114</v>
      </c>
      <c r="BI590" t="str">
        <f>HYPERLINK("https://d33htgqikc2pj4.cloudfront.net/e94cf79f-4348-4d70-9357-ad9ea0a22c99.jpeg", "Владимир Чугунов: Ссылка на изображение")</f>
        <v>Владимир Чугунов: Ссылка на изображение</v>
      </c>
      <c r="BJ590" t="str">
        <f>HYPERLINK("https://d33htgqikc2pj4.cloudfront.net/11b221fe-d8f8-4f94-809f-970a975a8cfe.jpeg", "Владимир Чугунов: Ссылка на изображение")</f>
        <v>Владимир Чугунов: Ссылка на изображение</v>
      </c>
      <c r="BK590" t="str">
        <f>HYPERLINK("https://d33htgqikc2pj4.cloudfront.net/751b5c96-5b0b-43b9-a631-edf87f0e558d.jpeg", "Владимир Чугунов: Ссылка на изображение")</f>
        <v>Владимир Чугунов: Ссылка на изображение</v>
      </c>
      <c r="BL590" t="s">
        <v>102</v>
      </c>
    </row>
    <row r="591" spans="1:77" ht="15" customHeight="1" x14ac:dyDescent="0.35">
      <c r="A591">
        <v>773</v>
      </c>
      <c r="B591" t="s">
        <v>1057</v>
      </c>
      <c r="C591">
        <v>2</v>
      </c>
      <c r="D591" t="str">
        <f>VLOOKUP(source[[#This Row],[Приоритет]],тПриоритеты[],2,0)</f>
        <v>Значительное</v>
      </c>
      <c r="E5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1" t="s">
        <v>2273</v>
      </c>
      <c r="G591" t="s">
        <v>395</v>
      </c>
      <c r="H591" t="str">
        <f>VLOOKUP(source[[#This Row],[Отвественный]],тОтветственные[],2,0)</f>
        <v>Отв19</v>
      </c>
      <c r="I591" s="2">
        <v>43812</v>
      </c>
      <c r="J591" s="2">
        <v>43812</v>
      </c>
      <c r="K591" t="s">
        <v>1058</v>
      </c>
      <c r="L591">
        <v>0</v>
      </c>
      <c r="M591">
        <v>0</v>
      </c>
      <c r="N591" t="s">
        <v>1059</v>
      </c>
      <c r="Q591" t="s">
        <v>124</v>
      </c>
      <c r="R591" t="str">
        <f>HYPERLINK("https://d28ji4sm1vmprj.cloudfront.net/36167089e08e1ee401f4f57d88869b74/9a4ef6d7d17215a7139533e84371548c.jpeg", "Ссылка на план")</f>
        <v>Ссылка на план</v>
      </c>
      <c r="S591" s="1">
        <v>43812.595856481479</v>
      </c>
      <c r="T591" s="1">
        <v>43812.595902777779</v>
      </c>
      <c r="U591" s="1">
        <v>43812.619780092595</v>
      </c>
      <c r="W591" s="1">
        <v>43812.619791666664</v>
      </c>
      <c r="BF591" t="s">
        <v>114</v>
      </c>
      <c r="BG591" t="s">
        <v>1069</v>
      </c>
      <c r="BH591" t="s">
        <v>1070</v>
      </c>
      <c r="BI591" t="str">
        <f>HYPERLINK("https://d33htgqikc2pj4.cloudfront.net/4ae6f565-42fe-45f4-b779-0df618b93877.jpeg", "Владимир Чугунов: Ссылка на изображение")</f>
        <v>Владимир Чугунов: Ссылка на изображение</v>
      </c>
      <c r="BJ591" t="str">
        <f>HYPERLINK("https://d33htgqikc2pj4.cloudfront.net/e0288c20-61ec-4661-89d1-fcb3339ff506.jpeg", "Владимир Чугунов: Ссылка на изображение")</f>
        <v>Владимир Чугунов: Ссылка на изображение</v>
      </c>
      <c r="BK591" t="s">
        <v>102</v>
      </c>
    </row>
    <row r="592" spans="1:77" ht="15" customHeight="1" x14ac:dyDescent="0.35">
      <c r="A592">
        <v>775</v>
      </c>
      <c r="B592" t="s">
        <v>4443</v>
      </c>
      <c r="C592">
        <v>2</v>
      </c>
      <c r="D592" t="str">
        <f>VLOOKUP(source[[#This Row],[Приоритет]],тПриоритеты[],2,0)</f>
        <v>Значительное</v>
      </c>
      <c r="E5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2" t="s">
        <v>2273</v>
      </c>
      <c r="G592" t="s">
        <v>395</v>
      </c>
      <c r="H592" t="str">
        <f>VLOOKUP(source[[#This Row],[Отвественный]],тОтветственные[],2,0)</f>
        <v>Отв19</v>
      </c>
      <c r="I592" s="2">
        <v>43812</v>
      </c>
      <c r="J592" s="2">
        <v>43812</v>
      </c>
      <c r="K592" t="s">
        <v>1058</v>
      </c>
      <c r="L592">
        <v>0</v>
      </c>
      <c r="M592">
        <v>0</v>
      </c>
      <c r="N592" t="s">
        <v>1059</v>
      </c>
      <c r="Q592" t="s">
        <v>124</v>
      </c>
      <c r="R592" t="str">
        <f>HYPERLINK("https://d28ji4sm1vmprj.cloudfront.net/36167089e08e1ee401f4f57d88869b74/9a4ef6d7d17215a7139533e84371548c.jpeg", "Ссылка на план")</f>
        <v>Ссылка на план</v>
      </c>
      <c r="S592" s="1">
        <v>43812.622430555559</v>
      </c>
      <c r="T592" s="1">
        <v>43812.623854166668</v>
      </c>
      <c r="U592" s="1">
        <v>43812.624467592592</v>
      </c>
      <c r="W592" s="1">
        <v>43812.624479166669</v>
      </c>
      <c r="BF592" t="s">
        <v>4444</v>
      </c>
      <c r="BG592" t="s">
        <v>1070</v>
      </c>
      <c r="BH592" t="s">
        <v>114</v>
      </c>
      <c r="BI592" t="str">
        <f>HYPERLINK("https://d33htgqikc2pj4.cloudfront.net/13d2c688-68f4-45cf-afa7-f2437916208f.jpeg", "Владимир Чугунов: Ссылка на изображение")</f>
        <v>Владимир Чугунов: Ссылка на изображение</v>
      </c>
      <c r="BJ592" t="str">
        <f>HYPERLINK("https://d33htgqikc2pj4.cloudfront.net/a5d5c4bd-fe7b-4ac8-abd3-3ddcd9191fdf.jpeg", "Владимир Чугунов: Ссылка на изображение")</f>
        <v>Владимир Чугунов: Ссылка на изображение</v>
      </c>
      <c r="BK592" t="s">
        <v>102</v>
      </c>
    </row>
    <row r="593" spans="1:79" ht="15" customHeight="1" x14ac:dyDescent="0.35">
      <c r="A593">
        <v>777</v>
      </c>
      <c r="B593" t="s">
        <v>4418</v>
      </c>
      <c r="C593">
        <v>2</v>
      </c>
      <c r="D593" t="str">
        <f>VLOOKUP(source[[#This Row],[Приоритет]],тПриоритеты[],2,0)</f>
        <v>Значительное</v>
      </c>
      <c r="E5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3" t="s">
        <v>2273</v>
      </c>
      <c r="G593" t="s">
        <v>395</v>
      </c>
      <c r="H593" t="str">
        <f>VLOOKUP(source[[#This Row],[Отвественный]],тОтветственные[],2,0)</f>
        <v>Отв19</v>
      </c>
      <c r="I593" s="2">
        <v>43813</v>
      </c>
      <c r="J593" s="2">
        <v>43813</v>
      </c>
      <c r="K593" t="s">
        <v>104</v>
      </c>
      <c r="L593">
        <v>0</v>
      </c>
      <c r="M593">
        <v>0</v>
      </c>
      <c r="N593" t="s">
        <v>396</v>
      </c>
      <c r="Q593" t="s">
        <v>106</v>
      </c>
      <c r="R593" t="str">
        <f>HYPERLINK("https://d28ji4sm1vmprj.cloudfront.net/e7a526a7220c3bc5cfeeb407c455c0b3/580ffb055aff8ee0c88c6e676cfba776.jpeg", "Ссылка на план")</f>
        <v>Ссылка на план</v>
      </c>
      <c r="S593" s="1">
        <v>43813.602395833332</v>
      </c>
      <c r="T593" s="1">
        <v>43813.602997685186</v>
      </c>
      <c r="U593" s="1">
        <v>43813.605532407404</v>
      </c>
      <c r="W593" s="1">
        <v>43813.605543981481</v>
      </c>
      <c r="X593" t="s">
        <v>495</v>
      </c>
      <c r="AA593" s="3" t="s">
        <v>4445</v>
      </c>
      <c r="AB593" t="s">
        <v>4446</v>
      </c>
      <c r="AC593" t="s">
        <v>4447</v>
      </c>
      <c r="AD593" t="s">
        <v>4448</v>
      </c>
      <c r="AE593" t="s">
        <v>4449</v>
      </c>
      <c r="BF593" t="s">
        <v>4426</v>
      </c>
      <c r="BG593" t="s">
        <v>1084</v>
      </c>
      <c r="BH593" t="s">
        <v>114</v>
      </c>
      <c r="BI593" t="str">
        <f>HYPERLINK("https://d33htgqikc2pj4.cloudfront.net/f13dac4c-7c13-413f-a9f8-7b74473233df.jpeg", "Владимир Чугунов: Ссылка на изображение")</f>
        <v>Владимир Чугунов: Ссылка на изображение</v>
      </c>
      <c r="BJ593" t="str">
        <f>HYPERLINK("https://d33htgqikc2pj4.cloudfront.net/ed943b08-f777-41c4-8a59-1494632db5cf.jpeg", "Владимир Чугунов: Ссылка на изображение")</f>
        <v>Владимир Чугунов: Ссылка на изображение</v>
      </c>
      <c r="BK593" t="str">
        <f>HYPERLINK("https://d33htgqikc2pj4.cloudfront.net/73e8c276-0925-4916-b009-83a9bbca9a4a.jpeg", "Владимир Чугунов: Ссылка на изображение")</f>
        <v>Владимир Чугунов: Ссылка на изображение</v>
      </c>
      <c r="BL593" t="s">
        <v>102</v>
      </c>
    </row>
    <row r="594" spans="1:79" ht="15" customHeight="1" x14ac:dyDescent="0.35">
      <c r="A594">
        <v>599</v>
      </c>
      <c r="B594" t="s">
        <v>4450</v>
      </c>
      <c r="C594">
        <v>2</v>
      </c>
      <c r="D594" t="str">
        <f>VLOOKUP(source[[#This Row],[Приоритет]],тПриоритеты[],2,0)</f>
        <v>Значительное</v>
      </c>
      <c r="E59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4" t="s">
        <v>4451</v>
      </c>
      <c r="G594" t="s">
        <v>157</v>
      </c>
      <c r="H594" t="str">
        <f>VLOOKUP(source[[#This Row],[Отвественный]],тОтветственные[],2,0)</f>
        <v>Отв13</v>
      </c>
      <c r="I594" s="2">
        <v>43749</v>
      </c>
      <c r="J594" s="2">
        <v>43749</v>
      </c>
      <c r="K594" t="s">
        <v>104</v>
      </c>
      <c r="L594">
        <v>0</v>
      </c>
      <c r="M594">
        <v>0</v>
      </c>
      <c r="N594" t="s">
        <v>105</v>
      </c>
      <c r="Q594" t="s">
        <v>106</v>
      </c>
      <c r="R594" t="str">
        <f>HYPERLINK("https://d28ji4sm1vmprj.cloudfront.net/e7a526a7220c3bc5cfeeb407c455c0b3/580ffb055aff8ee0c88c6e676cfba776.jpeg", "Ссылка на план")</f>
        <v>Ссылка на план</v>
      </c>
      <c r="S594" s="1">
        <v>43750.94091435185</v>
      </c>
      <c r="T594" s="1">
        <v>43750.940937500003</v>
      </c>
      <c r="U594" s="1">
        <v>43750.940937500003</v>
      </c>
      <c r="W594" s="1">
        <v>43750.94153935185</v>
      </c>
      <c r="X594" t="s">
        <v>3217</v>
      </c>
      <c r="AA594" t="s">
        <v>4452</v>
      </c>
      <c r="AB594" t="s">
        <v>4453</v>
      </c>
      <c r="AC594" t="s">
        <v>4454</v>
      </c>
      <c r="AD594" t="s">
        <v>4455</v>
      </c>
      <c r="AE594" t="s">
        <v>4456</v>
      </c>
      <c r="AF594" t="s">
        <v>4457</v>
      </c>
      <c r="AG594" t="s">
        <v>4458</v>
      </c>
      <c r="AH594" t="s">
        <v>4459</v>
      </c>
      <c r="AI594" t="s">
        <v>4460</v>
      </c>
      <c r="AJ594" t="s">
        <v>4461</v>
      </c>
      <c r="AK594" t="s">
        <v>4462</v>
      </c>
      <c r="BF594" t="s">
        <v>167</v>
      </c>
      <c r="BG594" t="s">
        <v>4463</v>
      </c>
      <c r="BH594" t="s">
        <v>310</v>
      </c>
      <c r="BI594" t="s">
        <v>2331</v>
      </c>
      <c r="BJ594" t="str">
        <f>HYPERLINK("https://d33htgqikc2pj4.cloudfront.net/df1458b1-83ae-44c8-af10-bef8401f1a38.jpeg", "Андрей Денисов: Ссылка на изображение")</f>
        <v>Андрей Денисов: Ссылка на изображение</v>
      </c>
      <c r="BK594" t="str">
        <f>HYPERLINK("https://d33htgqikc2pj4.cloudfront.net/00126f20-90dc-4d4f-a372-e99cd174f547.jpeg", "Андрей Денисов: Ссылка на изображение")</f>
        <v>Андрей Денисов: Ссылка на изображение</v>
      </c>
      <c r="BL594" t="str">
        <f>HYPERLINK("https://d33htgqikc2pj4.cloudfront.net/e9eae278-9dbe-4fa4-9ed6-a9693e265649.jpeg", "Андрей Денисов: Ссылка на изображение")</f>
        <v>Андрей Денисов: Ссылка на изображение</v>
      </c>
      <c r="BM594" t="str">
        <f>HYPERLINK("https://d33htgqikc2pj4.cloudfront.net/fc5b6d3a-4e60-4797-9e37-7f17b887a272.jpeg", "Андрей Денисов: Ссылка на изображение")</f>
        <v>Андрей Денисов: Ссылка на изображение</v>
      </c>
      <c r="BN594" t="str">
        <f>HYPERLINK("https://d33htgqikc2pj4.cloudfront.net/48d61d08-7d77-46f1-9815-9868533445ed.jpeg", "Андрей Денисов: Ссылка на изображение")</f>
        <v>Андрей Денисов: Ссылка на изображение</v>
      </c>
      <c r="BO594" t="str">
        <f>HYPERLINK("https://d33htgqikc2pj4.cloudfront.net/9ff58da3-719b-4dea-bca5-e39d9f3dad7f.jpeg", "Андрей Денисов: Ссылка на изображение")</f>
        <v>Андрей Денисов: Ссылка на изображение</v>
      </c>
      <c r="BP594" t="str">
        <f>HYPERLINK("https://d33htgqikc2pj4.cloudfront.net/93d1bbe9-3d7b-41aa-be1a-1b8405efc779.jpeg", "Андрей Денисов: Ссылка на изображение")</f>
        <v>Андрей Денисов: Ссылка на изображение</v>
      </c>
    </row>
    <row r="595" spans="1:79" ht="15" customHeight="1" x14ac:dyDescent="0.35">
      <c r="A595">
        <v>9</v>
      </c>
      <c r="B595" t="s">
        <v>4464</v>
      </c>
      <c r="C595">
        <v>2</v>
      </c>
      <c r="D595" t="str">
        <f>VLOOKUP(source[[#This Row],[Приоритет]],тПриоритеты[],2,0)</f>
        <v>Значительное</v>
      </c>
      <c r="E59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5" t="s">
        <v>4451</v>
      </c>
      <c r="G595" t="s">
        <v>157</v>
      </c>
      <c r="H595" t="str">
        <f>VLOOKUP(source[[#This Row],[Отвественный]],тОтветственные[],2,0)</f>
        <v>Отв13</v>
      </c>
      <c r="I595" s="2">
        <v>43549</v>
      </c>
      <c r="J595" s="2">
        <v>43549</v>
      </c>
      <c r="K595" t="s">
        <v>158</v>
      </c>
      <c r="L595">
        <v>4.59</v>
      </c>
      <c r="M595">
        <v>46.47</v>
      </c>
      <c r="N595" t="s">
        <v>472</v>
      </c>
      <c r="Q595" t="s">
        <v>124</v>
      </c>
      <c r="R595" t="str">
        <f>HYPERLINK("https://d28ji4sm1vmprj.cloudfront.net/09622a2bb466dfd1cdfb85ce6a712a4c/080b534903fe5ecae6d56f3611cbeb01.jpeg", "Ссылка на план")</f>
        <v>Ссылка на план</v>
      </c>
      <c r="S595" s="1">
        <v>43549.683217592596</v>
      </c>
      <c r="T595" s="1">
        <v>43549.685185185182</v>
      </c>
      <c r="U595" s="1">
        <v>43549.685185185182</v>
      </c>
      <c r="W595" s="1">
        <v>43549.685474537036</v>
      </c>
      <c r="X595" t="s">
        <v>406</v>
      </c>
      <c r="AA595" t="s">
        <v>4465</v>
      </c>
      <c r="AB595" t="s">
        <v>4466</v>
      </c>
      <c r="AC595" t="s">
        <v>4467</v>
      </c>
      <c r="AD595" t="s">
        <v>4468</v>
      </c>
      <c r="AE595" t="s">
        <v>4469</v>
      </c>
      <c r="AF595" t="s">
        <v>4470</v>
      </c>
      <c r="AG595" t="s">
        <v>4471</v>
      </c>
      <c r="BF595" t="s">
        <v>4472</v>
      </c>
      <c r="BG595" t="s">
        <v>167</v>
      </c>
      <c r="BH595" t="s">
        <v>4473</v>
      </c>
      <c r="BI595" t="str">
        <f>HYPERLINK("https://d33htgqikc2pj4.cloudfront.net/3b493df6-b9a7-493f-8920-65030e7acd64.jpeg", "Андрей Денисов: Ссылка на изображение")</f>
        <v>Андрей Денисов: Ссылка на изображение</v>
      </c>
      <c r="BJ595" t="str">
        <f>HYPERLINK("https://d33htgqikc2pj4.cloudfront.net/d4200cc9-d9b7-4ca7-9dec-58927d7bcfe6.jpeg", "Андрей Денисов: Ссылка на изображение")</f>
        <v>Андрей Денисов: Ссылка на изображение</v>
      </c>
      <c r="BK595" t="str">
        <f>HYPERLINK("https://d33htgqikc2pj4.cloudfront.net/03219219-5361-40b6-9efc-dce7086124bb.jpeg", "Андрей Денисов: Ссылка на изображение")</f>
        <v>Андрей Денисов: Ссылка на изображение</v>
      </c>
      <c r="BL595" t="str">
        <f>HYPERLINK("https://d33htgqikc2pj4.cloudfront.net/92394c05-91c7-4795-b4bd-6a97b71fe6dc.jpeg", "Андрей Денисов: Ссылка на изображение")</f>
        <v>Андрей Денисов: Ссылка на изображение</v>
      </c>
    </row>
    <row r="596" spans="1:79" ht="15" customHeight="1" x14ac:dyDescent="0.35">
      <c r="A596">
        <v>596</v>
      </c>
      <c r="B596" t="s">
        <v>4076</v>
      </c>
      <c r="C596">
        <v>2</v>
      </c>
      <c r="D596" t="str">
        <f>VLOOKUP(source[[#This Row],[Приоритет]],тПриоритеты[],2,0)</f>
        <v>Значительное</v>
      </c>
      <c r="E59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6" t="s">
        <v>4451</v>
      </c>
      <c r="G596" t="s">
        <v>157</v>
      </c>
      <c r="H596" t="str">
        <f>VLOOKUP(source[[#This Row],[Отвественный]],тОтветственные[],2,0)</f>
        <v>Отв13</v>
      </c>
      <c r="I596" s="2">
        <v>43749</v>
      </c>
      <c r="J596" s="2">
        <v>43749</v>
      </c>
      <c r="K596" t="s">
        <v>104</v>
      </c>
      <c r="L596">
        <v>0</v>
      </c>
      <c r="M596">
        <v>0</v>
      </c>
      <c r="N596" t="s">
        <v>105</v>
      </c>
      <c r="Q596" t="s">
        <v>106</v>
      </c>
      <c r="R596" t="str">
        <f>HYPERLINK("https://d28ji4sm1vmprj.cloudfront.net/e7a526a7220c3bc5cfeeb407c455c0b3/580ffb055aff8ee0c88c6e676cfba776.jpeg", "Ссылка на план")</f>
        <v>Ссылка на план</v>
      </c>
      <c r="S596" s="1">
        <v>43750.92591435185</v>
      </c>
      <c r="T596" s="1">
        <v>43750.925937499997</v>
      </c>
      <c r="U596" s="1">
        <v>43750.925937499997</v>
      </c>
      <c r="W596" s="1">
        <v>43750.926435185182</v>
      </c>
      <c r="X596" t="s">
        <v>406</v>
      </c>
      <c r="AA596" t="s">
        <v>4474</v>
      </c>
      <c r="AB596" t="s">
        <v>4475</v>
      </c>
      <c r="AC596" t="s">
        <v>4476</v>
      </c>
      <c r="AD596" t="s">
        <v>4477</v>
      </c>
      <c r="AE596" t="s">
        <v>4478</v>
      </c>
      <c r="AF596" t="s">
        <v>4479</v>
      </c>
      <c r="AG596" t="s">
        <v>4480</v>
      </c>
      <c r="BF596" t="s">
        <v>167</v>
      </c>
      <c r="BG596" t="s">
        <v>4481</v>
      </c>
      <c r="BH596" t="s">
        <v>310</v>
      </c>
      <c r="BI596" t="s">
        <v>2331</v>
      </c>
      <c r="BJ596" t="str">
        <f>HYPERLINK("https://d33htgqikc2pj4.cloudfront.net/7fca279f-02d3-4e21-9929-68de7e8f7556.jpeg", "Андрей Денисов: Ссылка на изображение")</f>
        <v>Андрей Денисов: Ссылка на изображение</v>
      </c>
      <c r="BK596" t="str">
        <f>HYPERLINK("https://d33htgqikc2pj4.cloudfront.net/e315539b-6dcd-412d-adb3-65d425f1942e.jpeg", "Андрей Денисов: Ссылка на изображение")</f>
        <v>Андрей Денисов: Ссылка на изображение</v>
      </c>
      <c r="BL596" t="str">
        <f>HYPERLINK("https://d33htgqikc2pj4.cloudfront.net/8d85afa1-ecf8-4f60-b079-09a53e429932.jpeg", "Андрей Денисов: Ссылка на изображение")</f>
        <v>Андрей Денисов: Ссылка на изображение</v>
      </c>
      <c r="BM596" t="str">
        <f>HYPERLINK("https://d33htgqikc2pj4.cloudfront.net/442c8262-13dd-4904-a729-1295b5d8790a.jpeg", "Андрей Денисов: Ссылка на изображение")</f>
        <v>Андрей Денисов: Ссылка на изображение</v>
      </c>
      <c r="BN596" t="str">
        <f>HYPERLINK("https://d33htgqikc2pj4.cloudfront.net/5ed5f8f7-60a3-477c-8eee-e87073ec4313.jpeg", "Андрей Денисов: Ссылка на изображение")</f>
        <v>Андрей Денисов: Ссылка на изображение</v>
      </c>
      <c r="BO596" t="str">
        <f>HYPERLINK("https://d33htgqikc2pj4.cloudfront.net/9b3dc086-38fd-4116-bdf2-56ea056ba2be.jpeg", "Андрей Денисов: Ссылка на изображение")</f>
        <v>Андрей Денисов: Ссылка на изображение</v>
      </c>
      <c r="BP596" t="str">
        <f>HYPERLINK("https://d33htgqikc2pj4.cloudfront.net/99b2c7a7-896b-4c0a-bb45-64e503c7c875.jpeg", "Андрей Денисов: Ссылка на изображение")</f>
        <v>Андрей Денисов: Ссылка на изображение</v>
      </c>
    </row>
    <row r="597" spans="1:79" ht="15" customHeight="1" x14ac:dyDescent="0.35">
      <c r="A597">
        <v>598</v>
      </c>
      <c r="B597" t="s">
        <v>4482</v>
      </c>
      <c r="C597">
        <v>2</v>
      </c>
      <c r="D597" t="str">
        <f>VLOOKUP(source[[#This Row],[Приоритет]],тПриоритеты[],2,0)</f>
        <v>Значительное</v>
      </c>
      <c r="E5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7" t="s">
        <v>4451</v>
      </c>
      <c r="G597" t="s">
        <v>157</v>
      </c>
      <c r="H597" t="str">
        <f>VLOOKUP(source[[#This Row],[Отвественный]],тОтветственные[],2,0)</f>
        <v>Отв13</v>
      </c>
      <c r="I597" s="2">
        <v>43749</v>
      </c>
      <c r="J597" s="2">
        <v>43749</v>
      </c>
      <c r="K597" t="s">
        <v>104</v>
      </c>
      <c r="L597">
        <v>0</v>
      </c>
      <c r="M597">
        <v>0</v>
      </c>
      <c r="N597" t="s">
        <v>105</v>
      </c>
      <c r="Q597" t="s">
        <v>106</v>
      </c>
      <c r="R597" t="str">
        <f>HYPERLINK("https://d28ji4sm1vmprj.cloudfront.net/e7a526a7220c3bc5cfeeb407c455c0b3/580ffb055aff8ee0c88c6e676cfba776.jpeg", "Ссылка на план")</f>
        <v>Ссылка на план</v>
      </c>
      <c r="S597" s="1">
        <v>43750.929236111115</v>
      </c>
      <c r="T597" s="1">
        <v>43750.929328703707</v>
      </c>
      <c r="U597" s="1">
        <v>43750.929328703707</v>
      </c>
      <c r="W597" s="1">
        <v>43750.939189814817</v>
      </c>
      <c r="X597" t="s">
        <v>2835</v>
      </c>
      <c r="AA597" t="s">
        <v>4483</v>
      </c>
      <c r="AB597" t="s">
        <v>4484</v>
      </c>
      <c r="AC597" t="s">
        <v>4485</v>
      </c>
      <c r="AD597" t="s">
        <v>4486</v>
      </c>
      <c r="AE597" t="s">
        <v>4487</v>
      </c>
      <c r="AF597" t="s">
        <v>4488</v>
      </c>
      <c r="AG597" t="s">
        <v>2342</v>
      </c>
      <c r="BF597" t="s">
        <v>167</v>
      </c>
      <c r="BG597" t="s">
        <v>4489</v>
      </c>
      <c r="BH597" t="s">
        <v>4490</v>
      </c>
      <c r="BI597" t="s">
        <v>310</v>
      </c>
      <c r="BJ597" t="s">
        <v>2331</v>
      </c>
      <c r="BK597" t="str">
        <f>HYPERLINK("https://d33htgqikc2pj4.cloudfront.net/af172d96-638a-4746-b68a-955d3bca19b0.jpeg", "Андрей Денисов: Ссылка на изображение")</f>
        <v>Андрей Денисов: Ссылка на изображение</v>
      </c>
      <c r="BL597" t="str">
        <f>HYPERLINK("https://d33htgqikc2pj4.cloudfront.net/b3c8e780-82a3-466d-ade8-c52c67e21b6d.jpeg", "Андрей Денисов: Ссылка на изображение")</f>
        <v>Андрей Денисов: Ссылка на изображение</v>
      </c>
      <c r="BM597" t="str">
        <f>HYPERLINK("https://d33htgqikc2pj4.cloudfront.net/a9c7a14d-7018-4ccf-8ec6-0937a6b7b4d5.jpeg", "Андрей Денисов: Ссылка на изображение")</f>
        <v>Андрей Денисов: Ссылка на изображение</v>
      </c>
      <c r="BN597" t="str">
        <f>HYPERLINK("https://d33htgqikc2pj4.cloudfront.net/e10953f9-ef58-4a5c-8239-38b61877b002.jpeg", "Андрей Денисов: Ссылка на изображение")</f>
        <v>Андрей Денисов: Ссылка на изображение</v>
      </c>
      <c r="BO597" t="s">
        <v>171</v>
      </c>
    </row>
    <row r="598" spans="1:79" ht="15" customHeight="1" x14ac:dyDescent="0.35">
      <c r="A598">
        <v>601</v>
      </c>
      <c r="B598" t="s">
        <v>4491</v>
      </c>
      <c r="C598">
        <v>2</v>
      </c>
      <c r="D598" t="str">
        <f>VLOOKUP(source[[#This Row],[Приоритет]],тПриоритеты[],2,0)</f>
        <v>Значительное</v>
      </c>
      <c r="E5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8" t="s">
        <v>4451</v>
      </c>
      <c r="G598" t="s">
        <v>157</v>
      </c>
      <c r="H598" t="str">
        <f>VLOOKUP(source[[#This Row],[Отвественный]],тОтветственные[],2,0)</f>
        <v>Отв13</v>
      </c>
      <c r="I598" s="2">
        <v>43750</v>
      </c>
      <c r="J598" s="2">
        <v>43750</v>
      </c>
      <c r="K598" t="s">
        <v>104</v>
      </c>
      <c r="L598">
        <v>0</v>
      </c>
      <c r="M598">
        <v>0</v>
      </c>
      <c r="N598" t="s">
        <v>105</v>
      </c>
      <c r="Q598" t="s">
        <v>106</v>
      </c>
      <c r="R598" t="str">
        <f>HYPERLINK("https://d28ji4sm1vmprj.cloudfront.net/e7a526a7220c3bc5cfeeb407c455c0b3/580ffb055aff8ee0c88c6e676cfba776.jpeg", "Ссылка на план")</f>
        <v>Ссылка на план</v>
      </c>
      <c r="S598" s="1">
        <v>43750.944780092592</v>
      </c>
      <c r="T598" s="1">
        <v>43750.945034722223</v>
      </c>
      <c r="U598" s="1">
        <v>43750.945034722223</v>
      </c>
      <c r="W598" s="1">
        <v>43750.945567129631</v>
      </c>
      <c r="X598" t="s">
        <v>2835</v>
      </c>
      <c r="AA598" t="s">
        <v>4483</v>
      </c>
      <c r="AB598" t="s">
        <v>4484</v>
      </c>
      <c r="AC598" t="s">
        <v>4485</v>
      </c>
      <c r="AD598" t="s">
        <v>4486</v>
      </c>
      <c r="AE598" t="s">
        <v>4487</v>
      </c>
      <c r="AF598" t="s">
        <v>4488</v>
      </c>
      <c r="AG598" t="s">
        <v>2342</v>
      </c>
      <c r="BF598" t="s">
        <v>167</v>
      </c>
      <c r="BG598" t="s">
        <v>4492</v>
      </c>
      <c r="BH598" t="s">
        <v>310</v>
      </c>
      <c r="BI598" t="s">
        <v>2344</v>
      </c>
      <c r="BJ598" t="str">
        <f>HYPERLINK("https://d33htgqikc2pj4.cloudfront.net/b1874bdc-d625-4045-8d54-862151108b64.jpeg", "Андрей Денисов: Ссылка на изображение")</f>
        <v>Андрей Денисов: Ссылка на изображение</v>
      </c>
      <c r="BK598" t="str">
        <f>HYPERLINK("https://d33htgqikc2pj4.cloudfront.net/c5e1c35c-7c5f-411e-86dc-6e9867af406d.jpeg", "Андрей Денисов: Ссылка на изображение")</f>
        <v>Андрей Денисов: Ссылка на изображение</v>
      </c>
      <c r="BL598" t="str">
        <f>HYPERLINK("https://d33htgqikc2pj4.cloudfront.net/de6c8365-af45-46b1-a475-491927a42aa9.jpeg", "Андрей Денисов: Ссылка на изображение")</f>
        <v>Андрей Денисов: Ссылка на изображение</v>
      </c>
      <c r="BM598" t="str">
        <f>HYPERLINK("https://d33htgqikc2pj4.cloudfront.net/72f242c5-1f11-40da-a4e1-23ce9360373a.jpeg", "Андрей Денисов: Ссылка на изображение")</f>
        <v>Андрей Денисов: Ссылка на изображение</v>
      </c>
      <c r="BN598" t="str">
        <f>HYPERLINK("https://d33htgqikc2pj4.cloudfront.net/acf4b71f-8fdf-45ab-896e-87adb6f9ac36.jpeg", "Андрей Денисов: Ссылка на изображение")</f>
        <v>Андрей Денисов: Ссылка на изображение</v>
      </c>
      <c r="BO598" t="s">
        <v>171</v>
      </c>
      <c r="BP598" t="str">
        <f>HYPERLINK("https://d33htgqikc2pj4.cloudfront.net/1c7186f9-9e5e-49b3-9189-975b114454c6.jpeg", "Андрей Денисов: Ссылка на изображение")</f>
        <v>Андрей Денисов: Ссылка на изображение</v>
      </c>
      <c r="BQ598" t="str">
        <f>HYPERLINK("https://d33htgqikc2pj4.cloudfront.net/8a829f4e-106d-4729-a748-8012beac532b.jpeg", "Андрей Денисов: Ссылка на изображение")</f>
        <v>Андрей Денисов: Ссылка на изображение</v>
      </c>
      <c r="BR598" t="str">
        <f>HYPERLINK("https://d33htgqikc2pj4.cloudfront.net/567143a9-6a6c-4069-ae05-8ea1f2390503.jpeg", "Андрей Денисов: Ссылка на изображение")</f>
        <v>Андрей Денисов: Ссылка на изображение</v>
      </c>
      <c r="BS598" t="str">
        <f>HYPERLINK("https://d33htgqikc2pj4.cloudfront.net/bbdbcc3d-188c-4f82-b084-ed18ff26febe.jpeg", "Андрей Денисов: Ссылка на изображение")</f>
        <v>Андрей Денисов: Ссылка на изображение</v>
      </c>
      <c r="BT598" t="str">
        <f>HYPERLINK("https://d33htgqikc2pj4.cloudfront.net/6a47133b-e3fa-4f8c-b524-ac982d4c0bc8.jpeg", "Андрей Денисов: Ссылка на изображение")</f>
        <v>Андрей Денисов: Ссылка на изображение</v>
      </c>
      <c r="BU598" t="str">
        <f>HYPERLINK("https://d33htgqikc2pj4.cloudfront.net/c16ed374-5d25-41b4-8477-5607519c9719.jpeg", "Андрей Денисов: Ссылка на изображение")</f>
        <v>Андрей Денисов: Ссылка на изображение</v>
      </c>
      <c r="BV598" t="str">
        <f>HYPERLINK("https://d33htgqikc2pj4.cloudfront.net/93462fb9-58bd-4119-84e9-1fadf514d0e6.jpeg", "Андрей Денисов: Ссылка на изображение")</f>
        <v>Андрей Денисов: Ссылка на изображение</v>
      </c>
      <c r="BW598" t="str">
        <f>HYPERLINK("https://d33htgqikc2pj4.cloudfront.net/cc3e47ac-5c5d-46cb-85de-9228c31743c3.jpeg", "Андрей Денисов: Ссылка на изображение")</f>
        <v>Андрей Денисов: Ссылка на изображение</v>
      </c>
      <c r="BX598" t="str">
        <f>HYPERLINK("https://d33htgqikc2pj4.cloudfront.net/3ba0e30b-79a2-4ef4-90cd-0d6da2955205.jpeg", "Андрей Денисов: Ссылка на изображение")</f>
        <v>Андрей Денисов: Ссылка на изображение</v>
      </c>
    </row>
    <row r="599" spans="1:79" ht="15" customHeight="1" x14ac:dyDescent="0.35">
      <c r="A599">
        <v>602</v>
      </c>
      <c r="B599" t="s">
        <v>4493</v>
      </c>
      <c r="C599">
        <v>2</v>
      </c>
      <c r="D599" t="str">
        <f>VLOOKUP(source[[#This Row],[Приоритет]],тПриоритеты[],2,0)</f>
        <v>Значительное</v>
      </c>
      <c r="E5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599" t="s">
        <v>4451</v>
      </c>
      <c r="G599" t="s">
        <v>157</v>
      </c>
      <c r="H599" t="str">
        <f>VLOOKUP(source[[#This Row],[Отвественный]],тОтветственные[],2,0)</f>
        <v>Отв13</v>
      </c>
      <c r="I599" s="2">
        <v>43750</v>
      </c>
      <c r="J599" s="2">
        <v>43750</v>
      </c>
      <c r="K599" t="s">
        <v>104</v>
      </c>
      <c r="L599">
        <v>0</v>
      </c>
      <c r="M599">
        <v>0</v>
      </c>
      <c r="N599" t="s">
        <v>105</v>
      </c>
      <c r="Q599" t="s">
        <v>106</v>
      </c>
      <c r="R599" t="str">
        <f>HYPERLINK("https://d28ji4sm1vmprj.cloudfront.net/e7a526a7220c3bc5cfeeb407c455c0b3/580ffb055aff8ee0c88c6e676cfba776.jpeg", "Ссылка на план")</f>
        <v>Ссылка на план</v>
      </c>
      <c r="S599" s="1">
        <v>43750.947002314817</v>
      </c>
      <c r="T599" s="1">
        <v>43750.947083333333</v>
      </c>
      <c r="U599" s="1">
        <v>43750.947083333333</v>
      </c>
      <c r="W599" s="1">
        <v>43750.947534722225</v>
      </c>
      <c r="X599" t="s">
        <v>3217</v>
      </c>
      <c r="AA599" t="s">
        <v>4452</v>
      </c>
      <c r="AB599" t="s">
        <v>4453</v>
      </c>
      <c r="AC599" t="s">
        <v>4454</v>
      </c>
      <c r="AD599" t="s">
        <v>4455</v>
      </c>
      <c r="AE599" t="s">
        <v>4456</v>
      </c>
      <c r="AF599" t="s">
        <v>4457</v>
      </c>
      <c r="AG599" t="s">
        <v>4458</v>
      </c>
      <c r="AH599" t="s">
        <v>4459</v>
      </c>
      <c r="AI599" t="s">
        <v>4460</v>
      </c>
      <c r="AJ599" t="s">
        <v>4461</v>
      </c>
      <c r="AK599" t="s">
        <v>4462</v>
      </c>
      <c r="BF599" t="s">
        <v>167</v>
      </c>
      <c r="BG599" t="s">
        <v>4494</v>
      </c>
      <c r="BH599" t="s">
        <v>310</v>
      </c>
      <c r="BI599" t="s">
        <v>2344</v>
      </c>
      <c r="BJ599" t="str">
        <f>HYPERLINK("https://d33htgqikc2pj4.cloudfront.net/3b0db1d8-cf21-4d0e-88fb-b61cd0cd07cb.jpeg", "Андрей Денисов: Ссылка на изображение")</f>
        <v>Андрей Денисов: Ссылка на изображение</v>
      </c>
      <c r="BK599" t="str">
        <f>HYPERLINK("https://d33htgqikc2pj4.cloudfront.net/63eeb975-427c-4038-ba78-67a6d5dc0be3.jpeg", "Андрей Денисов: Ссылка на изображение")</f>
        <v>Андрей Денисов: Ссылка на изображение</v>
      </c>
      <c r="BL599" t="str">
        <f>HYPERLINK("https://d33htgqikc2pj4.cloudfront.net/89c3a262-b8fb-4439-9540-43838d3fae17.jpeg", "Андрей Денисов: Ссылка на изображение")</f>
        <v>Андрей Денисов: Ссылка на изображение</v>
      </c>
      <c r="BM599" t="str">
        <f>HYPERLINK("https://d33htgqikc2pj4.cloudfront.net/b8f75a3a-80b0-4f9b-8427-9738192786cd.jpeg", "Андрей Денисов: Ссылка на изображение")</f>
        <v>Андрей Денисов: Ссылка на изображение</v>
      </c>
      <c r="BN599" t="str">
        <f>HYPERLINK("https://d33htgqikc2pj4.cloudfront.net/ba1e9b7a-6e31-4768-bf92-9efee0d7c44d.jpeg", "Андрей Денисов: Ссылка на изображение")</f>
        <v>Андрей Денисов: Ссылка на изображение</v>
      </c>
      <c r="BO599" t="str">
        <f>HYPERLINK("https://d33htgqikc2pj4.cloudfront.net/186653d8-b5cb-4aa7-ad81-aaf9d6d13335.jpeg", "Андрей Денисов: Ссылка на изображение")</f>
        <v>Андрей Денисов: Ссылка на изображение</v>
      </c>
    </row>
    <row r="600" spans="1:79" ht="15" customHeight="1" x14ac:dyDescent="0.35">
      <c r="A600">
        <v>129</v>
      </c>
      <c r="B600" t="s">
        <v>4495</v>
      </c>
      <c r="C600">
        <v>2</v>
      </c>
      <c r="D600" t="str">
        <f>VLOOKUP(source[[#This Row],[Приоритет]],тПриоритеты[],2,0)</f>
        <v>Значительное</v>
      </c>
      <c r="E6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0" t="s">
        <v>4451</v>
      </c>
      <c r="G600" t="s">
        <v>157</v>
      </c>
      <c r="H600" t="str">
        <f>VLOOKUP(source[[#This Row],[Отвественный]],тОтветственные[],2,0)</f>
        <v>Отв13</v>
      </c>
      <c r="I600" s="2">
        <v>43627</v>
      </c>
      <c r="J600" s="2">
        <v>43627</v>
      </c>
      <c r="K600" t="s">
        <v>158</v>
      </c>
      <c r="L600">
        <v>0</v>
      </c>
      <c r="M600">
        <v>0</v>
      </c>
      <c r="N600" t="s">
        <v>159</v>
      </c>
      <c r="Q600" t="s">
        <v>124</v>
      </c>
      <c r="R600" t="str">
        <f>HYPERLINK("https://d28ji4sm1vmprj.cloudfront.net/09622a2bb466dfd1cdfb85ce6a712a4c/080b534903fe5ecae6d56f3611cbeb01.jpeg", "Ссылка на план")</f>
        <v>Ссылка на план</v>
      </c>
      <c r="S600" s="1">
        <v>43627.675358796296</v>
      </c>
      <c r="T600" s="1">
        <v>43627.67523148148</v>
      </c>
      <c r="U600" s="1">
        <v>43627.67523148148</v>
      </c>
      <c r="W600" s="1">
        <v>43627.679907407408</v>
      </c>
      <c r="X600" t="s">
        <v>3846</v>
      </c>
      <c r="AA600" t="s">
        <v>4496</v>
      </c>
      <c r="AB600" t="s">
        <v>4497</v>
      </c>
      <c r="AC600" t="s">
        <v>4498</v>
      </c>
      <c r="AD600" t="s">
        <v>4499</v>
      </c>
      <c r="BF600" t="s">
        <v>167</v>
      </c>
      <c r="BG600" t="s">
        <v>4500</v>
      </c>
      <c r="BH600" t="s">
        <v>310</v>
      </c>
      <c r="BI600" t="s">
        <v>2565</v>
      </c>
      <c r="BJ600" t="str">
        <f>HYPERLINK("https://d33htgqikc2pj4.cloudfront.net/948f107b-9ad5-4a96-8f68-14e9063d830d.jpeg", "Андрей Денисов: Ссылка на изображение")</f>
        <v>Андрей Денисов: Ссылка на изображение</v>
      </c>
      <c r="BK600" t="str">
        <f>HYPERLINK("https://d33htgqikc2pj4.cloudfront.net/b992e938-e454-4f8e-ade9-7f181c556b60.jpeg", "Андрей Денисов: Ссылка на изображение")</f>
        <v>Андрей Денисов: Ссылка на изображение</v>
      </c>
      <c r="BL600" t="str">
        <f>HYPERLINK("https://d33htgqikc2pj4.cloudfront.net/51ba5f90-4484-4c9b-9985-bff7350b22ef.jpeg", "Андрей Денисов: Ссылка на изображение")</f>
        <v>Андрей Денисов: Ссылка на изображение</v>
      </c>
      <c r="BM600" t="str">
        <f>HYPERLINK("https://d33htgqikc2pj4.cloudfront.net/f12a0549-7d59-4750-93e2-52523c6a72d7.jpeg", "Андрей Денисов: Ссылка на изображение")</f>
        <v>Андрей Денисов: Ссылка на изображение</v>
      </c>
      <c r="BN600" t="str">
        <f>HYPERLINK("https://d33htgqikc2pj4.cloudfront.net/745e9c40-bfbc-4ef2-bfcb-b8f69d5e46b0.jpeg", "Андрей Денисов: Ссылка на изображение")</f>
        <v>Андрей Денисов: Ссылка на изображение</v>
      </c>
    </row>
    <row r="601" spans="1:79" ht="15" customHeight="1" x14ac:dyDescent="0.35">
      <c r="A601">
        <v>701</v>
      </c>
      <c r="B601" t="s">
        <v>4501</v>
      </c>
      <c r="C601">
        <v>2</v>
      </c>
      <c r="D601" t="str">
        <f>VLOOKUP(source[[#This Row],[Приоритет]],тПриоритеты[],2,0)</f>
        <v>Значительное</v>
      </c>
      <c r="E6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1" t="s">
        <v>4451</v>
      </c>
      <c r="G601" t="s">
        <v>157</v>
      </c>
      <c r="H601" t="str">
        <f>VLOOKUP(source[[#This Row],[Отвественный]],тОтветственные[],2,0)</f>
        <v>Отв13</v>
      </c>
      <c r="I601" s="2">
        <v>43789</v>
      </c>
      <c r="J601" s="2">
        <v>43789</v>
      </c>
      <c r="K601" t="s">
        <v>104</v>
      </c>
      <c r="L601">
        <v>0</v>
      </c>
      <c r="M601">
        <v>0</v>
      </c>
      <c r="N601" t="s">
        <v>105</v>
      </c>
      <c r="Q601" t="s">
        <v>106</v>
      </c>
      <c r="R601" t="str">
        <f>HYPERLINK("https://d28ji4sm1vmprj.cloudfront.net/e7a526a7220c3bc5cfeeb407c455c0b3/580ffb055aff8ee0c88c6e676cfba776.jpeg", "Ссылка на план")</f>
        <v>Ссылка на план</v>
      </c>
      <c r="S601" s="1">
        <v>43790.437291666669</v>
      </c>
      <c r="T601" s="1">
        <v>43790.437314814815</v>
      </c>
      <c r="U601" s="1">
        <v>43790.437314814815</v>
      </c>
      <c r="W601" s="1">
        <v>43790.438750000001</v>
      </c>
      <c r="X601" t="s">
        <v>2835</v>
      </c>
      <c r="AA601" t="s">
        <v>4502</v>
      </c>
      <c r="AB601" t="s">
        <v>4503</v>
      </c>
      <c r="AC601" t="s">
        <v>4504</v>
      </c>
      <c r="AD601" t="s">
        <v>4505</v>
      </c>
      <c r="AE601" t="s">
        <v>4506</v>
      </c>
      <c r="AF601" t="s">
        <v>4507</v>
      </c>
      <c r="AG601" t="s">
        <v>4508</v>
      </c>
      <c r="BF601" t="s">
        <v>167</v>
      </c>
      <c r="BG601" t="s">
        <v>4509</v>
      </c>
      <c r="BH601" t="s">
        <v>310</v>
      </c>
      <c r="BI601" t="s">
        <v>4510</v>
      </c>
      <c r="BJ601" t="str">
        <f>HYPERLINK("https://d33htgqikc2pj4.cloudfront.net/cc62bb82-2183-436e-9939-38448a86a5f0.jpeg", "Андрей Денисов: Ссылка на изображение")</f>
        <v>Андрей Денисов: Ссылка на изображение</v>
      </c>
      <c r="BK601" t="str">
        <f>HYPERLINK("https://d33htgqikc2pj4.cloudfront.net/371980a7-4e35-49a5-a1a2-0c50bbdad84a.jpeg", "Андрей Денисов: Ссылка на изображение")</f>
        <v>Андрей Денисов: Ссылка на изображение</v>
      </c>
      <c r="BL601" t="str">
        <f>HYPERLINK("https://d33htgqikc2pj4.cloudfront.net/2cd927b7-b934-45a8-88ae-074dbf238a31.jpeg", "Андрей Денисов: Ссылка на изображение")</f>
        <v>Андрей Денисов: Ссылка на изображение</v>
      </c>
    </row>
    <row r="602" spans="1:79" ht="15" customHeight="1" x14ac:dyDescent="0.35">
      <c r="A602">
        <v>702</v>
      </c>
      <c r="B602" t="s">
        <v>4511</v>
      </c>
      <c r="C602">
        <v>2</v>
      </c>
      <c r="D602" t="str">
        <f>VLOOKUP(source[[#This Row],[Приоритет]],тПриоритеты[],2,0)</f>
        <v>Значительное</v>
      </c>
      <c r="E60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2" t="s">
        <v>4451</v>
      </c>
      <c r="G602" t="s">
        <v>157</v>
      </c>
      <c r="H602" t="str">
        <f>VLOOKUP(source[[#This Row],[Отвественный]],тОтветственные[],2,0)</f>
        <v>Отв13</v>
      </c>
      <c r="I602" s="2">
        <v>43789</v>
      </c>
      <c r="J602" s="2">
        <v>43789</v>
      </c>
      <c r="K602" t="s">
        <v>104</v>
      </c>
      <c r="L602">
        <v>0</v>
      </c>
      <c r="M602">
        <v>0</v>
      </c>
      <c r="N602" t="s">
        <v>105</v>
      </c>
      <c r="Q602" t="s">
        <v>106</v>
      </c>
      <c r="R602" t="str">
        <f>HYPERLINK("https://d28ji4sm1vmprj.cloudfront.net/e7a526a7220c3bc5cfeeb407c455c0b3/580ffb055aff8ee0c88c6e676cfba776.jpeg", "Ссылка на план")</f>
        <v>Ссылка на план</v>
      </c>
      <c r="S602" s="1">
        <v>43790.439664351848</v>
      </c>
      <c r="T602" s="1">
        <v>43790.439699074072</v>
      </c>
      <c r="U602" s="1">
        <v>43790.439699074072</v>
      </c>
      <c r="W602" s="1">
        <v>43790.44</v>
      </c>
      <c r="X602" t="s">
        <v>3217</v>
      </c>
      <c r="AA602" t="s">
        <v>4512</v>
      </c>
      <c r="AB602" t="s">
        <v>4513</v>
      </c>
      <c r="AC602" t="s">
        <v>4514</v>
      </c>
      <c r="AD602" t="s">
        <v>4515</v>
      </c>
      <c r="AE602" t="s">
        <v>4516</v>
      </c>
      <c r="AF602" t="s">
        <v>4517</v>
      </c>
      <c r="AG602" t="s">
        <v>4518</v>
      </c>
      <c r="AH602" t="s">
        <v>4519</v>
      </c>
      <c r="AI602" t="s">
        <v>4520</v>
      </c>
      <c r="AJ602" t="s">
        <v>4521</v>
      </c>
      <c r="AK602" t="s">
        <v>4522</v>
      </c>
      <c r="BF602" t="s">
        <v>167</v>
      </c>
      <c r="BG602" t="s">
        <v>4523</v>
      </c>
      <c r="BH602" t="s">
        <v>310</v>
      </c>
      <c r="BI602" t="s">
        <v>4510</v>
      </c>
      <c r="BJ602" t="str">
        <f>HYPERLINK("https://d33htgqikc2pj4.cloudfront.net/9523b39b-dac7-454f-accd-c215ddddc91b.jpeg", "Андрей Денисов: Ссылка на изображение")</f>
        <v>Андрей Денисов: Ссылка на изображение</v>
      </c>
      <c r="BK602" t="str">
        <f>HYPERLINK("https://d33htgqikc2pj4.cloudfront.net/a9d2b769-dd91-4fea-af4e-3e1908a5d81f.jpeg", "Андрей Денисов: Ссылка на изображение")</f>
        <v>Андрей Денисов: Ссылка на изображение</v>
      </c>
      <c r="BL602" t="str">
        <f>HYPERLINK("https://d33htgqikc2pj4.cloudfront.net/4162e004-3642-403a-a390-14c5fc84744d.jpeg", "Андрей Денисов: Ссылка на изображение")</f>
        <v>Андрей Денисов: Ссылка на изображение</v>
      </c>
      <c r="BM602" t="str">
        <f>HYPERLINK("https://d33htgqikc2pj4.cloudfront.net/e4a09f09-508f-4acd-9ac4-ab79ef69f3bb.jpeg", "Андрей Денисов: Ссылка на изображение")</f>
        <v>Андрей Денисов: Ссылка на изображение</v>
      </c>
      <c r="BN602" t="str">
        <f>HYPERLINK("https://d33htgqikc2pj4.cloudfront.net/4eccabf7-d299-4d2f-878b-960df6528e3c.jpeg", "Андрей Денисов: Ссылка на изображение")</f>
        <v>Андрей Денисов: Ссылка на изображение</v>
      </c>
      <c r="BO602" t="str">
        <f>HYPERLINK("https://d33htgqikc2pj4.cloudfront.net/91e622f4-04a2-40e1-8c2b-0de7bb77a8de.jpeg", "Андрей Денисов: Ссылка на изображение")</f>
        <v>Андрей Денисов: Ссылка на изображение</v>
      </c>
      <c r="BP602" t="str">
        <f>HYPERLINK("https://d33htgqikc2pj4.cloudfront.net/e9df7f22-3b34-4c3b-bdd6-3e11685cbaf4.jpeg", "Андрей Денисов: Ссылка на изображение")</f>
        <v>Андрей Денисов: Ссылка на изображение</v>
      </c>
    </row>
    <row r="603" spans="1:79" ht="15" customHeight="1" x14ac:dyDescent="0.35">
      <c r="A603">
        <v>140</v>
      </c>
      <c r="B603" t="s">
        <v>4524</v>
      </c>
      <c r="C603">
        <v>2</v>
      </c>
      <c r="D603" t="str">
        <f>VLOOKUP(source[[#This Row],[Приоритет]],тПриоритеты[],2,0)</f>
        <v>Значительное</v>
      </c>
      <c r="E60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3" t="s">
        <v>4451</v>
      </c>
      <c r="G603" t="s">
        <v>157</v>
      </c>
      <c r="H603" t="str">
        <f>VLOOKUP(source[[#This Row],[Отвественный]],тОтветственные[],2,0)</f>
        <v>Отв13</v>
      </c>
      <c r="I603" s="2">
        <v>43633</v>
      </c>
      <c r="J603" s="2">
        <v>43633</v>
      </c>
      <c r="K603" t="s">
        <v>158</v>
      </c>
      <c r="L603">
        <v>0</v>
      </c>
      <c r="M603">
        <v>0</v>
      </c>
      <c r="N603" t="s">
        <v>159</v>
      </c>
      <c r="Q603" t="s">
        <v>124</v>
      </c>
      <c r="R603" t="str">
        <f>HYPERLINK("https://d28ji4sm1vmprj.cloudfront.net/09622a2bb466dfd1cdfb85ce6a712a4c/080b534903fe5ecae6d56f3611cbeb01.jpeg", "Ссылка на план")</f>
        <v>Ссылка на план</v>
      </c>
      <c r="S603" s="1">
        <v>43633.631585648145</v>
      </c>
      <c r="T603" s="1">
        <v>43633.631620370368</v>
      </c>
      <c r="U603" s="1">
        <v>43633.631620370368</v>
      </c>
      <c r="W603" s="1">
        <v>43633.682962962965</v>
      </c>
      <c r="X603" t="s">
        <v>3846</v>
      </c>
      <c r="AA603" t="s">
        <v>4525</v>
      </c>
      <c r="AB603" t="s">
        <v>4526</v>
      </c>
      <c r="AC603" t="s">
        <v>4527</v>
      </c>
      <c r="AD603" t="s">
        <v>4528</v>
      </c>
      <c r="BF603" t="s">
        <v>167</v>
      </c>
      <c r="BG603" t="s">
        <v>4529</v>
      </c>
      <c r="BH603" t="s">
        <v>2574</v>
      </c>
      <c r="BI603" t="str">
        <f>HYPERLINK("https://d33htgqikc2pj4.cloudfront.net/547834cc-4910-466a-a828-c937e830faac.jpeg", "Андрей Денисов: Ссылка на изображение")</f>
        <v>Андрей Денисов: Ссылка на изображение</v>
      </c>
      <c r="BJ603" t="str">
        <f>HYPERLINK("https://d33htgqikc2pj4.cloudfront.net/f4b037b8-d8c9-45ee-9284-62c3e9c0a0f8.jpeg", "Андрей Денисов: Ссылка на изображение")</f>
        <v>Андрей Денисов: Ссылка на изображение</v>
      </c>
      <c r="BK603" t="str">
        <f>HYPERLINK("https://d33htgqikc2pj4.cloudfront.net/a85e225f-d406-4e22-9357-a5213a2f3eec.jpeg", "Андрей Денисов: Ссылка на изображение")</f>
        <v>Андрей Денисов: Ссылка на изображение</v>
      </c>
    </row>
    <row r="604" spans="1:79" ht="15" customHeight="1" x14ac:dyDescent="0.35">
      <c r="A604">
        <v>257</v>
      </c>
      <c r="B604" t="s">
        <v>4530</v>
      </c>
      <c r="C604">
        <v>2</v>
      </c>
      <c r="D604" t="str">
        <f>VLOOKUP(source[[#This Row],[Приоритет]],тПриоритеты[],2,0)</f>
        <v>Значительное</v>
      </c>
      <c r="E60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4" t="s">
        <v>4451</v>
      </c>
      <c r="G604" t="s">
        <v>157</v>
      </c>
      <c r="H604" t="str">
        <f>VLOOKUP(source[[#This Row],[Отвественный]],тОтветственные[],2,0)</f>
        <v>Отв13</v>
      </c>
      <c r="I604" s="2">
        <v>43661</v>
      </c>
      <c r="J604" s="2">
        <v>43661</v>
      </c>
      <c r="K604" t="s">
        <v>313</v>
      </c>
      <c r="L604">
        <v>0</v>
      </c>
      <c r="M604">
        <v>0</v>
      </c>
      <c r="N604" t="s">
        <v>159</v>
      </c>
      <c r="Q604" t="s">
        <v>106</v>
      </c>
      <c r="R604" t="str">
        <f>HYPERLINK("https://d28ji4sm1vmprj.cloudfront.net/464215be55b88773f54b8cd83354babd/02eaaeba9564da889c4ba5d284544147.jpeg", "Ссылка на план")</f>
        <v>Ссылка на план</v>
      </c>
      <c r="S604" s="1">
        <v>43661.460821759261</v>
      </c>
      <c r="T604" s="1">
        <v>43661.460844907408</v>
      </c>
      <c r="U604" s="1">
        <v>43661.460844907408</v>
      </c>
      <c r="W604" s="1">
        <v>43661.464444444442</v>
      </c>
      <c r="X604" t="s">
        <v>3846</v>
      </c>
      <c r="AA604" t="s">
        <v>4531</v>
      </c>
      <c r="AB604" t="s">
        <v>4532</v>
      </c>
      <c r="AC604" t="s">
        <v>4533</v>
      </c>
      <c r="AD604" t="s">
        <v>4534</v>
      </c>
      <c r="BF604" t="s">
        <v>167</v>
      </c>
      <c r="BG604" t="s">
        <v>4535</v>
      </c>
      <c r="BH604" t="s">
        <v>4536</v>
      </c>
      <c r="BI604" t="str">
        <f>HYPERLINK("https://d33htgqikc2pj4.cloudfront.net/73c05ff9-199c-42fd-a1b1-0c4ec7e39572.jpeg", "Андрей Денисов: Ссылка на изображение")</f>
        <v>Андрей Денисов: Ссылка на изображение</v>
      </c>
      <c r="BJ604" t="str">
        <f>HYPERLINK("https://d33htgqikc2pj4.cloudfront.net/2ca9f306-a4d7-4d41-8af6-b0501ec2fdcd.jpeg", "Андрей Денисов: Ссылка на изображение")</f>
        <v>Андрей Денисов: Ссылка на изображение</v>
      </c>
      <c r="BK604" t="str">
        <f>HYPERLINK("https://d33htgqikc2pj4.cloudfront.net/8413063f-d05f-45a2-99f7-d1de6206171c.jpeg", "Андрей Денисов: Ссылка на изображение")</f>
        <v>Андрей Денисов: Ссылка на изображение</v>
      </c>
      <c r="BL604" t="str">
        <f>HYPERLINK("https://d33htgqikc2pj4.cloudfront.net/9fdfdbef-e4b0-4aaf-9f66-ec5bfaf782c4.jpeg", "Андрей Денисов: Ссылка на изображение")</f>
        <v>Андрей Денисов: Ссылка на изображение</v>
      </c>
      <c r="BM604" t="str">
        <f>HYPERLINK("https://d33htgqikc2pj4.cloudfront.net/65e58927-095b-46cc-b037-fd689d6bc879.jpeg", "Андрей Денисов: Ссылка на изображение")</f>
        <v>Андрей Денисов: Ссылка на изображение</v>
      </c>
      <c r="BN604" t="str">
        <f>HYPERLINK("https://d33htgqikc2pj4.cloudfront.net/18fbc032-a6ef-4bdc-a7dd-57eba58cf366.jpeg", "Андрей Денисов: Ссылка на изображение")</f>
        <v>Андрей Денисов: Ссылка на изображение</v>
      </c>
    </row>
    <row r="605" spans="1:79" ht="15" customHeight="1" x14ac:dyDescent="0.35">
      <c r="A605">
        <v>52</v>
      </c>
      <c r="B605" t="s">
        <v>4537</v>
      </c>
      <c r="C605">
        <v>2</v>
      </c>
      <c r="D605" t="str">
        <f>VLOOKUP(source[[#This Row],[Приоритет]],тПриоритеты[],2,0)</f>
        <v>Значительное</v>
      </c>
      <c r="E6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5" t="s">
        <v>4451</v>
      </c>
      <c r="G605" t="s">
        <v>157</v>
      </c>
      <c r="H605" t="str">
        <f>VLOOKUP(source[[#This Row],[Отвественный]],тОтветственные[],2,0)</f>
        <v>Отв13</v>
      </c>
      <c r="I605" s="2">
        <v>43581</v>
      </c>
      <c r="J605" s="2">
        <v>43581</v>
      </c>
      <c r="K605" t="s">
        <v>158</v>
      </c>
      <c r="L605">
        <v>0</v>
      </c>
      <c r="M605">
        <v>0</v>
      </c>
      <c r="N605" t="s">
        <v>472</v>
      </c>
      <c r="Q605" t="s">
        <v>124</v>
      </c>
      <c r="R605" t="str">
        <f>HYPERLINK("https://d28ji4sm1vmprj.cloudfront.net/09622a2bb466dfd1cdfb85ce6a712a4c/080b534903fe5ecae6d56f3611cbeb01.jpeg", "Ссылка на план")</f>
        <v>Ссылка на план</v>
      </c>
      <c r="S605" s="1">
        <v>43581.722615740742</v>
      </c>
      <c r="T605" s="1">
        <v>43581.722638888888</v>
      </c>
      <c r="U605" s="1">
        <v>43581.722638888888</v>
      </c>
      <c r="W605" s="1">
        <v>43581.726574074077</v>
      </c>
      <c r="X605" t="s">
        <v>406</v>
      </c>
      <c r="AA605" t="s">
        <v>4538</v>
      </c>
      <c r="AB605" t="s">
        <v>4539</v>
      </c>
      <c r="AC605" t="s">
        <v>4540</v>
      </c>
      <c r="AD605" t="s">
        <v>4541</v>
      </c>
      <c r="AE605" t="s">
        <v>4542</v>
      </c>
      <c r="AF605" t="s">
        <v>4543</v>
      </c>
      <c r="AG605" t="s">
        <v>4544</v>
      </c>
      <c r="BF605" t="s">
        <v>167</v>
      </c>
      <c r="BG605" t="s">
        <v>4545</v>
      </c>
      <c r="BH605" t="s">
        <v>310</v>
      </c>
      <c r="BI605" t="s">
        <v>4546</v>
      </c>
      <c r="BJ605" t="str">
        <f>HYPERLINK("https://d33htgqikc2pj4.cloudfront.net/e69bc45c-e1a6-4cd8-ae00-97ca93902bdc.jpeg", "Андрей Денисов: Ссылка на изображение")</f>
        <v>Андрей Денисов: Ссылка на изображение</v>
      </c>
      <c r="BK605" t="str">
        <f>HYPERLINK("https://d33htgqikc2pj4.cloudfront.net/1f8c7830-3fca-4709-88fa-1dc9f67e8ee9.jpeg", "Андрей Денисов: Ссылка на изображение")</f>
        <v>Андрей Денисов: Ссылка на изображение</v>
      </c>
      <c r="BL605" t="str">
        <f>HYPERLINK("https://d33htgqikc2pj4.cloudfront.net/2b9ac426-5b64-4da2-b44c-081f04edc88b.jpeg", "Андрей Денисов: Ссылка на изображение")</f>
        <v>Андрей Денисов: Ссылка на изображение</v>
      </c>
      <c r="BM605" t="str">
        <f>HYPERLINK("https://d33htgqikc2pj4.cloudfront.net/972d2337-8e1a-47e9-8cf0-5d79330e404c.jpeg", "Андрей Денисов: Ссылка на изображение")</f>
        <v>Андрей Денисов: Ссылка на изображение</v>
      </c>
      <c r="BN605" t="str">
        <f>HYPERLINK("https://d33htgqikc2pj4.cloudfront.net/4066ecee-d8df-47d8-8ce0-2b38f66b9223.jpeg", "Андрей Денисов: Ссылка на изображение")</f>
        <v>Андрей Денисов: Ссылка на изображение</v>
      </c>
      <c r="BO605" t="str">
        <f>HYPERLINK("https://d33htgqikc2pj4.cloudfront.net/aa7be870-4739-47dc-9673-c0555826a83a.jpeg", "Андрей Денисов: Ссылка на изображение")</f>
        <v>Андрей Денисов: Ссылка на изображение</v>
      </c>
      <c r="BP605" t="str">
        <f>HYPERLINK("https://d33htgqikc2pj4.cloudfront.net/c2fdce3f-eb32-4d11-98c1-bd1193609421.jpeg", "Андрей Денисов: Ссылка на изображение")</f>
        <v>Андрей Денисов: Ссылка на изображение</v>
      </c>
      <c r="BQ605" t="str">
        <f>HYPERLINK("https://d33htgqikc2pj4.cloudfront.net/4f222165-ed8c-43a8-9c0a-5e9f63b6dd90.jpeg", "Андрей Денисов: Ссылка на изображение")</f>
        <v>Андрей Денисов: Ссылка на изображение</v>
      </c>
      <c r="BR605" t="str">
        <f>HYPERLINK("https://d33htgqikc2pj4.cloudfront.net/07b946f8-270b-4be5-b56c-8e674d6a38a9.jpeg", "Андрей Денисов: Ссылка на изображение")</f>
        <v>Андрей Денисов: Ссылка на изображение</v>
      </c>
      <c r="BS605" t="str">
        <f>HYPERLINK("https://d33htgqikc2pj4.cloudfront.net/cf892eac-ffad-4855-8324-1f120ea0aff1.jpeg", "Андрей Денисов: Ссылка на изображение")</f>
        <v>Андрей Денисов: Ссылка на изображение</v>
      </c>
      <c r="BT605" t="str">
        <f>HYPERLINK("https://d33htgqikc2pj4.cloudfront.net/f9d98d4b-0e52-4a46-8729-c76e9887f0bf.jpeg", "Андрей Денисов: Ссылка на изображение")</f>
        <v>Андрей Денисов: Ссылка на изображение</v>
      </c>
      <c r="BU605" t="str">
        <f>HYPERLINK("https://d33htgqikc2pj4.cloudfront.net/85fd50d0-65f6-4f21-a602-e18e1720e822.jpeg", "Андрей Денисов: Ссылка на изображение")</f>
        <v>Андрей Денисов: Ссылка на изображение</v>
      </c>
      <c r="BV605" t="str">
        <f>HYPERLINK("https://d33htgqikc2pj4.cloudfront.net/fb1ea5af-768c-4c6a-859b-f08077a8f685.jpeg", "Андрей Денисов: Ссылка на изображение")</f>
        <v>Андрей Денисов: Ссылка на изображение</v>
      </c>
      <c r="BW605" t="str">
        <f>HYPERLINK("https://d33htgqikc2pj4.cloudfront.net/93f0df47-04a6-4d63-9794-515cc45e603f.jpeg", "Андрей Денисов: Ссылка на изображение")</f>
        <v>Андрей Денисов: Ссылка на изображение</v>
      </c>
      <c r="BX605" t="str">
        <f>HYPERLINK("https://d33htgqikc2pj4.cloudfront.net/e08c630f-803c-4ddc-aeea-da27e0ad12ad.jpeg", "Андрей Денисов: Ссылка на изображение")</f>
        <v>Андрей Денисов: Ссылка на изображение</v>
      </c>
      <c r="BY605" t="str">
        <f>HYPERLINK("https://d33htgqikc2pj4.cloudfront.net/496a48bd-6fa4-4a3a-893d-9091ac5e2280.jpeg", "Андрей Денисов: Ссылка на изображение")</f>
        <v>Андрей Денисов: Ссылка на изображение</v>
      </c>
      <c r="BZ605" t="str">
        <f>HYPERLINK("https://d33htgqikc2pj4.cloudfront.net/13315f25-da85-4d73-b544-a79bd011165a.jpeg", "Андрей Денисов: Ссылка на изображение")</f>
        <v>Андрей Денисов: Ссылка на изображение</v>
      </c>
      <c r="CA605" t="str">
        <f>HYPERLINK("https://d33htgqikc2pj4.cloudfront.net/3dc269ca-6605-4432-842f-00aea4017c24.jpeg", "Андрей Денисов: Ссылка на изображение")</f>
        <v>Андрей Денисов: Ссылка на изображение</v>
      </c>
    </row>
    <row r="606" spans="1:79" ht="15" customHeight="1" x14ac:dyDescent="0.35">
      <c r="A606">
        <v>607</v>
      </c>
      <c r="B606" t="s">
        <v>4547</v>
      </c>
      <c r="C606">
        <v>2</v>
      </c>
      <c r="D606" t="str">
        <f>VLOOKUP(source[[#This Row],[Приоритет]],тПриоритеты[],2,0)</f>
        <v>Значительное</v>
      </c>
      <c r="E6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6" t="s">
        <v>4451</v>
      </c>
      <c r="G606" t="s">
        <v>157</v>
      </c>
      <c r="H606" t="str">
        <f>VLOOKUP(source[[#This Row],[Отвественный]],тОтветственные[],2,0)</f>
        <v>Отв13</v>
      </c>
      <c r="I606" s="2">
        <v>43751</v>
      </c>
      <c r="J606" s="2">
        <v>43751</v>
      </c>
      <c r="K606" t="s">
        <v>104</v>
      </c>
      <c r="L606">
        <v>0</v>
      </c>
      <c r="M606">
        <v>0</v>
      </c>
      <c r="N606" t="s">
        <v>105</v>
      </c>
      <c r="Q606" t="s">
        <v>106</v>
      </c>
      <c r="R606" t="str">
        <f>HYPERLINK("https://d28ji4sm1vmprj.cloudfront.net/e7a526a7220c3bc5cfeeb407c455c0b3/580ffb055aff8ee0c88c6e676cfba776.jpeg", "Ссылка на план")</f>
        <v>Ссылка на план</v>
      </c>
      <c r="S606" s="1">
        <v>43753.002511574072</v>
      </c>
      <c r="T606" s="1">
        <v>43753.002534722225</v>
      </c>
      <c r="U606" s="1">
        <v>43753.002534722225</v>
      </c>
      <c r="W606" s="1">
        <v>43753.002962962964</v>
      </c>
      <c r="X606" t="s">
        <v>2835</v>
      </c>
      <c r="AA606" t="s">
        <v>4548</v>
      </c>
      <c r="AB606" t="s">
        <v>4549</v>
      </c>
      <c r="AC606" t="s">
        <v>4550</v>
      </c>
      <c r="AD606" t="s">
        <v>4551</v>
      </c>
      <c r="AE606" t="s">
        <v>4552</v>
      </c>
      <c r="AF606" t="s">
        <v>4553</v>
      </c>
      <c r="AG606" t="s">
        <v>2784</v>
      </c>
      <c r="BF606" t="s">
        <v>167</v>
      </c>
      <c r="BG606" t="s">
        <v>4554</v>
      </c>
      <c r="BH606" t="s">
        <v>310</v>
      </c>
      <c r="BI606" t="s">
        <v>2786</v>
      </c>
      <c r="BJ606" t="str">
        <f>HYPERLINK("https://d33htgqikc2pj4.cloudfront.net/a37dbf82-d443-409c-b983-e9ec156d78df.jpeg", "Андрей Денисов: Ссылка на изображение")</f>
        <v>Андрей Денисов: Ссылка на изображение</v>
      </c>
      <c r="BK606" t="str">
        <f>HYPERLINK("https://d33htgqikc2pj4.cloudfront.net/e88c1fb8-b5d8-41c2-8bf9-76fa1d7f6aa6.jpeg", "Андрей Денисов: Ссылка на изображение")</f>
        <v>Андрей Денисов: Ссылка на изображение</v>
      </c>
      <c r="BL606" t="str">
        <f>HYPERLINK("https://d33htgqikc2pj4.cloudfront.net/c39fbcd2-a2ba-4937-8616-b3ca71b33e9b.jpeg", "Андрей Денисов: Ссылка на изображение")</f>
        <v>Андрей Денисов: Ссылка на изображение</v>
      </c>
      <c r="BM606" t="str">
        <f>HYPERLINK("https://d33htgqikc2pj4.cloudfront.net/1e8afbdd-0aee-40f8-86ba-1f1e0581b722.jpeg", "Андрей Денисов: Ссылка на изображение")</f>
        <v>Андрей Денисов: Ссылка на изображение</v>
      </c>
      <c r="BN606" t="s">
        <v>171</v>
      </c>
      <c r="BO606" t="s">
        <v>171</v>
      </c>
      <c r="BP606" t="s">
        <v>171</v>
      </c>
    </row>
    <row r="607" spans="1:79" ht="15" customHeight="1" x14ac:dyDescent="0.35">
      <c r="A607">
        <v>351</v>
      </c>
      <c r="B607" t="s">
        <v>1146</v>
      </c>
      <c r="C607">
        <v>2</v>
      </c>
      <c r="D607" t="str">
        <f>VLOOKUP(source[[#This Row],[Приоритет]],тПриоритеты[],2,0)</f>
        <v>Значительное</v>
      </c>
      <c r="E6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7" t="s">
        <v>4451</v>
      </c>
      <c r="G607" t="s">
        <v>157</v>
      </c>
      <c r="H607" t="str">
        <f>VLOOKUP(source[[#This Row],[Отвественный]],тОтветственные[],2,0)</f>
        <v>Отв13</v>
      </c>
      <c r="I607" s="2">
        <v>43690</v>
      </c>
      <c r="J607" s="2">
        <v>43690</v>
      </c>
      <c r="K607" t="s">
        <v>375</v>
      </c>
      <c r="L607">
        <v>0</v>
      </c>
      <c r="M607">
        <v>0</v>
      </c>
      <c r="N607" t="s">
        <v>159</v>
      </c>
      <c r="Q607" t="s">
        <v>106</v>
      </c>
      <c r="R607" t="str">
        <f>HYPERLINK("https://d28ji4sm1vmprj.cloudfront.net/3e7bd1b1c8123e07928556a95537ec96/b6f4ea1a4c385def2ded1a2b1779c1a4.jpeg", "Ссылка на план")</f>
        <v>Ссылка на план</v>
      </c>
      <c r="S607" s="1">
        <v>43690.578842592593</v>
      </c>
      <c r="T607" s="1">
        <v>43690.578877314816</v>
      </c>
      <c r="U607" s="1">
        <v>43690.578877314816</v>
      </c>
      <c r="W607" s="1">
        <v>43690.579606481479</v>
      </c>
      <c r="X607" t="s">
        <v>3846</v>
      </c>
      <c r="Z607" t="s">
        <v>1145</v>
      </c>
      <c r="AA607" t="s">
        <v>4555</v>
      </c>
      <c r="AB607" t="s">
        <v>4556</v>
      </c>
      <c r="AC607" t="s">
        <v>4557</v>
      </c>
      <c r="AD607" t="s">
        <v>4558</v>
      </c>
      <c r="BF607" t="s">
        <v>167</v>
      </c>
      <c r="BG607" t="s">
        <v>4559</v>
      </c>
      <c r="BH607" t="s">
        <v>310</v>
      </c>
      <c r="BI607" t="s">
        <v>1147</v>
      </c>
      <c r="BJ607" t="str">
        <f>HYPERLINK("https://d33htgqikc2pj4.cloudfront.net/a4e00ed7-e1c4-4423-9c07-31d481030fc7.jpeg", "Андрей Денисов: Ссылка на изображение")</f>
        <v>Андрей Денисов: Ссылка на изображение</v>
      </c>
      <c r="BK607" t="str">
        <f>HYPERLINK("https://d33htgqikc2pj4.cloudfront.net/0f306510-9f7a-4c39-bee1-73ac7acb08e0.jpeg", "Андрей Денисов: Ссылка на изображение")</f>
        <v>Андрей Денисов: Ссылка на изображение</v>
      </c>
      <c r="BL607" t="str">
        <f>HYPERLINK("https://d33htgqikc2pj4.cloudfront.net/ccaf11e2-53a3-4d14-8563-8efe5bc03177.jpeg", "Андрей Денисов: Ссылка на изображение")</f>
        <v>Андрей Денисов: Ссылка на изображение</v>
      </c>
    </row>
    <row r="608" spans="1:79" ht="15" customHeight="1" x14ac:dyDescent="0.35">
      <c r="A608">
        <v>107</v>
      </c>
      <c r="B608" t="s">
        <v>4560</v>
      </c>
      <c r="C608">
        <v>2</v>
      </c>
      <c r="D608" t="str">
        <f>VLOOKUP(source[[#This Row],[Приоритет]],тПриоритеты[],2,0)</f>
        <v>Значительное</v>
      </c>
      <c r="E6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8" t="s">
        <v>4451</v>
      </c>
      <c r="G608" t="s">
        <v>157</v>
      </c>
      <c r="H608" t="str">
        <f>VLOOKUP(source[[#This Row],[Отвественный]],тОтветственные[],2,0)</f>
        <v>Отв13</v>
      </c>
      <c r="I608" s="2">
        <v>43613</v>
      </c>
      <c r="J608" s="2">
        <v>43613</v>
      </c>
      <c r="K608" t="s">
        <v>158</v>
      </c>
      <c r="L608">
        <v>0</v>
      </c>
      <c r="M608">
        <v>0</v>
      </c>
      <c r="N608" t="s">
        <v>159</v>
      </c>
      <c r="Q608" t="s">
        <v>124</v>
      </c>
      <c r="R608" t="str">
        <f>HYPERLINK("https://d28ji4sm1vmprj.cloudfront.net/09622a2bb466dfd1cdfb85ce6a712a4c/080b534903fe5ecae6d56f3611cbeb01.jpeg", "Ссылка на план")</f>
        <v>Ссылка на план</v>
      </c>
      <c r="S608" s="1">
        <v>43613.704097222224</v>
      </c>
      <c r="T608" s="1">
        <v>43613.706956018519</v>
      </c>
      <c r="U608" s="1">
        <v>43613.706956018519</v>
      </c>
      <c r="W608" s="1">
        <v>43613.707037037035</v>
      </c>
      <c r="X608" t="s">
        <v>2421</v>
      </c>
      <c r="Y608" t="s">
        <v>3846</v>
      </c>
      <c r="AA608" t="s">
        <v>4561</v>
      </c>
      <c r="AB608" t="s">
        <v>4562</v>
      </c>
      <c r="AC608" t="s">
        <v>4563</v>
      </c>
      <c r="AD608" t="s">
        <v>4564</v>
      </c>
      <c r="AE608" t="s">
        <v>4565</v>
      </c>
      <c r="AF608" t="s">
        <v>4566</v>
      </c>
      <c r="AG608" t="s">
        <v>4567</v>
      </c>
      <c r="BF608" t="s">
        <v>167</v>
      </c>
      <c r="BG608" t="s">
        <v>4568</v>
      </c>
      <c r="BH608" t="s">
        <v>1302</v>
      </c>
      <c r="BI608" t="s">
        <v>167</v>
      </c>
      <c r="BJ608" t="s">
        <v>4569</v>
      </c>
      <c r="BK608" t="s">
        <v>4570</v>
      </c>
      <c r="BL608" t="s">
        <v>4571</v>
      </c>
      <c r="BM608" t="s">
        <v>4572</v>
      </c>
      <c r="BN608" t="s">
        <v>4573</v>
      </c>
      <c r="BO608" t="str">
        <f>HYPERLINK("https://d33htgqikc2pj4.cloudfront.net/8cf96603-ff1d-498a-8e0b-0653736818d6.jpeg", "Андрей Денисов: Ссылка на изображение")</f>
        <v>Андрей Денисов: Ссылка на изображение</v>
      </c>
      <c r="BP608" t="str">
        <f>HYPERLINK("https://d33htgqikc2pj4.cloudfront.net/edf8722d-135f-40f7-918c-3013dbd6048e.jpeg", "Андрей Денисов: Ссылка на изображение")</f>
        <v>Андрей Денисов: Ссылка на изображение</v>
      </c>
      <c r="BQ608" t="str">
        <f>HYPERLINK("https://d33htgqikc2pj4.cloudfront.net/879f8974-0e93-4b1f-bf80-01e4f0a36769.jpeg", "Андрей Денисов: Ссылка на изображение")</f>
        <v>Андрей Денисов: Ссылка на изображение</v>
      </c>
      <c r="BR608" t="str">
        <f>HYPERLINK("https://d33htgqikc2pj4.cloudfront.net/8711f0a0-3e5d-4b79-ab09-8023f148410d.jpeg", "Андрей Денисов: Ссылка на изображение")</f>
        <v>Андрей Денисов: Ссылка на изображение</v>
      </c>
    </row>
    <row r="609" spans="1:75" ht="15" customHeight="1" x14ac:dyDescent="0.35">
      <c r="A609">
        <v>108</v>
      </c>
      <c r="B609" t="s">
        <v>4574</v>
      </c>
      <c r="C609">
        <v>2</v>
      </c>
      <c r="D609" t="str">
        <f>VLOOKUP(source[[#This Row],[Приоритет]],тПриоритеты[],2,0)</f>
        <v>Значительное</v>
      </c>
      <c r="E6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09" t="s">
        <v>4451</v>
      </c>
      <c r="G609" t="s">
        <v>157</v>
      </c>
      <c r="H609" t="str">
        <f>VLOOKUP(source[[#This Row],[Отвественный]],тОтветственные[],2,0)</f>
        <v>Отв13</v>
      </c>
      <c r="I609" s="2">
        <v>43613</v>
      </c>
      <c r="J609" s="2">
        <v>43613</v>
      </c>
      <c r="K609" t="s">
        <v>274</v>
      </c>
      <c r="L609">
        <v>0</v>
      </c>
      <c r="M609">
        <v>0</v>
      </c>
      <c r="N609" t="s">
        <v>213</v>
      </c>
      <c r="Q609" t="s">
        <v>124</v>
      </c>
      <c r="R609" t="str">
        <f>HYPERLINK("https://d28ji4sm1vmprj.cloudfront.net/355a08c081c3838ab5b858f428b86049/8945c7522deb0c15488ad801990cffed.jpeg", "Ссылка на план")</f>
        <v>Ссылка на план</v>
      </c>
      <c r="S609" s="1">
        <v>43613.709768518522</v>
      </c>
      <c r="T609" s="1">
        <v>43613.70988425926</v>
      </c>
      <c r="U609" s="1">
        <v>43613.70988425926</v>
      </c>
      <c r="W609" s="1">
        <v>43613.711134259262</v>
      </c>
      <c r="X609" t="s">
        <v>2350</v>
      </c>
      <c r="AA609" t="s">
        <v>4575</v>
      </c>
      <c r="AB609" t="s">
        <v>4576</v>
      </c>
      <c r="AC609" t="s">
        <v>4577</v>
      </c>
      <c r="AD609" t="s">
        <v>4578</v>
      </c>
      <c r="AE609" t="s">
        <v>4579</v>
      </c>
      <c r="BF609" t="s">
        <v>167</v>
      </c>
      <c r="BG609" t="s">
        <v>4580</v>
      </c>
      <c r="BH609" t="s">
        <v>4569</v>
      </c>
      <c r="BI609" t="str">
        <f>HYPERLINK("https://d33htgqikc2pj4.cloudfront.net/5e04aef2-bea8-4723-87ad-eadce0330bdf.jpeg", "Андрей Денисов: Ссылка на изображение")</f>
        <v>Андрей Денисов: Ссылка на изображение</v>
      </c>
      <c r="BJ609" t="str">
        <f>HYPERLINK("https://d33htgqikc2pj4.cloudfront.net/17800f9a-c84c-4798-8a2d-4283989815b9.jpeg", "Андрей Денисов: Ссылка на изображение")</f>
        <v>Андрей Денисов: Ссылка на изображение</v>
      </c>
      <c r="BK609" t="str">
        <f>HYPERLINK("https://d33htgqikc2pj4.cloudfront.net/a9f1cd84-871c-4d04-86c6-7dd98e529382.jpeg", "Андрей Денисов: Ссылка на изображение")</f>
        <v>Андрей Денисов: Ссылка на изображение</v>
      </c>
      <c r="BL609" t="str">
        <f>HYPERLINK("https://d33htgqikc2pj4.cloudfront.net/dbb5b76f-e46d-40c0-968a-61238638fdf8.jpeg", "Андрей Денисов: Ссылка на изображение")</f>
        <v>Андрей Денисов: Ссылка на изображение</v>
      </c>
    </row>
    <row r="610" spans="1:75" ht="15" customHeight="1" x14ac:dyDescent="0.35">
      <c r="A610">
        <v>474</v>
      </c>
      <c r="B610" t="s">
        <v>4581</v>
      </c>
      <c r="C610">
        <v>2</v>
      </c>
      <c r="D610" t="str">
        <f>VLOOKUP(source[[#This Row],[Приоритет]],тПриоритеты[],2,0)</f>
        <v>Значительное</v>
      </c>
      <c r="E6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0" t="s">
        <v>4451</v>
      </c>
      <c r="G610" t="s">
        <v>157</v>
      </c>
      <c r="H610" t="str">
        <f>VLOOKUP(source[[#This Row],[Отвественный]],тОтветственные[],2,0)</f>
        <v>Отв13</v>
      </c>
      <c r="I610" s="2">
        <v>43721</v>
      </c>
      <c r="J610" s="2">
        <v>43721</v>
      </c>
      <c r="K610" t="s">
        <v>375</v>
      </c>
      <c r="L610">
        <v>0</v>
      </c>
      <c r="M610">
        <v>0</v>
      </c>
      <c r="N610" t="s">
        <v>159</v>
      </c>
      <c r="Q610" t="s">
        <v>106</v>
      </c>
      <c r="R610" t="str">
        <f>HYPERLINK("https://d28ji4sm1vmprj.cloudfront.net/3e7bd1b1c8123e07928556a95537ec96/b6f4ea1a4c385def2ded1a2b1779c1a4.jpeg", "Ссылка на план")</f>
        <v>Ссылка на план</v>
      </c>
      <c r="S610" s="1">
        <v>43721.699548611112</v>
      </c>
      <c r="T610" s="1">
        <v>43721.69090277778</v>
      </c>
      <c r="U610" s="1">
        <v>43721.69090277778</v>
      </c>
      <c r="W610" s="1">
        <v>43721.699571759258</v>
      </c>
      <c r="X610" t="s">
        <v>2764</v>
      </c>
      <c r="AA610" t="s">
        <v>4582</v>
      </c>
      <c r="AB610" t="s">
        <v>4583</v>
      </c>
      <c r="AC610" t="s">
        <v>4584</v>
      </c>
      <c r="AD610" t="s">
        <v>4585</v>
      </c>
      <c r="AE610" t="s">
        <v>4586</v>
      </c>
      <c r="AF610" t="s">
        <v>4587</v>
      </c>
      <c r="AG610" t="s">
        <v>4588</v>
      </c>
      <c r="BF610" t="s">
        <v>167</v>
      </c>
      <c r="BG610" t="s">
        <v>4589</v>
      </c>
      <c r="BH610" t="s">
        <v>4590</v>
      </c>
      <c r="BI610" t="str">
        <f>HYPERLINK("https://d33htgqikc2pj4.cloudfront.net/be079561-dd37-4603-96ca-9fd4504a9101.jpeg", "Андрей Денисов: Ссылка на изображение")</f>
        <v>Андрей Денисов: Ссылка на изображение</v>
      </c>
      <c r="BJ610" t="str">
        <f>HYPERLINK("https://d33htgqikc2pj4.cloudfront.net/f9bd273c-1822-4cf8-af37-60ca698ef353.jpeg", "Андрей Денисов: Ссылка на изображение")</f>
        <v>Андрей Денисов: Ссылка на изображение</v>
      </c>
      <c r="BK610" t="str">
        <f>HYPERLINK("https://d33htgqikc2pj4.cloudfront.net/e2d66ca9-54be-4b54-833b-58116f32d9b8.jpeg", "Андрей Денисов: Ссылка на изображение")</f>
        <v>Андрей Денисов: Ссылка на изображение</v>
      </c>
    </row>
    <row r="611" spans="1:75" ht="15" customHeight="1" x14ac:dyDescent="0.35">
      <c r="A611">
        <v>473</v>
      </c>
      <c r="B611" t="s">
        <v>4591</v>
      </c>
      <c r="C611">
        <v>2</v>
      </c>
      <c r="D611" t="str">
        <f>VLOOKUP(source[[#This Row],[Приоритет]],тПриоритеты[],2,0)</f>
        <v>Значительное</v>
      </c>
      <c r="E6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1" t="s">
        <v>4451</v>
      </c>
      <c r="G611" t="s">
        <v>157</v>
      </c>
      <c r="H611" t="str">
        <f>VLOOKUP(source[[#This Row],[Отвественный]],тОтветственные[],2,0)</f>
        <v>Отв13</v>
      </c>
      <c r="I611" s="2">
        <v>43721</v>
      </c>
      <c r="J611" s="2">
        <v>43721</v>
      </c>
      <c r="K611" t="s">
        <v>104</v>
      </c>
      <c r="L611">
        <v>0</v>
      </c>
      <c r="M611">
        <v>0</v>
      </c>
      <c r="N611" t="s">
        <v>105</v>
      </c>
      <c r="Q611" t="s">
        <v>106</v>
      </c>
      <c r="R611" t="str">
        <f>HYPERLINK("https://d28ji4sm1vmprj.cloudfront.net/e7a526a7220c3bc5cfeeb407c455c0b3/580ffb055aff8ee0c88c6e676cfba776.jpeg", "Ссылка на план")</f>
        <v>Ссылка на план</v>
      </c>
      <c r="S611" s="1">
        <v>43721.699537037035</v>
      </c>
      <c r="T611" s="1">
        <v>43721.678148148145</v>
      </c>
      <c r="U611" s="1">
        <v>43721.678148148145</v>
      </c>
      <c r="W611" s="1">
        <v>43721.699548611112</v>
      </c>
      <c r="X611" t="s">
        <v>2835</v>
      </c>
      <c r="AA611" t="s">
        <v>4592</v>
      </c>
      <c r="AB611" t="s">
        <v>4593</v>
      </c>
      <c r="AC611" t="s">
        <v>4594</v>
      </c>
      <c r="AD611" t="s">
        <v>4595</v>
      </c>
      <c r="AE611" t="s">
        <v>4596</v>
      </c>
      <c r="AF611" t="s">
        <v>4597</v>
      </c>
      <c r="AG611" t="s">
        <v>4598</v>
      </c>
      <c r="BF611" t="s">
        <v>167</v>
      </c>
      <c r="BG611" t="s">
        <v>4599</v>
      </c>
      <c r="BH611" t="s">
        <v>4590</v>
      </c>
      <c r="BI611" t="str">
        <f>HYPERLINK("https://d33htgqikc2pj4.cloudfront.net/7a7f21f4-ac6b-4fa9-94cb-81074f779916.jpeg", "Андрей Денисов: Ссылка на изображение")</f>
        <v>Андрей Денисов: Ссылка на изображение</v>
      </c>
      <c r="BJ611" t="str">
        <f>HYPERLINK("https://d33htgqikc2pj4.cloudfront.net/df3c3d4d-9949-4dc3-a6ce-db8cdc8f34f0.jpeg", "Андрей Денисов: Ссылка на изображение")</f>
        <v>Андрей Денисов: Ссылка на изображение</v>
      </c>
      <c r="BK611" t="str">
        <f>HYPERLINK("https://d33htgqikc2pj4.cloudfront.net/8fea9444-fee8-4bd6-ab1d-e3649ab77d0c.jpeg", "Андрей Денисов: Ссылка на изображение")</f>
        <v>Андрей Денисов: Ссылка на изображение</v>
      </c>
    </row>
    <row r="612" spans="1:75" ht="15" customHeight="1" x14ac:dyDescent="0.35">
      <c r="A612">
        <v>156</v>
      </c>
      <c r="B612" t="s">
        <v>4600</v>
      </c>
      <c r="C612">
        <v>2</v>
      </c>
      <c r="D612" t="str">
        <f>VLOOKUP(source[[#This Row],[Приоритет]],тПриоритеты[],2,0)</f>
        <v>Значительное</v>
      </c>
      <c r="E6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2" t="s">
        <v>4451</v>
      </c>
      <c r="G612" t="s">
        <v>157</v>
      </c>
      <c r="H612" t="str">
        <f>VLOOKUP(source[[#This Row],[Отвественный]],тОтветственные[],2,0)</f>
        <v>Отв13</v>
      </c>
      <c r="I612" s="2">
        <v>43638</v>
      </c>
      <c r="J612" s="2">
        <v>43638</v>
      </c>
      <c r="K612" t="s">
        <v>158</v>
      </c>
      <c r="L612">
        <v>0</v>
      </c>
      <c r="M612">
        <v>0</v>
      </c>
      <c r="N612" t="s">
        <v>159</v>
      </c>
      <c r="Q612" t="s">
        <v>124</v>
      </c>
      <c r="R612" t="str">
        <f>HYPERLINK("https://d28ji4sm1vmprj.cloudfront.net/09622a2bb466dfd1cdfb85ce6a712a4c/080b534903fe5ecae6d56f3611cbeb01.jpeg", "Ссылка на план")</f>
        <v>Ссылка на план</v>
      </c>
      <c r="S612" s="1">
        <v>43638.453020833331</v>
      </c>
      <c r="T612" s="1">
        <v>43638.453888888886</v>
      </c>
      <c r="U612" s="1">
        <v>43638.453888888886</v>
      </c>
      <c r="W612" s="1">
        <v>43638.453900462962</v>
      </c>
      <c r="X612" t="s">
        <v>3846</v>
      </c>
      <c r="AA612" t="s">
        <v>4601</v>
      </c>
      <c r="AB612" t="s">
        <v>4602</v>
      </c>
      <c r="AC612" t="s">
        <v>4603</v>
      </c>
      <c r="AD612" t="s">
        <v>4604</v>
      </c>
      <c r="BF612" t="s">
        <v>4605</v>
      </c>
      <c r="BG612" t="s">
        <v>4606</v>
      </c>
      <c r="BH612" t="s">
        <v>167</v>
      </c>
      <c r="BI612" t="str">
        <f>HYPERLINK("https://d33htgqikc2pj4.cloudfront.net/759c1572-144e-49b2-b4b7-49470f027fd9.jpeg", "Андрей Денисов: Ссылка на изображение")</f>
        <v>Андрей Денисов: Ссылка на изображение</v>
      </c>
      <c r="BJ612" t="str">
        <f>HYPERLINK("https://d33htgqikc2pj4.cloudfront.net/c4544cef-0cbf-4b0c-af3c-430f807020fe.jpeg", "Андрей Денисов: Ссылка на изображение")</f>
        <v>Андрей Денисов: Ссылка на изображение</v>
      </c>
    </row>
    <row r="613" spans="1:75" ht="15" customHeight="1" x14ac:dyDescent="0.35">
      <c r="A613">
        <v>115</v>
      </c>
      <c r="B613" t="s">
        <v>4607</v>
      </c>
      <c r="C613">
        <v>2</v>
      </c>
      <c r="D613" t="str">
        <f>VLOOKUP(source[[#This Row],[Приоритет]],тПриоритеты[],2,0)</f>
        <v>Значительное</v>
      </c>
      <c r="E6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3" t="s">
        <v>4451</v>
      </c>
      <c r="G613" t="s">
        <v>157</v>
      </c>
      <c r="H613" t="str">
        <f>VLOOKUP(source[[#This Row],[Отвественный]],тОтветственные[],2,0)</f>
        <v>Отв13</v>
      </c>
      <c r="I613" s="2">
        <v>43620</v>
      </c>
      <c r="J613" s="2">
        <v>43620</v>
      </c>
      <c r="K613" t="s">
        <v>158</v>
      </c>
      <c r="L613">
        <v>0</v>
      </c>
      <c r="M613">
        <v>0</v>
      </c>
      <c r="N613" t="s">
        <v>159</v>
      </c>
      <c r="Q613" t="s">
        <v>124</v>
      </c>
      <c r="R613" t="str">
        <f>HYPERLINK("https://d28ji4sm1vmprj.cloudfront.net/09622a2bb466dfd1cdfb85ce6a712a4c/080b534903fe5ecae6d56f3611cbeb01.jpeg", "Ссылка на план")</f>
        <v>Ссылка на план</v>
      </c>
      <c r="S613" s="1">
        <v>43620.42628472222</v>
      </c>
      <c r="T613" s="1">
        <v>43620.426458333335</v>
      </c>
      <c r="U613" s="1">
        <v>43620.426458333335</v>
      </c>
      <c r="W613" s="1">
        <v>43719.501840277779</v>
      </c>
      <c r="X613" t="s">
        <v>3846</v>
      </c>
      <c r="AA613" t="s">
        <v>4608</v>
      </c>
      <c r="AB613" t="s">
        <v>4609</v>
      </c>
      <c r="AC613" t="s">
        <v>4610</v>
      </c>
      <c r="AD613" t="s">
        <v>4611</v>
      </c>
      <c r="BF613" t="s">
        <v>4612</v>
      </c>
      <c r="BG613" t="s">
        <v>2724</v>
      </c>
      <c r="BH613" t="s">
        <v>167</v>
      </c>
      <c r="BI613" t="str">
        <f>HYPERLINK("https://d33htgqikc2pj4.cloudfront.net/0db19abb-a5e1-4625-9412-7604cef2d37b.jpeg", "Андрей Денисов: Ссылка на изображение")</f>
        <v>Андрей Денисов: Ссылка на изображение</v>
      </c>
      <c r="BJ613" t="str">
        <f>HYPERLINK("https://d33htgqikc2pj4.cloudfront.net/21c90b54-fb97-4068-99f6-69c5e1edf797.jpeg", "Андрей Денисов: Ссылка на изображение")</f>
        <v>Андрей Денисов: Ссылка на изображение</v>
      </c>
      <c r="BK613" t="str">
        <f>HYPERLINK("https://d33htgqikc2pj4.cloudfront.net/fe7d1add-d3aa-490a-a8fa-1a3ae92105e2.jpeg", "Андрей Денисов: Ссылка на изображение")</f>
        <v>Андрей Денисов: Ссылка на изображение</v>
      </c>
      <c r="BL613" t="str">
        <f>HYPERLINK("https://d33htgqikc2pj4.cloudfront.net/020a9dd5-ee8b-44ad-a2fa-29667b472f48.jpeg", "Андрей Денисов: Ссылка на изображение")</f>
        <v>Андрей Денисов: Ссылка на изображение</v>
      </c>
      <c r="BM613" t="str">
        <f>HYPERLINK("https://d33htgqikc2pj4.cloudfront.net/b00b5cf8-393a-4e5e-a48b-ed83904f414c.jpeg", "Андрей Денисов: Ссылка на изображение")</f>
        <v>Андрей Денисов: Ссылка на изображение</v>
      </c>
      <c r="BN613" t="str">
        <f>HYPERLINK("https://d33htgqikc2pj4.cloudfront.net/0ff6b15a-910b-4f11-a1be-43ee4647be2b.jpeg", "Андрей Денисов: Ссылка на изображение")</f>
        <v>Андрей Денисов: Ссылка на изображение</v>
      </c>
      <c r="BO613" t="str">
        <f>HYPERLINK("https://d33htgqikc2pj4.cloudfront.net/588bfc04-4cb3-41ee-847b-d73c5b9d24a1.jpeg", "Андрей Денисов: Ссылка на изображение")</f>
        <v>Андрей Денисов: Ссылка на изображение</v>
      </c>
      <c r="BP613" t="str">
        <f>HYPERLINK("https://d33htgqikc2pj4.cloudfront.net/dd4eed2f-1051-4858-a9be-11385ff3a88b.jpeg", "Андрей Денисов: Ссылка на изображение")</f>
        <v>Андрей Денисов: Ссылка на изображение</v>
      </c>
      <c r="BQ613" t="str">
        <f>HYPERLINK("https://d33htgqikc2pj4.cloudfront.net/6997d405-2065-44fb-a108-150f9709c3ab.jpeg", "Андрей Денисов: Ссылка на изображение")</f>
        <v>Андрей Денисов: Ссылка на изображение</v>
      </c>
      <c r="BR613" t="str">
        <f>HYPERLINK("https://d33htgqikc2pj4.cloudfront.net/4e5596c8-6505-40ac-bd90-c913cd4f4099.jpeg", "Андрей Денисов: Ссылка на изображение")</f>
        <v>Андрей Денисов: Ссылка на изображение</v>
      </c>
      <c r="BS613" t="str">
        <f>HYPERLINK("https://d33htgqikc2pj4.cloudfront.net/1f15563b-32b5-4d82-817d-5817199d2bac.jpeg", "Андрей Денисов: Ссылка на изображение")</f>
        <v>Андрей Денисов: Ссылка на изображение</v>
      </c>
      <c r="BT613" t="str">
        <f>HYPERLINK("https://d33htgqikc2pj4.cloudfront.net/d045df76-bbaf-4649-9356-b0244772d664.jpeg", "Андрей Денисов: Ссылка на изображение")</f>
        <v>Андрей Денисов: Ссылка на изображение</v>
      </c>
      <c r="BU613" t="str">
        <f>HYPERLINK("https://d33htgqikc2pj4.cloudfront.net/f9f5e743-9417-4ff2-b302-f87176d2dc2e.jpeg", "Андрей Денисов: Ссылка на изображение")</f>
        <v>Андрей Денисов: Ссылка на изображение</v>
      </c>
      <c r="BV613" t="str">
        <f>HYPERLINK("https://d33htgqikc2pj4.cloudfront.net/604e9a21-8325-48e6-be87-23cd3754d779.jpeg", "Андрей Денисов: Ссылка на изображение")</f>
        <v>Андрей Денисов: Ссылка на изображение</v>
      </c>
      <c r="BW613" t="str">
        <f>HYPERLINK("https://d33htgqikc2pj4.cloudfront.net/57052d21-f29d-4ae1-8cd0-b2986cb00965.jpeg", "Владимир Чугунов: Ссылка на изображение")</f>
        <v>Владимир Чугунов: Ссылка на изображение</v>
      </c>
    </row>
    <row r="614" spans="1:75" ht="15" customHeight="1" x14ac:dyDescent="0.35">
      <c r="A614">
        <v>173</v>
      </c>
      <c r="B614" t="s">
        <v>4613</v>
      </c>
      <c r="C614">
        <v>3</v>
      </c>
      <c r="D614" t="str">
        <f>VLOOKUP(source[[#This Row],[Приоритет]],тПриоритеты[],2,0)</f>
        <v>Малозначительное</v>
      </c>
      <c r="E6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4" t="s">
        <v>4451</v>
      </c>
      <c r="G614" t="s">
        <v>157</v>
      </c>
      <c r="H614" t="str">
        <f>VLOOKUP(source[[#This Row],[Отвественный]],тОтветственные[],2,0)</f>
        <v>Отв13</v>
      </c>
      <c r="I614" s="2">
        <v>43641</v>
      </c>
      <c r="J614" s="2">
        <v>43641</v>
      </c>
      <c r="K614" t="s">
        <v>158</v>
      </c>
      <c r="L614">
        <v>0</v>
      </c>
      <c r="M614">
        <v>0</v>
      </c>
      <c r="N614" t="s">
        <v>159</v>
      </c>
      <c r="Q614" t="s">
        <v>124</v>
      </c>
      <c r="R614" t="str">
        <f>HYPERLINK("https://d28ji4sm1vmprj.cloudfront.net/09622a2bb466dfd1cdfb85ce6a712a4c/080b534903fe5ecae6d56f3611cbeb01.jpeg", "Ссылка на план")</f>
        <v>Ссылка на план</v>
      </c>
      <c r="S614" s="1">
        <v>43641.693576388891</v>
      </c>
      <c r="T614" s="1">
        <v>43641.69363425926</v>
      </c>
      <c r="U614" s="1">
        <v>43641.69363425926</v>
      </c>
      <c r="W614" s="1">
        <v>43641.69494212963</v>
      </c>
      <c r="X614" t="s">
        <v>3846</v>
      </c>
      <c r="AA614" t="s">
        <v>4614</v>
      </c>
      <c r="AB614" t="s">
        <v>4615</v>
      </c>
      <c r="AC614" t="s">
        <v>4616</v>
      </c>
      <c r="AD614" t="s">
        <v>4617</v>
      </c>
      <c r="BF614" t="s">
        <v>1157</v>
      </c>
      <c r="BG614" t="s">
        <v>167</v>
      </c>
      <c r="BH614" t="s">
        <v>4618</v>
      </c>
      <c r="BI614" t="s">
        <v>4619</v>
      </c>
      <c r="BJ614" t="str">
        <f>HYPERLINK("https://d33htgqikc2pj4.cloudfront.net/0096057a-ab37-4755-b062-c2bf06a04c73.jpeg", "Андрей Денисов: Ссылка на изображение")</f>
        <v>Андрей Денисов: Ссылка на изображение</v>
      </c>
      <c r="BK614" t="str">
        <f>HYPERLINK("https://d33htgqikc2pj4.cloudfront.net/b2eff9d0-235c-471a-9c6e-0fa047350ced.jpeg", "Андрей Денисов: Ссылка на изображение")</f>
        <v>Андрей Денисов: Ссылка на изображение</v>
      </c>
      <c r="BL614" t="str">
        <f>HYPERLINK("https://d33htgqikc2pj4.cloudfront.net/8f714882-5050-426e-853b-43b26fb8e9de.jpeg", "Андрей Денисов: Ссылка на изображение")</f>
        <v>Андрей Денисов: Ссылка на изображение</v>
      </c>
      <c r="BM614" t="str">
        <f>HYPERLINK("https://d33htgqikc2pj4.cloudfront.net/c794c533-4647-4a94-9575-a3f51b2c7339.jpeg", "Андрей Денисов: Ссылка на изображение")</f>
        <v>Андрей Денисов: Ссылка на изображение</v>
      </c>
      <c r="BN614" t="str">
        <f>HYPERLINK("https://d33htgqikc2pj4.cloudfront.net/805ac5e5-19ce-4f3f-8abf-9ab909ff4c56.jpeg", "Андрей Денисов: Ссылка на изображение")</f>
        <v>Андрей Денисов: Ссылка на изображение</v>
      </c>
      <c r="BO614" t="str">
        <f>HYPERLINK("https://d33htgqikc2pj4.cloudfront.net/85247489-43a0-46f3-92a9-47d66f845da9.jpeg", "Андрей Денисов: Ссылка на изображение")</f>
        <v>Андрей Денисов: Ссылка на изображение</v>
      </c>
      <c r="BP614" t="str">
        <f>HYPERLINK("https://d33htgqikc2pj4.cloudfront.net/ee7b9470-b361-4efa-a6b8-2b2518addc2a.jpeg", "Андрей Денисов: Ссылка на изображение")</f>
        <v>Андрей Денисов: Ссылка на изображение</v>
      </c>
      <c r="BQ614" t="str">
        <f>HYPERLINK("https://d33htgqikc2pj4.cloudfront.net/c820fb91-de2d-4abc-bf7d-c4c7a2ba2964.jpeg", "Андрей Денисов: Ссылка на изображение")</f>
        <v>Андрей Денисов: Ссылка на изображение</v>
      </c>
      <c r="BR614" t="str">
        <f>HYPERLINK("https://d33htgqikc2pj4.cloudfront.net/b734f2ee-8386-48a5-8474-1e37142189d6.jpeg", "Андрей Денисов: Ссылка на изображение")</f>
        <v>Андрей Денисов: Ссылка на изображение</v>
      </c>
    </row>
    <row r="615" spans="1:75" ht="15" customHeight="1" x14ac:dyDescent="0.35">
      <c r="A615">
        <v>270</v>
      </c>
      <c r="B615" t="s">
        <v>4620</v>
      </c>
      <c r="C615">
        <v>2</v>
      </c>
      <c r="D615" t="str">
        <f>VLOOKUP(source[[#This Row],[Приоритет]],тПриоритеты[],2,0)</f>
        <v>Значительное</v>
      </c>
      <c r="E6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5" t="s">
        <v>4451</v>
      </c>
      <c r="G615" t="s">
        <v>157</v>
      </c>
      <c r="H615" t="str">
        <f>VLOOKUP(source[[#This Row],[Отвественный]],тОтветственные[],2,0)</f>
        <v>Отв13</v>
      </c>
      <c r="I615" s="2">
        <v>43664</v>
      </c>
      <c r="J615" s="2">
        <v>43664</v>
      </c>
      <c r="K615" t="s">
        <v>122</v>
      </c>
      <c r="L615">
        <v>0</v>
      </c>
      <c r="M615">
        <v>0</v>
      </c>
      <c r="N615" t="s">
        <v>123</v>
      </c>
      <c r="Q615" t="s">
        <v>124</v>
      </c>
      <c r="R615" t="str">
        <f>HYPERLINK("https://d28ji4sm1vmprj.cloudfront.net/78b1fbd1c87eb90dac050448d7e72c8d/a7fb9bbb452cbb899c601a0b8b67fd7d.jpeg", "Ссылка на план")</f>
        <v>Ссылка на план</v>
      </c>
      <c r="S615" s="1">
        <v>43664.669560185182</v>
      </c>
      <c r="T615" s="1">
        <v>43664.669583333336</v>
      </c>
      <c r="U615" s="1">
        <v>43664.669583333336</v>
      </c>
      <c r="W615" s="1">
        <v>43664.670694444445</v>
      </c>
      <c r="X615" t="s">
        <v>406</v>
      </c>
      <c r="AA615" t="s">
        <v>4621</v>
      </c>
      <c r="AB615" t="s">
        <v>4622</v>
      </c>
      <c r="AC615" t="s">
        <v>4623</v>
      </c>
      <c r="AD615" t="s">
        <v>4624</v>
      </c>
      <c r="AE615" t="s">
        <v>4625</v>
      </c>
      <c r="AF615" t="s">
        <v>4626</v>
      </c>
      <c r="AG615" t="s">
        <v>4627</v>
      </c>
      <c r="BF615" t="s">
        <v>167</v>
      </c>
      <c r="BG615" t="s">
        <v>4628</v>
      </c>
      <c r="BH615" t="s">
        <v>290</v>
      </c>
      <c r="BI615" t="str">
        <f>HYPERLINK("https://d33htgqikc2pj4.cloudfront.net/a1775097-ffd6-4378-b028-a84427f9eb04.jpeg", "Андрей Денисов: Ссылка на изображение")</f>
        <v>Андрей Денисов: Ссылка на изображение</v>
      </c>
      <c r="BJ615" t="str">
        <f>HYPERLINK("https://d33htgqikc2pj4.cloudfront.net/3eed112a-0d47-479f-ae95-6e3df81ac645.jpeg", "Андрей Денисов: Ссылка на изображение")</f>
        <v>Андрей Денисов: Ссылка на изображение</v>
      </c>
    </row>
    <row r="616" spans="1:75" ht="15" customHeight="1" x14ac:dyDescent="0.35">
      <c r="A616">
        <v>271</v>
      </c>
      <c r="B616" t="s">
        <v>4629</v>
      </c>
      <c r="C616">
        <v>2</v>
      </c>
      <c r="D616" t="str">
        <f>VLOOKUP(source[[#This Row],[Приоритет]],тПриоритеты[],2,0)</f>
        <v>Значительное</v>
      </c>
      <c r="E6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6" t="s">
        <v>4451</v>
      </c>
      <c r="G616" t="s">
        <v>157</v>
      </c>
      <c r="H616" t="str">
        <f>VLOOKUP(source[[#This Row],[Отвественный]],тОтветственные[],2,0)</f>
        <v>Отв13</v>
      </c>
      <c r="I616" s="2">
        <v>43664</v>
      </c>
      <c r="J616" s="2">
        <v>43664</v>
      </c>
      <c r="K616" t="s">
        <v>104</v>
      </c>
      <c r="L616">
        <v>0</v>
      </c>
      <c r="M616">
        <v>0</v>
      </c>
      <c r="N616" t="s">
        <v>105</v>
      </c>
      <c r="Q616" t="s">
        <v>106</v>
      </c>
      <c r="R616" t="str">
        <f>HYPERLINK("https://d28ji4sm1vmprj.cloudfront.net/e7a526a7220c3bc5cfeeb407c455c0b3/580ffb055aff8ee0c88c6e676cfba776.jpeg", "Ссылка на план")</f>
        <v>Ссылка на план</v>
      </c>
      <c r="S616" s="1">
        <v>43664.671527777777</v>
      </c>
      <c r="T616" s="1">
        <v>43664.672789351855</v>
      </c>
      <c r="U616" s="1">
        <v>43664.672789351855</v>
      </c>
      <c r="W616" s="1">
        <v>43664.673101851855</v>
      </c>
      <c r="X616" t="s">
        <v>406</v>
      </c>
      <c r="AA616" t="s">
        <v>4621</v>
      </c>
      <c r="AB616" t="s">
        <v>4622</v>
      </c>
      <c r="AC616" t="s">
        <v>4623</v>
      </c>
      <c r="AD616" t="s">
        <v>4630</v>
      </c>
      <c r="AE616" t="s">
        <v>4631</v>
      </c>
      <c r="AF616" t="s">
        <v>4626</v>
      </c>
      <c r="AG616" t="s">
        <v>4632</v>
      </c>
      <c r="BF616" t="s">
        <v>167</v>
      </c>
      <c r="BG616" t="s">
        <v>4633</v>
      </c>
      <c r="BH616" t="s">
        <v>290</v>
      </c>
      <c r="BI616" t="s">
        <v>4634</v>
      </c>
      <c r="BJ616" t="str">
        <f>HYPERLINK("https://d33htgqikc2pj4.cloudfront.net/76ff0160-4798-4974-8aca-43977dae2408.jpeg", "Андрей Денисов: Ссылка на изображение")</f>
        <v>Андрей Денисов: Ссылка на изображение</v>
      </c>
      <c r="BK616" t="str">
        <f>HYPERLINK("https://d33htgqikc2pj4.cloudfront.net/268c0f9e-e2a5-426a-847d-b4f65d3e1c76.jpeg", "Андрей Денисов: Ссылка на изображение")</f>
        <v>Андрей Денисов: Ссылка на изображение</v>
      </c>
      <c r="BL616" t="str">
        <f>HYPERLINK("https://d33htgqikc2pj4.cloudfront.net/b7e5f83f-9be7-4a83-aaa4-0b2e8d004c59.jpeg", "Андрей Денисов: Ссылка на изображение")</f>
        <v>Андрей Денисов: Ссылка на изображение</v>
      </c>
      <c r="BM616" t="str">
        <f>HYPERLINK("https://d33htgqikc2pj4.cloudfront.net/573e1154-02f5-44b2-a38e-f386ea5f265f.jpeg", "Андрей Денисов: Ссылка на изображение")</f>
        <v>Андрей Денисов: Ссылка на изображение</v>
      </c>
    </row>
    <row r="617" spans="1:75" ht="15" customHeight="1" x14ac:dyDescent="0.35">
      <c r="A617">
        <v>269</v>
      </c>
      <c r="B617" t="s">
        <v>4635</v>
      </c>
      <c r="C617">
        <v>2</v>
      </c>
      <c r="D617" t="str">
        <f>VLOOKUP(source[[#This Row],[Приоритет]],тПриоритеты[],2,0)</f>
        <v>Значительное</v>
      </c>
      <c r="E6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7" t="s">
        <v>4451</v>
      </c>
      <c r="G617" t="s">
        <v>157</v>
      </c>
      <c r="H617" t="str">
        <f>VLOOKUP(source[[#This Row],[Отвественный]],тОтветственные[],2,0)</f>
        <v>Отв13</v>
      </c>
      <c r="I617" s="2">
        <v>43664</v>
      </c>
      <c r="J617" s="2">
        <v>43664</v>
      </c>
      <c r="K617" t="s">
        <v>313</v>
      </c>
      <c r="L617">
        <v>0</v>
      </c>
      <c r="M617">
        <v>0</v>
      </c>
      <c r="N617" t="s">
        <v>159</v>
      </c>
      <c r="Q617" t="s">
        <v>106</v>
      </c>
      <c r="R617" t="str">
        <f>HYPERLINK("https://d28ji4sm1vmprj.cloudfront.net/464215be55b88773f54b8cd83354babd/02eaaeba9564da889c4ba5d284544147.jpeg", "Ссылка на план")</f>
        <v>Ссылка на план</v>
      </c>
      <c r="S617" s="1">
        <v>43664.667743055557</v>
      </c>
      <c r="T617" s="1">
        <v>43664.667754629627</v>
      </c>
      <c r="U617" s="1">
        <v>43664.667754629627</v>
      </c>
      <c r="W617" s="1">
        <v>43664.668958333335</v>
      </c>
      <c r="X617" t="s">
        <v>3846</v>
      </c>
      <c r="AA617" t="s">
        <v>4636</v>
      </c>
      <c r="AB617" t="s">
        <v>4637</v>
      </c>
      <c r="AC617" t="s">
        <v>4638</v>
      </c>
      <c r="AD617" t="s">
        <v>4639</v>
      </c>
      <c r="BF617" t="s">
        <v>167</v>
      </c>
      <c r="BG617" t="s">
        <v>4640</v>
      </c>
      <c r="BH617" t="s">
        <v>290</v>
      </c>
      <c r="BI617" t="str">
        <f>HYPERLINK("https://d33htgqikc2pj4.cloudfront.net/7ff7a788-ab11-4c3b-870a-5afd8852409f.jpeg", "Андрей Денисов: Ссылка на изображение")</f>
        <v>Андрей Денисов: Ссылка на изображение</v>
      </c>
      <c r="BJ617" t="str">
        <f>HYPERLINK("https://d33htgqikc2pj4.cloudfront.net/4734a9a1-0843-47f9-b194-90e52264c74b.jpeg", "Андрей Денисов: Ссылка на изображение")</f>
        <v>Андрей Денисов: Ссылка на изображение</v>
      </c>
      <c r="BK617" t="str">
        <f>HYPERLINK("https://d33htgqikc2pj4.cloudfront.net/88f76b7c-cf2a-42a1-8228-8ca3ba2d630b.jpeg", "Андрей Денисов: Ссылка на изображение")</f>
        <v>Андрей Денисов: Ссылка на изображение</v>
      </c>
      <c r="BL617" t="str">
        <f>HYPERLINK("https://d33htgqikc2pj4.cloudfront.net/52647bf5-1a22-4ae1-a0a7-d016db9a536b.jpeg", "Андрей Денисов: Ссылка на изображение")</f>
        <v>Андрей Денисов: Ссылка на изображение</v>
      </c>
      <c r="BM617" t="str">
        <f>HYPERLINK("https://d33htgqikc2pj4.cloudfront.net/fbc1bc4e-4f2a-41e9-a9a1-02b9314d0198.jpeg", "Андрей Денисов: Ссылка на изображение")</f>
        <v>Андрей Денисов: Ссылка на изображение</v>
      </c>
      <c r="BN617" t="str">
        <f>HYPERLINK("https://d33htgqikc2pj4.cloudfront.net/375e1dab-30af-47ba-bc91-640ae1e8627d.jpeg", "Андрей Денисов: Ссылка на изображение")</f>
        <v>Андрей Денисов: Ссылка на изображение</v>
      </c>
    </row>
    <row r="618" spans="1:75" ht="15" customHeight="1" x14ac:dyDescent="0.35">
      <c r="A618">
        <v>122</v>
      </c>
      <c r="B618" t="s">
        <v>4641</v>
      </c>
      <c r="C618">
        <v>2</v>
      </c>
      <c r="D618" t="str">
        <f>VLOOKUP(source[[#This Row],[Приоритет]],тПриоритеты[],2,0)</f>
        <v>Значительное</v>
      </c>
      <c r="E6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8" t="s">
        <v>4451</v>
      </c>
      <c r="G618" t="s">
        <v>157</v>
      </c>
      <c r="H618" t="str">
        <f>VLOOKUP(source[[#This Row],[Отвественный]],тОтветственные[],2,0)</f>
        <v>Отв13</v>
      </c>
      <c r="I618" s="2">
        <v>43623</v>
      </c>
      <c r="J618" s="2">
        <v>43623</v>
      </c>
      <c r="K618" t="s">
        <v>158</v>
      </c>
      <c r="L618">
        <v>0</v>
      </c>
      <c r="M618">
        <v>0</v>
      </c>
      <c r="N618" t="s">
        <v>159</v>
      </c>
      <c r="Q618" t="s">
        <v>124</v>
      </c>
      <c r="R618" t="str">
        <f>HYPERLINK("https://d28ji4sm1vmprj.cloudfront.net/09622a2bb466dfd1cdfb85ce6a712a4c/080b534903fe5ecae6d56f3611cbeb01.jpeg", "Ссылка на план")</f>
        <v>Ссылка на план</v>
      </c>
      <c r="S618" s="1">
        <v>43623.520740740743</v>
      </c>
      <c r="T618" s="1">
        <v>43623.520844907405</v>
      </c>
      <c r="U618" s="1">
        <v>43623.520844907405</v>
      </c>
      <c r="W618" s="1">
        <v>43623.525682870371</v>
      </c>
      <c r="X618" t="s">
        <v>3846</v>
      </c>
      <c r="AA618" t="s">
        <v>4642</v>
      </c>
      <c r="AB618" t="s">
        <v>4643</v>
      </c>
      <c r="AC618" t="s">
        <v>4644</v>
      </c>
      <c r="AD618" t="s">
        <v>4645</v>
      </c>
      <c r="BF618" t="s">
        <v>167</v>
      </c>
      <c r="BG618" t="s">
        <v>4646</v>
      </c>
      <c r="BH618" t="s">
        <v>2760</v>
      </c>
      <c r="BI618" t="str">
        <f>HYPERLINK("https://d33htgqikc2pj4.cloudfront.net/f0ae5f02-5b04-46c0-abf9-27c2e66a12e7.jpeg", "Андрей Денисов: Ссылка на изображение")</f>
        <v>Андрей Денисов: Ссылка на изображение</v>
      </c>
      <c r="BJ618" t="str">
        <f>HYPERLINK("https://d33htgqikc2pj4.cloudfront.net/8c85513e-9d11-4410-9f81-40350fcc300f.jpeg", "Андрей Денисов: Ссылка на изображение")</f>
        <v>Андрей Денисов: Ссылка на изображение</v>
      </c>
      <c r="BK618" t="str">
        <f>HYPERLINK("https://d33htgqikc2pj4.cloudfront.net/4cd3195c-99e0-4846-bf5f-8e135709e541.jpeg", "Андрей Денисов: Ссылка на изображение")</f>
        <v>Андрей Денисов: Ссылка на изображение</v>
      </c>
      <c r="BL618" t="str">
        <f>HYPERLINK("https://d33htgqikc2pj4.cloudfront.net/f12ab6bf-990f-40f2-953e-7b0323554b0c.jpeg", "Андрей Денисов: Ссылка на изображение")</f>
        <v>Андрей Денисов: Ссылка на изображение</v>
      </c>
    </row>
    <row r="619" spans="1:75" ht="15" customHeight="1" x14ac:dyDescent="0.35">
      <c r="A619">
        <v>617</v>
      </c>
      <c r="B619" t="s">
        <v>4647</v>
      </c>
      <c r="C619">
        <v>2</v>
      </c>
      <c r="D619" t="str">
        <f>VLOOKUP(source[[#This Row],[Приоритет]],тПриоритеты[],2,0)</f>
        <v>Значительное</v>
      </c>
      <c r="E6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19" t="s">
        <v>4451</v>
      </c>
      <c r="G619" t="s">
        <v>157</v>
      </c>
      <c r="H619" t="str">
        <f>VLOOKUP(source[[#This Row],[Отвественный]],тОтветственные[],2,0)</f>
        <v>Отв13</v>
      </c>
      <c r="I619" s="2">
        <v>43751</v>
      </c>
      <c r="J619" s="2">
        <v>43751</v>
      </c>
      <c r="K619" t="s">
        <v>104</v>
      </c>
      <c r="L619">
        <v>0</v>
      </c>
      <c r="M619">
        <v>0</v>
      </c>
      <c r="N619" t="s">
        <v>105</v>
      </c>
      <c r="Q619" t="s">
        <v>106</v>
      </c>
      <c r="R619" t="str">
        <f>HYPERLINK("https://d28ji4sm1vmprj.cloudfront.net/e7a526a7220c3bc5cfeeb407c455c0b3/580ffb055aff8ee0c88c6e676cfba776.jpeg", "Ссылка на план")</f>
        <v>Ссылка на план</v>
      </c>
      <c r="S619" s="1">
        <v>43753.98746527778</v>
      </c>
      <c r="T619" s="1">
        <v>43753.987476851849</v>
      </c>
      <c r="U619" s="1">
        <v>43753.987476851849</v>
      </c>
      <c r="W619" s="1">
        <v>43753.987881944442</v>
      </c>
      <c r="X619" t="s">
        <v>3217</v>
      </c>
      <c r="AA619" t="s">
        <v>4648</v>
      </c>
      <c r="AB619" t="s">
        <v>4649</v>
      </c>
      <c r="AC619" t="s">
        <v>4650</v>
      </c>
      <c r="AD619" t="s">
        <v>4651</v>
      </c>
      <c r="AE619" t="s">
        <v>4652</v>
      </c>
      <c r="AF619" t="s">
        <v>4653</v>
      </c>
      <c r="AG619" t="s">
        <v>4654</v>
      </c>
      <c r="AH619" t="s">
        <v>4655</v>
      </c>
      <c r="AI619" t="s">
        <v>4656</v>
      </c>
      <c r="AJ619" t="s">
        <v>4657</v>
      </c>
      <c r="AK619" t="s">
        <v>4658</v>
      </c>
      <c r="BF619" t="s">
        <v>167</v>
      </c>
      <c r="BG619" t="s">
        <v>4659</v>
      </c>
      <c r="BH619" t="s">
        <v>310</v>
      </c>
      <c r="BI619" t="s">
        <v>2786</v>
      </c>
      <c r="BJ619" t="str">
        <f>HYPERLINK("https://d33htgqikc2pj4.cloudfront.net/ab77b394-cb2e-4917-bd82-faf0e5bac0c9.jpeg", "Андрей Денисов: Ссылка на изображение")</f>
        <v>Андрей Денисов: Ссылка на изображение</v>
      </c>
      <c r="BK619" t="str">
        <f>HYPERLINK("https://d33htgqikc2pj4.cloudfront.net/2029374e-c90f-41f2-a247-63b4f25a2b3d.jpeg", "Андрей Денисов: Ссылка на изображение")</f>
        <v>Андрей Денисов: Ссылка на изображение</v>
      </c>
      <c r="BL619" t="str">
        <f>HYPERLINK("https://d33htgqikc2pj4.cloudfront.net/151ac7eb-944d-4511-9ffa-a9d2d14bacbf.jpeg", "Андрей Денисов: Ссылка на изображение")</f>
        <v>Андрей Денисов: Ссылка на изображение</v>
      </c>
      <c r="BM619" t="str">
        <f>HYPERLINK("https://d33htgqikc2pj4.cloudfront.net/cdb68207-1927-4f6e-86bf-91ea596995ad.jpeg", "Андрей Денисов: Ссылка на изображение")</f>
        <v>Андрей Денисов: Ссылка на изображение</v>
      </c>
    </row>
    <row r="620" spans="1:75" ht="15" customHeight="1" x14ac:dyDescent="0.35">
      <c r="A620">
        <v>619</v>
      </c>
      <c r="B620" t="s">
        <v>4660</v>
      </c>
      <c r="C620">
        <v>2</v>
      </c>
      <c r="D620" t="str">
        <f>VLOOKUP(source[[#This Row],[Приоритет]],тПриоритеты[],2,0)</f>
        <v>Значительное</v>
      </c>
      <c r="E6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0" t="s">
        <v>4451</v>
      </c>
      <c r="G620" t="s">
        <v>157</v>
      </c>
      <c r="H620" t="str">
        <f>VLOOKUP(source[[#This Row],[Отвественный]],тОтветственные[],2,0)</f>
        <v>Отв13</v>
      </c>
      <c r="I620" s="2">
        <v>43752</v>
      </c>
      <c r="J620" s="2">
        <v>43752</v>
      </c>
      <c r="K620" t="s">
        <v>104</v>
      </c>
      <c r="L620">
        <v>0</v>
      </c>
      <c r="M620">
        <v>0</v>
      </c>
      <c r="N620" t="s">
        <v>105</v>
      </c>
      <c r="Q620" t="s">
        <v>106</v>
      </c>
      <c r="R620" t="str">
        <f>HYPERLINK("https://d28ji4sm1vmprj.cloudfront.net/e7a526a7220c3bc5cfeeb407c455c0b3/580ffb055aff8ee0c88c6e676cfba776.jpeg", "Ссылка на план")</f>
        <v>Ссылка на план</v>
      </c>
      <c r="S620" s="1">
        <v>43753.989884259259</v>
      </c>
      <c r="T620" s="1">
        <v>43753.989907407406</v>
      </c>
      <c r="U620" s="1">
        <v>43753.989907407406</v>
      </c>
      <c r="W620" s="1">
        <v>43753.990370370368</v>
      </c>
      <c r="X620" t="s">
        <v>2835</v>
      </c>
      <c r="AA620" t="s">
        <v>4548</v>
      </c>
      <c r="AB620" t="s">
        <v>4549</v>
      </c>
      <c r="AC620" t="s">
        <v>4550</v>
      </c>
      <c r="AD620" t="s">
        <v>4551</v>
      </c>
      <c r="AE620" t="s">
        <v>4552</v>
      </c>
      <c r="AF620" t="s">
        <v>4553</v>
      </c>
      <c r="AG620" t="s">
        <v>2784</v>
      </c>
      <c r="BF620" t="s">
        <v>167</v>
      </c>
      <c r="BG620" t="s">
        <v>4661</v>
      </c>
      <c r="BH620" t="s">
        <v>2313</v>
      </c>
      <c r="BI620" t="s">
        <v>310</v>
      </c>
      <c r="BJ620" t="s">
        <v>2801</v>
      </c>
      <c r="BK620" t="str">
        <f>HYPERLINK("https://d33htgqikc2pj4.cloudfront.net/dd9a3cd1-a026-4ba5-a09b-ae766ff16abb.jpeg", "Андрей Денисов: Ссылка на изображение")</f>
        <v>Андрей Денисов: Ссылка на изображение</v>
      </c>
      <c r="BL620" t="str">
        <f>HYPERLINK("https://d33htgqikc2pj4.cloudfront.net/5980f1dd-c07f-40dc-b68c-5a038f083f4b.jpeg", "Андрей Денисов: Ссылка на изображение")</f>
        <v>Андрей Денисов: Ссылка на изображение</v>
      </c>
      <c r="BM620" t="str">
        <f>HYPERLINK("https://d33htgqikc2pj4.cloudfront.net/afb727f9-b25a-4218-b399-8b0993484e5b.jpeg", "Андрей Денисов: Ссылка на изображение")</f>
        <v>Андрей Денисов: Ссылка на изображение</v>
      </c>
      <c r="BN620" t="str">
        <f>HYPERLINK("https://d33htgqikc2pj4.cloudfront.net/33a47b28-9f8a-4368-8d07-420a134b3038.jpeg", "Андрей Денисов: Ссылка на изображение")</f>
        <v>Андрей Денисов: Ссылка на изображение</v>
      </c>
      <c r="BO620" t="str">
        <f>HYPERLINK("https://d33htgqikc2pj4.cloudfront.net/076a8c24-a21e-4fed-a818-47761e1b912f.jpeg", "Андрей Денисов: Ссылка на изображение")</f>
        <v>Андрей Денисов: Ссылка на изображение</v>
      </c>
      <c r="BP620" t="str">
        <f>HYPERLINK("https://d33htgqikc2pj4.cloudfront.net/071eeb57-c93c-4f5f-b6ca-ed5b7c333ed5.jpeg", "Андрей Денисов: Ссылка на изображение")</f>
        <v>Андрей Денисов: Ссылка на изображение</v>
      </c>
      <c r="BQ620" t="str">
        <f>HYPERLINK("https://d33htgqikc2pj4.cloudfront.net/86ae43ea-dec9-4b3b-a1c8-ea960ddaebde.jpeg", "Андрей Денисов: Ссылка на изображение")</f>
        <v>Андрей Денисов: Ссылка на изображение</v>
      </c>
      <c r="BR620" t="str">
        <f>HYPERLINK("https://d33htgqikc2pj4.cloudfront.net/fb172692-a9e8-4e40-8e81-e0016c052b37.jpeg", "Андрей Денисов: Ссылка на изображение")</f>
        <v>Андрей Денисов: Ссылка на изображение</v>
      </c>
      <c r="BS620" t="str">
        <f>HYPERLINK("https://d33htgqikc2pj4.cloudfront.net/1d586274-1d97-4ca2-93de-d8013d44a24e.jpeg", "Андрей Денисов: Ссылка на изображение")</f>
        <v>Андрей Денисов: Ссылка на изображение</v>
      </c>
      <c r="BT620" t="str">
        <f>HYPERLINK("https://d33htgqikc2pj4.cloudfront.net/c2f4938e-42b2-4b9c-9941-164f8752d2f2.jpeg", "Андрей Денисов: Ссылка на изображение")</f>
        <v>Андрей Денисов: Ссылка на изображение</v>
      </c>
      <c r="BU620" t="str">
        <f>HYPERLINK("https://d33htgqikc2pj4.cloudfront.net/4c1c73cc-c711-4232-8606-d235b67a2830.jpeg", "Андрей Денисов: Ссылка на изображение")</f>
        <v>Андрей Денисов: Ссылка на изображение</v>
      </c>
      <c r="BV620" t="str">
        <f>HYPERLINK("https://d33htgqikc2pj4.cloudfront.net/81542dc1-1dbe-4db4-ad47-a381cc1855c6.jpeg", "Андрей Денисов: Ссылка на изображение")</f>
        <v>Андрей Денисов: Ссылка на изображение</v>
      </c>
    </row>
    <row r="621" spans="1:75" ht="15" customHeight="1" x14ac:dyDescent="0.35">
      <c r="A621">
        <v>625</v>
      </c>
      <c r="B621" t="s">
        <v>4076</v>
      </c>
      <c r="C621">
        <v>2</v>
      </c>
      <c r="D621" t="str">
        <f>VLOOKUP(source[[#This Row],[Приоритет]],тПриоритеты[],2,0)</f>
        <v>Значительное</v>
      </c>
      <c r="E6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1" t="s">
        <v>4451</v>
      </c>
      <c r="G621" t="s">
        <v>157</v>
      </c>
      <c r="H621" t="str">
        <f>VLOOKUP(source[[#This Row],[Отвественный]],тОтветственные[],2,0)</f>
        <v>Отв13</v>
      </c>
      <c r="I621" s="2">
        <v>43753</v>
      </c>
      <c r="J621" s="2">
        <v>43753</v>
      </c>
      <c r="K621" t="s">
        <v>104</v>
      </c>
      <c r="L621">
        <v>0</v>
      </c>
      <c r="M621">
        <v>0</v>
      </c>
      <c r="N621" t="s">
        <v>105</v>
      </c>
      <c r="Q621" t="s">
        <v>106</v>
      </c>
      <c r="R621" t="str">
        <f>HYPERLINK("https://d28ji4sm1vmprj.cloudfront.net/e7a526a7220c3bc5cfeeb407c455c0b3/580ffb055aff8ee0c88c6e676cfba776.jpeg", "Ссылка на план")</f>
        <v>Ссылка на план</v>
      </c>
      <c r="S621" s="1">
        <v>43753.99690972222</v>
      </c>
      <c r="T621" s="1">
        <v>43753.996921296297</v>
      </c>
      <c r="U621" s="1">
        <v>43753.996921296297</v>
      </c>
      <c r="W621" s="1">
        <v>43753.997106481482</v>
      </c>
      <c r="X621" t="s">
        <v>406</v>
      </c>
      <c r="AA621" t="s">
        <v>4662</v>
      </c>
      <c r="AB621" t="s">
        <v>4663</v>
      </c>
      <c r="AC621" t="s">
        <v>4664</v>
      </c>
      <c r="AD621" t="s">
        <v>4665</v>
      </c>
      <c r="AE621" t="s">
        <v>4666</v>
      </c>
      <c r="AF621" t="s">
        <v>4667</v>
      </c>
      <c r="AG621" t="s">
        <v>4668</v>
      </c>
      <c r="BF621" t="s">
        <v>167</v>
      </c>
      <c r="BG621" t="s">
        <v>4481</v>
      </c>
      <c r="BH621" t="s">
        <v>310</v>
      </c>
      <c r="BI621" t="s">
        <v>2789</v>
      </c>
      <c r="BJ621" t="str">
        <f>HYPERLINK("https://d33htgqikc2pj4.cloudfront.net/3647a9f3-1137-42a5-b122-840812dc6c5b.jpeg", "Андрей Денисов: Ссылка на изображение")</f>
        <v>Андрей Денисов: Ссылка на изображение</v>
      </c>
      <c r="BK621" t="str">
        <f>HYPERLINK("https://d33htgqikc2pj4.cloudfront.net/f18575a3-214d-4d6b-95ea-5f9bfa86ffc7.jpeg", "Андрей Денисов: Ссылка на изображение")</f>
        <v>Андрей Денисов: Ссылка на изображение</v>
      </c>
      <c r="BL621" t="str">
        <f>HYPERLINK("https://d33htgqikc2pj4.cloudfront.net/ae11f419-da4f-432f-901b-d4737eb24a20.jpeg", "Андрей Денисов: Ссылка на изображение")</f>
        <v>Андрей Денисов: Ссылка на изображение</v>
      </c>
      <c r="BM621" t="str">
        <f>HYPERLINK("https://d33htgqikc2pj4.cloudfront.net/bebe7258-eb4b-4285-9fff-76fd52c856ca.jpeg", "Андрей Денисов: Ссылка на изображение")</f>
        <v>Андрей Денисов: Ссылка на изображение</v>
      </c>
      <c r="BN621" t="str">
        <f>HYPERLINK("https://d33htgqikc2pj4.cloudfront.net/a599c749-796f-476a-b59a-3337c91b736c.jpeg", "Андрей Денисов: Ссылка на изображение")</f>
        <v>Андрей Денисов: Ссылка на изображение</v>
      </c>
    </row>
    <row r="622" spans="1:75" ht="15" customHeight="1" x14ac:dyDescent="0.35">
      <c r="A622">
        <v>622</v>
      </c>
      <c r="B622" t="s">
        <v>4669</v>
      </c>
      <c r="C622">
        <v>2</v>
      </c>
      <c r="D622" t="str">
        <f>VLOOKUP(source[[#This Row],[Приоритет]],тПриоритеты[],2,0)</f>
        <v>Значительное</v>
      </c>
      <c r="E6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2" t="s">
        <v>4451</v>
      </c>
      <c r="G622" t="s">
        <v>157</v>
      </c>
      <c r="H622" t="str">
        <f>VLOOKUP(source[[#This Row],[Отвественный]],тОтветственные[],2,0)</f>
        <v>Отв13</v>
      </c>
      <c r="I622" s="2">
        <v>43753</v>
      </c>
      <c r="J622" s="2">
        <v>43753</v>
      </c>
      <c r="K622" t="s">
        <v>104</v>
      </c>
      <c r="L622">
        <v>0</v>
      </c>
      <c r="M622">
        <v>0</v>
      </c>
      <c r="N622" t="s">
        <v>105</v>
      </c>
      <c r="Q622" t="s">
        <v>106</v>
      </c>
      <c r="R622" t="str">
        <f>HYPERLINK("https://d28ji4sm1vmprj.cloudfront.net/e7a526a7220c3bc5cfeeb407c455c0b3/580ffb055aff8ee0c88c6e676cfba776.jpeg", "Ссылка на план")</f>
        <v>Ссылка на план</v>
      </c>
      <c r="S622" s="1">
        <v>43753.994363425925</v>
      </c>
      <c r="T622" s="1">
        <v>43753.994386574072</v>
      </c>
      <c r="U622" s="1">
        <v>43753.994386574072</v>
      </c>
      <c r="W622" s="1">
        <v>43753.994745370372</v>
      </c>
      <c r="X622" t="s">
        <v>2835</v>
      </c>
      <c r="AA622" t="s">
        <v>4548</v>
      </c>
      <c r="AB622" t="s">
        <v>4549</v>
      </c>
      <c r="AC622" t="s">
        <v>4550</v>
      </c>
      <c r="AD622" t="s">
        <v>4551</v>
      </c>
      <c r="AE622" t="s">
        <v>4552</v>
      </c>
      <c r="AF622" t="s">
        <v>4553</v>
      </c>
      <c r="AG622" t="s">
        <v>2784</v>
      </c>
      <c r="BF622" t="s">
        <v>167</v>
      </c>
      <c r="BG622" t="s">
        <v>4670</v>
      </c>
      <c r="BH622" t="s">
        <v>310</v>
      </c>
      <c r="BI622" t="s">
        <v>2789</v>
      </c>
      <c r="BJ622" t="str">
        <f>HYPERLINK("https://d33htgqikc2pj4.cloudfront.net/1daa0577-e71a-4a74-a225-cf6d5c9dba81.jpeg", "Андрей Денисов: Ссылка на изображение")</f>
        <v>Андрей Денисов: Ссылка на изображение</v>
      </c>
      <c r="BK622" t="str">
        <f>HYPERLINK("https://d33htgqikc2pj4.cloudfront.net/c5341abe-7dad-445b-87cf-d73cc2a93d05.jpeg", "Андрей Денисов: Ссылка на изображение")</f>
        <v>Андрей Денисов: Ссылка на изображение</v>
      </c>
      <c r="BL622" t="str">
        <f>HYPERLINK("https://d33htgqikc2pj4.cloudfront.net/8c6d73bc-cb7f-41c9-b22d-972e2cb36f38.jpeg", "Андрей Денисов: Ссылка на изображение")</f>
        <v>Андрей Денисов: Ссылка на изображение</v>
      </c>
      <c r="BM622" t="str">
        <f>HYPERLINK("https://d33htgqikc2pj4.cloudfront.net/068a64ae-ae4c-4207-9a15-5f00b8efc567.jpeg", "Андрей Денисов: Ссылка на изображение")</f>
        <v>Андрей Денисов: Ссылка на изображение</v>
      </c>
      <c r="BN622" t="str">
        <f>HYPERLINK("https://d33htgqikc2pj4.cloudfront.net/b4ea3557-f21f-40c4-9553-f64402d292df.jpeg", "Андрей Денисов: Ссылка на изображение")</f>
        <v>Андрей Денисов: Ссылка на изображение</v>
      </c>
      <c r="BO622" t="str">
        <f>HYPERLINK("https://d33htgqikc2pj4.cloudfront.net/b92c5867-0d99-4db9-bc8d-738809df23c8.jpeg", "Андрей Денисов: Ссылка на изображение")</f>
        <v>Андрей Денисов: Ссылка на изображение</v>
      </c>
      <c r="BP622" t="str">
        <f>HYPERLINK("https://d33htgqikc2pj4.cloudfront.net/a57b83e4-eb56-4037-a47f-918f2938669a.jpeg", "Андрей Денисов: Ссылка на изображение")</f>
        <v>Андрей Денисов: Ссылка на изображение</v>
      </c>
      <c r="BQ622" t="str">
        <f>HYPERLINK("https://d33htgqikc2pj4.cloudfront.net/5176808e-c912-464e-8b3a-4b8a268718a6.jpeg", "Андрей Денисов: Ссылка на изображение")</f>
        <v>Андрей Денисов: Ссылка на изображение</v>
      </c>
      <c r="BR622" t="str">
        <f>HYPERLINK("https://d33htgqikc2pj4.cloudfront.net/345b5093-c42b-489d-a011-cdc29e44ccc4.jpeg", "Андрей Денисов: Ссылка на изображение")</f>
        <v>Андрей Денисов: Ссылка на изображение</v>
      </c>
    </row>
    <row r="623" spans="1:75" ht="15" customHeight="1" x14ac:dyDescent="0.35">
      <c r="A623">
        <v>623</v>
      </c>
      <c r="B623" t="s">
        <v>4671</v>
      </c>
      <c r="C623">
        <v>2</v>
      </c>
      <c r="D623" t="str">
        <f>VLOOKUP(source[[#This Row],[Приоритет]],тПриоритеты[],2,0)</f>
        <v>Значительное</v>
      </c>
      <c r="E6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3" t="s">
        <v>4451</v>
      </c>
      <c r="G623" t="s">
        <v>157</v>
      </c>
      <c r="H623" t="str">
        <f>VLOOKUP(source[[#This Row],[Отвественный]],тОтветственные[],2,0)</f>
        <v>Отв13</v>
      </c>
      <c r="I623" s="2">
        <v>43753</v>
      </c>
      <c r="J623" s="2">
        <v>43753</v>
      </c>
      <c r="K623" t="s">
        <v>104</v>
      </c>
      <c r="L623">
        <v>0</v>
      </c>
      <c r="M623">
        <v>0</v>
      </c>
      <c r="N623" t="s">
        <v>105</v>
      </c>
      <c r="Q623" t="s">
        <v>106</v>
      </c>
      <c r="R623" t="str">
        <f>HYPERLINK("https://d28ji4sm1vmprj.cloudfront.net/e7a526a7220c3bc5cfeeb407c455c0b3/580ffb055aff8ee0c88c6e676cfba776.jpeg", "Ссылка на план")</f>
        <v>Ссылка на план</v>
      </c>
      <c r="S623" s="1">
        <v>43753.995439814818</v>
      </c>
      <c r="T623" s="1">
        <v>43753.995462962965</v>
      </c>
      <c r="U623" s="1">
        <v>43753.995462962965</v>
      </c>
      <c r="W623" s="1">
        <v>43753.995717592596</v>
      </c>
      <c r="X623" t="s">
        <v>3217</v>
      </c>
      <c r="AA623" t="s">
        <v>4648</v>
      </c>
      <c r="AB623" t="s">
        <v>4649</v>
      </c>
      <c r="AC623" t="s">
        <v>4650</v>
      </c>
      <c r="AD623" t="s">
        <v>4651</v>
      </c>
      <c r="AE623" t="s">
        <v>4652</v>
      </c>
      <c r="AF623" t="s">
        <v>4653</v>
      </c>
      <c r="AG623" t="s">
        <v>4654</v>
      </c>
      <c r="AH623" t="s">
        <v>4655</v>
      </c>
      <c r="AI623" t="s">
        <v>4656</v>
      </c>
      <c r="AJ623" t="s">
        <v>4657</v>
      </c>
      <c r="AK623" t="s">
        <v>4658</v>
      </c>
      <c r="BF623" t="s">
        <v>167</v>
      </c>
      <c r="BG623" t="s">
        <v>4672</v>
      </c>
      <c r="BH623" t="s">
        <v>310</v>
      </c>
      <c r="BI623" t="s">
        <v>2789</v>
      </c>
      <c r="BJ623" t="str">
        <f>HYPERLINK("https://d33htgqikc2pj4.cloudfront.net/6508640e-2893-4b96-9878-e6fdeec7013f.jpeg", "Андрей Денисов: Ссылка на изображение")</f>
        <v>Андрей Денисов: Ссылка на изображение</v>
      </c>
      <c r="BK623" t="str">
        <f>HYPERLINK("https://d33htgqikc2pj4.cloudfront.net/4e85a7d4-c671-43da-b900-2f5cc6ef0259.jpeg", "Андрей Денисов: Ссылка на изображение")</f>
        <v>Андрей Денисов: Ссылка на изображение</v>
      </c>
      <c r="BL623" t="str">
        <f>HYPERLINK("https://d33htgqikc2pj4.cloudfront.net/bfdcc991-e710-4cf8-818c-d86220c0780d.jpeg", "Андрей Денисов: Ссылка на изображение")</f>
        <v>Андрей Денисов: Ссылка на изображение</v>
      </c>
      <c r="BM623" t="str">
        <f>HYPERLINK("https://d33htgqikc2pj4.cloudfront.net/171d8320-3b1e-495a-a811-27c7628fa831.jpeg", "Андрей Денисов: Ссылка на изображение")</f>
        <v>Андрей Денисов: Ссылка на изображение</v>
      </c>
      <c r="BN623" t="str">
        <f>HYPERLINK("https://d33htgqikc2pj4.cloudfront.net/e5ce0b24-addb-42bf-9024-347065b0b887.jpeg", "Андрей Денисов: Ссылка на изображение")</f>
        <v>Андрей Денисов: Ссылка на изображение</v>
      </c>
      <c r="BO623" t="str">
        <f>HYPERLINK("https://d33htgqikc2pj4.cloudfront.net/92020959-3115-4278-b922-66a731eb9138.jpeg", "Андрей Денисов: Ссылка на изображение")</f>
        <v>Андрей Денисов: Ссылка на изображение</v>
      </c>
      <c r="BP623" t="str">
        <f>HYPERLINK("https://d33htgqikc2pj4.cloudfront.net/486c5dff-01d1-49ce-8f86-6689cef6b21e.jpeg", "Андрей Денисов: Ссылка на изображение")</f>
        <v>Андрей Денисов: Ссылка на изображение</v>
      </c>
      <c r="BQ623" t="str">
        <f>HYPERLINK("https://d33htgqikc2pj4.cloudfront.net/3a091fa2-6865-40ab-bce2-338c39108ecb.jpeg", "Андрей Денисов: Ссылка на изображение")</f>
        <v>Андрей Денисов: Ссылка на изображение</v>
      </c>
    </row>
    <row r="624" spans="1:75" ht="15" customHeight="1" x14ac:dyDescent="0.35">
      <c r="A624">
        <v>184</v>
      </c>
      <c r="B624" t="s">
        <v>4673</v>
      </c>
      <c r="C624">
        <v>2</v>
      </c>
      <c r="D624" t="str">
        <f>VLOOKUP(source[[#This Row],[Приоритет]],тПриоритеты[],2,0)</f>
        <v>Значительное</v>
      </c>
      <c r="E6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4" t="s">
        <v>4451</v>
      </c>
      <c r="G624" t="s">
        <v>157</v>
      </c>
      <c r="H624" t="str">
        <f>VLOOKUP(source[[#This Row],[Отвественный]],тОтветственные[],2,0)</f>
        <v>Отв13</v>
      </c>
      <c r="I624" s="2">
        <v>43647</v>
      </c>
      <c r="J624" s="2">
        <v>43647</v>
      </c>
      <c r="K624" t="s">
        <v>158</v>
      </c>
      <c r="L624">
        <v>0</v>
      </c>
      <c r="M624">
        <v>0</v>
      </c>
      <c r="N624" t="s">
        <v>159</v>
      </c>
      <c r="Q624" t="s">
        <v>124</v>
      </c>
      <c r="R624" t="str">
        <f>HYPERLINK("https://d28ji4sm1vmprj.cloudfront.net/09622a2bb466dfd1cdfb85ce6a712a4c/080b534903fe5ecae6d56f3611cbeb01.jpeg", "Ссылка на план")</f>
        <v>Ссылка на план</v>
      </c>
      <c r="S624" s="1">
        <v>43647.47761574074</v>
      </c>
      <c r="T624" s="1">
        <v>43647.477650462963</v>
      </c>
      <c r="U624" s="1">
        <v>43647.477650462963</v>
      </c>
      <c r="W624" s="1">
        <v>43647.479016203702</v>
      </c>
      <c r="X624" t="s">
        <v>3846</v>
      </c>
      <c r="AA624" t="s">
        <v>4674</v>
      </c>
      <c r="AB624" t="s">
        <v>4675</v>
      </c>
      <c r="AC624" t="s">
        <v>4676</v>
      </c>
      <c r="AD624" t="s">
        <v>4677</v>
      </c>
      <c r="BF624" t="s">
        <v>167</v>
      </c>
      <c r="BG624" t="s">
        <v>4678</v>
      </c>
      <c r="BH624" t="s">
        <v>4679</v>
      </c>
      <c r="BI624" t="str">
        <f>HYPERLINK("https://d33htgqikc2pj4.cloudfront.net/5748dbb1-9cf2-4d10-b514-96bd2592a476.jpeg", "Андрей Денисов: Ссылка на изображение")</f>
        <v>Андрей Денисов: Ссылка на изображение</v>
      </c>
      <c r="BJ624" t="str">
        <f>HYPERLINK("https://d33htgqikc2pj4.cloudfront.net/d918f891-481e-4118-8245-5a5601bbfeee.jpeg", "Андрей Денисов: Ссылка на изображение")</f>
        <v>Андрей Денисов: Ссылка на изображение</v>
      </c>
      <c r="BK624" t="str">
        <f>HYPERLINK("https://d33htgqikc2pj4.cloudfront.net/4dc8d6ea-bbef-4bf0-a804-4d407f86ae96.jpeg", "Андрей Денисов: Ссылка на изображение")</f>
        <v>Андрей Денисов: Ссылка на изображение</v>
      </c>
      <c r="BL624" t="str">
        <f>HYPERLINK("https://d33htgqikc2pj4.cloudfront.net/6ec1eced-5da9-451a-9243-d5775ea21cf9.jpeg", "Андрей Денисов: Ссылка на изображение")</f>
        <v>Андрей Денисов: Ссылка на изображение</v>
      </c>
    </row>
    <row r="625" spans="1:71" ht="15" customHeight="1" x14ac:dyDescent="0.35">
      <c r="A625">
        <v>279</v>
      </c>
      <c r="B625" t="s">
        <v>4680</v>
      </c>
      <c r="C625">
        <v>2</v>
      </c>
      <c r="D625" t="str">
        <f>VLOOKUP(source[[#This Row],[Приоритет]],тПриоритеты[],2,0)</f>
        <v>Значительное</v>
      </c>
      <c r="E6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5" t="s">
        <v>4451</v>
      </c>
      <c r="G625" t="s">
        <v>157</v>
      </c>
      <c r="H625" t="str">
        <f>VLOOKUP(source[[#This Row],[Отвественный]],тОтветственные[],2,0)</f>
        <v>Отв13</v>
      </c>
      <c r="I625" s="2">
        <v>43666</v>
      </c>
      <c r="J625" s="2">
        <v>43666</v>
      </c>
      <c r="K625" t="s">
        <v>104</v>
      </c>
      <c r="L625">
        <v>0</v>
      </c>
      <c r="M625">
        <v>0</v>
      </c>
      <c r="N625" t="s">
        <v>123</v>
      </c>
      <c r="Q625" t="s">
        <v>106</v>
      </c>
      <c r="R625" t="str">
        <f>HYPERLINK("https://d28ji4sm1vmprj.cloudfront.net/e7a526a7220c3bc5cfeeb407c455c0b3/580ffb055aff8ee0c88c6e676cfba776.jpeg", "Ссылка на план")</f>
        <v>Ссылка на план</v>
      </c>
      <c r="S625" s="1">
        <v>43666.664143518516</v>
      </c>
      <c r="T625" s="1">
        <v>43666.664513888885</v>
      </c>
      <c r="U625" s="1">
        <v>43666.664513888885</v>
      </c>
      <c r="W625" s="1">
        <v>43666.664756944447</v>
      </c>
      <c r="X625" t="s">
        <v>406</v>
      </c>
      <c r="AA625" t="s">
        <v>4681</v>
      </c>
      <c r="AB625" t="s">
        <v>4682</v>
      </c>
      <c r="AC625" t="s">
        <v>4683</v>
      </c>
      <c r="AD625" t="s">
        <v>4684</v>
      </c>
      <c r="AE625" t="s">
        <v>4685</v>
      </c>
      <c r="AF625" t="s">
        <v>4686</v>
      </c>
      <c r="AG625" t="s">
        <v>4687</v>
      </c>
      <c r="BF625" t="s">
        <v>4688</v>
      </c>
      <c r="BG625" t="s">
        <v>167</v>
      </c>
      <c r="BH625" t="s">
        <v>311</v>
      </c>
      <c r="BI625" t="s">
        <v>4634</v>
      </c>
      <c r="BJ625" t="str">
        <f>HYPERLINK("https://d33htgqikc2pj4.cloudfront.net/2daf374e-7bba-4ee9-a2fc-4b185651a07f.jpeg", "Андрей Денисов: Ссылка на изображение")</f>
        <v>Андрей Денисов: Ссылка на изображение</v>
      </c>
      <c r="BK625" t="str">
        <f>HYPERLINK("https://d33htgqikc2pj4.cloudfront.net/27b9dc61-421a-4359-b363-37b4940f72d3.jpeg", "Андрей Денисов: Ссылка на изображение")</f>
        <v>Андрей Денисов: Ссылка на изображение</v>
      </c>
      <c r="BL625" t="str">
        <f>HYPERLINK("https://d33htgqikc2pj4.cloudfront.net/47b4be5a-c828-43e8-ac9e-0781a7ba93d2.jpeg", "Андрей Денисов: Ссылка на изображение")</f>
        <v>Андрей Денисов: Ссылка на изображение</v>
      </c>
      <c r="BM625" t="str">
        <f>HYPERLINK("https://d33htgqikc2pj4.cloudfront.net/a327c049-0df8-491e-88e3-d0dfe30db9da.jpeg", "Андрей Денисов: Ссылка на изображение")</f>
        <v>Андрей Денисов: Ссылка на изображение</v>
      </c>
      <c r="BN625" t="str">
        <f>HYPERLINK("https://d33htgqikc2pj4.cloudfront.net/2e1a5222-9985-4d66-badd-317c2c60f864.jpeg", "Андрей Денисов: Ссылка на изображение")</f>
        <v>Андрей Денисов: Ссылка на изображение</v>
      </c>
      <c r="BO625" t="str">
        <f>HYPERLINK("https://d33htgqikc2pj4.cloudfront.net/4890681d-3c3c-4364-8468-0e2db133cf0f.jpeg", "Андрей Денисов: Ссылка на изображение")</f>
        <v>Андрей Денисов: Ссылка на изображение</v>
      </c>
      <c r="BP625" t="str">
        <f>HYPERLINK("https://d33htgqikc2pj4.cloudfront.net/88086191-64f6-442f-8b3e-51a03ad045bf.jpeg", "Андрей Денисов: Ссылка на изображение")</f>
        <v>Андрей Денисов: Ссылка на изображение</v>
      </c>
    </row>
    <row r="626" spans="1:71" ht="15" customHeight="1" x14ac:dyDescent="0.35">
      <c r="A626">
        <v>278</v>
      </c>
      <c r="B626" t="s">
        <v>4689</v>
      </c>
      <c r="C626">
        <v>2</v>
      </c>
      <c r="D626" t="str">
        <f>VLOOKUP(source[[#This Row],[Приоритет]],тПриоритеты[],2,0)</f>
        <v>Значительное</v>
      </c>
      <c r="E6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6" t="s">
        <v>4451</v>
      </c>
      <c r="G626" t="s">
        <v>157</v>
      </c>
      <c r="H626" t="str">
        <f>VLOOKUP(source[[#This Row],[Отвественный]],тОтветственные[],2,0)</f>
        <v>Отв13</v>
      </c>
      <c r="I626" s="2">
        <v>43666</v>
      </c>
      <c r="J626" s="2">
        <v>43666</v>
      </c>
      <c r="K626" t="s">
        <v>313</v>
      </c>
      <c r="L626">
        <v>0</v>
      </c>
      <c r="M626">
        <v>0</v>
      </c>
      <c r="N626" t="s">
        <v>159</v>
      </c>
      <c r="Q626" t="s">
        <v>106</v>
      </c>
      <c r="R626" t="str">
        <f>HYPERLINK("https://d28ji4sm1vmprj.cloudfront.net/464215be55b88773f54b8cd83354babd/02eaaeba9564da889c4ba5d284544147.jpeg", "Ссылка на план")</f>
        <v>Ссылка на план</v>
      </c>
      <c r="S626" s="1">
        <v>43666.661828703705</v>
      </c>
      <c r="T626" s="1">
        <v>43666.66265046296</v>
      </c>
      <c r="U626" s="1">
        <v>43666.66265046296</v>
      </c>
      <c r="W626" s="1">
        <v>43666.662789351853</v>
      </c>
      <c r="X626" t="s">
        <v>3846</v>
      </c>
      <c r="AA626" t="s">
        <v>4690</v>
      </c>
      <c r="AB626" t="s">
        <v>4691</v>
      </c>
      <c r="AC626" t="s">
        <v>4692</v>
      </c>
      <c r="AD626" t="s">
        <v>4693</v>
      </c>
      <c r="BF626" t="s">
        <v>4694</v>
      </c>
      <c r="BG626" t="s">
        <v>167</v>
      </c>
      <c r="BH626" t="s">
        <v>311</v>
      </c>
      <c r="BI626" t="str">
        <f>HYPERLINK("https://d33htgqikc2pj4.cloudfront.net/24e160c3-9b26-425d-93c9-954795aef987.jpeg", "Андрей Денисов: Ссылка на изображение")</f>
        <v>Андрей Денисов: Ссылка на изображение</v>
      </c>
      <c r="BJ626" t="str">
        <f>HYPERLINK("https://d33htgqikc2pj4.cloudfront.net/7b08937d-9207-4e42-8dfe-e96ca33dff6b.jpeg", "Андрей Денисов: Ссылка на изображение")</f>
        <v>Андрей Денисов: Ссылка на изображение</v>
      </c>
      <c r="BK626" t="str">
        <f>HYPERLINK("https://d33htgqikc2pj4.cloudfront.net/ac937a5c-789e-4e06-addd-d5ae87f6ecfa.jpeg", "Андрей Денисов: Ссылка на изображение")</f>
        <v>Андрей Денисов: Ссылка на изображение</v>
      </c>
      <c r="BL626" t="str">
        <f>HYPERLINK("https://d33htgqikc2pj4.cloudfront.net/4ec275df-a25b-4162-9a3c-74fdb70fac80.jpeg", "Андрей Денисов: Ссылка на изображение")</f>
        <v>Андрей Денисов: Ссылка на изображение</v>
      </c>
      <c r="BM626" t="str">
        <f>HYPERLINK("https://d33htgqikc2pj4.cloudfront.net/df5dfe2d-15ff-4de4-ab2d-ad69cc779a1a.jpeg", "Андрей Денисов: Ссылка на изображение")</f>
        <v>Андрей Денисов: Ссылка на изображение</v>
      </c>
      <c r="BN626" t="str">
        <f>HYPERLINK("https://d33htgqikc2pj4.cloudfront.net/424143c1-2500-453d-bfc5-aa91f7b515e0.jpeg", "Андрей Денисов: Ссылка на изображение")</f>
        <v>Андрей Денисов: Ссылка на изображение</v>
      </c>
      <c r="BO626" t="str">
        <f>HYPERLINK("https://d33htgqikc2pj4.cloudfront.net/0ab4ef40-c6af-42c7-8633-74aff9bf6a27.jpeg", "Андрей Денисов: Ссылка на изображение")</f>
        <v>Андрей Денисов: Ссылка на изображение</v>
      </c>
      <c r="BP626" t="str">
        <f>HYPERLINK("https://d33htgqikc2pj4.cloudfront.net/3080bdf9-3ce4-449d-96b2-0a38fd28601b.jpeg", "Андрей Денисов: Ссылка на изображение")</f>
        <v>Андрей Денисов: Ссылка на изображение</v>
      </c>
    </row>
    <row r="627" spans="1:71" ht="15" customHeight="1" x14ac:dyDescent="0.35">
      <c r="A627">
        <v>620</v>
      </c>
      <c r="B627" t="s">
        <v>4695</v>
      </c>
      <c r="C627">
        <v>2</v>
      </c>
      <c r="D627" t="str">
        <f>VLOOKUP(source[[#This Row],[Приоритет]],тПриоритеты[],2,0)</f>
        <v>Значительное</v>
      </c>
      <c r="E6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7" t="s">
        <v>4451</v>
      </c>
      <c r="G627" t="s">
        <v>157</v>
      </c>
      <c r="H627" t="str">
        <f>VLOOKUP(source[[#This Row],[Отвественный]],тОтветственные[],2,0)</f>
        <v>Отв13</v>
      </c>
      <c r="I627" s="2">
        <v>43752</v>
      </c>
      <c r="J627" s="2">
        <v>43752</v>
      </c>
      <c r="K627" t="s">
        <v>104</v>
      </c>
      <c r="L627">
        <v>0</v>
      </c>
      <c r="M627">
        <v>0</v>
      </c>
      <c r="N627" t="s">
        <v>105</v>
      </c>
      <c r="Q627" t="s">
        <v>106</v>
      </c>
      <c r="R627" t="str">
        <f>HYPERLINK("https://d28ji4sm1vmprj.cloudfront.net/e7a526a7220c3bc5cfeeb407c455c0b3/580ffb055aff8ee0c88c6e676cfba776.jpeg", "Ссылка на план")</f>
        <v>Ссылка на план</v>
      </c>
      <c r="S627" s="1">
        <v>43753.991493055553</v>
      </c>
      <c r="T627" s="1">
        <v>43753.99150462963</v>
      </c>
      <c r="U627" s="1">
        <v>43753.99150462963</v>
      </c>
      <c r="W627" s="1">
        <v>43753.991840277777</v>
      </c>
      <c r="X627" t="s">
        <v>3217</v>
      </c>
      <c r="AA627" t="s">
        <v>4648</v>
      </c>
      <c r="AB627" t="s">
        <v>4649</v>
      </c>
      <c r="AC627" t="s">
        <v>4650</v>
      </c>
      <c r="AD627" t="s">
        <v>4651</v>
      </c>
      <c r="AE627" t="s">
        <v>4652</v>
      </c>
      <c r="AF627" t="s">
        <v>4653</v>
      </c>
      <c r="AG627" t="s">
        <v>4654</v>
      </c>
      <c r="AH627" t="s">
        <v>4655</v>
      </c>
      <c r="AI627" t="s">
        <v>4656</v>
      </c>
      <c r="AJ627" t="s">
        <v>4657</v>
      </c>
      <c r="AK627" t="s">
        <v>4658</v>
      </c>
      <c r="BF627" t="s">
        <v>167</v>
      </c>
      <c r="BG627" t="s">
        <v>4696</v>
      </c>
      <c r="BH627" t="s">
        <v>310</v>
      </c>
      <c r="BI627" t="s">
        <v>2801</v>
      </c>
      <c r="BJ627" t="str">
        <f>HYPERLINK("https://d33htgqikc2pj4.cloudfront.net/27be16af-b9f8-4cb8-a5cd-e67b9a099b3d.jpeg", "Андрей Денисов: Ссылка на изображение")</f>
        <v>Андрей Денисов: Ссылка на изображение</v>
      </c>
      <c r="BK627" t="str">
        <f>HYPERLINK("https://d33htgqikc2pj4.cloudfront.net/edb3c242-75a2-4fca-b4f7-f39476ef6dac.jpeg", "Андрей Денисов: Ссылка на изображение")</f>
        <v>Андрей Денисов: Ссылка на изображение</v>
      </c>
      <c r="BL627" t="str">
        <f>HYPERLINK("https://d33htgqikc2pj4.cloudfront.net/afd92a41-d4ac-448c-9a7b-b89015928bf9.jpeg", "Андрей Денисов: Ссылка на изображение")</f>
        <v>Андрей Денисов: Ссылка на изображение</v>
      </c>
      <c r="BM627" t="str">
        <f>HYPERLINK("https://d33htgqikc2pj4.cloudfront.net/1b60223c-3a7f-4766-b957-8048e0aec671.jpeg", "Андрей Денисов: Ссылка на изображение")</f>
        <v>Андрей Денисов: Ссылка на изображение</v>
      </c>
      <c r="BN627" t="str">
        <f>HYPERLINK("https://d33htgqikc2pj4.cloudfront.net/a6eb9413-160a-48c3-9086-b7217b5ac694.jpeg", "Андрей Денисов: Ссылка на изображение")</f>
        <v>Андрей Денисов: Ссылка на изображение</v>
      </c>
    </row>
    <row r="628" spans="1:71" ht="15" customHeight="1" x14ac:dyDescent="0.35">
      <c r="A628">
        <v>368</v>
      </c>
      <c r="B628" t="s">
        <v>4697</v>
      </c>
      <c r="C628">
        <v>2</v>
      </c>
      <c r="D628" t="str">
        <f>VLOOKUP(source[[#This Row],[Приоритет]],тПриоритеты[],2,0)</f>
        <v>Значительное</v>
      </c>
      <c r="E6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8" t="s">
        <v>4451</v>
      </c>
      <c r="G628" t="s">
        <v>157</v>
      </c>
      <c r="H628" t="str">
        <f>VLOOKUP(source[[#This Row],[Отвественный]],тОтветственные[],2,0)</f>
        <v>Отв13</v>
      </c>
      <c r="I628" s="2">
        <v>43694</v>
      </c>
      <c r="J628" s="2">
        <v>43694</v>
      </c>
      <c r="K628" t="s">
        <v>122</v>
      </c>
      <c r="L628">
        <v>23</v>
      </c>
      <c r="M628">
        <v>12.5</v>
      </c>
      <c r="N628" t="s">
        <v>123</v>
      </c>
      <c r="Q628" t="s">
        <v>124</v>
      </c>
      <c r="R628" t="str">
        <f>HYPERLINK("https://d28ji4sm1vmprj.cloudfront.net/78b1fbd1c87eb90dac050448d7e72c8d/a7fb9bbb452cbb899c601a0b8b67fd7d.jpeg", "Ссылка на план")</f>
        <v>Ссылка на план</v>
      </c>
      <c r="S628" s="1">
        <v>43694.691064814811</v>
      </c>
      <c r="T628" s="1">
        <v>43694.691087962965</v>
      </c>
      <c r="U628" s="1">
        <v>43694.691087962965</v>
      </c>
      <c r="W628" s="1">
        <v>43694.691932870373</v>
      </c>
      <c r="X628" t="s">
        <v>406</v>
      </c>
      <c r="AA628" t="s">
        <v>4698</v>
      </c>
      <c r="AB628" t="s">
        <v>4699</v>
      </c>
      <c r="AC628" t="s">
        <v>4700</v>
      </c>
      <c r="AD628" t="s">
        <v>4701</v>
      </c>
      <c r="AE628" t="s">
        <v>4702</v>
      </c>
      <c r="AF628" t="s">
        <v>4703</v>
      </c>
      <c r="AG628" t="s">
        <v>4704</v>
      </c>
      <c r="BF628" t="s">
        <v>167</v>
      </c>
      <c r="BG628" t="s">
        <v>4705</v>
      </c>
      <c r="BH628" t="s">
        <v>4706</v>
      </c>
      <c r="BI628" t="s">
        <v>310</v>
      </c>
      <c r="BJ628" t="s">
        <v>2833</v>
      </c>
      <c r="BK628" t="str">
        <f>HYPERLINK("https://d33htgqikc2pj4.cloudfront.net/42c34398-6320-4542-8adc-77cb28cf585e.jpeg", "Андрей Денисов: Ссылка на изображение")</f>
        <v>Андрей Денисов: Ссылка на изображение</v>
      </c>
    </row>
    <row r="629" spans="1:71" ht="15" customHeight="1" x14ac:dyDescent="0.35">
      <c r="A629">
        <v>308</v>
      </c>
      <c r="B629" t="s">
        <v>4707</v>
      </c>
      <c r="C629">
        <v>2</v>
      </c>
      <c r="D629" t="str">
        <f>VLOOKUP(source[[#This Row],[Приоритет]],тПриоритеты[],2,0)</f>
        <v>Значительное</v>
      </c>
      <c r="E6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29" t="s">
        <v>4451</v>
      </c>
      <c r="G629" t="s">
        <v>157</v>
      </c>
      <c r="H629" t="str">
        <f>VLOOKUP(source[[#This Row],[Отвественный]],тОтветственные[],2,0)</f>
        <v>Отв13</v>
      </c>
      <c r="I629" s="2">
        <v>43674</v>
      </c>
      <c r="J629" s="2">
        <v>43674</v>
      </c>
      <c r="K629" t="s">
        <v>104</v>
      </c>
      <c r="L629">
        <v>0</v>
      </c>
      <c r="M629">
        <v>0</v>
      </c>
      <c r="N629" t="s">
        <v>105</v>
      </c>
      <c r="Q629" t="s">
        <v>106</v>
      </c>
      <c r="R629" t="str">
        <f>HYPERLINK("https://d28ji4sm1vmprj.cloudfront.net/e7a526a7220c3bc5cfeeb407c455c0b3/580ffb055aff8ee0c88c6e676cfba776.jpeg", "Ссылка на план")</f>
        <v>Ссылка на план</v>
      </c>
      <c r="S629" s="1">
        <v>43674.919247685182</v>
      </c>
      <c r="T629" s="1">
        <v>43674.919270833336</v>
      </c>
      <c r="U629" s="1">
        <v>43674.919270833336</v>
      </c>
      <c r="W629" s="1">
        <v>43676.375625000001</v>
      </c>
      <c r="BF629" t="s">
        <v>167</v>
      </c>
      <c r="BG629" t="s">
        <v>4708</v>
      </c>
      <c r="BH629" t="s">
        <v>310</v>
      </c>
      <c r="BI629" t="s">
        <v>4709</v>
      </c>
      <c r="BJ629" t="str">
        <f>HYPERLINK("https://d33htgqikc2pj4.cloudfront.net/468fc06f-488d-4446-9615-d7f5341c982e.jpeg", "Андрей Денисов: Ссылка на изображение")</f>
        <v>Андрей Денисов: Ссылка на изображение</v>
      </c>
      <c r="BK629" t="s">
        <v>4710</v>
      </c>
    </row>
    <row r="630" spans="1:71" ht="15" customHeight="1" x14ac:dyDescent="0.35">
      <c r="A630">
        <v>309</v>
      </c>
      <c r="B630" t="s">
        <v>4711</v>
      </c>
      <c r="C630">
        <v>2</v>
      </c>
      <c r="D630" t="str">
        <f>VLOOKUP(source[[#This Row],[Приоритет]],тПриоритеты[],2,0)</f>
        <v>Значительное</v>
      </c>
      <c r="E6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0" t="s">
        <v>4451</v>
      </c>
      <c r="G630" t="s">
        <v>157</v>
      </c>
      <c r="H630" t="str">
        <f>VLOOKUP(source[[#This Row],[Отвественный]],тОтветственные[],2,0)</f>
        <v>Отв13</v>
      </c>
      <c r="I630" s="2">
        <v>43674</v>
      </c>
      <c r="J630" s="2">
        <v>43674</v>
      </c>
      <c r="K630" t="s">
        <v>104</v>
      </c>
      <c r="L630">
        <v>0</v>
      </c>
      <c r="M630">
        <v>0</v>
      </c>
      <c r="N630" t="s">
        <v>105</v>
      </c>
      <c r="Q630" t="s">
        <v>106</v>
      </c>
      <c r="R630" t="str">
        <f>HYPERLINK("https://d28ji4sm1vmprj.cloudfront.net/e7a526a7220c3bc5cfeeb407c455c0b3/580ffb055aff8ee0c88c6e676cfba776.jpeg", "Ссылка на план")</f>
        <v>Ссылка на план</v>
      </c>
      <c r="S630" s="1">
        <v>43674.920532407406</v>
      </c>
      <c r="T630" s="1">
        <v>43674.920555555553</v>
      </c>
      <c r="U630" s="1">
        <v>43674.920555555553</v>
      </c>
      <c r="W630" s="1">
        <v>43676.375787037039</v>
      </c>
      <c r="BF630" t="s">
        <v>167</v>
      </c>
      <c r="BG630" t="s">
        <v>4712</v>
      </c>
      <c r="BH630" t="s">
        <v>310</v>
      </c>
      <c r="BI630" t="s">
        <v>4709</v>
      </c>
      <c r="BJ630" t="str">
        <f>HYPERLINK("https://d33htgqikc2pj4.cloudfront.net/41eb5f12-3600-4ee2-b874-5f5c5e0eefaa.jpeg", "Андрей Денисов: Ссылка на изображение")</f>
        <v>Андрей Денисов: Ссылка на изображение</v>
      </c>
      <c r="BK630" t="str">
        <f>HYPERLINK("https://d33htgqikc2pj4.cloudfront.net/fe681eb2-39f1-4ef7-ad85-79d415413cb7.jpeg", "Андрей Денисов: Ссылка на изображение")</f>
        <v>Андрей Денисов: Ссылка на изображение</v>
      </c>
      <c r="BL630" t="str">
        <f>HYPERLINK("https://d33htgqikc2pj4.cloudfront.net/4ccd33d7-0f49-45e2-ae6a-df940f4eb978.jpeg", "Андрей Денисов: Ссылка на изображение")</f>
        <v>Андрей Денисов: Ссылка на изображение</v>
      </c>
      <c r="BM630" t="str">
        <f>HYPERLINK("https://d33htgqikc2pj4.cloudfront.net/a4018a43-d03b-4a63-a7b6-ada506f28f9e.jpeg", "Андрей Денисов: Ссылка на изображение")</f>
        <v>Андрей Денисов: Ссылка на изображение</v>
      </c>
      <c r="BN630" t="str">
        <f>HYPERLINK("https://d33htgqikc2pj4.cloudfront.net/eb7cf63b-40e7-4195-ba4e-b2ffa41b8038.jpeg", "Андрей Денисов: Ссылка на изображение")</f>
        <v>Андрей Денисов: Ссылка на изображение</v>
      </c>
      <c r="BO630" t="str">
        <f>HYPERLINK("https://d33htgqikc2pj4.cloudfront.net/b9ea0529-da3e-441d-99ea-4b44879e5c19.jpeg", "Андрей Денисов: Ссылка на изображение")</f>
        <v>Андрей Денисов: Ссылка на изображение</v>
      </c>
      <c r="BP630" t="str">
        <f>HYPERLINK("https://d33htgqikc2pj4.cloudfront.net/a8a87147-354f-465d-9c14-806aa68d8061.jpeg", "Андрей Денисов: Ссылка на изображение")</f>
        <v>Андрей Денисов: Ссылка на изображение</v>
      </c>
      <c r="BQ630" t="str">
        <f>HYPERLINK("https://d33htgqikc2pj4.cloudfront.net/eeb40ce9-4a80-454d-ab51-cb6a0d304b5a.jpeg", "Андрей Денисов: Ссылка на изображение")</f>
        <v>Андрей Денисов: Ссылка на изображение</v>
      </c>
      <c r="BR630" t="s">
        <v>4713</v>
      </c>
    </row>
    <row r="631" spans="1:71" ht="15" customHeight="1" x14ac:dyDescent="0.35">
      <c r="A631">
        <v>297</v>
      </c>
      <c r="B631" t="s">
        <v>1156</v>
      </c>
      <c r="C631">
        <v>2</v>
      </c>
      <c r="D631" t="str">
        <f>VLOOKUP(source[[#This Row],[Приоритет]],тПриоритеты[],2,0)</f>
        <v>Значительное</v>
      </c>
      <c r="E6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1" t="s">
        <v>4451</v>
      </c>
      <c r="G631" t="s">
        <v>157</v>
      </c>
      <c r="H631" t="str">
        <f>VLOOKUP(source[[#This Row],[Отвественный]],тОтветственные[],2,0)</f>
        <v>Отв13</v>
      </c>
      <c r="I631" s="2">
        <v>43671</v>
      </c>
      <c r="J631" s="2">
        <v>43671</v>
      </c>
      <c r="K631" t="s">
        <v>313</v>
      </c>
      <c r="L631">
        <v>0</v>
      </c>
      <c r="M631">
        <v>0</v>
      </c>
      <c r="N631" t="s">
        <v>159</v>
      </c>
      <c r="Q631" t="s">
        <v>106</v>
      </c>
      <c r="R631" t="str">
        <f>HYPERLINK("https://d28ji4sm1vmprj.cloudfront.net/464215be55b88773f54b8cd83354babd/02eaaeba9564da889c4ba5d284544147.jpeg", "Ссылка на план")</f>
        <v>Ссылка на план</v>
      </c>
      <c r="S631" s="1">
        <v>43671.441087962965</v>
      </c>
      <c r="T631" s="1">
        <v>43671.441412037035</v>
      </c>
      <c r="U631" s="1">
        <v>43671.441412037035</v>
      </c>
      <c r="W631" s="1">
        <v>43671.442789351851</v>
      </c>
      <c r="X631" t="s">
        <v>3846</v>
      </c>
      <c r="Z631" t="s">
        <v>1155</v>
      </c>
      <c r="AA631" t="s">
        <v>2960</v>
      </c>
      <c r="AB631" t="s">
        <v>2961</v>
      </c>
      <c r="AC631" t="s">
        <v>2962</v>
      </c>
      <c r="AD631" t="s">
        <v>4714</v>
      </c>
      <c r="BF631" t="s">
        <v>167</v>
      </c>
      <c r="BG631" t="s">
        <v>4715</v>
      </c>
      <c r="BH631" t="s">
        <v>1158</v>
      </c>
      <c r="BI631" t="str">
        <f>HYPERLINK("https://d33htgqikc2pj4.cloudfront.net/e6fe0eb9-9b0c-4913-a7a5-fb3475181b59.jpeg", "Андрей Денисов: Ссылка на изображение")</f>
        <v>Андрей Денисов: Ссылка на изображение</v>
      </c>
      <c r="BJ631" t="str">
        <f>HYPERLINK("https://d33htgqikc2pj4.cloudfront.net/9ffedaa5-ed09-4dab-90f7-76780c20ae33.jpeg", "Андрей Денисов: Ссылка на изображение")</f>
        <v>Андрей Денисов: Ссылка на изображение</v>
      </c>
      <c r="BK631" t="str">
        <f>HYPERLINK("https://d33htgqikc2pj4.cloudfront.net/dd546646-d20e-4010-9506-c834d5b95117.jpeg", "Андрей Денисов: Ссылка на изображение")</f>
        <v>Андрей Денисов: Ссылка на изображение</v>
      </c>
      <c r="BL631" t="str">
        <f>HYPERLINK("https://d33htgqikc2pj4.cloudfront.net/76aa40b7-c808-4fa9-9e4b-1e971db5d3fb.jpeg", "Андрей Денисов: Ссылка на изображение")</f>
        <v>Андрей Денисов: Ссылка на изображение</v>
      </c>
      <c r="BM631" t="str">
        <f>HYPERLINK("https://d33htgqikc2pj4.cloudfront.net/d202e354-fe75-4c2f-ac14-9407d41e9d44.jpeg", "Андрей Денисов: Ссылка на изображение")</f>
        <v>Андрей Денисов: Ссылка на изображение</v>
      </c>
    </row>
    <row r="632" spans="1:71" ht="15" customHeight="1" x14ac:dyDescent="0.35">
      <c r="A632">
        <v>629</v>
      </c>
      <c r="B632" t="s">
        <v>4716</v>
      </c>
      <c r="C632">
        <v>2</v>
      </c>
      <c r="D632" t="str">
        <f>VLOOKUP(source[[#This Row],[Приоритет]],тПриоритеты[],2,0)</f>
        <v>Значительное</v>
      </c>
      <c r="E6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2" t="s">
        <v>4451</v>
      </c>
      <c r="G632" t="s">
        <v>157</v>
      </c>
      <c r="H632" t="str">
        <f>VLOOKUP(source[[#This Row],[Отвественный]],тОтветственные[],2,0)</f>
        <v>Отв13</v>
      </c>
      <c r="I632" s="2">
        <v>43754</v>
      </c>
      <c r="J632" s="2">
        <v>43754</v>
      </c>
      <c r="K632" t="s">
        <v>104</v>
      </c>
      <c r="L632">
        <v>0</v>
      </c>
      <c r="M632">
        <v>0</v>
      </c>
      <c r="N632" t="s">
        <v>105</v>
      </c>
      <c r="Q632" t="s">
        <v>106</v>
      </c>
      <c r="R632" t="str">
        <f>HYPERLINK("https://d28ji4sm1vmprj.cloudfront.net/e7a526a7220c3bc5cfeeb407c455c0b3/580ffb055aff8ee0c88c6e676cfba776.jpeg", "Ссылка на план")</f>
        <v>Ссылка на план</v>
      </c>
      <c r="S632" s="1">
        <v>43754.977997685186</v>
      </c>
      <c r="T632" s="1">
        <v>43754.977997685186</v>
      </c>
      <c r="U632" s="1">
        <v>43754.977997685186</v>
      </c>
      <c r="W632" s="1">
        <v>43754.978344907409</v>
      </c>
      <c r="X632" t="s">
        <v>3217</v>
      </c>
      <c r="AA632" t="s">
        <v>4717</v>
      </c>
      <c r="AB632" t="s">
        <v>4718</v>
      </c>
      <c r="AC632" t="s">
        <v>4719</v>
      </c>
      <c r="AD632" t="s">
        <v>4720</v>
      </c>
      <c r="AE632" t="s">
        <v>4721</v>
      </c>
      <c r="AF632" t="s">
        <v>4722</v>
      </c>
      <c r="AG632" t="s">
        <v>4723</v>
      </c>
      <c r="AH632" t="s">
        <v>4724</v>
      </c>
      <c r="AI632" t="s">
        <v>4725</v>
      </c>
      <c r="AJ632" t="s">
        <v>4726</v>
      </c>
      <c r="AK632" t="s">
        <v>4727</v>
      </c>
      <c r="BF632" t="s">
        <v>167</v>
      </c>
      <c r="BG632" t="s">
        <v>4728</v>
      </c>
      <c r="BH632" t="s">
        <v>310</v>
      </c>
      <c r="BI632" t="s">
        <v>2997</v>
      </c>
      <c r="BJ632" t="str">
        <f>HYPERLINK("https://d33htgqikc2pj4.cloudfront.net/078747e4-c947-4522-93b8-47018ed7bc84.jpeg", "Андрей Денисов: Ссылка на изображение")</f>
        <v>Андрей Денисов: Ссылка на изображение</v>
      </c>
      <c r="BK632" t="str">
        <f>HYPERLINK("https://d33htgqikc2pj4.cloudfront.net/46b65b6a-bf94-49b4-bebc-c4a5617ec7cc.jpeg", "Андрей Денисов: Ссылка на изображение")</f>
        <v>Андрей Денисов: Ссылка на изображение</v>
      </c>
      <c r="BL632" t="str">
        <f>HYPERLINK("https://d33htgqikc2pj4.cloudfront.net/951953be-f88a-43e0-9670-da052173ec4c.jpeg", "Андрей Денисов: Ссылка на изображение")</f>
        <v>Андрей Денисов: Ссылка на изображение</v>
      </c>
      <c r="BM632" t="str">
        <f>HYPERLINK("https://d33htgqikc2pj4.cloudfront.net/5afbaf0a-35aa-4c1c-8487-c440b85d4eeb.jpeg", "Андрей Денисов: Ссылка на изображение")</f>
        <v>Андрей Денисов: Ссылка на изображение</v>
      </c>
      <c r="BN632" t="str">
        <f>HYPERLINK("https://d33htgqikc2pj4.cloudfront.net/14b1d0bd-4ba9-40a8-8357-4b90e6cc00dc.jpeg", "Андрей Денисов: Ссылка на изображение")</f>
        <v>Андрей Денисов: Ссылка на изображение</v>
      </c>
      <c r="BO632" t="str">
        <f>HYPERLINK("https://d33htgqikc2pj4.cloudfront.net/8aee3837-af25-4fcb-96df-d49d7f71d69b.jpeg", "Андрей Денисов: Ссылка на изображение")</f>
        <v>Андрей Денисов: Ссылка на изображение</v>
      </c>
      <c r="BP632" t="str">
        <f>HYPERLINK("https://d33htgqikc2pj4.cloudfront.net/30941d8b-8471-4e0b-9e25-d78fa40a3b69.jpeg", "Андрей Денисов: Ссылка на изображение")</f>
        <v>Андрей Денисов: Ссылка на изображение</v>
      </c>
      <c r="BQ632" t="str">
        <f>HYPERLINK("https://d33htgqikc2pj4.cloudfront.net/9241932e-d4cb-4e9d-abfe-5d7953e44496.jpeg", "Андрей Денисов: Ссылка на изображение")</f>
        <v>Андрей Денисов: Ссылка на изображение</v>
      </c>
      <c r="BR632" t="str">
        <f>HYPERLINK("https://d33htgqikc2pj4.cloudfront.net/be4940c1-7817-49a0-84ed-3f006ef6862e.jpeg", "Андрей Денисов: Ссылка на изображение")</f>
        <v>Андрей Денисов: Ссылка на изображение</v>
      </c>
      <c r="BS632" t="str">
        <f>HYPERLINK("https://d33htgqikc2pj4.cloudfront.net/7c388c4b-8891-4998-862f-0798991577f0.jpeg", "Андрей Денисов: Ссылка на изображение")</f>
        <v>Андрей Денисов: Ссылка на изображение</v>
      </c>
    </row>
    <row r="633" spans="1:71" ht="15" customHeight="1" x14ac:dyDescent="0.35">
      <c r="A633">
        <v>628</v>
      </c>
      <c r="B633" t="s">
        <v>4729</v>
      </c>
      <c r="C633">
        <v>2</v>
      </c>
      <c r="D633" t="str">
        <f>VLOOKUP(source[[#This Row],[Приоритет]],тПриоритеты[],2,0)</f>
        <v>Значительное</v>
      </c>
      <c r="E6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3" t="s">
        <v>4451</v>
      </c>
      <c r="G633" t="s">
        <v>157</v>
      </c>
      <c r="H633" t="str">
        <f>VLOOKUP(source[[#This Row],[Отвественный]],тОтветственные[],2,0)</f>
        <v>Отв13</v>
      </c>
      <c r="I633" s="2">
        <v>43754</v>
      </c>
      <c r="J633" s="2">
        <v>43754</v>
      </c>
      <c r="K633" t="s">
        <v>104</v>
      </c>
      <c r="L633">
        <v>0</v>
      </c>
      <c r="M633">
        <v>0</v>
      </c>
      <c r="N633" t="s">
        <v>105</v>
      </c>
      <c r="Q633" t="s">
        <v>106</v>
      </c>
      <c r="R633" t="str">
        <f>HYPERLINK("https://d28ji4sm1vmprj.cloudfront.net/e7a526a7220c3bc5cfeeb407c455c0b3/580ffb055aff8ee0c88c6e676cfba776.jpeg", "Ссылка на план")</f>
        <v>Ссылка на план</v>
      </c>
      <c r="S633" s="1">
        <v>43754.976481481484</v>
      </c>
      <c r="T633" s="1">
        <v>43754.976493055554</v>
      </c>
      <c r="U633" s="1">
        <v>43754.976493055554</v>
      </c>
      <c r="W633" s="1">
        <v>43754.977118055554</v>
      </c>
      <c r="X633" t="s">
        <v>2835</v>
      </c>
      <c r="AA633" t="s">
        <v>4730</v>
      </c>
      <c r="AB633" t="s">
        <v>4731</v>
      </c>
      <c r="AC633" t="s">
        <v>4732</v>
      </c>
      <c r="AD633" t="s">
        <v>4733</v>
      </c>
      <c r="AE633" t="s">
        <v>4734</v>
      </c>
      <c r="AF633" t="s">
        <v>4735</v>
      </c>
      <c r="AG633" t="s">
        <v>3008</v>
      </c>
      <c r="BF633" t="s">
        <v>167</v>
      </c>
      <c r="BG633" t="s">
        <v>4736</v>
      </c>
      <c r="BH633" t="s">
        <v>310</v>
      </c>
      <c r="BI633" t="s">
        <v>2997</v>
      </c>
      <c r="BJ633" t="str">
        <f>HYPERLINK("https://d33htgqikc2pj4.cloudfront.net/1cdf4b95-2fa1-4f3f-b060-ace3b53a7f40.jpeg", "Андрей Денисов: Ссылка на изображение")</f>
        <v>Андрей Денисов: Ссылка на изображение</v>
      </c>
      <c r="BK633" t="str">
        <f>HYPERLINK("https://d33htgqikc2pj4.cloudfront.net/9690b910-7f19-4e8e-bfb6-b0b7f163708c.jpeg", "Андрей Денисов: Ссылка на изображение")</f>
        <v>Андрей Денисов: Ссылка на изображение</v>
      </c>
      <c r="BL633" t="str">
        <f>HYPERLINK("https://d33htgqikc2pj4.cloudfront.net/d0c75d0e-30f4-4de0-96e9-dcc9a028a1e5.jpeg", "Андрей Денисов: Ссылка на изображение")</f>
        <v>Андрей Денисов: Ссылка на изображение</v>
      </c>
      <c r="BM633" t="str">
        <f>HYPERLINK("https://d33htgqikc2pj4.cloudfront.net/392d4e56-ea58-4b95-9e4c-7a4a62b3ae35.jpeg", "Андрей Денисов: Ссылка на изображение")</f>
        <v>Андрей Денисов: Ссылка на изображение</v>
      </c>
      <c r="BN633" t="str">
        <f>HYPERLINK("https://d33htgqikc2pj4.cloudfront.net/52cd7f09-ed99-4a05-9007-a2e6377daa73.jpeg", "Андрей Денисов: Ссылка на изображение")</f>
        <v>Андрей Денисов: Ссылка на изображение</v>
      </c>
      <c r="BO633" t="str">
        <f>HYPERLINK("https://d33htgqikc2pj4.cloudfront.net/d6e3e5cd-46cc-4f42-be24-9f604e5a2f5e.jpeg", "Андрей Денисов: Ссылка на изображение")</f>
        <v>Андрей Денисов: Ссылка на изображение</v>
      </c>
      <c r="BP633" t="str">
        <f>HYPERLINK("https://d33htgqikc2pj4.cloudfront.net/bc515d4b-3ad0-4984-8130-6c82d7b33388.jpeg", "Андрей Денисов: Ссылка на изображение")</f>
        <v>Андрей Денисов: Ссылка на изображение</v>
      </c>
      <c r="BQ633" t="str">
        <f>HYPERLINK("https://d33htgqikc2pj4.cloudfront.net/3a5e95ca-0d73-47c1-bfc9-e62ebe11b7c9.jpeg", "Андрей Денисов: Ссылка на изображение")</f>
        <v>Андрей Денисов: Ссылка на изображение</v>
      </c>
      <c r="BR633" t="str">
        <f>HYPERLINK("https://d33htgqikc2pj4.cloudfront.net/e946a348-0e30-479f-9a62-6fe0d78e3f4a.jpeg", "Андрей Денисов: Ссылка на изображение")</f>
        <v>Андрей Денисов: Ссылка на изображение</v>
      </c>
      <c r="BS633" t="str">
        <f>HYPERLINK("https://d33htgqikc2pj4.cloudfront.net/acf89d13-e2b0-4bac-a1f2-fc0a1030dfc6.jpeg", "Андрей Денисов: Ссылка на изображение")</f>
        <v>Андрей Денисов: Ссылка на изображение</v>
      </c>
    </row>
    <row r="634" spans="1:71" ht="15" customHeight="1" x14ac:dyDescent="0.35">
      <c r="A634">
        <v>310</v>
      </c>
      <c r="B634" t="s">
        <v>4737</v>
      </c>
      <c r="C634">
        <v>2</v>
      </c>
      <c r="D634" t="str">
        <f>VLOOKUP(source[[#This Row],[Приоритет]],тПриоритеты[],2,0)</f>
        <v>Значительное</v>
      </c>
      <c r="E6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4" t="s">
        <v>4451</v>
      </c>
      <c r="G634" t="s">
        <v>157</v>
      </c>
      <c r="H634" t="str">
        <f>VLOOKUP(source[[#This Row],[Отвественный]],тОтветственные[],2,0)</f>
        <v>Отв13</v>
      </c>
      <c r="I634" s="2">
        <v>43675</v>
      </c>
      <c r="J634" s="2">
        <v>43675</v>
      </c>
      <c r="K634" t="s">
        <v>313</v>
      </c>
      <c r="L634">
        <v>0</v>
      </c>
      <c r="M634">
        <v>0</v>
      </c>
      <c r="N634" t="s">
        <v>159</v>
      </c>
      <c r="Q634" t="s">
        <v>106</v>
      </c>
      <c r="R634" t="str">
        <f>HYPERLINK("https://d28ji4sm1vmprj.cloudfront.net/464215be55b88773f54b8cd83354babd/02eaaeba9564da889c4ba5d284544147.jpeg", "Ссылка на план")</f>
        <v>Ссылка на план</v>
      </c>
      <c r="S634" s="1">
        <v>43675.952384259261</v>
      </c>
      <c r="T634" s="1">
        <v>43675.952407407407</v>
      </c>
      <c r="U634" s="1">
        <v>43675.952407407407</v>
      </c>
      <c r="W634" s="1">
        <v>43675.953275462962</v>
      </c>
      <c r="X634" t="s">
        <v>3846</v>
      </c>
      <c r="AA634" t="s">
        <v>4738</v>
      </c>
      <c r="AB634" t="s">
        <v>4739</v>
      </c>
      <c r="AC634" t="s">
        <v>4740</v>
      </c>
      <c r="AD634" t="s">
        <v>4741</v>
      </c>
      <c r="BF634" t="s">
        <v>167</v>
      </c>
      <c r="BG634" t="s">
        <v>4742</v>
      </c>
      <c r="BH634" t="s">
        <v>310</v>
      </c>
      <c r="BI634" t="s">
        <v>3065</v>
      </c>
      <c r="BJ634" t="str">
        <f>HYPERLINK("https://d33htgqikc2pj4.cloudfront.net/49a11602-12a0-492c-bbab-cf7b4d336da7.jpeg", "Андрей Денисов: Ссылка на изображение")</f>
        <v>Андрей Денисов: Ссылка на изображение</v>
      </c>
      <c r="BK634" t="str">
        <f>HYPERLINK("https://d33htgqikc2pj4.cloudfront.net/4bfd83a5-d4cd-4532-803e-5de56a291a35.jpeg", "Андрей Денисов: Ссылка на изображение")</f>
        <v>Андрей Денисов: Ссылка на изображение</v>
      </c>
      <c r="BL634" t="str">
        <f>HYPERLINK("https://d33htgqikc2pj4.cloudfront.net/2135c45c-8445-43ad-ba10-05a9fa63a61b.jpeg", "Андрей Денисов: Ссылка на изображение")</f>
        <v>Андрей Денисов: Ссылка на изображение</v>
      </c>
      <c r="BM634" t="str">
        <f>HYPERLINK("https://d33htgqikc2pj4.cloudfront.net/831efd07-cb94-402a-9c14-573918656ab3.jpeg", "Андрей Денисов: Ссылка на изображение")</f>
        <v>Андрей Денисов: Ссылка на изображение</v>
      </c>
      <c r="BN634" t="str">
        <f>HYPERLINK("https://d33htgqikc2pj4.cloudfront.net/5cb743d4-3fa6-47e7-9f5a-99c4694653e9.jpeg", "Андрей Денисов: Ссылка на изображение")</f>
        <v>Андрей Денисов: Ссылка на изображение</v>
      </c>
    </row>
    <row r="635" spans="1:71" ht="15" customHeight="1" x14ac:dyDescent="0.35">
      <c r="A635">
        <v>312</v>
      </c>
      <c r="B635" t="s">
        <v>4743</v>
      </c>
      <c r="C635">
        <v>2</v>
      </c>
      <c r="D635" t="str">
        <f>VLOOKUP(source[[#This Row],[Приоритет]],тПриоритеты[],2,0)</f>
        <v>Значительное</v>
      </c>
      <c r="E6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5" t="s">
        <v>4451</v>
      </c>
      <c r="G635" t="s">
        <v>157</v>
      </c>
      <c r="H635" t="str">
        <f>VLOOKUP(source[[#This Row],[Отвественный]],тОтветственные[],2,0)</f>
        <v>Отв13</v>
      </c>
      <c r="I635" s="2">
        <v>43676</v>
      </c>
      <c r="J635" s="2">
        <v>43676</v>
      </c>
      <c r="K635" t="s">
        <v>313</v>
      </c>
      <c r="L635">
        <v>0</v>
      </c>
      <c r="M635">
        <v>0</v>
      </c>
      <c r="N635" t="s">
        <v>159</v>
      </c>
      <c r="Q635" t="s">
        <v>106</v>
      </c>
      <c r="R635" t="str">
        <f>HYPERLINK("https://d28ji4sm1vmprj.cloudfront.net/464215be55b88773f54b8cd83354babd/02eaaeba9564da889c4ba5d284544147.jpeg", "Ссылка на план")</f>
        <v>Ссылка на план</v>
      </c>
      <c r="S635" s="1">
        <v>43676.633819444447</v>
      </c>
      <c r="T635" s="1">
        <v>43676.633877314816</v>
      </c>
      <c r="U635" s="1">
        <v>43676.633877314816</v>
      </c>
      <c r="W635" s="1">
        <v>43676.635104166664</v>
      </c>
      <c r="X635" t="s">
        <v>3846</v>
      </c>
      <c r="AA635" t="s">
        <v>4744</v>
      </c>
      <c r="AB635" t="s">
        <v>4745</v>
      </c>
      <c r="AC635" t="s">
        <v>4746</v>
      </c>
      <c r="AD635" t="s">
        <v>4747</v>
      </c>
      <c r="BF635" t="s">
        <v>167</v>
      </c>
      <c r="BG635" t="s">
        <v>4748</v>
      </c>
      <c r="BH635" t="s">
        <v>310</v>
      </c>
      <c r="BI635" t="s">
        <v>3076</v>
      </c>
      <c r="BJ635" t="str">
        <f>HYPERLINK("https://d33htgqikc2pj4.cloudfront.net/4d7fed97-3fbc-4687-b694-b7e753ec28c1.jpeg", "Андрей Денисов: Ссылка на изображение")</f>
        <v>Андрей Денисов: Ссылка на изображение</v>
      </c>
      <c r="BK635" t="str">
        <f>HYPERLINK("https://d33htgqikc2pj4.cloudfront.net/187777ee-6ad3-498c-aab5-7ae3110deab1.jpeg", "Андрей Денисов: Ссылка на изображение")</f>
        <v>Андрей Денисов: Ссылка на изображение</v>
      </c>
      <c r="BL635" t="str">
        <f>HYPERLINK("https://d33htgqikc2pj4.cloudfront.net/0e65c301-4b13-4d70-9f15-2e0e7134e56f.jpeg", "Андрей Денисов: Ссылка на изображение")</f>
        <v>Андрей Денисов: Ссылка на изображение</v>
      </c>
      <c r="BM635" t="str">
        <f>HYPERLINK("https://d33htgqikc2pj4.cloudfront.net/d5be8bb4-c696-4310-a101-e4e55886cd36.jpeg", "Андрей Денисов: Ссылка на изображение")</f>
        <v>Андрей Денисов: Ссылка на изображение</v>
      </c>
    </row>
    <row r="636" spans="1:71" ht="15" customHeight="1" x14ac:dyDescent="0.35">
      <c r="A636">
        <v>318</v>
      </c>
      <c r="B636" t="s">
        <v>4749</v>
      </c>
      <c r="C636">
        <v>2</v>
      </c>
      <c r="D636" t="str">
        <f>VLOOKUP(source[[#This Row],[Приоритет]],тПриоритеты[],2,0)</f>
        <v>Значительное</v>
      </c>
      <c r="E6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6" t="s">
        <v>4451</v>
      </c>
      <c r="G636" t="s">
        <v>157</v>
      </c>
      <c r="H636" t="str">
        <f>VLOOKUP(source[[#This Row],[Отвественный]],тОтветственные[],2,0)</f>
        <v>Отв13</v>
      </c>
      <c r="I636" s="2">
        <v>43676</v>
      </c>
      <c r="J636" s="2">
        <v>43676</v>
      </c>
      <c r="K636" t="s">
        <v>122</v>
      </c>
      <c r="L636">
        <v>29.06</v>
      </c>
      <c r="M636">
        <v>9.23</v>
      </c>
      <c r="N636" t="s">
        <v>123</v>
      </c>
      <c r="Q636" t="s">
        <v>124</v>
      </c>
      <c r="R636" t="str">
        <f>HYPERLINK("https://d28ji4sm1vmprj.cloudfront.net/78b1fbd1c87eb90dac050448d7e72c8d/a7fb9bbb452cbb899c601a0b8b67fd7d.jpeg", "Ссылка на план")</f>
        <v>Ссылка на план</v>
      </c>
      <c r="S636" s="1">
        <v>43676.64539351852</v>
      </c>
      <c r="T636" s="1">
        <v>43676.645416666666</v>
      </c>
      <c r="U636" s="1">
        <v>43676.645416666666</v>
      </c>
      <c r="W636" s="1">
        <v>43676.645960648151</v>
      </c>
      <c r="X636" t="s">
        <v>406</v>
      </c>
      <c r="AA636" t="s">
        <v>4750</v>
      </c>
      <c r="AB636" t="s">
        <v>4751</v>
      </c>
      <c r="AC636" t="s">
        <v>4752</v>
      </c>
      <c r="AD636" t="s">
        <v>4753</v>
      </c>
      <c r="AE636" t="s">
        <v>4754</v>
      </c>
      <c r="AF636" t="s">
        <v>4755</v>
      </c>
      <c r="AG636" t="s">
        <v>4756</v>
      </c>
      <c r="BF636" t="s">
        <v>167</v>
      </c>
      <c r="BG636" t="s">
        <v>4757</v>
      </c>
      <c r="BH636" t="s">
        <v>310</v>
      </c>
      <c r="BI636" t="s">
        <v>3076</v>
      </c>
      <c r="BJ636" t="str">
        <f>HYPERLINK("https://d33htgqikc2pj4.cloudfront.net/389c2c93-c25c-47a7-97fb-5976baae8929.jpeg", "Андрей Денисов: Ссылка на изображение")</f>
        <v>Андрей Денисов: Ссылка на изображение</v>
      </c>
      <c r="BK636" t="str">
        <f>HYPERLINK("https://d33htgqikc2pj4.cloudfront.net/aede4c01-9919-425c-bbc6-762413434016.jpeg", "Андрей Денисов: Ссылка на изображение")</f>
        <v>Андрей Денисов: Ссылка на изображение</v>
      </c>
    </row>
    <row r="637" spans="1:71" ht="15" customHeight="1" x14ac:dyDescent="0.35">
      <c r="A637">
        <v>314</v>
      </c>
      <c r="B637" t="s">
        <v>4758</v>
      </c>
      <c r="C637">
        <v>2</v>
      </c>
      <c r="D637" t="str">
        <f>VLOOKUP(source[[#This Row],[Приоритет]],тПриоритеты[],2,0)</f>
        <v>Значительное</v>
      </c>
      <c r="E6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7" t="s">
        <v>4451</v>
      </c>
      <c r="G637" t="s">
        <v>157</v>
      </c>
      <c r="H637" t="str">
        <f>VLOOKUP(source[[#This Row],[Отвественный]],тОтветственные[],2,0)</f>
        <v>Отв13</v>
      </c>
      <c r="I637" s="2">
        <v>43676</v>
      </c>
      <c r="J637" s="2">
        <v>43676</v>
      </c>
      <c r="K637" t="s">
        <v>158</v>
      </c>
      <c r="L637">
        <v>0</v>
      </c>
      <c r="M637">
        <v>0</v>
      </c>
      <c r="N637" t="s">
        <v>195</v>
      </c>
      <c r="Q637" t="s">
        <v>124</v>
      </c>
      <c r="R637" t="str">
        <f>HYPERLINK("https://d28ji4sm1vmprj.cloudfront.net/09622a2bb466dfd1cdfb85ce6a712a4c/080b534903fe5ecae6d56f3611cbeb01.jpeg", "Ссылка на план")</f>
        <v>Ссылка на план</v>
      </c>
      <c r="S637" s="1">
        <v>43676.63726851852</v>
      </c>
      <c r="T637" s="1">
        <v>43676.637291666666</v>
      </c>
      <c r="U637" s="1">
        <v>43676.637291666666</v>
      </c>
      <c r="W637" s="1">
        <v>43676.641446759262</v>
      </c>
      <c r="X637" t="s">
        <v>406</v>
      </c>
      <c r="AA637" t="s">
        <v>4750</v>
      </c>
      <c r="AB637" t="s">
        <v>4751</v>
      </c>
      <c r="AC637" t="s">
        <v>4752</v>
      </c>
      <c r="AD637" t="s">
        <v>4759</v>
      </c>
      <c r="AE637" t="s">
        <v>4760</v>
      </c>
      <c r="AF637" t="s">
        <v>4755</v>
      </c>
      <c r="AG637" t="s">
        <v>4756</v>
      </c>
      <c r="BF637" t="s">
        <v>167</v>
      </c>
      <c r="BG637" t="s">
        <v>4761</v>
      </c>
      <c r="BH637" t="s">
        <v>310</v>
      </c>
      <c r="BI637" t="s">
        <v>3076</v>
      </c>
      <c r="BJ637" t="str">
        <f>HYPERLINK("https://d33htgqikc2pj4.cloudfront.net/ec89fe06-e8e4-48dd-a308-faf842dea570.jpeg", "Андрей Денисов: Ссылка на изображение")</f>
        <v>Андрей Денисов: Ссылка на изображение</v>
      </c>
      <c r="BK637" t="str">
        <f>HYPERLINK("https://d33htgqikc2pj4.cloudfront.net/1aa9220e-df27-4240-bb6e-637b8010534d.jpeg", "Андрей Денисов: Ссылка на изображение")</f>
        <v>Андрей Денисов: Ссылка на изображение</v>
      </c>
      <c r="BL637" t="str">
        <f>HYPERLINK("https://d33htgqikc2pj4.cloudfront.net/9255d66d-c815-4bd6-9a21-65a0dcfec20e.jpeg", "Андрей Денисов: Ссылка на изображение")</f>
        <v>Андрей Денисов: Ссылка на изображение</v>
      </c>
      <c r="BM637" t="str">
        <f>HYPERLINK("https://d33htgqikc2pj4.cloudfront.net/6b516d10-59be-469f-8c5c-c1ee4e9684f4.jpeg", "Андрей Денисов: Ссылка на изображение")</f>
        <v>Андрей Денисов: Ссылка на изображение</v>
      </c>
      <c r="BN637" t="str">
        <f>HYPERLINK("https://d33htgqikc2pj4.cloudfront.net/39a114cb-0552-4287-bcb3-e03c0d9a58de.jpeg", "Андрей Денисов: Ссылка на изображение")</f>
        <v>Андрей Денисов: Ссылка на изображение</v>
      </c>
    </row>
    <row r="638" spans="1:71" ht="15" customHeight="1" x14ac:dyDescent="0.35">
      <c r="A638">
        <v>632</v>
      </c>
      <c r="B638" t="s">
        <v>4762</v>
      </c>
      <c r="C638">
        <v>2</v>
      </c>
      <c r="D638" t="str">
        <f>VLOOKUP(source[[#This Row],[Приоритет]],тПриоритеты[],2,0)</f>
        <v>Значительное</v>
      </c>
      <c r="E6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8" t="s">
        <v>4451</v>
      </c>
      <c r="G638" t="s">
        <v>157</v>
      </c>
      <c r="H638" t="str">
        <f>VLOOKUP(source[[#This Row],[Отвественный]],тОтветственные[],2,0)</f>
        <v>Отв13</v>
      </c>
      <c r="I638" s="2">
        <v>43755</v>
      </c>
      <c r="J638" s="2">
        <v>43755</v>
      </c>
      <c r="K638" t="s">
        <v>104</v>
      </c>
      <c r="L638">
        <v>0</v>
      </c>
      <c r="M638">
        <v>0</v>
      </c>
      <c r="N638" t="s">
        <v>105</v>
      </c>
      <c r="Q638" t="s">
        <v>106</v>
      </c>
      <c r="R638" t="str">
        <f>HYPERLINK("https://d28ji4sm1vmprj.cloudfront.net/e7a526a7220c3bc5cfeeb407c455c0b3/580ffb055aff8ee0c88c6e676cfba776.jpeg", "Ссылка на план")</f>
        <v>Ссылка на план</v>
      </c>
      <c r="S638" s="1">
        <v>43755.650879629633</v>
      </c>
      <c r="T638" s="1">
        <v>43755.650891203702</v>
      </c>
      <c r="U638" s="1">
        <v>43755.650891203702</v>
      </c>
      <c r="W638" s="1">
        <v>43755.651180555556</v>
      </c>
      <c r="X638" t="s">
        <v>2835</v>
      </c>
      <c r="AA638" t="s">
        <v>4763</v>
      </c>
      <c r="AB638" t="s">
        <v>4764</v>
      </c>
      <c r="AC638" t="s">
        <v>4765</v>
      </c>
      <c r="AD638" t="s">
        <v>4766</v>
      </c>
      <c r="AE638" t="s">
        <v>4767</v>
      </c>
      <c r="AF638" t="s">
        <v>4768</v>
      </c>
      <c r="AG638" t="s">
        <v>4769</v>
      </c>
      <c r="BF638" t="s">
        <v>167</v>
      </c>
      <c r="BG638" t="s">
        <v>4770</v>
      </c>
      <c r="BH638" t="s">
        <v>310</v>
      </c>
      <c r="BI638" t="s">
        <v>4771</v>
      </c>
      <c r="BJ638" t="str">
        <f>HYPERLINK("https://d33htgqikc2pj4.cloudfront.net/3a7402f2-dde1-4343-9db4-194f301dfd87.jpeg", "Андрей Денисов: Ссылка на изображение")</f>
        <v>Андрей Денисов: Ссылка на изображение</v>
      </c>
      <c r="BK638" t="str">
        <f>HYPERLINK("https://d33htgqikc2pj4.cloudfront.net/4614fd9a-ff61-42ef-b218-4f7d18f0bb9a.jpeg", "Андрей Денисов: Ссылка на изображение")</f>
        <v>Андрей Денисов: Ссылка на изображение</v>
      </c>
      <c r="BL638" t="str">
        <f>HYPERLINK("https://d33htgqikc2pj4.cloudfront.net/2483a3e5-20d0-488f-b1b6-b2fdf89377fb.jpeg", "Андрей Денисов: Ссылка на изображение")</f>
        <v>Андрей Денисов: Ссылка на изображение</v>
      </c>
      <c r="BM638" t="str">
        <f>HYPERLINK("https://d33htgqikc2pj4.cloudfront.net/6bbe75e2-b2d6-440f-b2b3-e4d8d6b57744.jpeg", "Андрей Денисов: Ссылка на изображение")</f>
        <v>Андрей Денисов: Ссылка на изображение</v>
      </c>
      <c r="BN638" t="str">
        <f>HYPERLINK("https://d33htgqikc2pj4.cloudfront.net/2712e881-9479-449b-a633-24c0455239c4.jpeg", "Андрей Денисов: Ссылка на изображение")</f>
        <v>Андрей Денисов: Ссылка на изображение</v>
      </c>
      <c r="BO638" t="str">
        <f>HYPERLINK("https://d33htgqikc2pj4.cloudfront.net/010c25a5-e209-47a1-bf4a-7b217398326d.jpeg", "Андрей Денисов: Ссылка на изображение")</f>
        <v>Андрей Денисов: Ссылка на изображение</v>
      </c>
      <c r="BP638" t="str">
        <f>HYPERLINK("https://d33htgqikc2pj4.cloudfront.net/ea29ff1a-8247-4c5a-b43f-7cc037121198.jpeg", "Андрей Денисов: Ссылка на изображение")</f>
        <v>Андрей Денисов: Ссылка на изображение</v>
      </c>
      <c r="BQ638" t="str">
        <f>HYPERLINK("https://d33htgqikc2pj4.cloudfront.net/22e42b9f-1957-4672-b89c-942774731444.jpeg", "Андрей Денисов: Ссылка на изображение")</f>
        <v>Андрей Денисов: Ссылка на изображение</v>
      </c>
    </row>
    <row r="639" spans="1:71" ht="15" customHeight="1" x14ac:dyDescent="0.35">
      <c r="A639">
        <v>334</v>
      </c>
      <c r="B639" t="s">
        <v>4772</v>
      </c>
      <c r="C639">
        <v>2</v>
      </c>
      <c r="D639" t="str">
        <f>VLOOKUP(source[[#This Row],[Приоритет]],тПриоритеты[],2,0)</f>
        <v>Значительное</v>
      </c>
      <c r="E6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39" t="s">
        <v>4451</v>
      </c>
      <c r="G639" t="s">
        <v>157</v>
      </c>
      <c r="H639" t="str">
        <f>VLOOKUP(source[[#This Row],[Отвественный]],тОтветственные[],2,0)</f>
        <v>Отв13</v>
      </c>
      <c r="I639" s="2">
        <v>43678</v>
      </c>
      <c r="J639" s="2">
        <v>43678</v>
      </c>
      <c r="K639" t="s">
        <v>375</v>
      </c>
      <c r="L639">
        <v>0</v>
      </c>
      <c r="M639">
        <v>0</v>
      </c>
      <c r="N639" t="s">
        <v>159</v>
      </c>
      <c r="Q639" t="s">
        <v>106</v>
      </c>
      <c r="R639" t="str">
        <f>HYPERLINK("https://d28ji4sm1vmprj.cloudfront.net/3e7bd1b1c8123e07928556a95537ec96/b6f4ea1a4c385def2ded1a2b1779c1a4.jpeg", "Ссылка на план")</f>
        <v>Ссылка на план</v>
      </c>
      <c r="S639" s="1">
        <v>43678.674016203702</v>
      </c>
      <c r="T639" s="1">
        <v>43678.674039351848</v>
      </c>
      <c r="U639" s="1">
        <v>43678.674039351848</v>
      </c>
      <c r="W639" s="1">
        <v>43678.675706018519</v>
      </c>
      <c r="X639" t="s">
        <v>3846</v>
      </c>
      <c r="AA639" t="s">
        <v>4773</v>
      </c>
      <c r="AB639" t="s">
        <v>4774</v>
      </c>
      <c r="AC639" t="s">
        <v>4775</v>
      </c>
      <c r="AD639" t="s">
        <v>4776</v>
      </c>
      <c r="BF639" t="s">
        <v>167</v>
      </c>
      <c r="BG639" t="s">
        <v>4777</v>
      </c>
      <c r="BH639" t="s">
        <v>310</v>
      </c>
      <c r="BI639" t="s">
        <v>3106</v>
      </c>
      <c r="BJ639" t="str">
        <f>HYPERLINK("https://d33htgqikc2pj4.cloudfront.net/cd45ab93-913f-49d9-8ed6-942f575c8329.jpeg", "Андрей Денисов: Ссылка на изображение")</f>
        <v>Андрей Денисов: Ссылка на изображение</v>
      </c>
      <c r="BK639" t="str">
        <f>HYPERLINK("https://d33htgqikc2pj4.cloudfront.net/df127637-8b60-43f0-9c5e-c43eac4bc179.jpeg", "Андрей Денисов: Ссылка на изображение")</f>
        <v>Андрей Денисов: Ссылка на изображение</v>
      </c>
      <c r="BL639" t="str">
        <f>HYPERLINK("https://d33htgqikc2pj4.cloudfront.net/82c165f5-4584-4a67-ba58-8eafb0baeca0.jpeg", "Андрей Денисов: Ссылка на изображение")</f>
        <v>Андрей Денисов: Ссылка на изображение</v>
      </c>
    </row>
    <row r="640" spans="1:71" ht="15" customHeight="1" x14ac:dyDescent="0.35">
      <c r="A640">
        <v>499</v>
      </c>
      <c r="B640" t="s">
        <v>4778</v>
      </c>
      <c r="C640">
        <v>2</v>
      </c>
      <c r="D640" t="str">
        <f>VLOOKUP(source[[#This Row],[Приоритет]],тПриоритеты[],2,0)</f>
        <v>Значительное</v>
      </c>
      <c r="E6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0" t="s">
        <v>4451</v>
      </c>
      <c r="G640" t="s">
        <v>157</v>
      </c>
      <c r="H640" t="str">
        <f>VLOOKUP(source[[#This Row],[Отвественный]],тОтветственные[],2,0)</f>
        <v>Отв13</v>
      </c>
      <c r="I640" s="2">
        <v>43727</v>
      </c>
      <c r="J640" s="2">
        <v>43727</v>
      </c>
      <c r="K640" t="s">
        <v>104</v>
      </c>
      <c r="L640">
        <v>0</v>
      </c>
      <c r="M640">
        <v>0</v>
      </c>
      <c r="N640" t="s">
        <v>105</v>
      </c>
      <c r="Q640" t="s">
        <v>106</v>
      </c>
      <c r="R640" t="str">
        <f>HYPERLINK("https://d28ji4sm1vmprj.cloudfront.net/e7a526a7220c3bc5cfeeb407c455c0b3/580ffb055aff8ee0c88c6e676cfba776.jpeg", "Ссылка на план")</f>
        <v>Ссылка на план</v>
      </c>
      <c r="S640" s="1">
        <v>43727.767280092594</v>
      </c>
      <c r="T640" s="1">
        <v>43727.76730324074</v>
      </c>
      <c r="U640" s="1">
        <v>43727.76730324074</v>
      </c>
      <c r="W640" s="1">
        <v>43727.76766203704</v>
      </c>
      <c r="X640" t="s">
        <v>2835</v>
      </c>
      <c r="AA640" t="s">
        <v>4779</v>
      </c>
      <c r="AB640" t="s">
        <v>4780</v>
      </c>
      <c r="AC640" t="s">
        <v>4781</v>
      </c>
      <c r="AD640" t="s">
        <v>4782</v>
      </c>
      <c r="AE640" t="s">
        <v>4783</v>
      </c>
      <c r="AF640" t="s">
        <v>4784</v>
      </c>
      <c r="AG640" t="s">
        <v>4785</v>
      </c>
      <c r="BF640" t="s">
        <v>167</v>
      </c>
      <c r="BG640" t="s">
        <v>310</v>
      </c>
      <c r="BH640" t="s">
        <v>4786</v>
      </c>
      <c r="BI640" t="s">
        <v>3137</v>
      </c>
      <c r="BJ640" t="str">
        <f>HYPERLINK("https://d33htgqikc2pj4.cloudfront.net/59f36ab5-9f8b-408c-844f-1587c4469b36.jpeg", "Андрей Денисов: Ссылка на изображение")</f>
        <v>Андрей Денисов: Ссылка на изображение</v>
      </c>
      <c r="BK640" t="str">
        <f>HYPERLINK("https://d33htgqikc2pj4.cloudfront.net/f81ec4a7-36bf-46d0-ab16-b3fcc845c95c.jpeg", "Андрей Денисов: Ссылка на изображение")</f>
        <v>Андрей Денисов: Ссылка на изображение</v>
      </c>
      <c r="BL640" t="str">
        <f>HYPERLINK("https://d33htgqikc2pj4.cloudfront.net/7a370282-a4a5-472c-b9e0-07d63713d1bb.jpeg", "Андрей Денисов: Ссылка на изображение")</f>
        <v>Андрей Денисов: Ссылка на изображение</v>
      </c>
      <c r="BM640" t="str">
        <f>HYPERLINK("https://d33htgqikc2pj4.cloudfront.net/462b0024-9981-4c68-8eeb-cf31fab8c79b.jpeg", "Андрей Денисов: Ссылка на изображение")</f>
        <v>Андрей Денисов: Ссылка на изображение</v>
      </c>
      <c r="BN640" t="str">
        <f>HYPERLINK("https://d33htgqikc2pj4.cloudfront.net/c5507e7d-9d2c-4a30-b9f2-bf1394904230.jpeg", "Андрей Денисов: Ссылка на изображение")</f>
        <v>Андрей Денисов: Ссылка на изображение</v>
      </c>
      <c r="BO640" t="str">
        <f>HYPERLINK("https://d33htgqikc2pj4.cloudfront.net/8bfd8715-294c-4158-b909-dd1115784e12.jpeg", "Андрей Денисов: Ссылка на изображение")</f>
        <v>Андрей Денисов: Ссылка на изображение</v>
      </c>
      <c r="BP640" t="str">
        <f>HYPERLINK("https://d33htgqikc2pj4.cloudfront.net/3d836b97-34c1-471a-9179-431e2766bf27.jpeg", "Андрей Денисов: Ссылка на изображение")</f>
        <v>Андрей Денисов: Ссылка на изображение</v>
      </c>
      <c r="BQ640" t="str">
        <f>HYPERLINK("https://d33htgqikc2pj4.cloudfront.net/43df6e38-909b-41b2-87fc-a0e02bf7841a.jpeg", "Андрей Денисов: Ссылка на изображение")</f>
        <v>Андрей Денисов: Ссылка на изображение</v>
      </c>
    </row>
    <row r="641" spans="1:79" ht="15" customHeight="1" x14ac:dyDescent="0.35">
      <c r="A641">
        <v>350</v>
      </c>
      <c r="B641" t="s">
        <v>4787</v>
      </c>
      <c r="C641">
        <v>2</v>
      </c>
      <c r="D641" t="str">
        <f>VLOOKUP(source[[#This Row],[Приоритет]],тПриоритеты[],2,0)</f>
        <v>Значительное</v>
      </c>
      <c r="E6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1" t="s">
        <v>4451</v>
      </c>
      <c r="G641" t="s">
        <v>157</v>
      </c>
      <c r="H641" t="str">
        <f>VLOOKUP(source[[#This Row],[Отвественный]],тОтветственные[],2,0)</f>
        <v>Отв13</v>
      </c>
      <c r="I641" s="2">
        <v>43685</v>
      </c>
      <c r="J641" s="2">
        <v>43685</v>
      </c>
      <c r="K641" t="s">
        <v>375</v>
      </c>
      <c r="L641">
        <v>0</v>
      </c>
      <c r="M641">
        <v>0</v>
      </c>
      <c r="N641" t="s">
        <v>159</v>
      </c>
      <c r="Q641" t="s">
        <v>106</v>
      </c>
      <c r="R641" t="str">
        <f>HYPERLINK("https://d28ji4sm1vmprj.cloudfront.net/3e7bd1b1c8123e07928556a95537ec96/b6f4ea1a4c385def2ded1a2b1779c1a4.jpeg", "Ссылка на план")</f>
        <v>Ссылка на план</v>
      </c>
      <c r="S641" s="1">
        <v>43685.763668981483</v>
      </c>
      <c r="T641" s="1">
        <v>43685.763703703706</v>
      </c>
      <c r="U641" s="1">
        <v>43685.763703703706</v>
      </c>
      <c r="W641" s="1">
        <v>43685.76457175926</v>
      </c>
      <c r="X641" t="s">
        <v>3846</v>
      </c>
      <c r="AA641" t="s">
        <v>4788</v>
      </c>
      <c r="AB641" t="s">
        <v>4789</v>
      </c>
      <c r="AC641" t="s">
        <v>4790</v>
      </c>
      <c r="AD641" t="s">
        <v>4791</v>
      </c>
      <c r="BF641" t="s">
        <v>167</v>
      </c>
      <c r="BG641" t="s">
        <v>4792</v>
      </c>
      <c r="BH641" t="s">
        <v>310</v>
      </c>
      <c r="BI641" t="s">
        <v>4793</v>
      </c>
      <c r="BJ641" t="str">
        <f>HYPERLINK("https://d33htgqikc2pj4.cloudfront.net/a401968e-6026-4acf-85a0-1b4fa75be166.jpeg", "Андрей Денисов: Ссылка на изображение")</f>
        <v>Андрей Денисов: Ссылка на изображение</v>
      </c>
      <c r="BK641" t="str">
        <f>HYPERLINK("https://d33htgqikc2pj4.cloudfront.net/064aaba9-6ea9-4fd3-9a23-19d665a7ff59.jpeg", "Андрей Денисов: Ссылка на изображение")</f>
        <v>Андрей Денисов: Ссылка на изображение</v>
      </c>
    </row>
    <row r="642" spans="1:79" ht="15" customHeight="1" x14ac:dyDescent="0.35">
      <c r="A642">
        <v>528</v>
      </c>
      <c r="B642" t="s">
        <v>4794</v>
      </c>
      <c r="C642">
        <v>2</v>
      </c>
      <c r="D642" t="str">
        <f>VLOOKUP(source[[#This Row],[Приоритет]],тПриоритеты[],2,0)</f>
        <v>Значительное</v>
      </c>
      <c r="E6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2" t="s">
        <v>4451</v>
      </c>
      <c r="G642" t="s">
        <v>157</v>
      </c>
      <c r="H642" t="str">
        <f>VLOOKUP(source[[#This Row],[Отвественный]],тОтветственные[],2,0)</f>
        <v>Отв13</v>
      </c>
      <c r="I642" s="2">
        <v>43730</v>
      </c>
      <c r="J642" s="2">
        <v>43731</v>
      </c>
      <c r="K642" t="s">
        <v>104</v>
      </c>
      <c r="L642">
        <v>0</v>
      </c>
      <c r="M642">
        <v>0</v>
      </c>
      <c r="N642" t="s">
        <v>105</v>
      </c>
      <c r="Q642" t="s">
        <v>106</v>
      </c>
      <c r="R642" t="str">
        <f>HYPERLINK("https://d28ji4sm1vmprj.cloudfront.net/e7a526a7220c3bc5cfeeb407c455c0b3/580ffb055aff8ee0c88c6e676cfba776.jpeg", "Ссылка на план")</f>
        <v>Ссылка на план</v>
      </c>
      <c r="S642" s="1">
        <v>43732.380416666667</v>
      </c>
      <c r="T642" s="1">
        <v>43732.380439814813</v>
      </c>
      <c r="U642" s="1">
        <v>43732.380439814813</v>
      </c>
      <c r="W642" s="1">
        <v>43732.381203703706</v>
      </c>
      <c r="X642" t="s">
        <v>2835</v>
      </c>
      <c r="AA642" t="s">
        <v>4795</v>
      </c>
      <c r="AB642" t="s">
        <v>4796</v>
      </c>
      <c r="AC642" t="s">
        <v>4797</v>
      </c>
      <c r="AD642" t="s">
        <v>4798</v>
      </c>
      <c r="AE642" t="s">
        <v>4799</v>
      </c>
      <c r="AF642" t="s">
        <v>4800</v>
      </c>
      <c r="AG642" t="s">
        <v>4801</v>
      </c>
      <c r="BF642" t="s">
        <v>167</v>
      </c>
      <c r="BG642" t="s">
        <v>4802</v>
      </c>
      <c r="BH642" t="s">
        <v>2313</v>
      </c>
      <c r="BI642" t="s">
        <v>310</v>
      </c>
      <c r="BJ642" t="s">
        <v>3219</v>
      </c>
      <c r="BK642" t="s">
        <v>4803</v>
      </c>
      <c r="BL642" t="s">
        <v>3253</v>
      </c>
      <c r="BM642" t="str">
        <f>HYPERLINK("https://d33htgqikc2pj4.cloudfront.net/59a030e6-4625-40eb-b375-6d56a6b6209c.jpeg", "Андрей Денисов: Ссылка на изображение")</f>
        <v>Андрей Денисов: Ссылка на изображение</v>
      </c>
      <c r="BN642" t="str">
        <f>HYPERLINK("https://d33htgqikc2pj4.cloudfront.net/a5567119-dab9-4184-8a8a-36f2f6237bb6.jpeg", "Андрей Денисов: Ссылка на изображение")</f>
        <v>Андрей Денисов: Ссылка на изображение</v>
      </c>
      <c r="BO642" t="str">
        <f>HYPERLINK("https://d33htgqikc2pj4.cloudfront.net/0997f671-7713-4615-90e5-833f2b1e4029.jpeg", "Андрей Денисов: Ссылка на изображение")</f>
        <v>Андрей Денисов: Ссылка на изображение</v>
      </c>
      <c r="BP642" t="str">
        <f>HYPERLINK("https://d33htgqikc2pj4.cloudfront.net/669157d9-7cd5-4290-ab0e-87a9e79923a4.jpeg", "Андрей Денисов: Ссылка на изображение")</f>
        <v>Андрей Денисов: Ссылка на изображение</v>
      </c>
      <c r="BQ642" t="str">
        <f>HYPERLINK("https://d33htgqikc2pj4.cloudfront.net/6d0473ee-c39e-4565-95a2-38b34f20f552.jpeg", "Андрей Денисов: Ссылка на изображение")</f>
        <v>Андрей Денисов: Ссылка на изображение</v>
      </c>
      <c r="BR642" t="str">
        <f>HYPERLINK("https://d33htgqikc2pj4.cloudfront.net/4269ceaf-4f71-444d-9adc-f8b87c27e6b9.jpeg", "Андрей Денисов: Ссылка на изображение")</f>
        <v>Андрей Денисов: Ссылка на изображение</v>
      </c>
      <c r="BS642" t="str">
        <f>HYPERLINK("https://d33htgqikc2pj4.cloudfront.net/d0a99e5e-7c1d-4ff5-bf4c-b030c94ea1b9.jpeg", "Андрей Денисов: Ссылка на изображение")</f>
        <v>Андрей Денисов: Ссылка на изображение</v>
      </c>
      <c r="BT642" t="str">
        <f>HYPERLINK("https://d33htgqikc2pj4.cloudfront.net/998260ba-c2de-4fea-bf36-ae4c3b140c15.jpeg", "Андрей Денисов: Ссылка на изображение")</f>
        <v>Андрей Денисов: Ссылка на изображение</v>
      </c>
      <c r="BU642" t="str">
        <f>HYPERLINK("https://d33htgqikc2pj4.cloudfront.net/f4709856-ead8-4848-b80c-ad46597520ed.jpeg", "Андрей Денисов: Ссылка на изображение")</f>
        <v>Андрей Денисов: Ссылка на изображение</v>
      </c>
      <c r="BV642" t="str">
        <f>HYPERLINK("https://d33htgqikc2pj4.cloudfront.net/01b0ce00-2fd1-4557-a2fe-d2c763db6206.jpeg", "Андрей Денисов: Ссылка на изображение")</f>
        <v>Андрей Денисов: Ссылка на изображение</v>
      </c>
      <c r="BW642" t="str">
        <f>HYPERLINK("https://d33htgqikc2pj4.cloudfront.net/6e09c972-ebe7-4f2f-85b5-95d187453fd4.jpeg", "Андрей Денисов: Ссылка на изображение")</f>
        <v>Андрей Денисов: Ссылка на изображение</v>
      </c>
      <c r="BX642" t="str">
        <f>HYPERLINK("https://d33htgqikc2pj4.cloudfront.net/a47576c9-a59a-4658-a3fa-41f165f8bbd6.jpeg", "Андрей Денисов: Ссылка на изображение")</f>
        <v>Андрей Денисов: Ссылка на изображение</v>
      </c>
      <c r="BY642" t="str">
        <f>HYPERLINK("https://d33htgqikc2pj4.cloudfront.net/47852937-2611-4c24-8db5-3127920f0a45.jpeg", "Андрей Денисов: Ссылка на изображение")</f>
        <v>Андрей Денисов: Ссылка на изображение</v>
      </c>
      <c r="BZ642" t="str">
        <f>HYPERLINK("https://d33htgqikc2pj4.cloudfront.net/e7c55b1c-c0a2-43fb-bc2a-d21504b827f3.jpeg", "Андрей Денисов: Ссылка на изображение")</f>
        <v>Андрей Денисов: Ссылка на изображение</v>
      </c>
      <c r="CA642" t="str">
        <f>HYPERLINK("https://d33htgqikc2pj4.cloudfront.net/5897d91b-852e-45d0-ab96-e4e474152b63.jpeg", "Андрей Денисов: Ссылка на изображение")</f>
        <v>Андрей Денисов: Ссылка на изображение</v>
      </c>
    </row>
    <row r="643" spans="1:79" ht="15" customHeight="1" x14ac:dyDescent="0.35">
      <c r="A643">
        <v>537</v>
      </c>
      <c r="B643" t="s">
        <v>4804</v>
      </c>
      <c r="C643">
        <v>2</v>
      </c>
      <c r="D643" t="str">
        <f>VLOOKUP(source[[#This Row],[Приоритет]],тПриоритеты[],2,0)</f>
        <v>Значительное</v>
      </c>
      <c r="E6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3" t="s">
        <v>4451</v>
      </c>
      <c r="G643" t="s">
        <v>157</v>
      </c>
      <c r="H643" t="str">
        <f>VLOOKUP(source[[#This Row],[Отвественный]],тОтветственные[],2,0)</f>
        <v>Отв13</v>
      </c>
      <c r="I643" s="2">
        <v>43733</v>
      </c>
      <c r="J643" s="2">
        <v>43733</v>
      </c>
      <c r="K643" t="s">
        <v>104</v>
      </c>
      <c r="L643">
        <v>0</v>
      </c>
      <c r="M643">
        <v>0</v>
      </c>
      <c r="N643" t="s">
        <v>105</v>
      </c>
      <c r="Q643" t="s">
        <v>106</v>
      </c>
      <c r="R643" t="str">
        <f>HYPERLINK("https://d28ji4sm1vmprj.cloudfront.net/e7a526a7220c3bc5cfeeb407c455c0b3/580ffb055aff8ee0c88c6e676cfba776.jpeg", "Ссылка на план")</f>
        <v>Ссылка на план</v>
      </c>
      <c r="S643" s="1">
        <v>43734.55228009259</v>
      </c>
      <c r="T643" s="1">
        <v>43733.614108796297</v>
      </c>
      <c r="U643" s="1">
        <v>43733.614108796297</v>
      </c>
      <c r="W643" s="1">
        <v>43734.552303240744</v>
      </c>
      <c r="X643" t="s">
        <v>2835</v>
      </c>
      <c r="AA643" t="s">
        <v>4805</v>
      </c>
      <c r="AB643" t="s">
        <v>4806</v>
      </c>
      <c r="AC643" t="s">
        <v>4807</v>
      </c>
      <c r="AD643" t="s">
        <v>4808</v>
      </c>
      <c r="AE643" t="s">
        <v>4809</v>
      </c>
      <c r="AF643" t="s">
        <v>4810</v>
      </c>
      <c r="AG643" t="s">
        <v>4811</v>
      </c>
      <c r="BF643" t="s">
        <v>167</v>
      </c>
      <c r="BG643" t="s">
        <v>4812</v>
      </c>
      <c r="BH643" t="s">
        <v>310</v>
      </c>
      <c r="BI643" t="s">
        <v>4813</v>
      </c>
      <c r="BJ643" t="str">
        <f>HYPERLINK("https://d33htgqikc2pj4.cloudfront.net/0da6a06b-da5f-4d15-af29-98272c5709ed.jpeg", "Андрей Денисов: Ссылка на изображение")</f>
        <v>Андрей Денисов: Ссылка на изображение</v>
      </c>
      <c r="BK643" t="str">
        <f>HYPERLINK("https://d33htgqikc2pj4.cloudfront.net/6ed8d0d5-541e-4e40-ac2b-e6df9d65f235.jpeg", "Андрей Денисов: Ссылка на изображение")</f>
        <v>Андрей Денисов: Ссылка на изображение</v>
      </c>
      <c r="BL643" t="str">
        <f>HYPERLINK("https://d33htgqikc2pj4.cloudfront.net/e32e660d-0d48-4fbd-af64-de32244332a9.jpeg", "Андрей Денисов: Ссылка на изображение")</f>
        <v>Андрей Денисов: Ссылка на изображение</v>
      </c>
      <c r="BM643" t="str">
        <f>HYPERLINK("https://d33htgqikc2pj4.cloudfront.net/ace8caf3-6696-4654-af76-fd913a26494e.jpeg", "Андрей Денисов: Ссылка на изображение")</f>
        <v>Андрей Денисов: Ссылка на изображение</v>
      </c>
    </row>
    <row r="644" spans="1:79" ht="15" customHeight="1" x14ac:dyDescent="0.35">
      <c r="A644">
        <v>799</v>
      </c>
      <c r="B644" t="s">
        <v>4814</v>
      </c>
      <c r="C644">
        <v>2</v>
      </c>
      <c r="D644" t="str">
        <f>VLOOKUP(source[[#This Row],[Приоритет]],тПриоритеты[],2,0)</f>
        <v>Значительное</v>
      </c>
      <c r="E6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4" t="s">
        <v>4451</v>
      </c>
      <c r="G644" t="s">
        <v>157</v>
      </c>
      <c r="H644" t="str">
        <f>VLOOKUP(source[[#This Row],[Отвественный]],тОтветственные[],2,0)</f>
        <v>Отв13</v>
      </c>
      <c r="I644" s="2">
        <v>43820</v>
      </c>
      <c r="J644" s="2">
        <v>43820</v>
      </c>
      <c r="K644" t="s">
        <v>4815</v>
      </c>
      <c r="L644">
        <v>13.26</v>
      </c>
      <c r="M644">
        <v>48.87</v>
      </c>
      <c r="N644" t="s">
        <v>396</v>
      </c>
      <c r="Q644" t="s">
        <v>4816</v>
      </c>
      <c r="R644" t="str">
        <f>HYPERLINK("https://d28ji4sm1vmprj.cloudfront.net/4afd31e445253345f583bfef93d39ed7/1076e14a6b251b958bb3e518026736a9.jpeg", "Ссылка на план")</f>
        <v>Ссылка на план</v>
      </c>
      <c r="S644" s="1">
        <v>43820.45988425926</v>
      </c>
      <c r="T644" s="1">
        <v>43820.45989583333</v>
      </c>
      <c r="U644" s="1">
        <v>43820.45989583333</v>
      </c>
      <c r="W644" s="1">
        <v>43820.46125</v>
      </c>
      <c r="X644" t="s">
        <v>406</v>
      </c>
      <c r="AA644" t="s">
        <v>4817</v>
      </c>
      <c r="AB644" t="s">
        <v>4818</v>
      </c>
      <c r="AC644" t="s">
        <v>4819</v>
      </c>
      <c r="AD644" t="s">
        <v>4820</v>
      </c>
      <c r="AE644" t="s">
        <v>4821</v>
      </c>
      <c r="AF644" t="s">
        <v>4822</v>
      </c>
      <c r="AG644" t="s">
        <v>4823</v>
      </c>
      <c r="BF644" t="s">
        <v>167</v>
      </c>
      <c r="BG644" t="s">
        <v>4824</v>
      </c>
      <c r="BH644" t="s">
        <v>4825</v>
      </c>
      <c r="BI644" t="s">
        <v>310</v>
      </c>
      <c r="BJ644" t="s">
        <v>356</v>
      </c>
      <c r="BK644" t="str">
        <f>HYPERLINK("https://d33htgqikc2pj4.cloudfront.net/e91093cf-3fd9-4a65-8030-ea1c1d48bb96.jpeg", "Андрей Денисов: Ссылка на изображение")</f>
        <v>Андрей Денисов: Ссылка на изображение</v>
      </c>
      <c r="BL644" t="str">
        <f>HYPERLINK("https://d33htgqikc2pj4.cloudfront.net/5d3e7a71-d912-4ff9-9d6c-5ebc4a22fddf.jpeg", "Андрей Денисов: Ссылка на изображение")</f>
        <v>Андрей Денисов: Ссылка на изображение</v>
      </c>
      <c r="BM644" t="str">
        <f>HYPERLINK("https://d33htgqikc2pj4.cloudfront.net/a2ee6ad9-bcad-4181-a700-80122d8ca83c.jpeg", "Андрей Денисов: Ссылка на изображение")</f>
        <v>Андрей Денисов: Ссылка на изображение</v>
      </c>
      <c r="BN644" t="str">
        <f>HYPERLINK("https://d33htgqikc2pj4.cloudfront.net/e90e2519-1510-4e85-9bc1-ceddcf7621a3.jpeg", "Андрей Денисов: Ссылка на изображение")</f>
        <v>Андрей Денисов: Ссылка на изображение</v>
      </c>
    </row>
    <row r="645" spans="1:79" ht="15" customHeight="1" x14ac:dyDescent="0.35">
      <c r="A645">
        <v>426</v>
      </c>
      <c r="B645" t="s">
        <v>4826</v>
      </c>
      <c r="C645">
        <v>2</v>
      </c>
      <c r="D645" t="str">
        <f>VLOOKUP(source[[#This Row],[Приоритет]],тПриоритеты[],2,0)</f>
        <v>Значительное</v>
      </c>
      <c r="E6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5" t="s">
        <v>4451</v>
      </c>
      <c r="G645" t="s">
        <v>157</v>
      </c>
      <c r="H645" t="str">
        <f>VLOOKUP(source[[#This Row],[Отвественный]],тОтветственные[],2,0)</f>
        <v>Отв13</v>
      </c>
      <c r="I645" s="2">
        <v>43711</v>
      </c>
      <c r="J645" s="2">
        <v>43711</v>
      </c>
      <c r="K645" t="s">
        <v>104</v>
      </c>
      <c r="L645">
        <v>0</v>
      </c>
      <c r="M645">
        <v>0</v>
      </c>
      <c r="N645" t="s">
        <v>105</v>
      </c>
      <c r="Q645" t="s">
        <v>106</v>
      </c>
      <c r="R645" t="str">
        <f t="shared" ref="R645:R651" si="10">HYPERLINK("https://d28ji4sm1vmprj.cloudfront.net/e7a526a7220c3bc5cfeeb407c455c0b3/580ffb055aff8ee0c88c6e676cfba776.jpeg", "Ссылка на план")</f>
        <v>Ссылка на план</v>
      </c>
      <c r="S645" s="1">
        <v>43711.723113425927</v>
      </c>
      <c r="T645" s="1">
        <v>43711.723136574074</v>
      </c>
      <c r="U645" s="1">
        <v>43711.723136574074</v>
      </c>
      <c r="W645" s="1">
        <v>43711.723796296297</v>
      </c>
      <c r="X645" t="s">
        <v>2835</v>
      </c>
      <c r="AA645" t="s">
        <v>4827</v>
      </c>
      <c r="AB645" t="s">
        <v>4828</v>
      </c>
      <c r="AC645" t="s">
        <v>4829</v>
      </c>
      <c r="AD645" t="s">
        <v>4830</v>
      </c>
      <c r="AE645" t="s">
        <v>4831</v>
      </c>
      <c r="AF645" t="s">
        <v>4832</v>
      </c>
      <c r="AG645" t="s">
        <v>4833</v>
      </c>
      <c r="BF645" t="s">
        <v>167</v>
      </c>
      <c r="BG645" t="s">
        <v>4834</v>
      </c>
      <c r="BH645" t="s">
        <v>310</v>
      </c>
      <c r="BI645" t="s">
        <v>3349</v>
      </c>
      <c r="BJ645" t="str">
        <f>HYPERLINK("https://d33htgqikc2pj4.cloudfront.net/142877a9-0b3b-4c3a-bc3d-ce6c0f89e7c7.jpeg", "Андрей Денисов: Ссылка на изображение")</f>
        <v>Андрей Денисов: Ссылка на изображение</v>
      </c>
      <c r="BK645" t="str">
        <f>HYPERLINK("https://d33htgqikc2pj4.cloudfront.net/d0f26d07-f45d-4c77-8cde-938f57020164.jpeg", "Андрей Денисов: Ссылка на изображение")</f>
        <v>Андрей Денисов: Ссылка на изображение</v>
      </c>
      <c r="BL645" t="str">
        <f>HYPERLINK("https://d33htgqikc2pj4.cloudfront.net/51aa2120-0730-4e02-b3e8-e6249524bf88.jpeg", "Андрей Денисов: Ссылка на изображение")</f>
        <v>Андрей Денисов: Ссылка на изображение</v>
      </c>
    </row>
    <row r="646" spans="1:79" ht="15" customHeight="1" x14ac:dyDescent="0.35">
      <c r="A646">
        <v>576</v>
      </c>
      <c r="B646" t="s">
        <v>4835</v>
      </c>
      <c r="C646">
        <v>2</v>
      </c>
      <c r="D646" t="str">
        <f>VLOOKUP(source[[#This Row],[Приоритет]],тПриоритеты[],2,0)</f>
        <v>Значительное</v>
      </c>
      <c r="E6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6" t="s">
        <v>4451</v>
      </c>
      <c r="G646" t="s">
        <v>157</v>
      </c>
      <c r="H646" t="str">
        <f>VLOOKUP(source[[#This Row],[Отвественный]],тОтветственные[],2,0)</f>
        <v>Отв13</v>
      </c>
      <c r="I646" s="2">
        <v>43744</v>
      </c>
      <c r="J646" s="2">
        <v>43744</v>
      </c>
      <c r="K646" t="s">
        <v>104</v>
      </c>
      <c r="L646">
        <v>0</v>
      </c>
      <c r="M646">
        <v>0</v>
      </c>
      <c r="N646" t="s">
        <v>105</v>
      </c>
      <c r="Q646" t="s">
        <v>106</v>
      </c>
      <c r="R646" t="str">
        <f t="shared" si="10"/>
        <v>Ссылка на план</v>
      </c>
      <c r="S646" s="1">
        <v>43744.964930555558</v>
      </c>
      <c r="T646" s="1">
        <v>43744.964930555558</v>
      </c>
      <c r="U646" s="1">
        <v>43744.964930555558</v>
      </c>
      <c r="W646" s="1">
        <v>43744.965300925927</v>
      </c>
      <c r="X646" t="s">
        <v>3217</v>
      </c>
      <c r="AA646" t="s">
        <v>4836</v>
      </c>
      <c r="AB646" t="s">
        <v>4837</v>
      </c>
      <c r="AC646" t="s">
        <v>4838</v>
      </c>
      <c r="AD646" t="s">
        <v>4839</v>
      </c>
      <c r="AE646" t="s">
        <v>4840</v>
      </c>
      <c r="AF646" t="s">
        <v>4841</v>
      </c>
      <c r="AG646" t="s">
        <v>4842</v>
      </c>
      <c r="AH646" t="s">
        <v>4843</v>
      </c>
      <c r="AI646" t="s">
        <v>4844</v>
      </c>
      <c r="AJ646" t="s">
        <v>4845</v>
      </c>
      <c r="AK646" t="s">
        <v>4846</v>
      </c>
      <c r="BF646" t="s">
        <v>167</v>
      </c>
      <c r="BG646" t="s">
        <v>4847</v>
      </c>
      <c r="BH646" t="s">
        <v>310</v>
      </c>
      <c r="BI646" t="s">
        <v>4848</v>
      </c>
      <c r="BJ646" t="str">
        <f>HYPERLINK("https://d33htgqikc2pj4.cloudfront.net/55a8fdb6-a9d3-47e0-8303-d9b8f3616340.jpeg", "Андрей Денисов: Ссылка на изображение")</f>
        <v>Андрей Денисов: Ссылка на изображение</v>
      </c>
      <c r="BK646" t="str">
        <f>HYPERLINK("https://d33htgqikc2pj4.cloudfront.net/159ddbe3-8058-475b-8b45-236ec38d58ea.jpeg", "Андрей Денисов: Ссылка на изображение")</f>
        <v>Андрей Денисов: Ссылка на изображение</v>
      </c>
      <c r="BL646" t="str">
        <f>HYPERLINK("https://d33htgqikc2pj4.cloudfront.net/1a397914-402c-40dc-96cf-44e56bc1310c.jpeg", "Андрей Денисов: Ссылка на изображение")</f>
        <v>Андрей Денисов: Ссылка на изображение</v>
      </c>
      <c r="BM646" t="str">
        <f>HYPERLINK("https://d33htgqikc2pj4.cloudfront.net/9a0578dc-dd43-47d4-976f-e482095dc543.jpeg", "Андрей Денисов: Ссылка на изображение")</f>
        <v>Андрей Денисов: Ссылка на изображение</v>
      </c>
      <c r="BN646" t="str">
        <f>HYPERLINK("https://d33htgqikc2pj4.cloudfront.net/81c42efa-c024-4aec-b4ab-605234df2bdb.jpeg", "Андрей Денисов: Ссылка на изображение")</f>
        <v>Андрей Денисов: Ссылка на изображение</v>
      </c>
    </row>
    <row r="647" spans="1:79" ht="15" customHeight="1" x14ac:dyDescent="0.35">
      <c r="A647">
        <v>577</v>
      </c>
      <c r="B647" t="s">
        <v>4849</v>
      </c>
      <c r="C647">
        <v>2</v>
      </c>
      <c r="D647" t="str">
        <f>VLOOKUP(source[[#This Row],[Приоритет]],тПриоритеты[],2,0)</f>
        <v>Значительное</v>
      </c>
      <c r="E6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7" t="s">
        <v>4451</v>
      </c>
      <c r="G647" t="s">
        <v>157</v>
      </c>
      <c r="H647" t="str">
        <f>VLOOKUP(source[[#This Row],[Отвественный]],тОтветственные[],2,0)</f>
        <v>Отв13</v>
      </c>
      <c r="I647" s="2">
        <v>43744</v>
      </c>
      <c r="J647" s="2">
        <v>43744</v>
      </c>
      <c r="K647" t="s">
        <v>104</v>
      </c>
      <c r="L647">
        <v>0</v>
      </c>
      <c r="M647">
        <v>0</v>
      </c>
      <c r="N647" t="s">
        <v>105</v>
      </c>
      <c r="Q647" t="s">
        <v>106</v>
      </c>
      <c r="R647" t="str">
        <f t="shared" si="10"/>
        <v>Ссылка на план</v>
      </c>
      <c r="S647" s="1">
        <v>43744.966168981482</v>
      </c>
      <c r="T647" s="1">
        <v>43744.966180555559</v>
      </c>
      <c r="U647" s="1">
        <v>43744.966180555559</v>
      </c>
      <c r="W647" s="1">
        <v>43744.966539351852</v>
      </c>
      <c r="BF647" t="s">
        <v>167</v>
      </c>
      <c r="BG647" t="s">
        <v>4850</v>
      </c>
      <c r="BH647" t="s">
        <v>310</v>
      </c>
      <c r="BI647" t="s">
        <v>4848</v>
      </c>
      <c r="BJ647" t="str">
        <f>HYPERLINK("https://d33htgqikc2pj4.cloudfront.net/cca4f426-4c09-49b4-90a2-197c2ee985aa.jpeg", "Андрей Денисов: Ссылка на изображение")</f>
        <v>Андрей Денисов: Ссылка на изображение</v>
      </c>
      <c r="BK647" t="str">
        <f>HYPERLINK("https://d33htgqikc2pj4.cloudfront.net/cb165097-5bbf-48ee-ba72-e76a5b1ce698.jpeg", "Андрей Денисов: Ссылка на изображение")</f>
        <v>Андрей Денисов: Ссылка на изображение</v>
      </c>
    </row>
    <row r="648" spans="1:79" ht="15" customHeight="1" x14ac:dyDescent="0.35">
      <c r="A648">
        <v>581</v>
      </c>
      <c r="B648" t="s">
        <v>4851</v>
      </c>
      <c r="C648">
        <v>2</v>
      </c>
      <c r="D648" t="str">
        <f>VLOOKUP(source[[#This Row],[Приоритет]],тПриоритеты[],2,0)</f>
        <v>Значительное</v>
      </c>
      <c r="E6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8" t="s">
        <v>4451</v>
      </c>
      <c r="G648" t="s">
        <v>157</v>
      </c>
      <c r="H648" t="str">
        <f>VLOOKUP(source[[#This Row],[Отвественный]],тОтветственные[],2,0)</f>
        <v>Отв13</v>
      </c>
      <c r="I648" s="2">
        <v>43745</v>
      </c>
      <c r="J648" s="2">
        <v>43745</v>
      </c>
      <c r="K648" t="s">
        <v>104</v>
      </c>
      <c r="L648">
        <v>0</v>
      </c>
      <c r="M648">
        <v>0</v>
      </c>
      <c r="N648" t="s">
        <v>105</v>
      </c>
      <c r="Q648" t="s">
        <v>106</v>
      </c>
      <c r="R648" t="str">
        <f t="shared" si="10"/>
        <v>Ссылка на план</v>
      </c>
      <c r="S648" s="1">
        <v>43746.329837962963</v>
      </c>
      <c r="T648" s="1">
        <v>43746.329826388886</v>
      </c>
      <c r="U648" s="1">
        <v>43746.329826388886</v>
      </c>
      <c r="W648" s="1">
        <v>43746.330266203702</v>
      </c>
      <c r="X648" t="s">
        <v>2333</v>
      </c>
      <c r="AA648" t="s">
        <v>4852</v>
      </c>
      <c r="AB648" t="s">
        <v>4853</v>
      </c>
      <c r="AC648" t="s">
        <v>4854</v>
      </c>
      <c r="AD648" t="s">
        <v>4855</v>
      </c>
      <c r="AE648" t="s">
        <v>4856</v>
      </c>
      <c r="AF648" t="s">
        <v>4857</v>
      </c>
      <c r="AG648" t="s">
        <v>4858</v>
      </c>
      <c r="AH648" t="s">
        <v>4859</v>
      </c>
      <c r="AI648" t="s">
        <v>4860</v>
      </c>
      <c r="BF648" t="s">
        <v>167</v>
      </c>
      <c r="BG648" t="s">
        <v>4861</v>
      </c>
      <c r="BH648" t="s">
        <v>310</v>
      </c>
      <c r="BI648" t="s">
        <v>3570</v>
      </c>
      <c r="BJ648" t="str">
        <f>HYPERLINK("https://d33htgqikc2pj4.cloudfront.net/f8c8c5bc-4971-41ee-9d0d-55e73fad5017.jpeg", "Андрей Денисов: Ссылка на изображение")</f>
        <v>Андрей Денисов: Ссылка на изображение</v>
      </c>
    </row>
    <row r="649" spans="1:79" ht="15" customHeight="1" x14ac:dyDescent="0.35">
      <c r="A649">
        <v>548</v>
      </c>
      <c r="B649" t="s">
        <v>4862</v>
      </c>
      <c r="C649">
        <v>2</v>
      </c>
      <c r="D649" t="str">
        <f>VLOOKUP(source[[#This Row],[Приоритет]],тПриоритеты[],2,0)</f>
        <v>Значительное</v>
      </c>
      <c r="E6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49" t="s">
        <v>4451</v>
      </c>
      <c r="G649" t="s">
        <v>157</v>
      </c>
      <c r="H649" t="str">
        <f>VLOOKUP(source[[#This Row],[Отвественный]],тОтветственные[],2,0)</f>
        <v>Отв13</v>
      </c>
      <c r="I649" s="2">
        <v>43736</v>
      </c>
      <c r="J649" s="2">
        <v>43736</v>
      </c>
      <c r="K649" t="s">
        <v>104</v>
      </c>
      <c r="L649">
        <v>0</v>
      </c>
      <c r="M649">
        <v>0</v>
      </c>
      <c r="N649" t="s">
        <v>105</v>
      </c>
      <c r="Q649" t="s">
        <v>106</v>
      </c>
      <c r="R649" t="str">
        <f t="shared" si="10"/>
        <v>Ссылка на план</v>
      </c>
      <c r="S649" s="1">
        <v>43736.911898148152</v>
      </c>
      <c r="T649" s="1">
        <v>43736.912222222221</v>
      </c>
      <c r="U649" s="1">
        <v>43736.912222222221</v>
      </c>
      <c r="W649" s="1">
        <v>43736.91265046296</v>
      </c>
      <c r="X649" t="s">
        <v>2835</v>
      </c>
      <c r="AA649" t="s">
        <v>4863</v>
      </c>
      <c r="AB649" t="s">
        <v>4864</v>
      </c>
      <c r="AC649" t="s">
        <v>4865</v>
      </c>
      <c r="AD649" t="s">
        <v>4866</v>
      </c>
      <c r="AE649" t="s">
        <v>4867</v>
      </c>
      <c r="AF649" t="s">
        <v>4868</v>
      </c>
      <c r="AG649" t="s">
        <v>4869</v>
      </c>
      <c r="BF649" t="s">
        <v>4870</v>
      </c>
      <c r="BG649" t="s">
        <v>167</v>
      </c>
      <c r="BH649" t="s">
        <v>310</v>
      </c>
      <c r="BI649" t="s">
        <v>365</v>
      </c>
      <c r="BJ649" t="s">
        <v>4871</v>
      </c>
    </row>
    <row r="650" spans="1:79" ht="15" customHeight="1" x14ac:dyDescent="0.35">
      <c r="A650">
        <v>550</v>
      </c>
      <c r="B650" t="s">
        <v>4076</v>
      </c>
      <c r="C650">
        <v>2</v>
      </c>
      <c r="D650" t="str">
        <f>VLOOKUP(source[[#This Row],[Приоритет]],тПриоритеты[],2,0)</f>
        <v>Значительное</v>
      </c>
      <c r="E6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0" t="s">
        <v>4451</v>
      </c>
      <c r="G650" t="s">
        <v>157</v>
      </c>
      <c r="H650" t="str">
        <f>VLOOKUP(source[[#This Row],[Отвественный]],тОтветственные[],2,0)</f>
        <v>Отв13</v>
      </c>
      <c r="I650" s="2">
        <v>43736</v>
      </c>
      <c r="J650" s="2">
        <v>43736</v>
      </c>
      <c r="K650" t="s">
        <v>104</v>
      </c>
      <c r="L650">
        <v>0</v>
      </c>
      <c r="M650">
        <v>0</v>
      </c>
      <c r="N650" t="s">
        <v>105</v>
      </c>
      <c r="Q650" t="s">
        <v>106</v>
      </c>
      <c r="R650" t="str">
        <f t="shared" si="10"/>
        <v>Ссылка на план</v>
      </c>
      <c r="S650" s="1">
        <v>43736.913900462961</v>
      </c>
      <c r="T650" s="1">
        <v>43736.913923611108</v>
      </c>
      <c r="U650" s="1">
        <v>43736.913923611108</v>
      </c>
      <c r="W650" s="1">
        <v>43736.914212962962</v>
      </c>
      <c r="X650" t="s">
        <v>406</v>
      </c>
      <c r="AA650" t="s">
        <v>4872</v>
      </c>
      <c r="AB650" t="s">
        <v>4873</v>
      </c>
      <c r="AC650" t="s">
        <v>4874</v>
      </c>
      <c r="AD650" t="s">
        <v>4875</v>
      </c>
      <c r="AE650" t="s">
        <v>4876</v>
      </c>
      <c r="AF650" t="s">
        <v>4877</v>
      </c>
      <c r="AG650" t="s">
        <v>4878</v>
      </c>
      <c r="BF650" t="s">
        <v>167</v>
      </c>
      <c r="BG650" t="s">
        <v>4481</v>
      </c>
      <c r="BH650" t="s">
        <v>310</v>
      </c>
      <c r="BI650" t="s">
        <v>365</v>
      </c>
      <c r="BJ650" t="str">
        <f>HYPERLINK("https://d33htgqikc2pj4.cloudfront.net/4fceca3c-f256-4779-af01-610000b72fee.jpeg", "Андрей Денисов: Ссылка на изображение")</f>
        <v>Андрей Денисов: Ссылка на изображение</v>
      </c>
      <c r="BK650" t="str">
        <f>HYPERLINK("https://d33htgqikc2pj4.cloudfront.net/824f738b-c1ed-4989-820a-d42185e4ad57.jpeg", "Андрей Денисов: Ссылка на изображение")</f>
        <v>Андрей Денисов: Ссылка на изображение</v>
      </c>
      <c r="BL650" t="str">
        <f>HYPERLINK("https://d33htgqikc2pj4.cloudfront.net/0b2d93a3-7f06-46a4-972d-1d333dd0636f.jpeg", "Андрей Денисов: Ссылка на изображение")</f>
        <v>Андрей Денисов: Ссылка на изображение</v>
      </c>
      <c r="BM650" t="str">
        <f>HYPERLINK("https://d33htgqikc2pj4.cloudfront.net/c9583de6-cd13-4957-8da7-434409ada661.jpeg", "Андрей Денисов: Ссылка на изображение")</f>
        <v>Андрей Денисов: Ссылка на изображение</v>
      </c>
      <c r="BN650" t="str">
        <f>HYPERLINK("https://d33htgqikc2pj4.cloudfront.net/2983b0ff-83ee-4cc5-9b36-07c346905e10.jpeg", "Андрей Денисов: Ссылка на изображение")</f>
        <v>Андрей Денисов: Ссылка на изображение</v>
      </c>
      <c r="BO650" t="str">
        <f>HYPERLINK("https://d33htgqikc2pj4.cloudfront.net/270bafb4-080b-43c4-8a67-1c2a9a99631e.jpeg", "Андрей Денисов: Ссылка на изображение")</f>
        <v>Андрей Денисов: Ссылка на изображение</v>
      </c>
      <c r="BP650" t="str">
        <f>HYPERLINK("https://d33htgqikc2pj4.cloudfront.net/9efed9a5-7010-49a3-abe7-527489bb9171.jpeg", "Андрей Денисов: Ссылка на изображение")</f>
        <v>Андрей Денисов: Ссылка на изображение</v>
      </c>
      <c r="BQ650" t="str">
        <f>HYPERLINK("https://d33htgqikc2pj4.cloudfront.net/11ea30a3-585e-42c0-ac45-27140e27bb20.jpeg", "Андрей Денисов: Ссылка на изображение")</f>
        <v>Андрей Денисов: Ссылка на изображение</v>
      </c>
      <c r="BR650" t="str">
        <f>HYPERLINK("https://d33htgqikc2pj4.cloudfront.net/6c838137-1ee9-4c9f-8431-fac243f345d8.jpeg", "Андрей Денисов: Ссылка на изображение")</f>
        <v>Андрей Денисов: Ссылка на изображение</v>
      </c>
      <c r="BS650" t="str">
        <f>HYPERLINK("https://d33htgqikc2pj4.cloudfront.net/0c53f6e9-7efd-41de-b979-c6b538e0405a.jpeg", "Андрей Денисов: Ссылка на изображение")</f>
        <v>Андрей Денисов: Ссылка на изображение</v>
      </c>
    </row>
    <row r="651" spans="1:79" ht="15" customHeight="1" x14ac:dyDescent="0.35">
      <c r="A651">
        <v>552</v>
      </c>
      <c r="B651" t="s">
        <v>4879</v>
      </c>
      <c r="C651">
        <v>2</v>
      </c>
      <c r="D651" t="str">
        <f>VLOOKUP(source[[#This Row],[Приоритет]],тПриоритеты[],2,0)</f>
        <v>Значительное</v>
      </c>
      <c r="E6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1" t="s">
        <v>4451</v>
      </c>
      <c r="G651" t="s">
        <v>157</v>
      </c>
      <c r="H651" t="str">
        <f>VLOOKUP(source[[#This Row],[Отвественный]],тОтветственные[],2,0)</f>
        <v>Отв13</v>
      </c>
      <c r="I651" s="2">
        <v>43736</v>
      </c>
      <c r="J651" s="2">
        <v>43736</v>
      </c>
      <c r="K651" t="s">
        <v>104</v>
      </c>
      <c r="L651">
        <v>0</v>
      </c>
      <c r="M651">
        <v>0</v>
      </c>
      <c r="N651" t="s">
        <v>105</v>
      </c>
      <c r="Q651" t="s">
        <v>106</v>
      </c>
      <c r="R651" t="str">
        <f t="shared" si="10"/>
        <v>Ссылка на план</v>
      </c>
      <c r="S651" s="1">
        <v>43736.916574074072</v>
      </c>
      <c r="T651" s="1">
        <v>43736.916597222225</v>
      </c>
      <c r="U651" s="1">
        <v>43736.916597222225</v>
      </c>
      <c r="W651" s="1">
        <v>43736.917511574073</v>
      </c>
      <c r="X651" t="s">
        <v>2333</v>
      </c>
      <c r="AA651" t="s">
        <v>4880</v>
      </c>
      <c r="AB651" t="s">
        <v>4881</v>
      </c>
      <c r="AC651" t="s">
        <v>4882</v>
      </c>
      <c r="AD651" t="s">
        <v>4883</v>
      </c>
      <c r="AE651" t="s">
        <v>4884</v>
      </c>
      <c r="AF651" t="s">
        <v>4885</v>
      </c>
      <c r="AG651" t="s">
        <v>4886</v>
      </c>
      <c r="AH651" t="s">
        <v>4887</v>
      </c>
      <c r="AI651" t="s">
        <v>4869</v>
      </c>
      <c r="BF651" t="s">
        <v>167</v>
      </c>
      <c r="BG651" t="s">
        <v>4888</v>
      </c>
      <c r="BH651" t="s">
        <v>310</v>
      </c>
      <c r="BI651" t="s">
        <v>365</v>
      </c>
      <c r="BJ651" t="str">
        <f>HYPERLINK("https://d33htgqikc2pj4.cloudfront.net/466c67f5-5627-49af-8ff8-0c7fb83531fd.jpeg", "Андрей Денисов: Ссылка на изображение")</f>
        <v>Андрей Денисов: Ссылка на изображение</v>
      </c>
      <c r="BK651" t="str">
        <f>HYPERLINK("https://d33htgqikc2pj4.cloudfront.net/334eb907-99da-4367-a263-23fba648286f.jpeg", "Андрей Денисов: Ссылка на изображение")</f>
        <v>Андрей Денисов: Ссылка на изображение</v>
      </c>
    </row>
    <row r="652" spans="1:79" ht="15" customHeight="1" x14ac:dyDescent="0.35">
      <c r="A652">
        <v>443</v>
      </c>
      <c r="B652" t="s">
        <v>4889</v>
      </c>
      <c r="C652">
        <v>2</v>
      </c>
      <c r="D652" t="str">
        <f>VLOOKUP(source[[#This Row],[Приоритет]],тПриоритеты[],2,0)</f>
        <v>Значительное</v>
      </c>
      <c r="E6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2" t="s">
        <v>4451</v>
      </c>
      <c r="G652" t="s">
        <v>157</v>
      </c>
      <c r="H652" t="str">
        <f>VLOOKUP(source[[#This Row],[Отвественный]],тОтветственные[],2,0)</f>
        <v>Отв13</v>
      </c>
      <c r="I652" s="2">
        <v>43714</v>
      </c>
      <c r="J652" s="2">
        <v>43714</v>
      </c>
      <c r="K652" t="s">
        <v>158</v>
      </c>
      <c r="L652">
        <v>0</v>
      </c>
      <c r="M652">
        <v>0</v>
      </c>
      <c r="N652" t="s">
        <v>531</v>
      </c>
      <c r="Q652" t="s">
        <v>124</v>
      </c>
      <c r="R652" t="str">
        <f>HYPERLINK("https://d28ji4sm1vmprj.cloudfront.net/09622a2bb466dfd1cdfb85ce6a712a4c/080b534903fe5ecae6d56f3611cbeb01.jpeg", "Ссылка на план")</f>
        <v>Ссылка на план</v>
      </c>
      <c r="S652" s="1">
        <v>43714.70171296296</v>
      </c>
      <c r="T652" s="1">
        <v>43714.701736111114</v>
      </c>
      <c r="U652" s="1">
        <v>43714.701736111114</v>
      </c>
      <c r="W652" s="1">
        <v>43714.703622685185</v>
      </c>
      <c r="X652" t="s">
        <v>3023</v>
      </c>
      <c r="AA652" t="s">
        <v>4890</v>
      </c>
      <c r="AB652" t="s">
        <v>4891</v>
      </c>
      <c r="AC652" t="s">
        <v>4892</v>
      </c>
      <c r="AD652" t="s">
        <v>4893</v>
      </c>
      <c r="AE652" t="s">
        <v>4894</v>
      </c>
      <c r="AF652" t="s">
        <v>4895</v>
      </c>
      <c r="BF652" t="s">
        <v>167</v>
      </c>
      <c r="BG652" t="s">
        <v>4896</v>
      </c>
      <c r="BH652" t="s">
        <v>310</v>
      </c>
      <c r="BI652" t="s">
        <v>3447</v>
      </c>
      <c r="BJ652" t="str">
        <f>HYPERLINK("https://d33htgqikc2pj4.cloudfront.net/814c4296-1bd5-4a14-9e0d-08bc57d2074c.jpeg", "Андрей Денисов: Ссылка на изображение")</f>
        <v>Андрей Денисов: Ссылка на изображение</v>
      </c>
      <c r="BK652" t="str">
        <f>HYPERLINK("https://d33htgqikc2pj4.cloudfront.net/84190908-25b2-452b-94bf-769a503378c1.jpeg", "Андрей Денисов: Ссылка на изображение")</f>
        <v>Андрей Денисов: Ссылка на изображение</v>
      </c>
      <c r="BL652" t="str">
        <f>HYPERLINK("https://d33htgqikc2pj4.cloudfront.net/533e7ffd-8018-4e2f-9bfd-2699f6721e92.jpeg", "Андрей Денисов: Ссылка на изображение")</f>
        <v>Андрей Денисов: Ссылка на изображение</v>
      </c>
      <c r="BM652" t="str">
        <f>HYPERLINK("https://d33htgqikc2pj4.cloudfront.net/7e68a0ac-005b-458d-a515-c3944c7fa41c.jpeg", "Андрей Денисов: Ссылка на изображение")</f>
        <v>Андрей Денисов: Ссылка на изображение</v>
      </c>
      <c r="BN652" t="str">
        <f>HYPERLINK("https://d33htgqikc2pj4.cloudfront.net/d5332188-7856-4eb0-9173-c9a7209cc3ba.jpeg", "Андрей Денисов: Ссылка на изображение")</f>
        <v>Андрей Денисов: Ссылка на изображение</v>
      </c>
      <c r="BO652" t="str">
        <f>HYPERLINK("https://d33htgqikc2pj4.cloudfront.net/77ef317e-f04c-42b9-a7f4-c78fbdc44b76.jpeg", "Андрей Денисов: Ссылка на изображение")</f>
        <v>Андрей Денисов: Ссылка на изображение</v>
      </c>
      <c r="BP652" t="str">
        <f>HYPERLINK("https://d33htgqikc2pj4.cloudfront.net/9a37d1b3-dabb-4631-b748-ff90e0771629.jpeg", "Андрей Денисов: Ссылка на изображение")</f>
        <v>Андрей Денисов: Ссылка на изображение</v>
      </c>
    </row>
    <row r="653" spans="1:79" ht="15" customHeight="1" x14ac:dyDescent="0.35">
      <c r="A653">
        <v>444</v>
      </c>
      <c r="B653" t="s">
        <v>4897</v>
      </c>
      <c r="C653">
        <v>2</v>
      </c>
      <c r="D653" t="str">
        <f>VLOOKUP(source[[#This Row],[Приоритет]],тПриоритеты[],2,0)</f>
        <v>Значительное</v>
      </c>
      <c r="E6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3" t="s">
        <v>4451</v>
      </c>
      <c r="G653" t="s">
        <v>157</v>
      </c>
      <c r="H653" t="str">
        <f>VLOOKUP(source[[#This Row],[Отвественный]],тОтветственные[],2,0)</f>
        <v>Отв13</v>
      </c>
      <c r="I653" s="2">
        <v>43714</v>
      </c>
      <c r="J653" s="2">
        <v>43714</v>
      </c>
      <c r="K653" t="s">
        <v>104</v>
      </c>
      <c r="L653">
        <v>0</v>
      </c>
      <c r="M653">
        <v>0</v>
      </c>
      <c r="N653" t="s">
        <v>105</v>
      </c>
      <c r="Q653" t="s">
        <v>106</v>
      </c>
      <c r="R653" t="str">
        <f t="shared" ref="R653:R670" si="11">HYPERLINK("https://d28ji4sm1vmprj.cloudfront.net/e7a526a7220c3bc5cfeeb407c455c0b3/580ffb055aff8ee0c88c6e676cfba776.jpeg", "Ссылка на план")</f>
        <v>Ссылка на план</v>
      </c>
      <c r="S653" s="1">
        <v>43714.721319444441</v>
      </c>
      <c r="T653" s="1">
        <v>43714.721342592595</v>
      </c>
      <c r="U653" s="1">
        <v>43714.721342592595</v>
      </c>
      <c r="W653" s="1">
        <v>43714.722141203703</v>
      </c>
      <c r="X653" t="s">
        <v>2835</v>
      </c>
      <c r="AA653" t="s">
        <v>4898</v>
      </c>
      <c r="AB653" t="s">
        <v>4899</v>
      </c>
      <c r="AC653" t="s">
        <v>4900</v>
      </c>
      <c r="AD653" t="s">
        <v>4901</v>
      </c>
      <c r="AE653" t="s">
        <v>4902</v>
      </c>
      <c r="AF653" t="s">
        <v>4903</v>
      </c>
      <c r="AG653" t="s">
        <v>4904</v>
      </c>
      <c r="BF653" t="s">
        <v>167</v>
      </c>
      <c r="BG653" t="s">
        <v>4905</v>
      </c>
      <c r="BH653" t="s">
        <v>310</v>
      </c>
      <c r="BI653" t="s">
        <v>3447</v>
      </c>
      <c r="BJ653" t="str">
        <f>HYPERLINK("https://d33htgqikc2pj4.cloudfront.net/f89fbf1e-ac9a-4eff-a1a9-dd3651b79907.jpeg", "Андрей Денисов: Ссылка на изображение")</f>
        <v>Андрей Денисов: Ссылка на изображение</v>
      </c>
      <c r="BK653" t="str">
        <f>HYPERLINK("https://d33htgqikc2pj4.cloudfront.net/77899970-5fb0-4747-9686-3c9c6795b81c.jpeg", "Андрей Денисов: Ссылка на изображение")</f>
        <v>Андрей Денисов: Ссылка на изображение</v>
      </c>
      <c r="BL653" t="str">
        <f>HYPERLINK("https://d33htgqikc2pj4.cloudfront.net/261e752b-54d3-41ce-b5b3-6bea92df5aaf.jpeg", "Андрей Денисов: Ссылка на изображение")</f>
        <v>Андрей Денисов: Ссылка на изображение</v>
      </c>
      <c r="BM653" t="str">
        <f>HYPERLINK("https://d33htgqikc2pj4.cloudfront.net/c4c2ba45-839b-419d-a528-8d28027e3f46.jpeg", "Андрей Денисов: Ссылка на изображение")</f>
        <v>Андрей Денисов: Ссылка на изображение</v>
      </c>
      <c r="BN653" t="str">
        <f>HYPERLINK("https://d33htgqikc2pj4.cloudfront.net/0135fe33-73d6-4b21-9fb6-720113f11554.jpeg", "Андрей Денисов: Ссылка на изображение")</f>
        <v>Андрей Денисов: Ссылка на изображение</v>
      </c>
    </row>
    <row r="654" spans="1:79" ht="15" customHeight="1" x14ac:dyDescent="0.35">
      <c r="A654">
        <v>587</v>
      </c>
      <c r="B654" t="s">
        <v>4906</v>
      </c>
      <c r="C654">
        <v>2</v>
      </c>
      <c r="D654" t="str">
        <f>VLOOKUP(source[[#This Row],[Приоритет]],тПриоритеты[],2,0)</f>
        <v>Значительное</v>
      </c>
      <c r="E6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4" t="s">
        <v>4451</v>
      </c>
      <c r="G654" t="s">
        <v>157</v>
      </c>
      <c r="H654" t="str">
        <f>VLOOKUP(source[[#This Row],[Отвественный]],тОтветственные[],2,0)</f>
        <v>Отв13</v>
      </c>
      <c r="I654" s="2">
        <v>43747</v>
      </c>
      <c r="J654" s="2">
        <v>43747</v>
      </c>
      <c r="K654" t="s">
        <v>104</v>
      </c>
      <c r="L654">
        <v>0</v>
      </c>
      <c r="M654">
        <v>0</v>
      </c>
      <c r="N654" t="s">
        <v>105</v>
      </c>
      <c r="Q654" t="s">
        <v>106</v>
      </c>
      <c r="R654" t="str">
        <f t="shared" si="11"/>
        <v>Ссылка на план</v>
      </c>
      <c r="S654" s="1">
        <v>43747.940555555557</v>
      </c>
      <c r="T654" s="1">
        <v>43747.940578703703</v>
      </c>
      <c r="U654" s="1">
        <v>43747.940578703703</v>
      </c>
      <c r="W654" s="1">
        <v>43747.941006944442</v>
      </c>
      <c r="X654" t="s">
        <v>2835</v>
      </c>
      <c r="AA654" t="s">
        <v>4907</v>
      </c>
      <c r="AB654" t="s">
        <v>4908</v>
      </c>
      <c r="AC654" t="s">
        <v>4909</v>
      </c>
      <c r="AD654" t="s">
        <v>4910</v>
      </c>
      <c r="AE654" t="s">
        <v>4911</v>
      </c>
      <c r="AF654" t="s">
        <v>4912</v>
      </c>
      <c r="AG654" t="s">
        <v>4913</v>
      </c>
      <c r="BF654" t="s">
        <v>167</v>
      </c>
      <c r="BG654" t="s">
        <v>4914</v>
      </c>
      <c r="BH654" t="s">
        <v>3470</v>
      </c>
      <c r="BI654" t="str">
        <f>HYPERLINK("https://d33htgqikc2pj4.cloudfront.net/8e65b4aa-0dcf-4add-8e68-51a7ead233c5.jpeg", "Андрей Денисов: Ссылка на изображение")</f>
        <v>Андрей Денисов: Ссылка на изображение</v>
      </c>
      <c r="BJ654" t="str">
        <f>HYPERLINK("https://d33htgqikc2pj4.cloudfront.net/00c400b9-06ed-4f0b-8f85-1a269193dc5d.jpeg", "Андрей Денисов: Ссылка на изображение")</f>
        <v>Андрей Денисов: Ссылка на изображение</v>
      </c>
      <c r="BK654" t="str">
        <f>HYPERLINK("https://d33htgqikc2pj4.cloudfront.net/02ade3ed-5c0c-49a2-976a-0062f015f2fc.jpeg", "Андрей Денисов: Ссылка на изображение")</f>
        <v>Андрей Денисов: Ссылка на изображение</v>
      </c>
      <c r="BL654" t="str">
        <f>HYPERLINK("https://d33htgqikc2pj4.cloudfront.net/a47c8bed-b195-4f57-8e80-f0030f88cabf.jpeg", "Андрей Денисов: Ссылка на изображение")</f>
        <v>Андрей Денисов: Ссылка на изображение</v>
      </c>
      <c r="BM654" t="str">
        <f>HYPERLINK("https://d33htgqikc2pj4.cloudfront.net/4a582f12-167e-4ced-956d-57b5a5fe640e.jpeg", "Андрей Денисов: Ссылка на изображение")</f>
        <v>Андрей Денисов: Ссылка на изображение</v>
      </c>
      <c r="BN654" t="s">
        <v>171</v>
      </c>
    </row>
    <row r="655" spans="1:79" ht="15" customHeight="1" x14ac:dyDescent="0.35">
      <c r="A655">
        <v>575</v>
      </c>
      <c r="B655" t="s">
        <v>4915</v>
      </c>
      <c r="C655">
        <v>2</v>
      </c>
      <c r="D655" t="str">
        <f>VLOOKUP(source[[#This Row],[Приоритет]],тПриоритеты[],2,0)</f>
        <v>Значительное</v>
      </c>
      <c r="E65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5" t="s">
        <v>4451</v>
      </c>
      <c r="G655" t="s">
        <v>157</v>
      </c>
      <c r="H655" t="str">
        <f>VLOOKUP(source[[#This Row],[Отвественный]],тОтветственные[],2,0)</f>
        <v>Отв13</v>
      </c>
      <c r="I655" s="2">
        <v>43744</v>
      </c>
      <c r="J655" s="2">
        <v>43744</v>
      </c>
      <c r="K655" t="s">
        <v>104</v>
      </c>
      <c r="L655">
        <v>0</v>
      </c>
      <c r="M655">
        <v>0</v>
      </c>
      <c r="N655" t="s">
        <v>105</v>
      </c>
      <c r="Q655" t="s">
        <v>106</v>
      </c>
      <c r="R655" t="str">
        <f t="shared" si="11"/>
        <v>Ссылка на план</v>
      </c>
      <c r="S655" s="1">
        <v>43744.962592592594</v>
      </c>
      <c r="T655" s="1">
        <v>43744.962627314817</v>
      </c>
      <c r="U655" s="1">
        <v>43744.962627314817</v>
      </c>
      <c r="W655" s="1">
        <v>43744.96371527778</v>
      </c>
      <c r="X655" t="s">
        <v>2835</v>
      </c>
      <c r="AA655" t="s">
        <v>4916</v>
      </c>
      <c r="AB655" t="s">
        <v>4917</v>
      </c>
      <c r="AC655" t="s">
        <v>4918</v>
      </c>
      <c r="AD655" t="s">
        <v>4919</v>
      </c>
      <c r="AE655" t="s">
        <v>4920</v>
      </c>
      <c r="AF655" t="s">
        <v>4921</v>
      </c>
      <c r="AG655" t="s">
        <v>4922</v>
      </c>
      <c r="BF655" t="s">
        <v>167</v>
      </c>
      <c r="BG655" t="s">
        <v>4923</v>
      </c>
      <c r="BH655" t="s">
        <v>310</v>
      </c>
      <c r="BI655" t="s">
        <v>4848</v>
      </c>
      <c r="BJ655" t="str">
        <f>HYPERLINK("https://d33htgqikc2pj4.cloudfront.net/b432c1a4-c16a-4fe5-862a-edfbfe1df2f6.jpeg", "Андрей Денисов: Ссылка на изображение")</f>
        <v>Андрей Денисов: Ссылка на изображение</v>
      </c>
      <c r="BK655" t="str">
        <f>HYPERLINK("https://d33htgqikc2pj4.cloudfront.net/9b2bb76b-931a-496e-95ec-ea4473f6c119.jpeg", "Андрей Денисов: Ссылка на изображение")</f>
        <v>Андрей Денисов: Ссылка на изображение</v>
      </c>
      <c r="BL655" t="str">
        <f>HYPERLINK("https://d33htgqikc2pj4.cloudfront.net/08a5d614-ddf3-42a6-945b-37c08730789f.jpeg", "Андрей Денисов: Ссылка на изображение")</f>
        <v>Андрей Денисов: Ссылка на изображение</v>
      </c>
      <c r="BM655" t="str">
        <f>HYPERLINK("https://d33htgqikc2pj4.cloudfront.net/83361b2f-c472-414d-89d3-6573a1701159.jpeg", "Андрей Денисов: Ссылка на изображение")</f>
        <v>Андрей Денисов: Ссылка на изображение</v>
      </c>
      <c r="BN655" t="str">
        <f>HYPERLINK("https://d33htgqikc2pj4.cloudfront.net/c09c1239-4a17-40dd-a5b4-7452c3dd4ec2.jpeg", "Андрей Денисов: Ссылка на изображение")</f>
        <v>Андрей Денисов: Ссылка на изображение</v>
      </c>
      <c r="BO655" t="str">
        <f>HYPERLINK("https://d33htgqikc2pj4.cloudfront.net/08f50858-0e78-4888-bb65-f5823516e0c7.jpeg", "Андрей Денисов: Ссылка на изображение")</f>
        <v>Андрей Денисов: Ссылка на изображение</v>
      </c>
      <c r="BP655" t="str">
        <f>HYPERLINK("https://d33htgqikc2pj4.cloudfront.net/22b021f4-1e79-4ada-b775-69576f205045.jpeg", "Андрей Денисов: Ссылка на изображение")</f>
        <v>Андрей Денисов: Ссылка на изображение</v>
      </c>
      <c r="BQ655" t="str">
        <f>HYPERLINK("https://d33htgqikc2pj4.cloudfront.net/66005fa8-4cfc-4acc-8eff-6597f2ce56b6.jpeg", "Андрей Денисов: Ссылка на изображение")</f>
        <v>Андрей Денисов: Ссылка на изображение</v>
      </c>
      <c r="BR655" t="str">
        <f>HYPERLINK("https://d33htgqikc2pj4.cloudfront.net/68fbf1b0-6c2a-4d5c-92f9-23bc656e9fdc.jpeg", "Андрей Денисов: Ссылка на изображение")</f>
        <v>Андрей Денисов: Ссылка на изображение</v>
      </c>
      <c r="BS655" t="str">
        <f>HYPERLINK("https://d33htgqikc2pj4.cloudfront.net/5a9fd709-012c-451b-b726-d9e28bbc7d57.jpeg", "Андрей Денисов: Ссылка на изображение")</f>
        <v>Андрей Денисов: Ссылка на изображение</v>
      </c>
    </row>
    <row r="656" spans="1:79" ht="15" customHeight="1" x14ac:dyDescent="0.35">
      <c r="A656">
        <v>653</v>
      </c>
      <c r="B656" t="s">
        <v>4924</v>
      </c>
      <c r="C656">
        <v>2</v>
      </c>
      <c r="D656" t="str">
        <f>VLOOKUP(source[[#This Row],[Приоритет]],тПриоритеты[],2,0)</f>
        <v>Значительное</v>
      </c>
      <c r="E65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6" t="s">
        <v>4451</v>
      </c>
      <c r="G656" t="s">
        <v>157</v>
      </c>
      <c r="H656" t="str">
        <f>VLOOKUP(source[[#This Row],[Отвественный]],тОтветственные[],2,0)</f>
        <v>Отв13</v>
      </c>
      <c r="I656" s="2">
        <v>43765</v>
      </c>
      <c r="J656" s="2">
        <v>43765</v>
      </c>
      <c r="K656" t="s">
        <v>104</v>
      </c>
      <c r="L656">
        <v>0</v>
      </c>
      <c r="M656">
        <v>0</v>
      </c>
      <c r="N656" t="s">
        <v>105</v>
      </c>
      <c r="Q656" t="s">
        <v>106</v>
      </c>
      <c r="R656" t="str">
        <f t="shared" si="11"/>
        <v>Ссылка на план</v>
      </c>
      <c r="S656" s="1">
        <v>43766.312951388885</v>
      </c>
      <c r="T656" s="1">
        <v>43766.312962962962</v>
      </c>
      <c r="U656" s="1">
        <v>43766.312962962962</v>
      </c>
      <c r="W656" s="1">
        <v>43766.314421296294</v>
      </c>
      <c r="X656" t="s">
        <v>3217</v>
      </c>
      <c r="AA656" t="s">
        <v>4925</v>
      </c>
      <c r="AB656" t="s">
        <v>4926</v>
      </c>
      <c r="AC656" t="s">
        <v>4927</v>
      </c>
      <c r="AD656" t="s">
        <v>4928</v>
      </c>
      <c r="AE656" t="s">
        <v>4929</v>
      </c>
      <c r="AF656" t="s">
        <v>4930</v>
      </c>
      <c r="AG656" t="s">
        <v>4931</v>
      </c>
      <c r="AH656" t="s">
        <v>4932</v>
      </c>
      <c r="AI656" t="s">
        <v>4933</v>
      </c>
      <c r="AJ656" t="s">
        <v>4934</v>
      </c>
      <c r="AK656" t="s">
        <v>4935</v>
      </c>
      <c r="BF656" t="s">
        <v>167</v>
      </c>
      <c r="BG656" t="s">
        <v>4936</v>
      </c>
      <c r="BH656" t="s">
        <v>310</v>
      </c>
      <c r="BI656" t="s">
        <v>4937</v>
      </c>
      <c r="BJ656" t="s">
        <v>4938</v>
      </c>
      <c r="BK656" t="s">
        <v>4939</v>
      </c>
      <c r="BL656" t="s">
        <v>3583</v>
      </c>
      <c r="BM656" t="str">
        <f>HYPERLINK("https://d33htgqikc2pj4.cloudfront.net/a0609ba8-f8fd-4e5b-a017-3e63a942db7e.jpeg", "Андрей Денисов: Ссылка на изображение")</f>
        <v>Андрей Денисов: Ссылка на изображение</v>
      </c>
      <c r="BN656" t="str">
        <f>HYPERLINK("https://d33htgqikc2pj4.cloudfront.net/a1ecca99-8cd4-404a-9695-b704aec388b5.jpeg", "Андрей Денисов: Ссылка на изображение")</f>
        <v>Андрей Денисов: Ссылка на изображение</v>
      </c>
      <c r="BO656" t="str">
        <f>HYPERLINK("https://d33htgqikc2pj4.cloudfront.net/3ce84416-b805-449c-8caa-85f059584900.jpeg", "Андрей Денисов: Ссылка на изображение")</f>
        <v>Андрей Денисов: Ссылка на изображение</v>
      </c>
      <c r="BP656" t="str">
        <f>HYPERLINK("https://d33htgqikc2pj4.cloudfront.net/ebbc24de-36c2-4e48-a3d3-acb3203cb43a.jpeg", "Андрей Денисов: Ссылка на изображение")</f>
        <v>Андрей Денисов: Ссылка на изображение</v>
      </c>
      <c r="BQ656" t="str">
        <f>HYPERLINK("https://d33htgqikc2pj4.cloudfront.net/c6e0150d-3e22-4a41-b6b5-3a566a9d2f9a.jpeg", "Андрей Денисов: Ссылка на изображение")</f>
        <v>Андрей Денисов: Ссылка на изображение</v>
      </c>
      <c r="BR656" t="str">
        <f>HYPERLINK("https://d33htgqikc2pj4.cloudfront.net/696fcc76-c159-4b8e-a4ac-f787447bd844.jpeg", "Андрей Денисов: Ссылка на изображение")</f>
        <v>Андрей Денисов: Ссылка на изображение</v>
      </c>
      <c r="BS656" t="s">
        <v>4940</v>
      </c>
    </row>
    <row r="657" spans="1:71" ht="15" customHeight="1" x14ac:dyDescent="0.35">
      <c r="A657">
        <v>652</v>
      </c>
      <c r="B657" t="s">
        <v>4941</v>
      </c>
      <c r="C657">
        <v>2</v>
      </c>
      <c r="D657" t="str">
        <f>VLOOKUP(source[[#This Row],[Приоритет]],тПриоритеты[],2,0)</f>
        <v>Значительное</v>
      </c>
      <c r="E65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7" t="s">
        <v>4451</v>
      </c>
      <c r="G657" t="s">
        <v>157</v>
      </c>
      <c r="H657" t="str">
        <f>VLOOKUP(source[[#This Row],[Отвественный]],тОтветственные[],2,0)</f>
        <v>Отв13</v>
      </c>
      <c r="I657" s="2">
        <v>43765</v>
      </c>
      <c r="J657" s="2">
        <v>43765</v>
      </c>
      <c r="K657" t="s">
        <v>104</v>
      </c>
      <c r="L657">
        <v>0</v>
      </c>
      <c r="M657">
        <v>0</v>
      </c>
      <c r="N657" t="s">
        <v>105</v>
      </c>
      <c r="Q657" t="s">
        <v>106</v>
      </c>
      <c r="R657" t="str">
        <f t="shared" si="11"/>
        <v>Ссылка на план</v>
      </c>
      <c r="S657" s="1">
        <v>43765.705543981479</v>
      </c>
      <c r="T657" s="1">
        <v>43765.705312500002</v>
      </c>
      <c r="U657" s="1">
        <v>43765.705312500002</v>
      </c>
      <c r="W657" s="1">
        <v>43765.705636574072</v>
      </c>
      <c r="X657" t="s">
        <v>2835</v>
      </c>
      <c r="AA657" t="s">
        <v>4942</v>
      </c>
      <c r="AB657" t="s">
        <v>4943</v>
      </c>
      <c r="AC657" t="s">
        <v>4944</v>
      </c>
      <c r="AD657" t="s">
        <v>4945</v>
      </c>
      <c r="AE657" t="s">
        <v>4946</v>
      </c>
      <c r="AF657" t="s">
        <v>4947</v>
      </c>
      <c r="AG657" t="s">
        <v>4948</v>
      </c>
      <c r="BF657" t="s">
        <v>167</v>
      </c>
      <c r="BG657" t="s">
        <v>4949</v>
      </c>
      <c r="BH657" t="s">
        <v>310</v>
      </c>
      <c r="BI657" t="s">
        <v>3583</v>
      </c>
      <c r="BJ657" t="str">
        <f>HYPERLINK("https://d33htgqikc2pj4.cloudfront.net/c9b29fca-f5f1-41bc-8cfb-b9247fa824aa.jpeg", "Андрей Денисов: Ссылка на изображение")</f>
        <v>Андрей Денисов: Ссылка на изображение</v>
      </c>
      <c r="BK657" t="str">
        <f>HYPERLINK("https://d33htgqikc2pj4.cloudfront.net/8cc5defc-b082-454e-8a06-2cb6d9a9f8c7.jpeg", "Андрей Денисов: Ссылка на изображение")</f>
        <v>Андрей Денисов: Ссылка на изображение</v>
      </c>
      <c r="BL657" t="str">
        <f>HYPERLINK("https://d33htgqikc2pj4.cloudfront.net/22c5cada-3bf8-4acb-93b5-e0a28837ea0c.jpeg", "Андрей Денисов: Ссылка на изображение")</f>
        <v>Андрей Денисов: Ссылка на изображение</v>
      </c>
      <c r="BM657" t="str">
        <f>HYPERLINK("https://d33htgqikc2pj4.cloudfront.net/fd4921ac-e4c7-4989-a942-5041ec611701.jpeg", "Андрей Денисов: Ссылка на изображение")</f>
        <v>Андрей Денисов: Ссылка на изображение</v>
      </c>
    </row>
    <row r="658" spans="1:71" ht="15" customHeight="1" x14ac:dyDescent="0.35">
      <c r="A658">
        <v>579</v>
      </c>
      <c r="B658" t="s">
        <v>4950</v>
      </c>
      <c r="C658">
        <v>2</v>
      </c>
      <c r="D658" t="str">
        <f>VLOOKUP(source[[#This Row],[Приоритет]],тПриоритеты[],2,0)</f>
        <v>Значительное</v>
      </c>
      <c r="E65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8" t="s">
        <v>4451</v>
      </c>
      <c r="G658" t="s">
        <v>157</v>
      </c>
      <c r="H658" t="str">
        <f>VLOOKUP(source[[#This Row],[Отвественный]],тОтветственные[],2,0)</f>
        <v>Отв13</v>
      </c>
      <c r="I658" s="2">
        <v>43745</v>
      </c>
      <c r="J658" s="2">
        <v>43745</v>
      </c>
      <c r="K658" t="s">
        <v>104</v>
      </c>
      <c r="L658">
        <v>0</v>
      </c>
      <c r="M658">
        <v>0</v>
      </c>
      <c r="N658" t="s">
        <v>105</v>
      </c>
      <c r="Q658" t="s">
        <v>106</v>
      </c>
      <c r="R658" t="str">
        <f t="shared" si="11"/>
        <v>Ссылка на план</v>
      </c>
      <c r="S658" s="1">
        <v>43746.326793981483</v>
      </c>
      <c r="T658" s="1">
        <v>43746.326817129629</v>
      </c>
      <c r="U658" s="1">
        <v>43746.326817129629</v>
      </c>
      <c r="W658" s="1">
        <v>43746.327326388891</v>
      </c>
      <c r="X658" t="s">
        <v>2835</v>
      </c>
      <c r="AA658" t="s">
        <v>4951</v>
      </c>
      <c r="AB658" t="s">
        <v>4952</v>
      </c>
      <c r="AC658" t="s">
        <v>4953</v>
      </c>
      <c r="AD658" t="s">
        <v>4954</v>
      </c>
      <c r="AE658" t="s">
        <v>4955</v>
      </c>
      <c r="AF658" t="s">
        <v>4956</v>
      </c>
      <c r="AG658" t="s">
        <v>4860</v>
      </c>
      <c r="BF658" t="s">
        <v>167</v>
      </c>
      <c r="BG658" t="s">
        <v>4957</v>
      </c>
      <c r="BH658" t="s">
        <v>310</v>
      </c>
      <c r="BI658" t="s">
        <v>3570</v>
      </c>
      <c r="BJ658" t="str">
        <f>HYPERLINK("https://d33htgqikc2pj4.cloudfront.net/4cb454c1-c737-48f3-912b-ecf2a540ac9e.jpeg", "Андрей Денисов: Ссылка на изображение")</f>
        <v>Андрей Денисов: Ссылка на изображение</v>
      </c>
      <c r="BK658" t="str">
        <f>HYPERLINK("https://d33htgqikc2pj4.cloudfront.net/552448c5-f210-4230-a292-47521ecbd3b1.jpeg", "Андрей Денисов: Ссылка на изображение")</f>
        <v>Андрей Денисов: Ссылка на изображение</v>
      </c>
      <c r="BL658" t="str">
        <f>HYPERLINK("https://d33htgqikc2pj4.cloudfront.net/348a32a1-2e12-473b-80e1-5d50883449c9.jpeg", "Андрей Денисов: Ссылка на изображение")</f>
        <v>Андрей Денисов: Ссылка на изображение</v>
      </c>
      <c r="BM658" t="str">
        <f>HYPERLINK("https://d33htgqikc2pj4.cloudfront.net/bbe24276-d5e4-4d93-ade8-4b7dd23c7364.jpeg", "Андрей Денисов: Ссылка на изображение")</f>
        <v>Андрей Денисов: Ссылка на изображение</v>
      </c>
      <c r="BN658" t="str">
        <f>HYPERLINK("https://d33htgqikc2pj4.cloudfront.net/645a7553-49d2-448a-8477-16ceec4c71de.jpeg", "Андрей Денисов: Ссылка на изображение")</f>
        <v>Андрей Денисов: Ссылка на изображение</v>
      </c>
      <c r="BO658" t="str">
        <f>HYPERLINK("https://d33htgqikc2pj4.cloudfront.net/8363305a-c30a-4e4d-991b-78ff62421ee6.jpeg", "Андрей Денисов: Ссылка на изображение")</f>
        <v>Андрей Денисов: Ссылка на изображение</v>
      </c>
      <c r="BP658" t="str">
        <f>HYPERLINK("https://d33htgqikc2pj4.cloudfront.net/891571dd-a29c-4933-9c23-bee181415449.jpeg", "Андрей Денисов: Ссылка на изображение")</f>
        <v>Андрей Денисов: Ссылка на изображение</v>
      </c>
      <c r="BQ658" t="str">
        <f>HYPERLINK("https://d33htgqikc2pj4.cloudfront.net/34ce93cc-0d21-4442-940c-1667a79f22ea.jpeg", "Андрей Денисов: Ссылка на изображение")</f>
        <v>Андрей Денисов: Ссылка на изображение</v>
      </c>
      <c r="BR658" t="str">
        <f>HYPERLINK("https://d33htgqikc2pj4.cloudfront.net/3885fc29-b72d-44c4-9c5d-205ec8cc52e9.jpeg", "Андрей Денисов: Ссылка на изображение")</f>
        <v>Андрей Денисов: Ссылка на изображение</v>
      </c>
    </row>
    <row r="659" spans="1:71" ht="15" customHeight="1" x14ac:dyDescent="0.35">
      <c r="A659">
        <v>580</v>
      </c>
      <c r="B659" t="s">
        <v>4958</v>
      </c>
      <c r="C659">
        <v>2</v>
      </c>
      <c r="D659" t="str">
        <f>VLOOKUP(source[[#This Row],[Приоритет]],тПриоритеты[],2,0)</f>
        <v>Значительное</v>
      </c>
      <c r="E65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59" t="s">
        <v>4451</v>
      </c>
      <c r="G659" t="s">
        <v>157</v>
      </c>
      <c r="H659" t="str">
        <f>VLOOKUP(source[[#This Row],[Отвественный]],тОтветственные[],2,0)</f>
        <v>Отв13</v>
      </c>
      <c r="I659" s="2">
        <v>43745</v>
      </c>
      <c r="J659" s="2">
        <v>43745</v>
      </c>
      <c r="K659" t="s">
        <v>104</v>
      </c>
      <c r="L659">
        <v>0</v>
      </c>
      <c r="M659">
        <v>0</v>
      </c>
      <c r="N659" t="s">
        <v>105</v>
      </c>
      <c r="Q659" t="s">
        <v>106</v>
      </c>
      <c r="R659" t="str">
        <f t="shared" si="11"/>
        <v>Ссылка на план</v>
      </c>
      <c r="S659" s="1">
        <v>43746.328472222223</v>
      </c>
      <c r="T659" s="1">
        <v>43746.328483796293</v>
      </c>
      <c r="U659" s="1">
        <v>43746.328483796293</v>
      </c>
      <c r="W659" s="1">
        <v>43746.328958333332</v>
      </c>
      <c r="X659" t="s">
        <v>3217</v>
      </c>
      <c r="AA659" t="s">
        <v>4959</v>
      </c>
      <c r="AB659" t="s">
        <v>4960</v>
      </c>
      <c r="AC659" t="s">
        <v>4961</v>
      </c>
      <c r="AD659" t="s">
        <v>4962</v>
      </c>
      <c r="AE659" t="s">
        <v>4963</v>
      </c>
      <c r="AF659" t="s">
        <v>4964</v>
      </c>
      <c r="AG659" t="s">
        <v>4965</v>
      </c>
      <c r="AH659" t="s">
        <v>4966</v>
      </c>
      <c r="AI659" t="s">
        <v>4967</v>
      </c>
      <c r="AJ659" t="s">
        <v>4968</v>
      </c>
      <c r="AK659" t="s">
        <v>4969</v>
      </c>
      <c r="BF659" t="s">
        <v>167</v>
      </c>
      <c r="BG659" t="s">
        <v>4970</v>
      </c>
      <c r="BH659" t="s">
        <v>310</v>
      </c>
      <c r="BI659" t="s">
        <v>3570</v>
      </c>
      <c r="BJ659" t="str">
        <f>HYPERLINK("https://d33htgqikc2pj4.cloudfront.net/2c09721b-8df7-4851-9dbf-b36b048c9c90.jpeg", "Андрей Денисов: Ссылка на изображение")</f>
        <v>Андрей Денисов: Ссылка на изображение</v>
      </c>
      <c r="BK659" t="str">
        <f>HYPERLINK("https://d33htgqikc2pj4.cloudfront.net/75343b5e-565d-41b9-a34d-0d86cc177798.jpeg", "Андрей Денисов: Ссылка на изображение")</f>
        <v>Андрей Денисов: Ссылка на изображение</v>
      </c>
      <c r="BL659" t="str">
        <f>HYPERLINK("https://d33htgqikc2pj4.cloudfront.net/9f5a4b27-8119-4320-8cbf-659e1a00430c.jpeg", "Андрей Денисов: Ссылка на изображение")</f>
        <v>Андрей Денисов: Ссылка на изображение</v>
      </c>
      <c r="BM659" t="str">
        <f>HYPERLINK("https://d33htgqikc2pj4.cloudfront.net/3f628bff-9d39-476d-80ff-d73e8bbc9a43.jpeg", "Андрей Денисов: Ссылка на изображение")</f>
        <v>Андрей Денисов: Ссылка на изображение</v>
      </c>
      <c r="BN659" t="str">
        <f>HYPERLINK("https://d33htgqikc2pj4.cloudfront.net/23c61234-9d44-4220-b4ac-d0adfdfdd7e6.jpeg", "Андрей Денисов: Ссылка на изображение")</f>
        <v>Андрей Денисов: Ссылка на изображение</v>
      </c>
      <c r="BO659" t="str">
        <f>HYPERLINK("https://d33htgqikc2pj4.cloudfront.net/08c542c3-813d-40c3-8531-783750598d97.jpeg", "Андрей Денисов: Ссылка на изображение")</f>
        <v>Андрей Денисов: Ссылка на изображение</v>
      </c>
      <c r="BP659" t="str">
        <f>HYPERLINK("https://d33htgqikc2pj4.cloudfront.net/f297dcde-94a6-4fb0-a946-e88ad426b76f.jpeg", "Андрей Денисов: Ссылка на изображение")</f>
        <v>Андрей Денисов: Ссылка на изображение</v>
      </c>
    </row>
    <row r="660" spans="1:71" ht="15" customHeight="1" x14ac:dyDescent="0.35">
      <c r="A660">
        <v>584</v>
      </c>
      <c r="B660" t="s">
        <v>4076</v>
      </c>
      <c r="C660">
        <v>2</v>
      </c>
      <c r="D660" t="str">
        <f>VLOOKUP(source[[#This Row],[Приоритет]],тПриоритеты[],2,0)</f>
        <v>Значительное</v>
      </c>
      <c r="E66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0" t="s">
        <v>4451</v>
      </c>
      <c r="G660" t="s">
        <v>157</v>
      </c>
      <c r="H660" t="str">
        <f>VLOOKUP(source[[#This Row],[Отвественный]],тОтветственные[],2,0)</f>
        <v>Отв13</v>
      </c>
      <c r="I660" s="2">
        <v>43746</v>
      </c>
      <c r="J660" s="2">
        <v>43746</v>
      </c>
      <c r="K660" t="s">
        <v>104</v>
      </c>
      <c r="L660">
        <v>0</v>
      </c>
      <c r="M660">
        <v>0</v>
      </c>
      <c r="N660" t="s">
        <v>105</v>
      </c>
      <c r="Q660" t="s">
        <v>106</v>
      </c>
      <c r="R660" t="str">
        <f t="shared" si="11"/>
        <v>Ссылка на план</v>
      </c>
      <c r="S660" s="1">
        <v>43746.955763888887</v>
      </c>
      <c r="T660" s="1">
        <v>43746.955775462964</v>
      </c>
      <c r="U660" s="1">
        <v>43746.955775462964</v>
      </c>
      <c r="W660" s="1">
        <v>43746.956643518519</v>
      </c>
      <c r="X660" t="s">
        <v>406</v>
      </c>
      <c r="AA660" t="s">
        <v>4971</v>
      </c>
      <c r="AB660" t="s">
        <v>4972</v>
      </c>
      <c r="AC660" t="s">
        <v>4973</v>
      </c>
      <c r="AD660" t="s">
        <v>4974</v>
      </c>
      <c r="AE660" t="s">
        <v>4975</v>
      </c>
      <c r="AF660" t="s">
        <v>4976</v>
      </c>
      <c r="AG660" t="s">
        <v>4977</v>
      </c>
      <c r="BF660" t="s">
        <v>167</v>
      </c>
      <c r="BG660" t="s">
        <v>4481</v>
      </c>
      <c r="BH660" t="s">
        <v>310</v>
      </c>
      <c r="BI660" t="s">
        <v>4978</v>
      </c>
      <c r="BJ660" t="str">
        <f>HYPERLINK("https://d33htgqikc2pj4.cloudfront.net/de037025-3e21-43e1-b672-c480668b1972.jpeg", "Андрей Денисов: Ссылка на изображение")</f>
        <v>Андрей Денисов: Ссылка на изображение</v>
      </c>
      <c r="BK660" t="str">
        <f>HYPERLINK("https://d33htgqikc2pj4.cloudfront.net/d8d5f23b-bf8d-4afe-b599-9a80c01ee2d8.jpeg", "Андрей Денисов: Ссылка на изображение")</f>
        <v>Андрей Денисов: Ссылка на изображение</v>
      </c>
      <c r="BL660" t="str">
        <f>HYPERLINK("https://d33htgqikc2pj4.cloudfront.net/53c93a16-6402-4a54-98f1-58af8a120bcc.jpeg", "Андрей Денисов: Ссылка на изображение")</f>
        <v>Андрей Денисов: Ссылка на изображение</v>
      </c>
      <c r="BM660" t="str">
        <f>HYPERLINK("https://d33htgqikc2pj4.cloudfront.net/75345ac6-495f-4a84-8ff7-1d487a383229.jpeg", "Андрей Денисов: Ссылка на изображение")</f>
        <v>Андрей Денисов: Ссылка на изображение</v>
      </c>
      <c r="BN660" t="str">
        <f>HYPERLINK("https://d33htgqikc2pj4.cloudfront.net/5606bc79-ab01-4011-8d80-10b62cb30294.jpeg", "Андрей Денисов: Ссылка на изображение")</f>
        <v>Андрей Денисов: Ссылка на изображение</v>
      </c>
      <c r="BO660" t="str">
        <f>HYPERLINK("https://d33htgqikc2pj4.cloudfront.net/5c865873-a251-441a-8d82-572a72f8244b.jpeg", "Андрей Денисов: Ссылка на изображение")</f>
        <v>Андрей Денисов: Ссылка на изображение</v>
      </c>
      <c r="BP660" t="str">
        <f>HYPERLINK("https://d33htgqikc2pj4.cloudfront.net/5ab4a946-27d3-4189-8128-2d0f0a861cf7.jpeg", "Андрей Денисов: Ссылка на изображение")</f>
        <v>Андрей Денисов: Ссылка на изображение</v>
      </c>
    </row>
    <row r="661" spans="1:71" ht="15" customHeight="1" x14ac:dyDescent="0.35">
      <c r="A661">
        <v>582</v>
      </c>
      <c r="B661" t="s">
        <v>4979</v>
      </c>
      <c r="C661">
        <v>2</v>
      </c>
      <c r="D661" t="str">
        <f>VLOOKUP(source[[#This Row],[Приоритет]],тПриоритеты[],2,0)</f>
        <v>Значительное</v>
      </c>
      <c r="E66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1" t="s">
        <v>4451</v>
      </c>
      <c r="G661" t="s">
        <v>157</v>
      </c>
      <c r="H661" t="str">
        <f>VLOOKUP(source[[#This Row],[Отвественный]],тОтветственные[],2,0)</f>
        <v>Отв13</v>
      </c>
      <c r="I661" s="2">
        <v>43746</v>
      </c>
      <c r="J661" s="2">
        <v>43746</v>
      </c>
      <c r="K661" t="s">
        <v>104</v>
      </c>
      <c r="L661">
        <v>0</v>
      </c>
      <c r="M661">
        <v>0</v>
      </c>
      <c r="N661" t="s">
        <v>105</v>
      </c>
      <c r="Q661" t="s">
        <v>106</v>
      </c>
      <c r="R661" t="str">
        <f t="shared" si="11"/>
        <v>Ссылка на план</v>
      </c>
      <c r="S661" s="1">
        <v>43746.949872685182</v>
      </c>
      <c r="T661" s="1">
        <v>43746.949884259258</v>
      </c>
      <c r="U661" s="1">
        <v>43746.949884259258</v>
      </c>
      <c r="W661" s="1">
        <v>43746.950509259259</v>
      </c>
      <c r="X661" t="s">
        <v>2835</v>
      </c>
      <c r="AA661" t="s">
        <v>4951</v>
      </c>
      <c r="AB661" t="s">
        <v>4952</v>
      </c>
      <c r="AC661" t="s">
        <v>4953</v>
      </c>
      <c r="AD661" t="s">
        <v>4954</v>
      </c>
      <c r="AE661" t="s">
        <v>4955</v>
      </c>
      <c r="AF661" t="s">
        <v>4956</v>
      </c>
      <c r="AG661" t="s">
        <v>4860</v>
      </c>
      <c r="BF661" t="s">
        <v>167</v>
      </c>
      <c r="BG661" t="s">
        <v>4980</v>
      </c>
      <c r="BH661" t="s">
        <v>310</v>
      </c>
      <c r="BI661" t="s">
        <v>4978</v>
      </c>
      <c r="BJ661" t="str">
        <f>HYPERLINK("https://d33htgqikc2pj4.cloudfront.net/5a1c3fee-c656-4adf-9fcd-db952b022b06.jpeg", "Андрей Денисов: Ссылка на изображение")</f>
        <v>Андрей Денисов: Ссылка на изображение</v>
      </c>
      <c r="BK661" t="str">
        <f>HYPERLINK("https://d33htgqikc2pj4.cloudfront.net/ea9de2b1-4b6d-4154-9a6e-51d15f6757e0.jpeg", "Андрей Денисов: Ссылка на изображение")</f>
        <v>Андрей Денисов: Ссылка на изображение</v>
      </c>
      <c r="BL661" t="str">
        <f>HYPERLINK("https://d33htgqikc2pj4.cloudfront.net/c1d723c8-979c-422c-bb91-bd5097821d1a.jpeg", "Андрей Денисов: Ссылка на изображение")</f>
        <v>Андрей Денисов: Ссылка на изображение</v>
      </c>
      <c r="BM661" t="str">
        <f>HYPERLINK("https://d33htgqikc2pj4.cloudfront.net/2660d9c0-36e2-4dd0-9092-bbc07c7a82c7.jpeg", "Андрей Денисов: Ссылка на изображение")</f>
        <v>Андрей Денисов: Ссылка на изображение</v>
      </c>
      <c r="BN661" t="str">
        <f>HYPERLINK("https://d33htgqikc2pj4.cloudfront.net/9279c4e2-c9b3-4d10-bcf7-003c8754e5b7.jpeg", "Андрей Денисов: Ссылка на изображение")</f>
        <v>Андрей Денисов: Ссылка на изображение</v>
      </c>
      <c r="BO661" t="str">
        <f>HYPERLINK("https://d33htgqikc2pj4.cloudfront.net/ec0a5444-aa27-4e82-8261-1a14a8a61390.jpeg", "Андрей Денисов: Ссылка на изображение")</f>
        <v>Андрей Денисов: Ссылка на изображение</v>
      </c>
      <c r="BP661" t="str">
        <f>HYPERLINK("https://d33htgqikc2pj4.cloudfront.net/496c2337-e3f8-457a-93bf-2a53188f7562.jpeg", "Андрей Денисов: Ссылка на изображение")</f>
        <v>Андрей Денисов: Ссылка на изображение</v>
      </c>
      <c r="BQ661" t="str">
        <f>HYPERLINK("https://d33htgqikc2pj4.cloudfront.net/4a8fd0f7-690e-47eb-ac7a-0721942ddb55.jpeg", "Андрей Денисов: Ссылка на изображение")</f>
        <v>Андрей Денисов: Ссылка на изображение</v>
      </c>
      <c r="BR661" t="str">
        <f>HYPERLINK("https://d33htgqikc2pj4.cloudfront.net/ae5dbd45-081f-4564-8385-e72420f18956.jpeg", "Андрей Денисов: Ссылка на изображение")</f>
        <v>Андрей Денисов: Ссылка на изображение</v>
      </c>
      <c r="BS661" t="str">
        <f>HYPERLINK("https://d33htgqikc2pj4.cloudfront.net/51eef6b8-7e7c-415d-a852-568b4caddf1d.jpeg", "Андрей Денисов: Ссылка на изображение")</f>
        <v>Андрей Денисов: Ссылка на изображение</v>
      </c>
    </row>
    <row r="662" spans="1:71" ht="15" customHeight="1" x14ac:dyDescent="0.35">
      <c r="A662">
        <v>583</v>
      </c>
      <c r="B662" t="s">
        <v>4981</v>
      </c>
      <c r="C662">
        <v>2</v>
      </c>
      <c r="D662" t="str">
        <f>VLOOKUP(source[[#This Row],[Приоритет]],тПриоритеты[],2,0)</f>
        <v>Значительное</v>
      </c>
      <c r="E66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2" t="s">
        <v>4451</v>
      </c>
      <c r="G662" t="s">
        <v>157</v>
      </c>
      <c r="H662" t="str">
        <f>VLOOKUP(source[[#This Row],[Отвественный]],тОтветственные[],2,0)</f>
        <v>Отв13</v>
      </c>
      <c r="I662" s="2">
        <v>43746</v>
      </c>
      <c r="J662" s="2">
        <v>43746</v>
      </c>
      <c r="K662" t="s">
        <v>104</v>
      </c>
      <c r="L662">
        <v>0</v>
      </c>
      <c r="M662">
        <v>0</v>
      </c>
      <c r="N662" t="s">
        <v>105</v>
      </c>
      <c r="Q662" t="s">
        <v>106</v>
      </c>
      <c r="R662" t="str">
        <f t="shared" si="11"/>
        <v>Ссылка на план</v>
      </c>
      <c r="S662" s="1">
        <v>43746.951863425929</v>
      </c>
      <c r="T662" s="1">
        <v>43746.951874999999</v>
      </c>
      <c r="U662" s="1">
        <v>43746.951874999999</v>
      </c>
      <c r="W662" s="1">
        <v>43746.95239583333</v>
      </c>
      <c r="X662" t="s">
        <v>3217</v>
      </c>
      <c r="AA662" t="s">
        <v>4959</v>
      </c>
      <c r="AB662" t="s">
        <v>4960</v>
      </c>
      <c r="AC662" t="s">
        <v>4961</v>
      </c>
      <c r="AD662" t="s">
        <v>4962</v>
      </c>
      <c r="AE662" t="s">
        <v>4963</v>
      </c>
      <c r="AF662" t="s">
        <v>4964</v>
      </c>
      <c r="AG662" t="s">
        <v>4965</v>
      </c>
      <c r="AH662" t="s">
        <v>4982</v>
      </c>
      <c r="AI662" t="s">
        <v>4967</v>
      </c>
      <c r="AJ662" t="s">
        <v>4968</v>
      </c>
      <c r="AK662" t="s">
        <v>4969</v>
      </c>
      <c r="BF662" t="s">
        <v>167</v>
      </c>
      <c r="BG662" t="s">
        <v>4983</v>
      </c>
      <c r="BH662" t="s">
        <v>310</v>
      </c>
      <c r="BI662" t="s">
        <v>4978</v>
      </c>
      <c r="BJ662" t="str">
        <f>HYPERLINK("https://d33htgqikc2pj4.cloudfront.net/51907e37-63ea-457f-b613-b22e3d2977cb.jpeg", "Андрей Денисов: Ссылка на изображение")</f>
        <v>Андрей Денисов: Ссылка на изображение</v>
      </c>
      <c r="BK662" t="str">
        <f>HYPERLINK("https://d33htgqikc2pj4.cloudfront.net/f6475062-0011-43ad-91fa-58d1b1bcd009.jpeg", "Андрей Денисов: Ссылка на изображение")</f>
        <v>Андрей Денисов: Ссылка на изображение</v>
      </c>
      <c r="BL662" t="str">
        <f>HYPERLINK("https://d33htgqikc2pj4.cloudfront.net/28504c8a-e344-47dc-b55d-9ab9914725e3.jpeg", "Андрей Денисов: Ссылка на изображение")</f>
        <v>Андрей Денисов: Ссылка на изображение</v>
      </c>
      <c r="BM662" t="str">
        <f>HYPERLINK("https://d33htgqikc2pj4.cloudfront.net/64d048f1-e782-46f5-b327-188cc9eb2417.jpeg", "Андрей Денисов: Ссылка на изображение")</f>
        <v>Андрей Денисов: Ссылка на изображение</v>
      </c>
      <c r="BN662" t="str">
        <f>HYPERLINK("https://d33htgqikc2pj4.cloudfront.net/6b8c5fc1-47de-4209-a000-0be9ee27aa76.jpeg", "Андрей Денисов: Ссылка на изображение")</f>
        <v>Андрей Денисов: Ссылка на изображение</v>
      </c>
    </row>
    <row r="663" spans="1:71" ht="15" customHeight="1" x14ac:dyDescent="0.35">
      <c r="A663">
        <v>585</v>
      </c>
      <c r="B663" t="s">
        <v>357</v>
      </c>
      <c r="C663">
        <v>2</v>
      </c>
      <c r="D663" t="str">
        <f>VLOOKUP(source[[#This Row],[Приоритет]],тПриоритеты[],2,0)</f>
        <v>Значительное</v>
      </c>
      <c r="E66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3" t="s">
        <v>4451</v>
      </c>
      <c r="G663" t="s">
        <v>157</v>
      </c>
      <c r="H663" t="str">
        <f>VLOOKUP(source[[#This Row],[Отвественный]],тОтветственные[],2,0)</f>
        <v>Отв13</v>
      </c>
      <c r="I663" s="2">
        <v>43746</v>
      </c>
      <c r="J663" s="2">
        <v>43746</v>
      </c>
      <c r="K663" t="s">
        <v>104</v>
      </c>
      <c r="L663">
        <v>0</v>
      </c>
      <c r="M663">
        <v>0</v>
      </c>
      <c r="N663" t="s">
        <v>105</v>
      </c>
      <c r="Q663" t="s">
        <v>106</v>
      </c>
      <c r="R663" t="str">
        <f t="shared" si="11"/>
        <v>Ссылка на план</v>
      </c>
      <c r="S663" s="1">
        <v>43746.957743055558</v>
      </c>
      <c r="T663" s="1">
        <v>43746.957754629628</v>
      </c>
      <c r="U663" s="1">
        <v>43746.957754629628</v>
      </c>
      <c r="W663" s="1">
        <v>43746.958043981482</v>
      </c>
      <c r="X663" t="s">
        <v>2290</v>
      </c>
      <c r="AA663" t="s">
        <v>4984</v>
      </c>
      <c r="AB663" t="s">
        <v>4985</v>
      </c>
      <c r="AC663" t="s">
        <v>4986</v>
      </c>
      <c r="AD663" t="s">
        <v>4987</v>
      </c>
      <c r="AE663" t="s">
        <v>4988</v>
      </c>
      <c r="AF663" t="s">
        <v>4989</v>
      </c>
      <c r="AG663" t="s">
        <v>4990</v>
      </c>
      <c r="AH663" t="s">
        <v>4991</v>
      </c>
      <c r="AI663" t="s">
        <v>4992</v>
      </c>
      <c r="BF663" t="s">
        <v>167</v>
      </c>
      <c r="BG663" t="s">
        <v>364</v>
      </c>
      <c r="BH663" t="s">
        <v>310</v>
      </c>
      <c r="BI663" t="s">
        <v>4978</v>
      </c>
      <c r="BJ663" t="str">
        <f>HYPERLINK("https://d33htgqikc2pj4.cloudfront.net/082bcc01-bc3f-4e6d-9094-13cb5c4b9a3a.jpeg", "Андрей Денисов: Ссылка на изображение")</f>
        <v>Андрей Денисов: Ссылка на изображение</v>
      </c>
      <c r="BK663" t="str">
        <f>HYPERLINK("https://d33htgqikc2pj4.cloudfront.net/83516da4-dcd2-4a63-8cf4-b62c0101b20a.jpeg", "Андрей Денисов: Ссылка на изображение")</f>
        <v>Андрей Денисов: Ссылка на изображение</v>
      </c>
    </row>
    <row r="664" spans="1:71" ht="15" customHeight="1" x14ac:dyDescent="0.35">
      <c r="A664">
        <v>588</v>
      </c>
      <c r="B664" t="s">
        <v>4993</v>
      </c>
      <c r="C664">
        <v>2</v>
      </c>
      <c r="D664" t="str">
        <f>VLOOKUP(source[[#This Row],[Приоритет]],тПриоритеты[],2,0)</f>
        <v>Значительное</v>
      </c>
      <c r="E66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4" t="s">
        <v>4451</v>
      </c>
      <c r="G664" t="s">
        <v>157</v>
      </c>
      <c r="H664" t="str">
        <f>VLOOKUP(source[[#This Row],[Отвественный]],тОтветственные[],2,0)</f>
        <v>Отв13</v>
      </c>
      <c r="I664" s="2">
        <v>43747</v>
      </c>
      <c r="J664" s="2">
        <v>43747</v>
      </c>
      <c r="K664" t="s">
        <v>104</v>
      </c>
      <c r="L664">
        <v>0</v>
      </c>
      <c r="M664">
        <v>0</v>
      </c>
      <c r="N664" t="s">
        <v>105</v>
      </c>
      <c r="Q664" t="s">
        <v>106</v>
      </c>
      <c r="R664" t="str">
        <f t="shared" si="11"/>
        <v>Ссылка на план</v>
      </c>
      <c r="S664" s="1">
        <v>43747.94189814815</v>
      </c>
      <c r="T664" s="1">
        <v>43747.941932870373</v>
      </c>
      <c r="U664" s="1">
        <v>43747.941932870373</v>
      </c>
      <c r="W664" s="1">
        <v>43747.942233796297</v>
      </c>
      <c r="X664" t="s">
        <v>3217</v>
      </c>
      <c r="AA664" t="s">
        <v>4994</v>
      </c>
      <c r="AB664" t="s">
        <v>4995</v>
      </c>
      <c r="AC664" t="s">
        <v>4996</v>
      </c>
      <c r="AD664" t="s">
        <v>4997</v>
      </c>
      <c r="AE664" t="s">
        <v>4998</v>
      </c>
      <c r="AF664" t="s">
        <v>4999</v>
      </c>
      <c r="AG664" t="s">
        <v>5000</v>
      </c>
      <c r="AH664" t="s">
        <v>5001</v>
      </c>
      <c r="AI664" t="s">
        <v>5002</v>
      </c>
      <c r="AJ664" t="s">
        <v>5003</v>
      </c>
      <c r="AK664" t="s">
        <v>5004</v>
      </c>
      <c r="BF664" t="s">
        <v>167</v>
      </c>
      <c r="BG664" t="s">
        <v>5005</v>
      </c>
      <c r="BH664" t="s">
        <v>3470</v>
      </c>
      <c r="BI664" t="str">
        <f>HYPERLINK("https://d33htgqikc2pj4.cloudfront.net/10d2f291-b247-47f2-82f7-5b6affb19354.jpeg", "Андрей Денисов: Ссылка на изображение")</f>
        <v>Андрей Денисов: Ссылка на изображение</v>
      </c>
      <c r="BJ664" t="str">
        <f>HYPERLINK("https://d33htgqikc2pj4.cloudfront.net/b21e0cd2-ec75-4a9f-8a0b-11713e44c5f5.jpeg", "Андрей Денисов: Ссылка на изображение")</f>
        <v>Андрей Денисов: Ссылка на изображение</v>
      </c>
      <c r="BK664" t="str">
        <f>HYPERLINK("https://d33htgqikc2pj4.cloudfront.net/088f01bd-b187-4454-9642-0dca4a1369d9.jpeg", "Андрей Денисов: Ссылка на изображение")</f>
        <v>Андрей Денисов: Ссылка на изображение</v>
      </c>
      <c r="BL664" t="str">
        <f>HYPERLINK("https://d33htgqikc2pj4.cloudfront.net/c088807e-c7c4-4531-aa77-639bea1139b2.jpeg", "Андрей Денисов: Ссылка на изображение")</f>
        <v>Андрей Денисов: Ссылка на изображение</v>
      </c>
      <c r="BM664" t="str">
        <f>HYPERLINK("https://d33htgqikc2pj4.cloudfront.net/bcedf4ac-c151-496d-bbb2-f6230f7dbe1a.jpeg", "Андрей Денисов: Ссылка на изображение")</f>
        <v>Андрей Денисов: Ссылка на изображение</v>
      </c>
      <c r="BN664" t="str">
        <f>HYPERLINK("https://d33htgqikc2pj4.cloudfront.net/7e32a454-81ff-4d72-aa5b-c48f04d67cdc.jpeg", "Андрей Денисов: Ссылка на изображение")</f>
        <v>Андрей Денисов: Ссылка на изображение</v>
      </c>
      <c r="BO664" t="str">
        <f>HYPERLINK("https://d33htgqikc2pj4.cloudfront.net/175ce6f3-4226-44b4-bdbe-b2b867a5fd01.jpeg", "Андрей Денисов: Ссылка на изображение")</f>
        <v>Андрей Денисов: Ссылка на изображение</v>
      </c>
      <c r="BP664" t="str">
        <f>HYPERLINK("https://d33htgqikc2pj4.cloudfront.net/259c4bb4-a167-4124-be23-cff19eb54891.jpeg", "Андрей Денисов: Ссылка на изображение")</f>
        <v>Андрей Денисов: Ссылка на изображение</v>
      </c>
    </row>
    <row r="665" spans="1:71" ht="15" customHeight="1" x14ac:dyDescent="0.35">
      <c r="A665">
        <v>593</v>
      </c>
      <c r="B665" t="s">
        <v>4482</v>
      </c>
      <c r="C665">
        <v>2</v>
      </c>
      <c r="D665" t="str">
        <f>VLOOKUP(source[[#This Row],[Приоритет]],тПриоритеты[],2,0)</f>
        <v>Значительное</v>
      </c>
      <c r="E66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5" t="s">
        <v>4451</v>
      </c>
      <c r="G665" t="s">
        <v>157</v>
      </c>
      <c r="H665" t="str">
        <f>VLOOKUP(source[[#This Row],[Отвественный]],тОтветственные[],2,0)</f>
        <v>Отв13</v>
      </c>
      <c r="I665" s="2">
        <v>43748</v>
      </c>
      <c r="J665" s="2">
        <v>43748</v>
      </c>
      <c r="K665" t="s">
        <v>104</v>
      </c>
      <c r="L665">
        <v>0</v>
      </c>
      <c r="M665">
        <v>0</v>
      </c>
      <c r="N665" t="s">
        <v>105</v>
      </c>
      <c r="Q665" t="s">
        <v>106</v>
      </c>
      <c r="R665" t="str">
        <f t="shared" si="11"/>
        <v>Ссылка на план</v>
      </c>
      <c r="S665" s="1">
        <v>43749.548136574071</v>
      </c>
      <c r="T665" s="1">
        <v>43749.548159722224</v>
      </c>
      <c r="U665" s="1">
        <v>43749.548159722224</v>
      </c>
      <c r="W665" s="1">
        <v>43749.548703703702</v>
      </c>
      <c r="X665" t="s">
        <v>2835</v>
      </c>
      <c r="AA665" t="s">
        <v>5006</v>
      </c>
      <c r="AB665" t="s">
        <v>5007</v>
      </c>
      <c r="AC665" t="s">
        <v>5008</v>
      </c>
      <c r="AD665" t="s">
        <v>5009</v>
      </c>
      <c r="AE665" t="s">
        <v>5010</v>
      </c>
      <c r="AF665" t="s">
        <v>5011</v>
      </c>
      <c r="AG665" t="s">
        <v>3468</v>
      </c>
      <c r="BF665" t="s">
        <v>167</v>
      </c>
      <c r="BG665" t="s">
        <v>4490</v>
      </c>
      <c r="BH665" t="s">
        <v>310</v>
      </c>
      <c r="BI665" t="s">
        <v>3630</v>
      </c>
      <c r="BJ665" t="str">
        <f>HYPERLINK("https://d33htgqikc2pj4.cloudfront.net/2751659a-a4d5-432f-9f66-c5d53fc54c6d.jpeg", "Андрей Денисов: Ссылка на изображение")</f>
        <v>Андрей Денисов: Ссылка на изображение</v>
      </c>
      <c r="BK665" t="str">
        <f>HYPERLINK("https://d33htgqikc2pj4.cloudfront.net/fa99ae16-7b6c-46b4-a846-0787ff1a16ef.jpeg", "Андрей Денисов: Ссылка на изображение")</f>
        <v>Андрей Денисов: Ссылка на изображение</v>
      </c>
      <c r="BL665" t="str">
        <f>HYPERLINK("https://d33htgqikc2pj4.cloudfront.net/369864a8-e032-4e97-826c-350a68ae94a8.jpeg", "Андрей Денисов: Ссылка на изображение")</f>
        <v>Андрей Денисов: Ссылка на изображение</v>
      </c>
      <c r="BM665" t="str">
        <f>HYPERLINK("https://d33htgqikc2pj4.cloudfront.net/ea232d69-e8e9-4335-a971-61f1fa03797a.jpeg", "Андрей Денисов: Ссылка на изображение")</f>
        <v>Андрей Денисов: Ссылка на изображение</v>
      </c>
    </row>
    <row r="666" spans="1:71" ht="15" customHeight="1" x14ac:dyDescent="0.35">
      <c r="A666">
        <v>594</v>
      </c>
      <c r="B666" t="s">
        <v>4450</v>
      </c>
      <c r="C666">
        <v>2</v>
      </c>
      <c r="D666" t="str">
        <f>VLOOKUP(source[[#This Row],[Приоритет]],тПриоритеты[],2,0)</f>
        <v>Значительное</v>
      </c>
      <c r="E66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6" t="s">
        <v>4451</v>
      </c>
      <c r="G666" t="s">
        <v>157</v>
      </c>
      <c r="H666" t="str">
        <f>VLOOKUP(source[[#This Row],[Отвественный]],тОтветственные[],2,0)</f>
        <v>Отв13</v>
      </c>
      <c r="I666" s="2">
        <v>43748</v>
      </c>
      <c r="J666" s="2">
        <v>43748</v>
      </c>
      <c r="K666" t="s">
        <v>104</v>
      </c>
      <c r="L666">
        <v>0</v>
      </c>
      <c r="M666">
        <v>0</v>
      </c>
      <c r="N666" t="s">
        <v>105</v>
      </c>
      <c r="Q666" t="s">
        <v>106</v>
      </c>
      <c r="R666" t="str">
        <f t="shared" si="11"/>
        <v>Ссылка на план</v>
      </c>
      <c r="S666" s="1">
        <v>43749.549826388888</v>
      </c>
      <c r="T666" s="1">
        <v>43749.549861111111</v>
      </c>
      <c r="U666" s="1">
        <v>43749.549861111111</v>
      </c>
      <c r="W666" s="1">
        <v>43749.550115740742</v>
      </c>
      <c r="X666" t="s">
        <v>3217</v>
      </c>
      <c r="AA666" t="s">
        <v>5012</v>
      </c>
      <c r="AB666" t="s">
        <v>5013</v>
      </c>
      <c r="AC666" t="s">
        <v>5014</v>
      </c>
      <c r="AD666" t="s">
        <v>5015</v>
      </c>
      <c r="AE666" t="s">
        <v>5016</v>
      </c>
      <c r="AF666" t="s">
        <v>5017</v>
      </c>
      <c r="AG666" t="s">
        <v>5018</v>
      </c>
      <c r="AH666" t="s">
        <v>5019</v>
      </c>
      <c r="AI666" t="s">
        <v>5020</v>
      </c>
      <c r="AJ666" t="s">
        <v>5021</v>
      </c>
      <c r="AK666" t="s">
        <v>5022</v>
      </c>
      <c r="BF666" t="s">
        <v>167</v>
      </c>
      <c r="BG666" t="s">
        <v>4463</v>
      </c>
      <c r="BH666" t="s">
        <v>310</v>
      </c>
      <c r="BI666" t="s">
        <v>3630</v>
      </c>
      <c r="BJ666" t="str">
        <f>HYPERLINK("https://d33htgqikc2pj4.cloudfront.net/cf74c695-d651-4eac-a719-6df9355414a1.jpeg", "Андрей Денисов: Ссылка на изображение")</f>
        <v>Андрей Денисов: Ссылка на изображение</v>
      </c>
      <c r="BK666" t="str">
        <f>HYPERLINK("https://d33htgqikc2pj4.cloudfront.net/feb08848-0d3b-4df9-ba84-469023ef45a2.jpeg", "Андрей Денисов: Ссылка на изображение")</f>
        <v>Андрей Денисов: Ссылка на изображение</v>
      </c>
      <c r="BL666" t="str">
        <f>HYPERLINK("https://d33htgqikc2pj4.cloudfront.net/62472e9e-08e2-46c0-a8fe-ce1e72917879.jpeg", "Андрей Денисов: Ссылка на изображение")</f>
        <v>Андрей Денисов: Ссылка на изображение</v>
      </c>
      <c r="BM666" t="str">
        <f>HYPERLINK("https://d33htgqikc2pj4.cloudfront.net/e22663f8-4924-421a-b42d-9f0643617c86.jpeg", "Андрей Денисов: Ссылка на изображение")</f>
        <v>Андрей Денисов: Ссылка на изображение</v>
      </c>
      <c r="BN666" t="str">
        <f>HYPERLINK("https://d33htgqikc2pj4.cloudfront.net/af9122ca-d159-42c7-a7ab-c10af8e9efbb.jpeg", "Андрей Денисов: Ссылка на изображение")</f>
        <v>Андрей Денисов: Ссылка на изображение</v>
      </c>
      <c r="BO666" t="str">
        <f>HYPERLINK("https://d33htgqikc2pj4.cloudfront.net/4912344c-e484-4195-910d-159e0d4f2e28.jpeg", "Андрей Денисов: Ссылка на изображение")</f>
        <v>Андрей Денисов: Ссылка на изображение</v>
      </c>
      <c r="BP666" t="str">
        <f>HYPERLINK("https://d33htgqikc2pj4.cloudfront.net/9b9215ef-3d5b-4d07-83a6-beaa51471a2c.jpeg", "Андрей Денисов: Ссылка на изображение")</f>
        <v>Андрей Денисов: Ссылка на изображение</v>
      </c>
    </row>
    <row r="667" spans="1:71" ht="15" customHeight="1" x14ac:dyDescent="0.35">
      <c r="A667">
        <v>667</v>
      </c>
      <c r="B667" t="s">
        <v>5023</v>
      </c>
      <c r="C667">
        <v>2</v>
      </c>
      <c r="D667" t="str">
        <f>VLOOKUP(source[[#This Row],[Приоритет]],тПриоритеты[],2,0)</f>
        <v>Значительное</v>
      </c>
      <c r="E66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7" t="s">
        <v>4451</v>
      </c>
      <c r="G667" t="s">
        <v>157</v>
      </c>
      <c r="H667" t="str">
        <f>VLOOKUP(source[[#This Row],[Отвественный]],тОтветственные[],2,0)</f>
        <v>Отв13</v>
      </c>
      <c r="I667" s="2">
        <v>43769</v>
      </c>
      <c r="J667" s="2">
        <v>43769</v>
      </c>
      <c r="K667" t="s">
        <v>104</v>
      </c>
      <c r="L667">
        <v>0</v>
      </c>
      <c r="M667">
        <v>0</v>
      </c>
      <c r="N667" t="s">
        <v>105</v>
      </c>
      <c r="Q667" t="s">
        <v>106</v>
      </c>
      <c r="R667" t="str">
        <f t="shared" si="11"/>
        <v>Ссылка на план</v>
      </c>
      <c r="S667" s="1">
        <v>43769.660173611112</v>
      </c>
      <c r="T667" s="1">
        <v>43769.660185185188</v>
      </c>
      <c r="U667" s="1">
        <v>43769.660185185188</v>
      </c>
      <c r="W667" s="1">
        <v>43781.733807870369</v>
      </c>
      <c r="X667" t="s">
        <v>2835</v>
      </c>
      <c r="AA667" t="s">
        <v>5024</v>
      </c>
      <c r="AB667" t="s">
        <v>5025</v>
      </c>
      <c r="AC667" t="s">
        <v>5026</v>
      </c>
      <c r="AD667" t="s">
        <v>5027</v>
      </c>
      <c r="AE667" t="s">
        <v>5028</v>
      </c>
      <c r="AF667" t="s">
        <v>5029</v>
      </c>
      <c r="AG667" t="s">
        <v>5030</v>
      </c>
      <c r="BF667" t="s">
        <v>167</v>
      </c>
      <c r="BG667" t="s">
        <v>5031</v>
      </c>
      <c r="BH667" t="s">
        <v>1113</v>
      </c>
      <c r="BI667" t="s">
        <v>5032</v>
      </c>
      <c r="BJ667" t="str">
        <f>HYPERLINK("https://d33htgqikc2pj4.cloudfront.net/77853f37-7db9-4708-b29a-f37b67185980.jpeg", "Андрей Денисов: Ссылка на изображение")</f>
        <v>Андрей Денисов: Ссылка на изображение</v>
      </c>
      <c r="BK667" t="str">
        <f>HYPERLINK("https://d33htgqikc2pj4.cloudfront.net/8137f0fe-6cd8-45c5-afed-85a3cbdd8c2e.jpeg", "Андрей Денисов: Ссылка на изображение")</f>
        <v>Андрей Денисов: Ссылка на изображение</v>
      </c>
      <c r="BL667" t="s">
        <v>310</v>
      </c>
    </row>
    <row r="668" spans="1:71" ht="15" customHeight="1" x14ac:dyDescent="0.35">
      <c r="A668">
        <v>690</v>
      </c>
      <c r="B668" t="s">
        <v>5033</v>
      </c>
      <c r="C668">
        <v>2</v>
      </c>
      <c r="D668" t="str">
        <f>VLOOKUP(source[[#This Row],[Приоритет]],тПриоритеты[],2,0)</f>
        <v>Значительное</v>
      </c>
      <c r="E66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8" t="s">
        <v>4451</v>
      </c>
      <c r="G668" t="s">
        <v>157</v>
      </c>
      <c r="H668" t="str">
        <f>VLOOKUP(source[[#This Row],[Отвественный]],тОтветственные[],2,0)</f>
        <v>Отв13</v>
      </c>
      <c r="I668" s="2">
        <v>43786</v>
      </c>
      <c r="J668" s="2">
        <v>43786</v>
      </c>
      <c r="K668" t="s">
        <v>104</v>
      </c>
      <c r="L668">
        <v>0</v>
      </c>
      <c r="M668">
        <v>0</v>
      </c>
      <c r="N668" t="s">
        <v>105</v>
      </c>
      <c r="Q668" t="s">
        <v>106</v>
      </c>
      <c r="R668" t="str">
        <f t="shared" si="11"/>
        <v>Ссылка на план</v>
      </c>
      <c r="S668" s="1">
        <v>43786.713483796295</v>
      </c>
      <c r="T668" s="1">
        <v>43786.713518518518</v>
      </c>
      <c r="U668" s="1">
        <v>43786.713518518518</v>
      </c>
      <c r="W668" s="1">
        <v>43786.714004629626</v>
      </c>
      <c r="X668" t="s">
        <v>2835</v>
      </c>
      <c r="AA668" t="s">
        <v>5034</v>
      </c>
      <c r="AB668" t="s">
        <v>5035</v>
      </c>
      <c r="AC668" t="s">
        <v>5036</v>
      </c>
      <c r="AD668" t="s">
        <v>5037</v>
      </c>
      <c r="AE668" t="s">
        <v>5038</v>
      </c>
      <c r="AF668" t="s">
        <v>5039</v>
      </c>
      <c r="AG668" t="s">
        <v>5040</v>
      </c>
      <c r="BF668" t="s">
        <v>167</v>
      </c>
      <c r="BG668" t="s">
        <v>5041</v>
      </c>
      <c r="BH668" t="s">
        <v>5042</v>
      </c>
      <c r="BI668" t="str">
        <f>HYPERLINK("https://d33htgqikc2pj4.cloudfront.net/128f95d5-ff21-4068-9857-316f415d4159.jpeg", "Андрей Денисов: Ссылка на изображение")</f>
        <v>Андрей Денисов: Ссылка на изображение</v>
      </c>
      <c r="BJ668" t="str">
        <f>HYPERLINK("https://d33htgqikc2pj4.cloudfront.net/2c3835f8-17e4-429f-9e19-e9d947c32c10.jpeg", "Андрей Денисов: Ссылка на изображение")</f>
        <v>Андрей Денисов: Ссылка на изображение</v>
      </c>
      <c r="BK668" t="str">
        <f>HYPERLINK("https://d33htgqikc2pj4.cloudfront.net/3a23be50-1f81-49bd-82d1-8862b06c83a8.jpeg", "Андрей Денисов: Ссылка на изображение")</f>
        <v>Андрей Денисов: Ссылка на изображение</v>
      </c>
      <c r="BL668" t="str">
        <f>HYPERLINK("https://d33htgqikc2pj4.cloudfront.net/19db7658-8dd7-4496-9403-395afcc68157.jpeg", "Андрей Денисов: Ссылка на изображение")</f>
        <v>Андрей Денисов: Ссылка на изображение</v>
      </c>
    </row>
    <row r="669" spans="1:71" ht="15" customHeight="1" x14ac:dyDescent="0.35">
      <c r="A669">
        <v>788</v>
      </c>
      <c r="B669" t="s">
        <v>5043</v>
      </c>
      <c r="C669">
        <v>2</v>
      </c>
      <c r="D669" t="str">
        <f>VLOOKUP(source[[#This Row],[Приоритет]],тПриоритеты[],2,0)</f>
        <v>Значительное</v>
      </c>
      <c r="E66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69" t="s">
        <v>4451</v>
      </c>
      <c r="G669" t="s">
        <v>395</v>
      </c>
      <c r="H669" t="str">
        <f>VLOOKUP(source[[#This Row],[Отвественный]],тОтветственные[],2,0)</f>
        <v>Отв19</v>
      </c>
      <c r="I669" s="2">
        <v>43816</v>
      </c>
      <c r="J669" s="2">
        <v>43816</v>
      </c>
      <c r="K669" t="s">
        <v>104</v>
      </c>
      <c r="L669">
        <v>0</v>
      </c>
      <c r="M669">
        <v>0</v>
      </c>
      <c r="N669" t="s">
        <v>396</v>
      </c>
      <c r="Q669" t="s">
        <v>106</v>
      </c>
      <c r="R669" t="str">
        <f t="shared" si="11"/>
        <v>Ссылка на план</v>
      </c>
      <c r="S669" s="1">
        <v>43816.654513888891</v>
      </c>
      <c r="T669" s="1">
        <v>43816.655081018522</v>
      </c>
      <c r="U669" s="1">
        <v>43816.655914351853</v>
      </c>
      <c r="W669" s="1">
        <v>43816.655925925923</v>
      </c>
      <c r="X669" t="s">
        <v>406</v>
      </c>
      <c r="AA669" t="s">
        <v>5044</v>
      </c>
      <c r="AB669" t="s">
        <v>5045</v>
      </c>
      <c r="AC669" t="s">
        <v>5046</v>
      </c>
      <c r="AD669" t="s">
        <v>5047</v>
      </c>
      <c r="AE669" t="s">
        <v>5048</v>
      </c>
      <c r="AF669" t="s">
        <v>5049</v>
      </c>
      <c r="AG669" t="s">
        <v>5050</v>
      </c>
      <c r="BF669" t="s">
        <v>5051</v>
      </c>
      <c r="BG669" t="s">
        <v>427</v>
      </c>
      <c r="BH669" t="s">
        <v>114</v>
      </c>
      <c r="BI669" t="str">
        <f>HYPERLINK("https://d33htgqikc2pj4.cloudfront.net/55f85a72-b4c0-4344-b803-dc99d358c794.jpeg", "Владимир Чугунов: Ссылка на изображение")</f>
        <v>Владимир Чугунов: Ссылка на изображение</v>
      </c>
      <c r="BJ669" t="str">
        <f>HYPERLINK("https://d33htgqikc2pj4.cloudfront.net/090afb1c-84bb-4cc1-8154-fa6f24f91b41.jpeg", "Владимир Чугунов: Ссылка на изображение")</f>
        <v>Владимир Чугунов: Ссылка на изображение</v>
      </c>
      <c r="BK669" t="str">
        <f>HYPERLINK("https://d33htgqikc2pj4.cloudfront.net/e919cc6b-6c52-49bc-811f-010a0664c3e6.jpeg", "Владимир Чугунов: Ссылка на изображение")</f>
        <v>Владимир Чугунов: Ссылка на изображение</v>
      </c>
      <c r="BL669" t="str">
        <f>HYPERLINK("https://d33htgqikc2pj4.cloudfront.net/5120a7cb-82c8-443f-bf47-0b0a1ee84070.jpeg", "Владимир Чугунов: Ссылка на изображение")</f>
        <v>Владимир Чугунов: Ссылка на изображение</v>
      </c>
      <c r="BM669" t="str">
        <f>HYPERLINK("https://d33htgqikc2pj4.cloudfront.net/dd2174ec-0708-4439-b1ba-128e4dd39c2b.jpeg", "Владимир Чугунов: Ссылка на изображение")</f>
        <v>Владимир Чугунов: Ссылка на изображение</v>
      </c>
      <c r="BN669" t="str">
        <f>HYPERLINK("https://d33htgqikc2pj4.cloudfront.net/32d075b9-f313-4edf-a131-486d26812596.jpeg", "Владимир Чугунов: Ссылка на изображение")</f>
        <v>Владимир Чугунов: Ссылка на изображение</v>
      </c>
      <c r="BO669" t="str">
        <f>HYPERLINK("https://d33htgqikc2pj4.cloudfront.net/8a9f0c04-6296-4e1d-ba1f-d91237f89407.jpeg", "Владимир Чугунов: Ссылка на изображение")</f>
        <v>Владимир Чугунов: Ссылка на изображение</v>
      </c>
      <c r="BP669" t="str">
        <f>HYPERLINK("https://d33htgqikc2pj4.cloudfront.net/dcea36c2-9f8d-4e74-b433-1c226c65780d.jpeg", "Владимир Чугунов: Ссылка на изображение")</f>
        <v>Владимир Чугунов: Ссылка на изображение</v>
      </c>
      <c r="BQ669" t="str">
        <f>HYPERLINK("https://d33htgqikc2pj4.cloudfront.net/89a58cf1-53a7-41f4-ae2b-d6b2845a2239.jpeg", "Владимир Чугунов: Ссылка на изображение")</f>
        <v>Владимир Чугунов: Ссылка на изображение</v>
      </c>
      <c r="BR669" t="s">
        <v>102</v>
      </c>
    </row>
    <row r="670" spans="1:71" ht="15" customHeight="1" x14ac:dyDescent="0.35">
      <c r="A670">
        <v>467</v>
      </c>
      <c r="B670" t="s">
        <v>5052</v>
      </c>
      <c r="C670">
        <v>2</v>
      </c>
      <c r="D670" t="str">
        <f>VLOOKUP(source[[#This Row],[Приоритет]],тПриоритеты[],2,0)</f>
        <v>Значительное</v>
      </c>
      <c r="E67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0" t="s">
        <v>4451</v>
      </c>
      <c r="G670" t="s">
        <v>395</v>
      </c>
      <c r="H670" t="str">
        <f>VLOOKUP(source[[#This Row],[Отвественный]],тОтветственные[],2,0)</f>
        <v>Отв19</v>
      </c>
      <c r="I670" s="2">
        <v>43719</v>
      </c>
      <c r="J670" s="2">
        <v>43719</v>
      </c>
      <c r="K670" t="s">
        <v>104</v>
      </c>
      <c r="L670">
        <v>0</v>
      </c>
      <c r="M670">
        <v>0</v>
      </c>
      <c r="N670" t="s">
        <v>105</v>
      </c>
      <c r="Q670" t="s">
        <v>106</v>
      </c>
      <c r="R670" t="str">
        <f t="shared" si="11"/>
        <v>Ссылка на план</v>
      </c>
      <c r="S670" s="1">
        <v>43719.700810185182</v>
      </c>
      <c r="T670" s="1">
        <v>43719.700833333336</v>
      </c>
      <c r="U670" s="1">
        <v>43719.702361111114</v>
      </c>
      <c r="W670" s="1">
        <v>43719.702372685184</v>
      </c>
      <c r="X670" t="s">
        <v>2835</v>
      </c>
      <c r="AA670" t="s">
        <v>5053</v>
      </c>
      <c r="AB670" t="s">
        <v>5054</v>
      </c>
      <c r="AC670" t="s">
        <v>5055</v>
      </c>
      <c r="AD670" t="s">
        <v>5056</v>
      </c>
      <c r="AE670" t="s">
        <v>5057</v>
      </c>
      <c r="AF670" t="s">
        <v>5058</v>
      </c>
      <c r="AG670" t="s">
        <v>5059</v>
      </c>
      <c r="BF670" t="s">
        <v>114</v>
      </c>
      <c r="BG670" t="s">
        <v>5060</v>
      </c>
      <c r="BH670" t="s">
        <v>1571</v>
      </c>
      <c r="BI670" t="str">
        <f>HYPERLINK("https://d33htgqikc2pj4.cloudfront.net/3f5014ab-1001-4e14-8df0-ddefdeaa8e85.jpeg", "Владимир Чугунов: Ссылка на изображение")</f>
        <v>Владимир Чугунов: Ссылка на изображение</v>
      </c>
      <c r="BJ670" t="s">
        <v>127</v>
      </c>
      <c r="BK670" t="s">
        <v>102</v>
      </c>
    </row>
    <row r="671" spans="1:71" ht="15" customHeight="1" x14ac:dyDescent="0.35">
      <c r="A671">
        <v>15</v>
      </c>
      <c r="B671" t="s">
        <v>5061</v>
      </c>
      <c r="C671">
        <v>2</v>
      </c>
      <c r="D671" t="str">
        <f>VLOOKUP(source[[#This Row],[Приоритет]],тПриоритеты[],2,0)</f>
        <v>Значительное</v>
      </c>
      <c r="E67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1" t="s">
        <v>4451</v>
      </c>
      <c r="G671" t="s">
        <v>395</v>
      </c>
      <c r="H671" t="str">
        <f>VLOOKUP(source[[#This Row],[Отвественный]],тОтветственные[],2,0)</f>
        <v>Отв19</v>
      </c>
      <c r="I671" s="2">
        <v>43553</v>
      </c>
      <c r="J671" s="2">
        <v>43553</v>
      </c>
      <c r="K671" t="s">
        <v>438</v>
      </c>
      <c r="L671">
        <v>0</v>
      </c>
      <c r="M671">
        <v>0</v>
      </c>
      <c r="N671" t="s">
        <v>439</v>
      </c>
      <c r="Q671" t="s">
        <v>124</v>
      </c>
      <c r="R671" t="str">
        <f>HYPERLINK("https://d28ji4sm1vmprj.cloudfront.net/acfc9aa0097603f62cea0f398f3db1cc/12b88cc06de177b1006ee0f4fecb634c.jpeg", "Ссылка на план")</f>
        <v>Ссылка на план</v>
      </c>
      <c r="S671" s="1">
        <v>43553.428206018521</v>
      </c>
      <c r="T671" s="1">
        <v>43553.428287037037</v>
      </c>
      <c r="U671" s="1">
        <v>43553.428287037037</v>
      </c>
      <c r="W671" s="1">
        <v>43553.429756944446</v>
      </c>
      <c r="X671" t="s">
        <v>5062</v>
      </c>
      <c r="AA671" t="s">
        <v>5063</v>
      </c>
      <c r="AB671" t="s">
        <v>5064</v>
      </c>
      <c r="AC671" t="s">
        <v>5065</v>
      </c>
      <c r="AD671" t="s">
        <v>5066</v>
      </c>
      <c r="AE671" t="s">
        <v>5067</v>
      </c>
      <c r="AF671" t="s">
        <v>5068</v>
      </c>
      <c r="AG671" t="s">
        <v>5069</v>
      </c>
      <c r="AH671" t="s">
        <v>5070</v>
      </c>
      <c r="AI671" t="s">
        <v>5071</v>
      </c>
      <c r="AJ671" t="s">
        <v>5072</v>
      </c>
      <c r="AK671" t="s">
        <v>5073</v>
      </c>
      <c r="BF671" t="s">
        <v>102</v>
      </c>
      <c r="BG671" t="s">
        <v>5074</v>
      </c>
      <c r="BH671" t="s">
        <v>869</v>
      </c>
      <c r="BI671" t="s">
        <v>5075</v>
      </c>
      <c r="BJ671" t="s">
        <v>5076</v>
      </c>
      <c r="BK671" t="str">
        <f>HYPERLINK("https://d33htgqikc2pj4.cloudfront.net/45fbae83-e7cd-4728-8d8e-571b193ef89a.jpeg", "Владимир Чугунов: Ссылка на изображение")</f>
        <v>Владимир Чугунов: Ссылка на изображение</v>
      </c>
      <c r="BL671" t="str">
        <f>HYPERLINK("https://d33htgqikc2pj4.cloudfront.net/a62ad6fd-0a43-4d59-b5d9-2cdfa160188d.jpeg", "Владимир Чугунов: Ссылка на изображение")</f>
        <v>Владимир Чугунов: Ссылка на изображение</v>
      </c>
      <c r="BM671" t="str">
        <f>HYPERLINK("https://d33htgqikc2pj4.cloudfront.net/63fdd6e4-1b98-4e83-b1b2-48a66d59fdc5.jpeg", "Владимир Чугунов: Ссылка на изображение")</f>
        <v>Владимир Чугунов: Ссылка на изображение</v>
      </c>
      <c r="BN671" t="str">
        <f>HYPERLINK("https://d33htgqikc2pj4.cloudfront.net/d18d2df4-003a-419e-b483-c7b65355373c.jpeg", "Владимир Чугунов: Ссылка на изображение")</f>
        <v>Владимир Чугунов: Ссылка на изображение</v>
      </c>
      <c r="BO671" t="str">
        <f>HYPERLINK("https://d33htgqikc2pj4.cloudfront.net/619a80dd-b3bc-490f-816f-3ad6274cb10c.jpeg", "Владимир Чугунов: Ссылка на изображение")</f>
        <v>Владимир Чугунов: Ссылка на изображение</v>
      </c>
      <c r="BP671" t="str">
        <f>HYPERLINK("https://d33htgqikc2pj4.cloudfront.net/478bede5-a3b7-46c5-8d02-ec6d2905008e.jpeg", "Владимир Чугунов: Ссылка на изображение")</f>
        <v>Владимир Чугунов: Ссылка на изображение</v>
      </c>
    </row>
    <row r="672" spans="1:71" ht="15" customHeight="1" x14ac:dyDescent="0.35">
      <c r="A672">
        <v>135</v>
      </c>
      <c r="B672" t="s">
        <v>5077</v>
      </c>
      <c r="C672">
        <v>2</v>
      </c>
      <c r="D672" t="str">
        <f>VLOOKUP(source[[#This Row],[Приоритет]],тПриоритеты[],2,0)</f>
        <v>Значительное</v>
      </c>
      <c r="E67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2" t="s">
        <v>4451</v>
      </c>
      <c r="G672" t="s">
        <v>395</v>
      </c>
      <c r="H672" t="str">
        <f>VLOOKUP(source[[#This Row],[Отвественный]],тОтветственные[],2,0)</f>
        <v>Отв19</v>
      </c>
      <c r="I672" s="2">
        <v>43629</v>
      </c>
      <c r="J672" s="2">
        <v>43629</v>
      </c>
      <c r="K672" t="s">
        <v>274</v>
      </c>
      <c r="L672">
        <v>0</v>
      </c>
      <c r="M672">
        <v>0</v>
      </c>
      <c r="N672" t="s">
        <v>159</v>
      </c>
      <c r="Q672" t="s">
        <v>124</v>
      </c>
      <c r="R672" t="str">
        <f>HYPERLINK("https://d28ji4sm1vmprj.cloudfront.net/355a08c081c3838ab5b858f428b86049/8945c7522deb0c15488ad801990cffed.jpeg", "Ссылка на план")</f>
        <v>Ссылка на план</v>
      </c>
      <c r="S672" s="1">
        <v>43629.483298611114</v>
      </c>
      <c r="T672" s="1">
        <v>43629.504664351851</v>
      </c>
      <c r="U672" s="1">
        <v>43629.504664351851</v>
      </c>
      <c r="W672" s="1">
        <v>43629.504664351851</v>
      </c>
      <c r="X672" t="s">
        <v>3846</v>
      </c>
      <c r="AA672" t="s">
        <v>5078</v>
      </c>
      <c r="AB672" t="s">
        <v>5079</v>
      </c>
      <c r="AC672" t="s">
        <v>5080</v>
      </c>
      <c r="AD672" t="s">
        <v>5081</v>
      </c>
      <c r="BF672" t="s">
        <v>5082</v>
      </c>
      <c r="BG672" t="s">
        <v>3794</v>
      </c>
      <c r="BH672" t="s">
        <v>869</v>
      </c>
      <c r="BI672" t="s">
        <v>5083</v>
      </c>
      <c r="BJ672" t="str">
        <f>HYPERLINK("https://d33htgqikc2pj4.cloudfront.net/2749ce20-6e55-4148-a349-b8a9575b3250.jpeg", "Владимир Чугунов: Ссылка на изображение")</f>
        <v>Владимир Чугунов: Ссылка на изображение</v>
      </c>
      <c r="BK672" t="str">
        <f>HYPERLINK("https://d33htgqikc2pj4.cloudfront.net/b715c355-3268-4205-892b-b0afbb52a99c.jpeg", "Владимир Чугунов: Ссылка на изображение")</f>
        <v>Владимир Чугунов: Ссылка на изображение</v>
      </c>
      <c r="BL672" t="str">
        <f>HYPERLINK("https://d33htgqikc2pj4.cloudfront.net/f1285642-9bc7-4469-b2c0-e0364e0aadb5.jpeg", "Владимир Чугунов: Ссылка на изображение")</f>
        <v>Владимир Чугунов: Ссылка на изображение</v>
      </c>
      <c r="BM672" t="str">
        <f>HYPERLINK("https://d33htgqikc2pj4.cloudfront.net/c7263726-6689-41ed-ad6c-a96930fc7d9f.jpeg", "Владимир Чугунов: Ссылка на изображение")</f>
        <v>Владимир Чугунов: Ссылка на изображение</v>
      </c>
      <c r="BN672" t="str">
        <f>HYPERLINK("https://d33htgqikc2pj4.cloudfront.net/8a5197b1-572a-451c-a41c-78c03f66b39d.jpeg", "Владимир Чугунов: Ссылка на изображение")</f>
        <v>Владимир Чугунов: Ссылка на изображение</v>
      </c>
      <c r="BO672" t="str">
        <f>HYPERLINK("https://d33htgqikc2pj4.cloudfront.net/f38cc01c-5f67-49de-8869-713d43a86ab6.jpeg", "Владимир Чугунов: Ссылка на изображение")</f>
        <v>Владимир Чугунов: Ссылка на изображение</v>
      </c>
      <c r="BP672" t="s">
        <v>102</v>
      </c>
    </row>
    <row r="673" spans="1:86" ht="15" customHeight="1" x14ac:dyDescent="0.35">
      <c r="A673">
        <v>468</v>
      </c>
      <c r="B673" t="s">
        <v>5084</v>
      </c>
      <c r="C673">
        <v>2</v>
      </c>
      <c r="D673" t="str">
        <f>VLOOKUP(source[[#This Row],[Приоритет]],тПриоритеты[],2,0)</f>
        <v>Значительное</v>
      </c>
      <c r="E67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3" t="s">
        <v>4451</v>
      </c>
      <c r="G673" t="s">
        <v>395</v>
      </c>
      <c r="H673" t="str">
        <f>VLOOKUP(source[[#This Row],[Отвественный]],тОтветственные[],2,0)</f>
        <v>Отв19</v>
      </c>
      <c r="I673" s="2">
        <v>43720</v>
      </c>
      <c r="J673" s="2">
        <v>43720</v>
      </c>
      <c r="K673" t="s">
        <v>104</v>
      </c>
      <c r="L673">
        <v>0</v>
      </c>
      <c r="M673">
        <v>0</v>
      </c>
      <c r="N673" t="s">
        <v>105</v>
      </c>
      <c r="Q673" t="s">
        <v>106</v>
      </c>
      <c r="R673" t="str">
        <f>HYPERLINK("https://d28ji4sm1vmprj.cloudfront.net/e7a526a7220c3bc5cfeeb407c455c0b3/580ffb055aff8ee0c88c6e676cfba776.jpeg", "Ссылка на план")</f>
        <v>Ссылка на план</v>
      </c>
      <c r="S673" s="1">
        <v>43720.412361111114</v>
      </c>
      <c r="T673" s="1">
        <v>43720.412418981483</v>
      </c>
      <c r="U673" s="1">
        <v>43720.412893518522</v>
      </c>
      <c r="W673" s="1">
        <v>43720.433263888888</v>
      </c>
      <c r="BF673" t="s">
        <v>5085</v>
      </c>
      <c r="BG673" t="s">
        <v>114</v>
      </c>
      <c r="BH673" t="s">
        <v>511</v>
      </c>
      <c r="BI673" t="str">
        <f>HYPERLINK("https://d33htgqikc2pj4.cloudfront.net/eb17f7a4-5481-472f-ac53-d0f8425d6936.jpeg", "Владимир Чугунов: Ссылка на изображение")</f>
        <v>Владимир Чугунов: Ссылка на изображение</v>
      </c>
      <c r="BJ673" t="str">
        <f>HYPERLINK("https://d33htgqikc2pj4.cloudfront.net/26d929cf-c7fd-4323-ba7e-c97f713ceb15.jpeg", "Владимир Чугунов: Ссылка на изображение")</f>
        <v>Владимир Чугунов: Ссылка на изображение</v>
      </c>
      <c r="BK673" t="str">
        <f>HYPERLINK("https://d33htgqikc2pj4.cloudfront.net/e783aead-4561-40ab-9c07-2adf777bc785.jpeg", "Владимир Чугунов: Ссылка на изображение")</f>
        <v>Владимир Чугунов: Ссылка на изображение</v>
      </c>
      <c r="BL673" t="str">
        <f>HYPERLINK("https://d33htgqikc2pj4.cloudfront.net/9216d894-db20-4698-a9a3-5080a03d9e53.jpeg", "Владимир Чугунов: Ссылка на изображение")</f>
        <v>Владимир Чугунов: Ссылка на изображение</v>
      </c>
      <c r="BM673" t="s">
        <v>102</v>
      </c>
      <c r="BN673" t="s">
        <v>5086</v>
      </c>
    </row>
    <row r="674" spans="1:86" ht="15" customHeight="1" x14ac:dyDescent="0.35">
      <c r="A674">
        <v>138</v>
      </c>
      <c r="B674" t="s">
        <v>5087</v>
      </c>
      <c r="C674">
        <v>2</v>
      </c>
      <c r="D674" t="str">
        <f>VLOOKUP(source[[#This Row],[Приоритет]],тПриоритеты[],2,0)</f>
        <v>Значительное</v>
      </c>
      <c r="E67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4" t="s">
        <v>4451</v>
      </c>
      <c r="G674" t="s">
        <v>395</v>
      </c>
      <c r="H674" t="str">
        <f>VLOOKUP(source[[#This Row],[Отвественный]],тОтветственные[],2,0)</f>
        <v>Отв19</v>
      </c>
      <c r="I674" s="2">
        <v>43631</v>
      </c>
      <c r="J674" s="2">
        <v>43631</v>
      </c>
      <c r="K674" t="s">
        <v>274</v>
      </c>
      <c r="L674">
        <v>0</v>
      </c>
      <c r="M674">
        <v>0</v>
      </c>
      <c r="N674" t="s">
        <v>159</v>
      </c>
      <c r="Q674" t="s">
        <v>124</v>
      </c>
      <c r="R674" t="str">
        <f>HYPERLINK("https://d28ji4sm1vmprj.cloudfront.net/355a08c081c3838ab5b858f428b86049/8945c7522deb0c15488ad801990cffed.jpeg", "Ссылка на план")</f>
        <v>Ссылка на план</v>
      </c>
      <c r="S674" s="1">
        <v>43631.448182870372</v>
      </c>
      <c r="T674" s="1">
        <v>43631.449421296296</v>
      </c>
      <c r="U674" s="1">
        <v>43631.450150462966</v>
      </c>
      <c r="W674" s="1">
        <v>43631.450196759259</v>
      </c>
      <c r="X674" t="s">
        <v>3846</v>
      </c>
      <c r="AA674" t="s">
        <v>5088</v>
      </c>
      <c r="AB674" t="s">
        <v>5089</v>
      </c>
      <c r="AC674" t="s">
        <v>5090</v>
      </c>
      <c r="AD674" t="s">
        <v>5091</v>
      </c>
      <c r="BF674" t="s">
        <v>869</v>
      </c>
      <c r="BG674" t="s">
        <v>5092</v>
      </c>
      <c r="BH674" t="s">
        <v>5093</v>
      </c>
      <c r="BI674" t="s">
        <v>114</v>
      </c>
      <c r="BJ674" t="str">
        <f>HYPERLINK("https://d33htgqikc2pj4.cloudfront.net/2bff843e-185a-4eee-8f21-1c1d08c58fd1.jpeg", "Владимир Чугунов: Ссылка на изображение")</f>
        <v>Владимир Чугунов: Ссылка на изображение</v>
      </c>
      <c r="BK674" t="str">
        <f>HYPERLINK("https://d33htgqikc2pj4.cloudfront.net/5a3c541c-00ba-4371-9217-f18d5e9bddbe.jpeg", "Владимир Чугунов: Ссылка на изображение")</f>
        <v>Владимир Чугунов: Ссылка на изображение</v>
      </c>
      <c r="BL674" t="str">
        <f>HYPERLINK("https://d33htgqikc2pj4.cloudfront.net/c41f318a-99a1-43b3-ab10-25e9b1596e97.jpeg", "Владимир Чугунов: Ссылка на изображение")</f>
        <v>Владимир Чугунов: Ссылка на изображение</v>
      </c>
      <c r="BM674" t="str">
        <f>HYPERLINK("https://d33htgqikc2pj4.cloudfront.net/713bc2b8-7f2a-46a2-b68d-e34e04003de7.jpeg", "Владимир Чугунов: Ссылка на изображение")</f>
        <v>Владимир Чугунов: Ссылка на изображение</v>
      </c>
      <c r="BN674" t="s">
        <v>102</v>
      </c>
    </row>
    <row r="675" spans="1:86" ht="15" customHeight="1" x14ac:dyDescent="0.35">
      <c r="A675">
        <v>247</v>
      </c>
      <c r="B675" t="s">
        <v>5094</v>
      </c>
      <c r="C675">
        <v>2</v>
      </c>
      <c r="D675" t="str">
        <f>VLOOKUP(source[[#This Row],[Приоритет]],тПриоритеты[],2,0)</f>
        <v>Значительное</v>
      </c>
      <c r="E67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5" t="s">
        <v>4451</v>
      </c>
      <c r="G675" t="s">
        <v>395</v>
      </c>
      <c r="H675" t="str">
        <f>VLOOKUP(source[[#This Row],[Отвественный]],тОтветственные[],2,0)</f>
        <v>Отв19</v>
      </c>
      <c r="I675" s="2">
        <v>43658</v>
      </c>
      <c r="J675" s="2">
        <v>43658</v>
      </c>
      <c r="K675" t="s">
        <v>104</v>
      </c>
      <c r="L675">
        <v>0</v>
      </c>
      <c r="M675">
        <v>0</v>
      </c>
      <c r="N675" t="s">
        <v>105</v>
      </c>
      <c r="Q675" t="s">
        <v>106</v>
      </c>
      <c r="R675" t="str">
        <f>HYPERLINK("https://d28ji4sm1vmprj.cloudfront.net/e7a526a7220c3bc5cfeeb407c455c0b3/580ffb055aff8ee0c88c6e676cfba776.jpeg", "Ссылка на план")</f>
        <v>Ссылка на план</v>
      </c>
      <c r="S675" s="1">
        <v>43658.64130787037</v>
      </c>
      <c r="T675" s="1">
        <v>43658.641331018516</v>
      </c>
      <c r="U675" s="1">
        <v>43658.642418981479</v>
      </c>
      <c r="W675" s="1">
        <v>43658.642442129632</v>
      </c>
      <c r="X675" t="s">
        <v>406</v>
      </c>
      <c r="AA675" t="s">
        <v>5095</v>
      </c>
      <c r="AB675" t="s">
        <v>5096</v>
      </c>
      <c r="AC675" t="s">
        <v>5097</v>
      </c>
      <c r="AD675" t="s">
        <v>5098</v>
      </c>
      <c r="AE675" t="s">
        <v>5099</v>
      </c>
      <c r="AF675" t="s">
        <v>5100</v>
      </c>
      <c r="AG675" t="s">
        <v>5101</v>
      </c>
      <c r="BF675" t="s">
        <v>114</v>
      </c>
      <c r="BG675" t="s">
        <v>5102</v>
      </c>
      <c r="BH675" t="s">
        <v>492</v>
      </c>
      <c r="BI675" t="str">
        <f>HYPERLINK("https://d33htgqikc2pj4.cloudfront.net/3e6eb800-13fa-412b-bcbf-4885bf42efe6.jpeg", "Владимир Чугунов: Ссылка на изображение")</f>
        <v>Владимир Чугунов: Ссылка на изображение</v>
      </c>
      <c r="BJ675" t="str">
        <f>HYPERLINK("https://d33htgqikc2pj4.cloudfront.net/d6054644-c468-4ff5-91a2-98d178bc1dd2.jpeg", "Владимир Чугунов: Ссылка на изображение")</f>
        <v>Владимир Чугунов: Ссылка на изображение</v>
      </c>
      <c r="BK675" t="str">
        <f>HYPERLINK("https://d33htgqikc2pj4.cloudfront.net/4b917988-e037-4c36-924d-84dc38943485.jpeg", "Владимир Чугунов: Ссылка на изображение")</f>
        <v>Владимир Чугунов: Ссылка на изображение</v>
      </c>
      <c r="BL675" t="s">
        <v>102</v>
      </c>
    </row>
    <row r="676" spans="1:86" ht="15" customHeight="1" x14ac:dyDescent="0.35">
      <c r="A676">
        <v>242</v>
      </c>
      <c r="B676" t="s">
        <v>5103</v>
      </c>
      <c r="C676">
        <v>2</v>
      </c>
      <c r="D676" t="str">
        <f>VLOOKUP(source[[#This Row],[Приоритет]],тПриоритеты[],2,0)</f>
        <v>Значительное</v>
      </c>
      <c r="E67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6" t="s">
        <v>4451</v>
      </c>
      <c r="G676" t="s">
        <v>395</v>
      </c>
      <c r="H676" t="str">
        <f>VLOOKUP(source[[#This Row],[Отвественный]],тОтветственные[],2,0)</f>
        <v>Отв19</v>
      </c>
      <c r="I676" s="2">
        <v>43658</v>
      </c>
      <c r="J676" s="2">
        <v>43658</v>
      </c>
      <c r="K676" t="s">
        <v>104</v>
      </c>
      <c r="L676">
        <v>0</v>
      </c>
      <c r="M676">
        <v>0</v>
      </c>
      <c r="N676" t="s">
        <v>105</v>
      </c>
      <c r="Q676" t="s">
        <v>106</v>
      </c>
      <c r="R676" t="str">
        <f>HYPERLINK("https://d28ji4sm1vmprj.cloudfront.net/e7a526a7220c3bc5cfeeb407c455c0b3/580ffb055aff8ee0c88c6e676cfba776.jpeg", "Ссылка на план")</f>
        <v>Ссылка на план</v>
      </c>
      <c r="S676" s="1">
        <v>43658.519965277781</v>
      </c>
      <c r="T676" s="1">
        <v>43658.520289351851</v>
      </c>
      <c r="U676" s="1">
        <v>43658.521701388891</v>
      </c>
      <c r="W676" s="1">
        <v>43658.521701388891</v>
      </c>
      <c r="BF676" t="s">
        <v>5104</v>
      </c>
      <c r="BG676" t="s">
        <v>114</v>
      </c>
      <c r="BH676" t="s">
        <v>492</v>
      </c>
      <c r="BI676" t="str">
        <f>HYPERLINK("https://d33htgqikc2pj4.cloudfront.net/71f0058f-78d4-4e7f-a1cd-15910a87e362.jpeg", "Владимир Чугунов: Ссылка на изображение")</f>
        <v>Владимир Чугунов: Ссылка на изображение</v>
      </c>
      <c r="BJ676" t="str">
        <f>HYPERLINK("https://d33htgqikc2pj4.cloudfront.net/2ee4ad3a-23a1-4813-8278-c454f32b12e6.jpeg", "Владимир Чугунов: Ссылка на изображение")</f>
        <v>Владимир Чугунов: Ссылка на изображение</v>
      </c>
      <c r="BK676" t="str">
        <f>HYPERLINK("https://d33htgqikc2pj4.cloudfront.net/609226b4-b79b-49cb-b341-a42a12f1c3a2.jpeg", "Владимир Чугунов: Ссылка на изображение")</f>
        <v>Владимир Чугунов: Ссылка на изображение</v>
      </c>
      <c r="BL676" t="str">
        <f>HYPERLINK("https://d33htgqikc2pj4.cloudfront.net/ba749bbb-6f3a-44cb-8a1f-cba03b0ce527.jpeg", "Владимир Чугунов: Ссылка на изображение")</f>
        <v>Владимир Чугунов: Ссылка на изображение</v>
      </c>
      <c r="BM676" t="str">
        <f>HYPERLINK("https://d33htgqikc2pj4.cloudfront.net/1d54e724-b62c-4256-a346-e0e3d88ae207.jpeg", "Владимир Чугунов: Ссылка на изображение")</f>
        <v>Владимир Чугунов: Ссылка на изображение</v>
      </c>
      <c r="BN676" t="str">
        <f>HYPERLINK("https://d33htgqikc2pj4.cloudfront.net/3fa46b76-ae98-4d5a-8ded-6f00973d3803.jpeg", "Владимир Чугунов: Ссылка на изображение")</f>
        <v>Владимир Чугунов: Ссылка на изображение</v>
      </c>
      <c r="BO676" t="s">
        <v>102</v>
      </c>
    </row>
    <row r="677" spans="1:86" ht="15" customHeight="1" x14ac:dyDescent="0.35">
      <c r="A677">
        <v>469</v>
      </c>
      <c r="B677" t="s">
        <v>5105</v>
      </c>
      <c r="C677">
        <v>2</v>
      </c>
      <c r="D677" t="str">
        <f>VLOOKUP(source[[#This Row],[Приоритет]],тПриоритеты[],2,0)</f>
        <v>Значительное</v>
      </c>
      <c r="E67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7" t="s">
        <v>4451</v>
      </c>
      <c r="G677" t="s">
        <v>395</v>
      </c>
      <c r="H677" t="str">
        <f>VLOOKUP(source[[#This Row],[Отвественный]],тОтветственные[],2,0)</f>
        <v>Отв19</v>
      </c>
      <c r="I677" s="2">
        <v>43720</v>
      </c>
      <c r="J677" s="2">
        <v>43720</v>
      </c>
      <c r="K677" t="s">
        <v>104</v>
      </c>
      <c r="L677">
        <v>0</v>
      </c>
      <c r="M677">
        <v>0</v>
      </c>
      <c r="N677" t="s">
        <v>105</v>
      </c>
      <c r="Q677" t="s">
        <v>106</v>
      </c>
      <c r="R677" t="str">
        <f>HYPERLINK("https://d28ji4sm1vmprj.cloudfront.net/e7a526a7220c3bc5cfeeb407c455c0b3/580ffb055aff8ee0c88c6e676cfba776.jpeg", "Ссылка на план")</f>
        <v>Ссылка на план</v>
      </c>
      <c r="S677" s="1">
        <v>43720.476643518516</v>
      </c>
      <c r="T677" s="1">
        <v>43720.477002314816</v>
      </c>
      <c r="U677" s="1">
        <v>43720.746539351851</v>
      </c>
      <c r="W677" s="1">
        <v>43720.746550925927</v>
      </c>
      <c r="X677" t="s">
        <v>3217</v>
      </c>
      <c r="AA677" t="s">
        <v>5106</v>
      </c>
      <c r="AB677" t="s">
        <v>5107</v>
      </c>
      <c r="AC677" t="s">
        <v>5108</v>
      </c>
      <c r="AD677" t="s">
        <v>5109</v>
      </c>
      <c r="AE677" t="s">
        <v>5110</v>
      </c>
      <c r="AF677" t="s">
        <v>5111</v>
      </c>
      <c r="AG677" t="s">
        <v>5112</v>
      </c>
      <c r="AH677" t="s">
        <v>5113</v>
      </c>
      <c r="AI677" t="s">
        <v>5114</v>
      </c>
      <c r="AJ677" t="s">
        <v>5115</v>
      </c>
      <c r="AK677" t="s">
        <v>5116</v>
      </c>
      <c r="BF677" t="s">
        <v>5117</v>
      </c>
      <c r="BG677" t="s">
        <v>114</v>
      </c>
      <c r="BH677" t="s">
        <v>511</v>
      </c>
      <c r="BI677" t="str">
        <f>HYPERLINK("https://d33htgqikc2pj4.cloudfront.net/f99af32d-b0e9-4fdc-801a-2dc37138cfb8.jpeg", "Владимир Чугунов: Ссылка на изображение")</f>
        <v>Владимир Чугунов: Ссылка на изображение</v>
      </c>
      <c r="BJ677" t="str">
        <f>HYPERLINK("https://d33htgqikc2pj4.cloudfront.net/e8cf9acf-75b4-40b1-9e0c-2eaf75d9cac2.jpeg", "Владимир Чугунов: Ссылка на изображение")</f>
        <v>Владимир Чугунов: Ссылка на изображение</v>
      </c>
      <c r="BK677" t="str">
        <f>HYPERLINK("https://d33htgqikc2pj4.cloudfront.net/d5e60051-43a2-4525-8252-9e9241357910.jpeg", "Владимир Чугунов: Ссылка на изображение")</f>
        <v>Владимир Чугунов: Ссылка на изображение</v>
      </c>
      <c r="BL677" t="str">
        <f>HYPERLINK("https://d33htgqikc2pj4.cloudfront.net/9a525114-0004-4eff-b86e-5568144ff685.jpeg", "Владимир Чугунов: Ссылка на изображение")</f>
        <v>Владимир Чугунов: Ссылка на изображение</v>
      </c>
      <c r="BM677" t="str">
        <f>HYPERLINK("https://d33htgqikc2pj4.cloudfront.net/8e6c77f0-ab27-4ea6-b2e9-88a876d515ef.jpeg", "Владимир Чугунов: Ссылка на изображение")</f>
        <v>Владимир Чугунов: Ссылка на изображение</v>
      </c>
      <c r="BN677" t="str">
        <f>HYPERLINK("https://d33htgqikc2pj4.cloudfront.net/c0c37dc1-5ebf-4405-bbba-ed21ee0d4d90.jpeg", "Владимир Чугунов: Ссылка на изображение")</f>
        <v>Владимир Чугунов: Ссылка на изображение</v>
      </c>
      <c r="BO677" t="str">
        <f>HYPERLINK("https://d33htgqikc2pj4.cloudfront.net/2ef47c9c-5980-4202-a7f1-67ca3ecddeff.jpeg", "Владимир Чугунов: Ссылка на изображение")</f>
        <v>Владимир Чугунов: Ссылка на изображение</v>
      </c>
      <c r="BP677" t="str">
        <f>HYPERLINK("https://d33htgqikc2pj4.cloudfront.net/2bdc6067-7221-4937-954b-df2a51ea1d5d.jpeg", "Владимир Чугунов: Ссылка на изображение")</f>
        <v>Владимир Чугунов: Ссылка на изображение</v>
      </c>
      <c r="BQ677" t="str">
        <f>HYPERLINK("https://d33htgqikc2pj4.cloudfront.net/75f3f369-56e9-46ae-a072-1d41fe00ec19.jpeg", "Владимир Чугунов: Ссылка на изображение")</f>
        <v>Владимир Чугунов: Ссылка на изображение</v>
      </c>
      <c r="BR677" t="str">
        <f>HYPERLINK("https://d33htgqikc2pj4.cloudfront.net/ec0d3f42-16e2-4596-97c8-e2920181b799.jpeg", "Владимир Чугунов: Ссылка на изображение")</f>
        <v>Владимир Чугунов: Ссылка на изображение</v>
      </c>
      <c r="BS677" t="str">
        <f>HYPERLINK("https://d33htgqikc2pj4.cloudfront.net/ac5eb870-55e9-4bf0-a252-0884bb0a2613.jpeg", "Владимир Чугунов: Ссылка на изображение")</f>
        <v>Владимир Чугунов: Ссылка на изображение</v>
      </c>
      <c r="BT677" t="str">
        <f>HYPERLINK("https://d33htgqikc2pj4.cloudfront.net/86e82c2d-19cd-4962-8f55-eb943802cb56.jpeg", "Владимир Чугунов: Ссылка на изображение")</f>
        <v>Владимир Чугунов: Ссылка на изображение</v>
      </c>
      <c r="BU677" t="str">
        <f>HYPERLINK("https://d33htgqikc2pj4.cloudfront.net/f34566b3-9087-487c-b281-07188a5e9266.jpeg", "Владимир Чугунов: Ссылка на изображение")</f>
        <v>Владимир Чугунов: Ссылка на изображение</v>
      </c>
      <c r="BV677" t="str">
        <f>HYPERLINK("https://d33htgqikc2pj4.cloudfront.net/87ab7271-ec08-4dab-bb03-f150741426b4.jpeg", "Владимир Чугунов: Ссылка на изображение")</f>
        <v>Владимир Чугунов: Ссылка на изображение</v>
      </c>
      <c r="BW677" t="str">
        <f>HYPERLINK("https://d33htgqikc2pj4.cloudfront.net/b6a23963-c1ee-44f4-8538-3de5eebabe45.jpeg", "Владимир Чугунов: Ссылка на изображение")</f>
        <v>Владимир Чугунов: Ссылка на изображение</v>
      </c>
      <c r="BX677" t="str">
        <f>HYPERLINK("https://d33htgqikc2pj4.cloudfront.net/0635d854-0e3c-4205-9470-314a3300132a.jpeg", "Владимир Чугунов: Ссылка на изображение")</f>
        <v>Владимир Чугунов: Ссылка на изображение</v>
      </c>
      <c r="BY677" t="str">
        <f>HYPERLINK("https://d33htgqikc2pj4.cloudfront.net/53bd3f5f-851c-4290-9928-9a99b87f8baa.jpeg", "Владимир Чугунов: Ссылка на изображение")</f>
        <v>Владимир Чугунов: Ссылка на изображение</v>
      </c>
      <c r="BZ677" t="str">
        <f>HYPERLINK("https://d33htgqikc2pj4.cloudfront.net/27d8d845-0e67-417a-abf4-f79fe2caa13f.jpeg", "Владимир Чугунов: Ссылка на изображение")</f>
        <v>Владимир Чугунов: Ссылка на изображение</v>
      </c>
      <c r="CA677" t="str">
        <f>HYPERLINK("https://d33htgqikc2pj4.cloudfront.net/43158e70-31e1-43be-ab82-1a0774a5b00f.jpeg", "Владимир Чугунов: Ссылка на изображение")</f>
        <v>Владимир Чугунов: Ссылка на изображение</v>
      </c>
      <c r="CB677" t="str">
        <f>HYPERLINK("https://d33htgqikc2pj4.cloudfront.net/7728d49d-5271-459d-bfdb-a5d8fd77752a.jpeg", "Владимир Чугунов: Ссылка на изображение")</f>
        <v>Владимир Чугунов: Ссылка на изображение</v>
      </c>
      <c r="CC677" t="str">
        <f>HYPERLINK("https://d33htgqikc2pj4.cloudfront.net/25a662e6-8cbe-441c-b17c-c53579641ddb.jpeg", "Владимир Чугунов: Ссылка на изображение")</f>
        <v>Владимир Чугунов: Ссылка на изображение</v>
      </c>
      <c r="CD677" t="str">
        <f>HYPERLINK("https://d33htgqikc2pj4.cloudfront.net/86844a75-7146-4fbe-993e-a3735e8c89cc.jpeg", "Владимир Чугунов: Ссылка на изображение")</f>
        <v>Владимир Чугунов: Ссылка на изображение</v>
      </c>
      <c r="CE677" t="str">
        <f>HYPERLINK("https://d33htgqikc2pj4.cloudfront.net/25d1fcef-709d-4d09-9be6-4913ba811f06.jpeg", "Владимир Чугунов: Ссылка на изображение")</f>
        <v>Владимир Чугунов: Ссылка на изображение</v>
      </c>
      <c r="CF677" t="str">
        <f>HYPERLINK("https://d33htgqikc2pj4.cloudfront.net/94e172d0-28d8-49c8-816b-1f21d5ea2903.jpeg", "Владимир Чугунов: Ссылка на изображение")</f>
        <v>Владимир Чугунов: Ссылка на изображение</v>
      </c>
      <c r="CG677" t="str">
        <f>HYPERLINK("https://d33htgqikc2pj4.cloudfront.net/e630a72b-49b4-49e5-b8b0-1cce0c36bf38.jpeg", "Владимир Чугунов: Ссылка на изображение")</f>
        <v>Владимир Чугунов: Ссылка на изображение</v>
      </c>
      <c r="CH677" t="s">
        <v>102</v>
      </c>
    </row>
    <row r="678" spans="1:86" ht="15" customHeight="1" x14ac:dyDescent="0.35">
      <c r="A678">
        <v>251</v>
      </c>
      <c r="B678" t="s">
        <v>5118</v>
      </c>
      <c r="C678">
        <v>2</v>
      </c>
      <c r="D678" t="str">
        <f>VLOOKUP(source[[#This Row],[Приоритет]],тПриоритеты[],2,0)</f>
        <v>Значительное</v>
      </c>
      <c r="E67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8" t="s">
        <v>4451</v>
      </c>
      <c r="G678" t="s">
        <v>395</v>
      </c>
      <c r="H678" t="str">
        <f>VLOOKUP(source[[#This Row],[Отвественный]],тОтветственные[],2,0)</f>
        <v>Отв19</v>
      </c>
      <c r="I678" s="2">
        <v>43659</v>
      </c>
      <c r="J678" s="2">
        <v>43659</v>
      </c>
      <c r="K678" t="s">
        <v>313</v>
      </c>
      <c r="L678">
        <v>0</v>
      </c>
      <c r="M678">
        <v>0</v>
      </c>
      <c r="N678" t="s">
        <v>159</v>
      </c>
      <c r="Q678" t="s">
        <v>106</v>
      </c>
      <c r="R678" t="str">
        <f>HYPERLINK("https://d28ji4sm1vmprj.cloudfront.net/464215be55b88773f54b8cd83354babd/02eaaeba9564da889c4ba5d284544147.jpeg", "Ссылка на план")</f>
        <v>Ссылка на план</v>
      </c>
      <c r="S678" s="1">
        <v>43659.460520833331</v>
      </c>
      <c r="T678" s="1">
        <v>43659.46193287037</v>
      </c>
      <c r="U678" s="1">
        <v>43659.467175925929</v>
      </c>
      <c r="W678" s="1">
        <v>43659.467326388891</v>
      </c>
      <c r="X678" t="s">
        <v>3846</v>
      </c>
      <c r="AA678" t="s">
        <v>5119</v>
      </c>
      <c r="AB678" t="s">
        <v>5120</v>
      </c>
      <c r="AC678" t="s">
        <v>5121</v>
      </c>
      <c r="AD678" t="s">
        <v>5122</v>
      </c>
      <c r="BF678" t="s">
        <v>114</v>
      </c>
      <c r="BG678" t="s">
        <v>5123</v>
      </c>
      <c r="BH678" t="s">
        <v>3970</v>
      </c>
      <c r="BI678" t="str">
        <f>HYPERLINK("https://d33htgqikc2pj4.cloudfront.net/f6283fe3-f565-450a-9a50-56d0efbad304.jpeg", "Владимир Чугунов: Ссылка на изображение")</f>
        <v>Владимир Чугунов: Ссылка на изображение</v>
      </c>
      <c r="BJ678" t="str">
        <f>HYPERLINK("https://d33htgqikc2pj4.cloudfront.net/cc4abdcb-0d74-453f-b3b4-af59ee9ba92a.jpeg", "Владимир Чугунов: Ссылка на изображение")</f>
        <v>Владимир Чугунов: Ссылка на изображение</v>
      </c>
      <c r="BK678" t="str">
        <f>HYPERLINK("https://d33htgqikc2pj4.cloudfront.net/310932c2-b63f-4e71-a481-01bc0e4011b5.jpeg", "Владимир Чугунов: Ссылка на изображение")</f>
        <v>Владимир Чугунов: Ссылка на изображение</v>
      </c>
      <c r="BL678" t="str">
        <f>HYPERLINK("https://d33htgqikc2pj4.cloudfront.net/aa5b2ded-1def-4950-b480-4a75d30aef65.jpeg", "Владимир Чугунов: Ссылка на изображение")</f>
        <v>Владимир Чугунов: Ссылка на изображение</v>
      </c>
      <c r="BM678" t="str">
        <f>HYPERLINK("https://d33htgqikc2pj4.cloudfront.net/fe31854e-9a50-46ff-bfbc-faae32de56d4.jpeg", "Владимир Чугунов: Ссылка на изображение")</f>
        <v>Владимир Чугунов: Ссылка на изображение</v>
      </c>
      <c r="BN678" t="str">
        <f>HYPERLINK("https://d33htgqikc2pj4.cloudfront.net/bec5bb9b-15ad-4a62-ac2a-de5f84a61375.jpeg", "Владимир Чугунов: Ссылка на изображение")</f>
        <v>Владимир Чугунов: Ссылка на изображение</v>
      </c>
      <c r="BO678" t="str">
        <f>HYPERLINK("https://d33htgqikc2pj4.cloudfront.net/7e334a7b-ae4a-4c52-8314-64d4c4c4b2f6.jpeg", "Владимир Чугунов: Ссылка на изображение")</f>
        <v>Владимир Чугунов: Ссылка на изображение</v>
      </c>
      <c r="BP678" t="str">
        <f>HYPERLINK("https://d33htgqikc2pj4.cloudfront.net/acc50c12-9ae7-45cf-8b71-345652a4ae81.jpeg", "Владимир Чугунов: Ссылка на изображение")</f>
        <v>Владимир Чугунов: Ссылка на изображение</v>
      </c>
      <c r="BQ678" t="s">
        <v>102</v>
      </c>
    </row>
    <row r="679" spans="1:86" ht="15" customHeight="1" x14ac:dyDescent="0.35">
      <c r="A679">
        <v>256</v>
      </c>
      <c r="B679" t="s">
        <v>5124</v>
      </c>
      <c r="C679">
        <v>2</v>
      </c>
      <c r="D679" t="str">
        <f>VLOOKUP(source[[#This Row],[Приоритет]],тПриоритеты[],2,0)</f>
        <v>Значительное</v>
      </c>
      <c r="E67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79" t="s">
        <v>4451</v>
      </c>
      <c r="G679" t="s">
        <v>395</v>
      </c>
      <c r="H679" t="str">
        <f>VLOOKUP(source[[#This Row],[Отвественный]],тОтветственные[],2,0)</f>
        <v>Отв19</v>
      </c>
      <c r="I679" s="2">
        <v>43659</v>
      </c>
      <c r="J679" s="2">
        <v>43659</v>
      </c>
      <c r="K679" t="s">
        <v>104</v>
      </c>
      <c r="L679">
        <v>0</v>
      </c>
      <c r="M679">
        <v>0</v>
      </c>
      <c r="N679" t="s">
        <v>105</v>
      </c>
      <c r="Q679" t="s">
        <v>106</v>
      </c>
      <c r="R679" t="str">
        <f>HYPERLINK("https://d28ji4sm1vmprj.cloudfront.net/e7a526a7220c3bc5cfeeb407c455c0b3/580ffb055aff8ee0c88c6e676cfba776.jpeg", "Ссылка на план")</f>
        <v>Ссылка на план</v>
      </c>
      <c r="S679" s="1">
        <v>43661.388124999998</v>
      </c>
      <c r="T679" s="1">
        <v>43661.38857638889</v>
      </c>
      <c r="U679" s="1">
        <v>43661.389918981484</v>
      </c>
      <c r="W679" s="1">
        <v>43661.389930555553</v>
      </c>
      <c r="BF679" t="s">
        <v>5125</v>
      </c>
      <c r="BG679" t="s">
        <v>3970</v>
      </c>
      <c r="BH679" t="s">
        <v>114</v>
      </c>
      <c r="BI679" t="str">
        <f>HYPERLINK("https://d33htgqikc2pj4.cloudfront.net/4be3ab7b-942c-45b5-aa34-da273c727f1a.jpeg", "Владимир Чугунов: Ссылка на изображение")</f>
        <v>Владимир Чугунов: Ссылка на изображение</v>
      </c>
      <c r="BJ679" t="str">
        <f>HYPERLINK("https://d33htgqikc2pj4.cloudfront.net/ea0742f8-40bc-48f3-9f99-cf36c96d8667.jpeg", "Владимир Чугунов: Ссылка на изображение")</f>
        <v>Владимир Чугунов: Ссылка на изображение</v>
      </c>
      <c r="BK679" t="str">
        <f>HYPERLINK("https://d33htgqikc2pj4.cloudfront.net/30e56bf7-5824-4299-9e29-213f41e1f329.jpeg", "Владимир Чугунов: Ссылка на изображение")</f>
        <v>Владимир Чугунов: Ссылка на изображение</v>
      </c>
      <c r="BL679" t="str">
        <f>HYPERLINK("https://d33htgqikc2pj4.cloudfront.net/aabd4b38-71e8-42c3-806c-cb2a61dd2033.jpeg", "Владимир Чугунов: Ссылка на изображение")</f>
        <v>Владимир Чугунов: Ссылка на изображение</v>
      </c>
      <c r="BM679" t="s">
        <v>102</v>
      </c>
    </row>
    <row r="680" spans="1:86" ht="15" customHeight="1" x14ac:dyDescent="0.35">
      <c r="A680">
        <v>44</v>
      </c>
      <c r="B680" t="s">
        <v>5126</v>
      </c>
      <c r="C680">
        <v>2</v>
      </c>
      <c r="D680" t="str">
        <f>VLOOKUP(source[[#This Row],[Приоритет]],тПриоритеты[],2,0)</f>
        <v>Значительное</v>
      </c>
      <c r="E68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0" t="s">
        <v>4451</v>
      </c>
      <c r="G680" t="s">
        <v>395</v>
      </c>
      <c r="H680" t="str">
        <f>VLOOKUP(source[[#This Row],[Отвественный]],тОтветственные[],2,0)</f>
        <v>Отв19</v>
      </c>
      <c r="I680" s="2">
        <v>43575</v>
      </c>
      <c r="J680" s="2">
        <v>43575</v>
      </c>
      <c r="K680" t="s">
        <v>158</v>
      </c>
      <c r="L680">
        <v>0</v>
      </c>
      <c r="M680">
        <v>0</v>
      </c>
      <c r="N680" t="s">
        <v>159</v>
      </c>
      <c r="Q680" t="s">
        <v>124</v>
      </c>
      <c r="R680" t="str">
        <f>HYPERLINK("https://d28ji4sm1vmprj.cloudfront.net/09622a2bb466dfd1cdfb85ce6a712a4c/080b534903fe5ecae6d56f3611cbeb01.jpeg", "Ссылка на план")</f>
        <v>Ссылка на план</v>
      </c>
      <c r="S680" s="1">
        <v>43575.406076388892</v>
      </c>
      <c r="T680" s="1">
        <v>43575.405613425923</v>
      </c>
      <c r="U680" s="1">
        <v>43575.430613425924</v>
      </c>
      <c r="W680" s="1">
        <v>43575.430613425924</v>
      </c>
      <c r="X680" t="s">
        <v>3846</v>
      </c>
      <c r="AA680" t="s">
        <v>5127</v>
      </c>
      <c r="AB680" t="s">
        <v>5128</v>
      </c>
      <c r="AC680" t="s">
        <v>5129</v>
      </c>
      <c r="AD680" t="s">
        <v>5130</v>
      </c>
      <c r="BF680" t="s">
        <v>114</v>
      </c>
      <c r="BG680" t="s">
        <v>5131</v>
      </c>
      <c r="BH680" t="s">
        <v>3794</v>
      </c>
      <c r="BI680" t="s">
        <v>5132</v>
      </c>
      <c r="BJ680" t="str">
        <f>HYPERLINK("https://d33htgqikc2pj4.cloudfront.net/12c7d799-9d4d-4abc-8204-aa476283a084.jpeg", "Владимир Чугунов: Ссылка на изображение")</f>
        <v>Владимир Чугунов: Ссылка на изображение</v>
      </c>
      <c r="BK680" t="str">
        <f>HYPERLINK("https://d33htgqikc2pj4.cloudfront.net/90452008-d399-439c-857e-a01a49352126.jpeg", "Владимир Чугунов: Ссылка на изображение")</f>
        <v>Владимир Чугунов: Ссылка на изображение</v>
      </c>
      <c r="BL680" t="str">
        <f>HYPERLINK("https://d33htgqikc2pj4.cloudfront.net/5652dc37-97f9-402d-8e65-373136628d2e.jpeg", "Владимир Чугунов: Ссылка на изображение")</f>
        <v>Владимир Чугунов: Ссылка на изображение</v>
      </c>
      <c r="BM680" t="str">
        <f>HYPERLINK("https://d33htgqikc2pj4.cloudfront.net/c9c2a513-06b7-4d1d-9bdb-2ca3b9cc8fe4.jpeg", "Владимир Чугунов: Ссылка на изображение")</f>
        <v>Владимир Чугунов: Ссылка на изображение</v>
      </c>
      <c r="BN680" t="str">
        <f>HYPERLINK("https://d33htgqikc2pj4.cloudfront.net/2841912e-4f83-4fcf-8080-36835802786a.jpeg", "Владимир Чугунов: Ссылка на изображение")</f>
        <v>Владимир Чугунов: Ссылка на изображение</v>
      </c>
      <c r="BO680" t="str">
        <f>HYPERLINK("https://d33htgqikc2pj4.cloudfront.net/ec94ea5a-7b1f-4d80-aaf1-78d55dd1e323.jpeg", "Владимир Чугунов: Ссылка на изображение")</f>
        <v>Владимир Чугунов: Ссылка на изображение</v>
      </c>
      <c r="BP680" t="str">
        <f>HYPERLINK("https://d33htgqikc2pj4.cloudfront.net/3ac309e3-bcf9-4f77-9c5d-17dc8da85786.jpeg", "Владимир Чугунов: Ссылка на изображение")</f>
        <v>Владимир Чугунов: Ссылка на изображение</v>
      </c>
      <c r="BQ680" t="s">
        <v>869</v>
      </c>
      <c r="BR680" t="s">
        <v>102</v>
      </c>
    </row>
    <row r="681" spans="1:86" ht="15" customHeight="1" x14ac:dyDescent="0.35">
      <c r="A681">
        <v>357</v>
      </c>
      <c r="B681" t="s">
        <v>5133</v>
      </c>
      <c r="C681">
        <v>2</v>
      </c>
      <c r="D681" t="str">
        <f>VLOOKUP(source[[#This Row],[Приоритет]],тПриоритеты[],2,0)</f>
        <v>Значительное</v>
      </c>
      <c r="E68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1" t="s">
        <v>4451</v>
      </c>
      <c r="G681" t="s">
        <v>395</v>
      </c>
      <c r="H681" t="str">
        <f>VLOOKUP(source[[#This Row],[Отвественный]],тОтветственные[],2,0)</f>
        <v>Отв19</v>
      </c>
      <c r="I681" s="2">
        <v>43690</v>
      </c>
      <c r="J681" s="2">
        <v>43690</v>
      </c>
      <c r="K681" t="s">
        <v>104</v>
      </c>
      <c r="L681">
        <v>0</v>
      </c>
      <c r="M681">
        <v>0</v>
      </c>
      <c r="N681" t="s">
        <v>105</v>
      </c>
      <c r="Q681" t="s">
        <v>106</v>
      </c>
      <c r="R681" t="str">
        <f>HYPERLINK("https://d28ji4sm1vmprj.cloudfront.net/e7a526a7220c3bc5cfeeb407c455c0b3/580ffb055aff8ee0c88c6e676cfba776.jpeg", "Ссылка на план")</f>
        <v>Ссылка на план</v>
      </c>
      <c r="S681" s="1">
        <v>43690.697766203702</v>
      </c>
      <c r="T681" s="1">
        <v>43690.698148148149</v>
      </c>
      <c r="U681" s="1">
        <v>43690.699594907404</v>
      </c>
      <c r="W681" s="1">
        <v>43690.699618055558</v>
      </c>
      <c r="X681" t="s">
        <v>2835</v>
      </c>
      <c r="Y681" t="s">
        <v>3217</v>
      </c>
      <c r="AA681" t="s">
        <v>5134</v>
      </c>
      <c r="AB681" t="s">
        <v>5135</v>
      </c>
      <c r="AC681" t="s">
        <v>5136</v>
      </c>
      <c r="AD681" t="s">
        <v>5137</v>
      </c>
      <c r="AE681" t="s">
        <v>5138</v>
      </c>
      <c r="AF681" t="s">
        <v>5139</v>
      </c>
      <c r="AG681" t="s">
        <v>5140</v>
      </c>
      <c r="AH681" t="s">
        <v>5141</v>
      </c>
      <c r="AI681" t="s">
        <v>5142</v>
      </c>
      <c r="AJ681" t="s">
        <v>5143</v>
      </c>
      <c r="AK681" t="s">
        <v>5144</v>
      </c>
      <c r="AL681" t="s">
        <v>5145</v>
      </c>
      <c r="AM681" t="s">
        <v>5146</v>
      </c>
      <c r="AN681" t="s">
        <v>5147</v>
      </c>
      <c r="AO681" t="s">
        <v>5148</v>
      </c>
      <c r="AP681" t="s">
        <v>5149</v>
      </c>
      <c r="AQ681" t="s">
        <v>5150</v>
      </c>
      <c r="AR681" t="s">
        <v>5151</v>
      </c>
      <c r="BF681" t="s">
        <v>5152</v>
      </c>
      <c r="BG681" t="s">
        <v>5153</v>
      </c>
      <c r="BH681" t="s">
        <v>114</v>
      </c>
      <c r="BI681" t="str">
        <f>HYPERLINK("https://d33htgqikc2pj4.cloudfront.net/d51e7c4e-4fd2-4c17-b415-200e6c220c53.jpeg", "Владимир Чугунов: Ссылка на изображение")</f>
        <v>Владимир Чугунов: Ссылка на изображение</v>
      </c>
      <c r="BJ681" t="str">
        <f>HYPERLINK("https://d33htgqikc2pj4.cloudfront.net/7d24b88a-ff07-4a03-8a78-2248b44a8e25.jpeg", "Владимир Чугунов: Ссылка на изображение")</f>
        <v>Владимир Чугунов: Ссылка на изображение</v>
      </c>
      <c r="BK681" t="str">
        <f>HYPERLINK("https://d33htgqikc2pj4.cloudfront.net/d82a7d1d-9a30-47cc-af9f-6af2aff8a231.jpeg", "Владимир Чугунов: Ссылка на изображение")</f>
        <v>Владимир Чугунов: Ссылка на изображение</v>
      </c>
      <c r="BL681" t="str">
        <f>HYPERLINK("https://d33htgqikc2pj4.cloudfront.net/e12ee6ad-f8c3-48ff-8e27-e00bec735314.jpeg", "Владимир Чугунов: Ссылка на изображение")</f>
        <v>Владимир Чугунов: Ссылка на изображение</v>
      </c>
      <c r="BM681" t="s">
        <v>102</v>
      </c>
    </row>
    <row r="682" spans="1:86" ht="15" customHeight="1" x14ac:dyDescent="0.35">
      <c r="A682">
        <v>54</v>
      </c>
      <c r="B682" t="s">
        <v>5154</v>
      </c>
      <c r="C682">
        <v>2</v>
      </c>
      <c r="D682" t="str">
        <f>VLOOKUP(source[[#This Row],[Приоритет]],тПриоритеты[],2,0)</f>
        <v>Значительное</v>
      </c>
      <c r="E68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2" t="s">
        <v>4451</v>
      </c>
      <c r="G682" t="s">
        <v>395</v>
      </c>
      <c r="H682" t="str">
        <f>VLOOKUP(source[[#This Row],[Отвественный]],тОтветственные[],2,0)</f>
        <v>Отв19</v>
      </c>
      <c r="I682" s="2">
        <v>43584</v>
      </c>
      <c r="J682" s="2">
        <v>43584</v>
      </c>
      <c r="K682" t="s">
        <v>158</v>
      </c>
      <c r="L682">
        <v>0</v>
      </c>
      <c r="M682">
        <v>0</v>
      </c>
      <c r="N682" t="s">
        <v>159</v>
      </c>
      <c r="Q682" t="s">
        <v>124</v>
      </c>
      <c r="R682" t="str">
        <f>HYPERLINK("https://d28ji4sm1vmprj.cloudfront.net/09622a2bb466dfd1cdfb85ce6a712a4c/080b534903fe5ecae6d56f3611cbeb01.jpeg", "Ссылка на план")</f>
        <v>Ссылка на план</v>
      </c>
      <c r="S682" s="1">
        <v>43584.644363425927</v>
      </c>
      <c r="T682" s="1">
        <v>43584.64439814815</v>
      </c>
      <c r="U682" s="1">
        <v>43584.647916666669</v>
      </c>
      <c r="W682" s="1">
        <v>43584.647916666669</v>
      </c>
      <c r="X682" t="s">
        <v>3846</v>
      </c>
      <c r="AA682" t="s">
        <v>5155</v>
      </c>
      <c r="AB682" t="s">
        <v>5156</v>
      </c>
      <c r="AC682" t="s">
        <v>5157</v>
      </c>
      <c r="AD682" t="s">
        <v>5158</v>
      </c>
      <c r="BF682" t="s">
        <v>114</v>
      </c>
      <c r="BG682" t="s">
        <v>5159</v>
      </c>
      <c r="BH682" t="s">
        <v>869</v>
      </c>
      <c r="BI682" t="s">
        <v>3988</v>
      </c>
      <c r="BJ682" t="str">
        <f>HYPERLINK("https://d33htgqikc2pj4.cloudfront.net/f6685265-5be1-4172-aab6-a0c24dd47ecf.jpeg", "Владимир Чугунов: Ссылка на изображение")</f>
        <v>Владимир Чугунов: Ссылка на изображение</v>
      </c>
      <c r="BK682" t="str">
        <f>HYPERLINK("https://d33htgqikc2pj4.cloudfront.net/df63fb49-f276-4706-94f7-8fa37f640029.jpeg", "Владимир Чугунов: Ссылка на изображение")</f>
        <v>Владимир Чугунов: Ссылка на изображение</v>
      </c>
      <c r="BL682" t="str">
        <f>HYPERLINK("https://d33htgqikc2pj4.cloudfront.net/dc5b0b65-f0f3-4342-9c6c-ee58e1e1962e.jpeg", "Владимир Чугунов: Ссылка на изображение")</f>
        <v>Владимир Чугунов: Ссылка на изображение</v>
      </c>
      <c r="BM682" t="s">
        <v>102</v>
      </c>
    </row>
    <row r="683" spans="1:86" ht="15" customHeight="1" x14ac:dyDescent="0.35">
      <c r="A683">
        <v>55</v>
      </c>
      <c r="B683" t="s">
        <v>5160</v>
      </c>
      <c r="C683">
        <v>2</v>
      </c>
      <c r="D683" t="str">
        <f>VLOOKUP(source[[#This Row],[Приоритет]],тПриоритеты[],2,0)</f>
        <v>Значительное</v>
      </c>
      <c r="E68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3" t="s">
        <v>4451</v>
      </c>
      <c r="G683" t="s">
        <v>395</v>
      </c>
      <c r="H683" t="str">
        <f>VLOOKUP(source[[#This Row],[Отвественный]],тОтветственные[],2,0)</f>
        <v>Отв19</v>
      </c>
      <c r="I683" s="2">
        <v>43584</v>
      </c>
      <c r="J683" s="2">
        <v>43584</v>
      </c>
      <c r="K683" t="s">
        <v>274</v>
      </c>
      <c r="L683">
        <v>0</v>
      </c>
      <c r="M683">
        <v>0</v>
      </c>
      <c r="N683" t="s">
        <v>159</v>
      </c>
      <c r="Q683" t="s">
        <v>124</v>
      </c>
      <c r="R683" t="str">
        <f>HYPERLINK("https://d28ji4sm1vmprj.cloudfront.net/355a08c081c3838ab5b858f428b86049/8945c7522deb0c15488ad801990cffed.jpeg", "Ссылка на план")</f>
        <v>Ссылка на план</v>
      </c>
      <c r="S683" s="1">
        <v>43584.6481712963</v>
      </c>
      <c r="T683" s="1">
        <v>43584.648217592592</v>
      </c>
      <c r="U683" s="1">
        <v>43584.65016203704</v>
      </c>
      <c r="W683" s="1">
        <v>43584.65016203704</v>
      </c>
      <c r="X683" t="s">
        <v>3846</v>
      </c>
      <c r="AA683" t="s">
        <v>5155</v>
      </c>
      <c r="AB683" t="s">
        <v>5156</v>
      </c>
      <c r="AC683" t="s">
        <v>5157</v>
      </c>
      <c r="AD683" t="s">
        <v>5161</v>
      </c>
      <c r="BF683" t="s">
        <v>114</v>
      </c>
      <c r="BG683" t="s">
        <v>5162</v>
      </c>
      <c r="BH683" t="s">
        <v>869</v>
      </c>
      <c r="BI683" t="s">
        <v>3988</v>
      </c>
      <c r="BJ683" t="str">
        <f>HYPERLINK("https://d33htgqikc2pj4.cloudfront.net/e19d36df-01c1-499e-8195-59e37814c43e.jpeg", "Владимир Чугунов: Ссылка на изображение")</f>
        <v>Владимир Чугунов: Ссылка на изображение</v>
      </c>
      <c r="BK683" t="str">
        <f>HYPERLINK("https://d33htgqikc2pj4.cloudfront.net/d6cfd329-cd5b-4e4c-a0d8-93ea0450b63d.jpeg", "Владимир Чугунов: Ссылка на изображение")</f>
        <v>Владимир Чугунов: Ссылка на изображение</v>
      </c>
      <c r="BL683" t="str">
        <f>HYPERLINK("https://d33htgqikc2pj4.cloudfront.net/2754c69a-c45d-40a0-b072-d776e83e7511.jpeg", "Владимир Чугунов: Ссылка на изображение")</f>
        <v>Владимир Чугунов: Ссылка на изображение</v>
      </c>
      <c r="BM683" t="s">
        <v>102</v>
      </c>
    </row>
    <row r="684" spans="1:86" ht="15" customHeight="1" x14ac:dyDescent="0.35">
      <c r="A684">
        <v>56</v>
      </c>
      <c r="B684" t="s">
        <v>5163</v>
      </c>
      <c r="C684">
        <v>2</v>
      </c>
      <c r="D684" t="str">
        <f>VLOOKUP(source[[#This Row],[Приоритет]],тПриоритеты[],2,0)</f>
        <v>Значительное</v>
      </c>
      <c r="E68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4" t="s">
        <v>4451</v>
      </c>
      <c r="G684" t="s">
        <v>395</v>
      </c>
      <c r="H684" t="str">
        <f>VLOOKUP(source[[#This Row],[Отвественный]],тОтветственные[],2,0)</f>
        <v>Отв19</v>
      </c>
      <c r="I684" s="2">
        <v>43584</v>
      </c>
      <c r="J684" s="2">
        <v>43584</v>
      </c>
      <c r="K684" t="s">
        <v>158</v>
      </c>
      <c r="L684">
        <v>0</v>
      </c>
      <c r="M684">
        <v>0</v>
      </c>
      <c r="N684" t="s">
        <v>159</v>
      </c>
      <c r="Q684" t="s">
        <v>124</v>
      </c>
      <c r="R684" t="str">
        <f>HYPERLINK("https://d28ji4sm1vmprj.cloudfront.net/09622a2bb466dfd1cdfb85ce6a712a4c/080b534903fe5ecae6d56f3611cbeb01.jpeg", "Ссылка на план")</f>
        <v>Ссылка на план</v>
      </c>
      <c r="S684" s="1">
        <v>43584.650231481479</v>
      </c>
      <c r="T684" s="1">
        <v>43585.62195601852</v>
      </c>
      <c r="U684" s="1">
        <v>43585.62195601852</v>
      </c>
      <c r="W684" s="1">
        <v>43585.62195601852</v>
      </c>
      <c r="X684" t="s">
        <v>3846</v>
      </c>
      <c r="AA684" t="s">
        <v>5155</v>
      </c>
      <c r="AB684" t="s">
        <v>5156</v>
      </c>
      <c r="AC684" t="s">
        <v>5157</v>
      </c>
      <c r="AD684" t="s">
        <v>5161</v>
      </c>
      <c r="BF684" t="s">
        <v>5164</v>
      </c>
      <c r="BG684" t="s">
        <v>869</v>
      </c>
      <c r="BH684" t="s">
        <v>3988</v>
      </c>
      <c r="BI684" t="str">
        <f>HYPERLINK("https://d33htgqikc2pj4.cloudfront.net/479cb2ce-1e28-46d6-8098-bbc9fdd1d59f.jpeg", "Владимир Чугунов: Ссылка на изображение")</f>
        <v>Владимир Чугунов: Ссылка на изображение</v>
      </c>
      <c r="BJ684" t="str">
        <f>HYPERLINK("https://d33htgqikc2pj4.cloudfront.net/357f48c7-df65-48f7-8ae3-b6573fdcce63.jpeg", "Владимир Чугунов: Ссылка на изображение")</f>
        <v>Владимир Чугунов: Ссылка на изображение</v>
      </c>
      <c r="BK684" t="s">
        <v>102</v>
      </c>
    </row>
    <row r="685" spans="1:86" ht="15" customHeight="1" x14ac:dyDescent="0.35">
      <c r="A685">
        <v>359</v>
      </c>
      <c r="B685" t="s">
        <v>5165</v>
      </c>
      <c r="C685">
        <v>2</v>
      </c>
      <c r="D685" t="str">
        <f>VLOOKUP(source[[#This Row],[Приоритет]],тПриоритеты[],2,0)</f>
        <v>Значительное</v>
      </c>
      <c r="E68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5" t="s">
        <v>4451</v>
      </c>
      <c r="G685" t="s">
        <v>395</v>
      </c>
      <c r="H685" t="str">
        <f>VLOOKUP(source[[#This Row],[Отвественный]],тОтветственные[],2,0)</f>
        <v>Отв19</v>
      </c>
      <c r="I685" s="2">
        <v>43691</v>
      </c>
      <c r="J685" s="2">
        <v>43691</v>
      </c>
      <c r="K685" t="s">
        <v>104</v>
      </c>
      <c r="L685">
        <v>0</v>
      </c>
      <c r="M685">
        <v>0</v>
      </c>
      <c r="N685" t="s">
        <v>105</v>
      </c>
      <c r="Q685" t="s">
        <v>106</v>
      </c>
      <c r="R685" t="str">
        <f>HYPERLINK("https://d28ji4sm1vmprj.cloudfront.net/e7a526a7220c3bc5cfeeb407c455c0b3/580ffb055aff8ee0c88c6e676cfba776.jpeg", "Ссылка на план")</f>
        <v>Ссылка на план</v>
      </c>
      <c r="S685" s="1">
        <v>43691.582187499997</v>
      </c>
      <c r="T685" s="1">
        <v>43691.582303240742</v>
      </c>
      <c r="U685" s="1">
        <v>43691.584004629629</v>
      </c>
      <c r="W685" s="1">
        <v>43691.584016203706</v>
      </c>
      <c r="X685" t="s">
        <v>3217</v>
      </c>
      <c r="AA685" t="s">
        <v>5166</v>
      </c>
      <c r="AB685" t="s">
        <v>5167</v>
      </c>
      <c r="AC685" t="s">
        <v>5168</v>
      </c>
      <c r="AD685" t="s">
        <v>5169</v>
      </c>
      <c r="AE685" t="s">
        <v>5170</v>
      </c>
      <c r="AF685" t="s">
        <v>5171</v>
      </c>
      <c r="AG685" t="s">
        <v>5172</v>
      </c>
      <c r="AH685" t="s">
        <v>5173</v>
      </c>
      <c r="AI685" t="s">
        <v>5174</v>
      </c>
      <c r="AJ685" t="s">
        <v>5175</v>
      </c>
      <c r="AK685" t="s">
        <v>5176</v>
      </c>
      <c r="BF685" t="s">
        <v>114</v>
      </c>
      <c r="BG685" t="s">
        <v>5177</v>
      </c>
      <c r="BH685" t="s">
        <v>567</v>
      </c>
      <c r="BI685" t="str">
        <f>HYPERLINK("https://d33htgqikc2pj4.cloudfront.net/5ca80bcb-9933-4c9f-96ba-25a8573d0e7b.jpeg", "Владимир Чугунов: Ссылка на изображение")</f>
        <v>Владимир Чугунов: Ссылка на изображение</v>
      </c>
      <c r="BJ685" t="str">
        <f>HYPERLINK("https://d33htgqikc2pj4.cloudfront.net/7415709a-e51f-4fce-9d3e-1e051c5f2b3a.jpeg", "Владимир Чугунов: Ссылка на изображение")</f>
        <v>Владимир Чугунов: Ссылка на изображение</v>
      </c>
      <c r="BK685" t="s">
        <v>102</v>
      </c>
    </row>
    <row r="686" spans="1:86" ht="15" customHeight="1" x14ac:dyDescent="0.35">
      <c r="A686">
        <v>362</v>
      </c>
      <c r="B686" t="s">
        <v>5178</v>
      </c>
      <c r="C686">
        <v>2</v>
      </c>
      <c r="D686" t="str">
        <f>VLOOKUP(source[[#This Row],[Приоритет]],тПриоритеты[],2,0)</f>
        <v>Значительное</v>
      </c>
      <c r="E68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6" t="s">
        <v>4451</v>
      </c>
      <c r="G686" t="s">
        <v>395</v>
      </c>
      <c r="H686" t="str">
        <f>VLOOKUP(source[[#This Row],[Отвественный]],тОтветственные[],2,0)</f>
        <v>Отв19</v>
      </c>
      <c r="I686" s="2">
        <v>43691</v>
      </c>
      <c r="J686" s="2">
        <v>43691</v>
      </c>
      <c r="K686" t="s">
        <v>104</v>
      </c>
      <c r="L686">
        <v>0</v>
      </c>
      <c r="M686">
        <v>0</v>
      </c>
      <c r="N686" t="s">
        <v>105</v>
      </c>
      <c r="Q686" t="s">
        <v>106</v>
      </c>
      <c r="R686" t="str">
        <f>HYPERLINK("https://d28ji4sm1vmprj.cloudfront.net/e7a526a7220c3bc5cfeeb407c455c0b3/580ffb055aff8ee0c88c6e676cfba776.jpeg", "Ссылка на план")</f>
        <v>Ссылка на план</v>
      </c>
      <c r="S686" s="1">
        <v>43691.777395833335</v>
      </c>
      <c r="T686" s="1">
        <v>43691.777592592596</v>
      </c>
      <c r="U686" s="1">
        <v>43691.778194444443</v>
      </c>
      <c r="W686" s="1">
        <v>43691.778240740743</v>
      </c>
      <c r="X686" t="s">
        <v>2333</v>
      </c>
      <c r="AA686" t="s">
        <v>5179</v>
      </c>
      <c r="AB686" t="s">
        <v>5180</v>
      </c>
      <c r="AC686" t="s">
        <v>5181</v>
      </c>
      <c r="AD686" t="s">
        <v>5182</v>
      </c>
      <c r="AE686" t="s">
        <v>5183</v>
      </c>
      <c r="AF686" t="s">
        <v>5184</v>
      </c>
      <c r="AG686" t="s">
        <v>5185</v>
      </c>
      <c r="AH686" t="s">
        <v>5186</v>
      </c>
      <c r="AI686" t="s">
        <v>5187</v>
      </c>
      <c r="BF686" t="s">
        <v>5188</v>
      </c>
      <c r="BG686" t="s">
        <v>114</v>
      </c>
      <c r="BH686" t="s">
        <v>567</v>
      </c>
      <c r="BI686" t="s">
        <v>102</v>
      </c>
    </row>
    <row r="687" spans="1:86" ht="15" customHeight="1" x14ac:dyDescent="0.35">
      <c r="A687">
        <v>177</v>
      </c>
      <c r="B687" t="s">
        <v>5189</v>
      </c>
      <c r="C687">
        <v>2</v>
      </c>
      <c r="D687" t="str">
        <f>VLOOKUP(source[[#This Row],[Приоритет]],тПриоритеты[],2,0)</f>
        <v>Значительное</v>
      </c>
      <c r="E68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7" t="s">
        <v>4451</v>
      </c>
      <c r="G687" t="s">
        <v>395</v>
      </c>
      <c r="H687" t="str">
        <f>VLOOKUP(source[[#This Row],[Отвественный]],тОтветственные[],2,0)</f>
        <v>Отв19</v>
      </c>
      <c r="I687" s="2">
        <v>43644</v>
      </c>
      <c r="J687" s="2">
        <v>43644</v>
      </c>
      <c r="K687" t="s">
        <v>375</v>
      </c>
      <c r="L687">
        <v>0</v>
      </c>
      <c r="M687">
        <v>0</v>
      </c>
      <c r="N687" t="s">
        <v>159</v>
      </c>
      <c r="Q687" t="s">
        <v>106</v>
      </c>
      <c r="R687" t="str">
        <f>HYPERLINK("https://d28ji4sm1vmprj.cloudfront.net/3e7bd1b1c8123e07928556a95537ec96/b6f4ea1a4c385def2ded1a2b1779c1a4.jpeg", "Ссылка на план")</f>
        <v>Ссылка на план</v>
      </c>
      <c r="S687" s="1">
        <v>43644.422500000001</v>
      </c>
      <c r="T687" s="1">
        <v>43644.422511574077</v>
      </c>
      <c r="U687" s="1">
        <v>43644.425115740742</v>
      </c>
      <c r="W687" s="1">
        <v>43644.425115740742</v>
      </c>
      <c r="BF687" t="s">
        <v>114</v>
      </c>
      <c r="BG687" t="s">
        <v>4075</v>
      </c>
      <c r="BH687" t="s">
        <v>5190</v>
      </c>
      <c r="BI687" t="str">
        <f>HYPERLINK("https://d33htgqikc2pj4.cloudfront.net/df6a4a4f-badd-42e2-b226-d58ee4aec298.jpeg", "Владимир Чугунов: Ссылка на изображение")</f>
        <v>Владимир Чугунов: Ссылка на изображение</v>
      </c>
      <c r="BJ687" t="str">
        <f>HYPERLINK("https://d33htgqikc2pj4.cloudfront.net/60bc5932-5de0-4a77-ad36-ddabb003fd86.jpeg", "Владимир Чугунов: Ссылка на изображение")</f>
        <v>Владимир Чугунов: Ссылка на изображение</v>
      </c>
      <c r="BK687" t="s">
        <v>102</v>
      </c>
    </row>
    <row r="688" spans="1:86" ht="15" customHeight="1" x14ac:dyDescent="0.35">
      <c r="A688">
        <v>176</v>
      </c>
      <c r="B688" t="s">
        <v>5191</v>
      </c>
      <c r="C688">
        <v>2</v>
      </c>
      <c r="D688" t="str">
        <f>VLOOKUP(source[[#This Row],[Приоритет]],тПриоритеты[],2,0)</f>
        <v>Значительное</v>
      </c>
      <c r="E68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8" t="s">
        <v>4451</v>
      </c>
      <c r="G688" t="s">
        <v>395</v>
      </c>
      <c r="H688" t="str">
        <f>VLOOKUP(source[[#This Row],[Отвественный]],тОтветственные[],2,0)</f>
        <v>Отв19</v>
      </c>
      <c r="I688" s="2">
        <v>43644</v>
      </c>
      <c r="J688" s="2">
        <v>43644</v>
      </c>
      <c r="K688" t="s">
        <v>375</v>
      </c>
      <c r="L688">
        <v>0</v>
      </c>
      <c r="M688">
        <v>0</v>
      </c>
      <c r="N688" t="s">
        <v>159</v>
      </c>
      <c r="Q688" t="s">
        <v>106</v>
      </c>
      <c r="R688" t="str">
        <f>HYPERLINK("https://d28ji4sm1vmprj.cloudfront.net/3e7bd1b1c8123e07928556a95537ec96/b6f4ea1a4c385def2ded1a2b1779c1a4.jpeg", "Ссылка на план")</f>
        <v>Ссылка на план</v>
      </c>
      <c r="S688" s="1">
        <v>43644.420219907406</v>
      </c>
      <c r="T688" s="1">
        <v>43644.421689814815</v>
      </c>
      <c r="U688" s="1">
        <v>43644.422291666669</v>
      </c>
      <c r="W688" s="1">
        <v>43644.422303240739</v>
      </c>
      <c r="BF688" t="s">
        <v>5192</v>
      </c>
      <c r="BG688" t="s">
        <v>4075</v>
      </c>
      <c r="BH688" t="s">
        <v>114</v>
      </c>
      <c r="BI688" t="str">
        <f>HYPERLINK("https://d33htgqikc2pj4.cloudfront.net/aad9c131-58e5-44c7-a5d0-f6ca9b77365d.jpeg", "Владимир Чугунов: Ссылка на изображение")</f>
        <v>Владимир Чугунов: Ссылка на изображение</v>
      </c>
      <c r="BJ688" t="str">
        <f>HYPERLINK("https://d33htgqikc2pj4.cloudfront.net/40584e8c-1e13-4838-872c-5d1e0a4878ba.jpeg", "Владимир Чугунов: Ссылка на изображение")</f>
        <v>Владимир Чугунов: Ссылка на изображение</v>
      </c>
      <c r="BK688" t="s">
        <v>102</v>
      </c>
    </row>
    <row r="689" spans="1:74" ht="15" customHeight="1" x14ac:dyDescent="0.35">
      <c r="A689">
        <v>181</v>
      </c>
      <c r="B689" t="s">
        <v>5193</v>
      </c>
      <c r="C689">
        <v>2</v>
      </c>
      <c r="D689" t="str">
        <f>VLOOKUP(source[[#This Row],[Приоритет]],тПриоритеты[],2,0)</f>
        <v>Значительное</v>
      </c>
      <c r="E68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89" t="s">
        <v>4451</v>
      </c>
      <c r="G689" t="s">
        <v>395</v>
      </c>
      <c r="H689" t="str">
        <f>VLOOKUP(source[[#This Row],[Отвественный]],тОтветственные[],2,0)</f>
        <v>Отв19</v>
      </c>
      <c r="I689" s="2">
        <v>43645</v>
      </c>
      <c r="J689" s="2">
        <v>43664</v>
      </c>
      <c r="K689" t="s">
        <v>122</v>
      </c>
      <c r="L689">
        <v>0</v>
      </c>
      <c r="M689">
        <v>0</v>
      </c>
      <c r="N689" t="s">
        <v>123</v>
      </c>
      <c r="Q689" t="s">
        <v>124</v>
      </c>
      <c r="R689" t="str">
        <f>HYPERLINK("https://d28ji4sm1vmprj.cloudfront.net/78b1fbd1c87eb90dac050448d7e72c8d/a7fb9bbb452cbb899c601a0b8b67fd7d.jpeg", "Ссылка на план")</f>
        <v>Ссылка на план</v>
      </c>
      <c r="S689" s="1">
        <v>43645.452650462961</v>
      </c>
      <c r="T689" s="1">
        <v>43645.450567129628</v>
      </c>
      <c r="U689" s="1">
        <v>43645.451157407406</v>
      </c>
      <c r="W689" s="1">
        <v>43670.677986111114</v>
      </c>
      <c r="X689" t="s">
        <v>5194</v>
      </c>
      <c r="AA689" t="s">
        <v>5195</v>
      </c>
      <c r="AB689" t="s">
        <v>5196</v>
      </c>
      <c r="AC689" t="s">
        <v>5197</v>
      </c>
      <c r="AD689" t="s">
        <v>5198</v>
      </c>
      <c r="AE689" t="s">
        <v>5199</v>
      </c>
      <c r="AF689" t="s">
        <v>5200</v>
      </c>
      <c r="AG689" t="s">
        <v>5201</v>
      </c>
      <c r="AH689" t="s">
        <v>5202</v>
      </c>
      <c r="AI689" t="s">
        <v>5203</v>
      </c>
      <c r="AJ689" t="s">
        <v>5204</v>
      </c>
      <c r="AK689" t="s">
        <v>5205</v>
      </c>
      <c r="BF689" t="s">
        <v>5206</v>
      </c>
      <c r="BG689" t="s">
        <v>4094</v>
      </c>
      <c r="BH689" t="str">
        <f>HYPERLINK("https://d33htgqikc2pj4.cloudfront.net/35af2433-baf4-4739-a904-03ceb3d04e3a.jpeg", "Владимир Чугунов: Ссылка на изображение")</f>
        <v>Владимир Чугунов: Ссылка на изображение</v>
      </c>
      <c r="BI689" t="str">
        <f>HYPERLINK("https://d33htgqikc2pj4.cloudfront.net/b7757265-2ce4-4e5a-a264-9ea5cc3c0877.jpeg", "Владимир Чугунов: Ссылка на изображение")</f>
        <v>Владимир Чугунов: Ссылка на изображение</v>
      </c>
      <c r="BJ689" t="str">
        <f>HYPERLINK("https://d33htgqikc2pj4.cloudfront.net/74d89bca-26cb-489a-8056-8fafc2824253.jpeg", "Владимир Чугунов: Ссылка на изображение")</f>
        <v>Владимир Чугунов: Ссылка на изображение</v>
      </c>
      <c r="BK689" t="str">
        <f>HYPERLINK("https://d33htgqikc2pj4.cloudfront.net/e2e2cae7-3693-4727-ae60-0bbf6ee3a688.jpeg", "Владимир Чугунов: Ссылка на изображение")</f>
        <v>Владимир Чугунов: Ссылка на изображение</v>
      </c>
      <c r="BL689" t="str">
        <f>HYPERLINK("https://d33htgqikc2pj4.cloudfront.net/0917cec4-9066-469e-9a10-1efa9fd670b2.jpeg", "Владимир Чугунов: Ссылка на изображение")</f>
        <v>Владимир Чугунов: Ссылка на изображение</v>
      </c>
      <c r="BM689" t="s">
        <v>114</v>
      </c>
      <c r="BN689" t="s">
        <v>102</v>
      </c>
      <c r="BO689" t="s">
        <v>2041</v>
      </c>
    </row>
    <row r="690" spans="1:74" ht="15" customHeight="1" x14ac:dyDescent="0.35">
      <c r="A690">
        <v>480</v>
      </c>
      <c r="B690" t="s">
        <v>5207</v>
      </c>
      <c r="C690">
        <v>2</v>
      </c>
      <c r="D690" t="str">
        <f>VLOOKUP(source[[#This Row],[Приоритет]],тПриоритеты[],2,0)</f>
        <v>Значительное</v>
      </c>
      <c r="E69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0" t="s">
        <v>4451</v>
      </c>
      <c r="G690" t="s">
        <v>395</v>
      </c>
      <c r="H690" t="str">
        <f>VLOOKUP(source[[#This Row],[Отвественный]],тОтветственные[],2,0)</f>
        <v>Отв19</v>
      </c>
      <c r="I690" s="2">
        <v>43724</v>
      </c>
      <c r="J690" s="2">
        <v>43724</v>
      </c>
      <c r="K690" t="s">
        <v>104</v>
      </c>
      <c r="L690">
        <v>0</v>
      </c>
      <c r="M690">
        <v>0</v>
      </c>
      <c r="N690" t="s">
        <v>105</v>
      </c>
      <c r="Q690" t="s">
        <v>106</v>
      </c>
      <c r="R690" t="str">
        <f t="shared" ref="R690:R700" si="12">HYPERLINK("https://d28ji4sm1vmprj.cloudfront.net/e7a526a7220c3bc5cfeeb407c455c0b3/580ffb055aff8ee0c88c6e676cfba776.jpeg", "Ссылка на план")</f>
        <v>Ссылка на план</v>
      </c>
      <c r="S690" s="1">
        <v>43724.467453703706</v>
      </c>
      <c r="T690" s="1">
        <v>43724.468935185185</v>
      </c>
      <c r="U690" s="1">
        <v>43724.596643518518</v>
      </c>
      <c r="W690" s="1">
        <v>43724.596678240741</v>
      </c>
      <c r="X690" t="s">
        <v>3217</v>
      </c>
      <c r="AA690" t="s">
        <v>5208</v>
      </c>
      <c r="AB690" t="s">
        <v>5209</v>
      </c>
      <c r="AC690" t="s">
        <v>5210</v>
      </c>
      <c r="AD690" t="s">
        <v>5211</v>
      </c>
      <c r="AE690" t="s">
        <v>5212</v>
      </c>
      <c r="AF690" t="s">
        <v>5213</v>
      </c>
      <c r="AG690" t="s">
        <v>5214</v>
      </c>
      <c r="AH690" t="s">
        <v>5215</v>
      </c>
      <c r="AI690" t="s">
        <v>5216</v>
      </c>
      <c r="AJ690" t="s">
        <v>5217</v>
      </c>
      <c r="AK690" t="s">
        <v>5218</v>
      </c>
      <c r="BF690" t="s">
        <v>5219</v>
      </c>
      <c r="BG690" t="s">
        <v>654</v>
      </c>
      <c r="BH690" t="str">
        <f>HYPERLINK("https://d33htgqikc2pj4.cloudfront.net/6ae03fef-bf09-4480-845b-879437dc6bff.jpeg", "Владимир Чугунов: Ссылка на изображение")</f>
        <v>Владимир Чугунов: Ссылка на изображение</v>
      </c>
      <c r="BI690" t="str">
        <f>HYPERLINK("https://d33htgqikc2pj4.cloudfront.net/18b49e14-655d-4ba3-b697-3a9a6287b199.jpeg", "Владимир Чугунов: Ссылка на изображение")</f>
        <v>Владимир Чугунов: Ссылка на изображение</v>
      </c>
      <c r="BJ690" t="str">
        <f>HYPERLINK("https://d33htgqikc2pj4.cloudfront.net/985b9bc2-fd92-4c92-8781-c10f77fc0e06.jpeg", "Владимир Чугунов: Ссылка на изображение")</f>
        <v>Владимир Чугунов: Ссылка на изображение</v>
      </c>
      <c r="BK690" t="str">
        <f>HYPERLINK("https://d33htgqikc2pj4.cloudfront.net/62a68de9-742e-472b-8535-63f0554096e0.jpeg", "Владимир Чугунов: Ссылка на изображение")</f>
        <v>Владимир Чугунов: Ссылка на изображение</v>
      </c>
      <c r="BL690" t="str">
        <f>HYPERLINK("https://d33htgqikc2pj4.cloudfront.net/43c356eb-1d4c-4100-9d6c-381f76a27b80.jpeg", "Владимир Чугунов: Ссылка на изображение")</f>
        <v>Владимир Чугунов: Ссылка на изображение</v>
      </c>
      <c r="BM690" t="str">
        <f>HYPERLINK("https://d33htgqikc2pj4.cloudfront.net/c0981edd-171f-4a6e-a768-7006436d5dd9.jpeg", "Владимир Чугунов: Ссылка на изображение")</f>
        <v>Владимир Чугунов: Ссылка на изображение</v>
      </c>
      <c r="BN690" t="str">
        <f>HYPERLINK("https://d33htgqikc2pj4.cloudfront.net/1ae4a1d2-0e73-4530-988e-c7d640b830be.jpeg", "Владимир Чугунов: Ссылка на изображение")</f>
        <v>Владимир Чугунов: Ссылка на изображение</v>
      </c>
      <c r="BO690" t="str">
        <f>HYPERLINK("https://d33htgqikc2pj4.cloudfront.net/19e8a529-57f8-4e76-82ed-5c2d36004141.jpeg", "Владимир Чугунов: Ссылка на изображение")</f>
        <v>Владимир Чугунов: Ссылка на изображение</v>
      </c>
      <c r="BP690" t="s">
        <v>114</v>
      </c>
      <c r="BQ690" t="str">
        <f>HYPERLINK("https://d33htgqikc2pj4.cloudfront.net/11a5ffbe-4231-469c-8d91-515235e23569.jpeg", "Владимир Чугунов: Ссылка на изображение")</f>
        <v>Владимир Чугунов: Ссылка на изображение</v>
      </c>
      <c r="BR690" t="str">
        <f>HYPERLINK("https://d33htgqikc2pj4.cloudfront.net/5a725451-56fb-43f7-ac44-241fa5e81448.jpeg", "Владимир Чугунов: Ссылка на изображение")</f>
        <v>Владимир Чугунов: Ссылка на изображение</v>
      </c>
      <c r="BS690" t="str">
        <f>HYPERLINK("https://d33htgqikc2pj4.cloudfront.net/3cb24dd2-25ae-4eee-9395-bda520ce9bb0.jpeg", "Владимир Чугунов: Ссылка на изображение")</f>
        <v>Владимир Чугунов: Ссылка на изображение</v>
      </c>
      <c r="BT690" t="str">
        <f>HYPERLINK("https://d33htgqikc2pj4.cloudfront.net/dfe0e109-cd5f-4430-9a72-84541cc92942.jpeg", "Владимир Чугунов: Ссылка на изображение")</f>
        <v>Владимир Чугунов: Ссылка на изображение</v>
      </c>
      <c r="BU690" t="str">
        <f>HYPERLINK("https://d33htgqikc2pj4.cloudfront.net/828a0fdc-3161-45c3-b847-19f4fd51cdd2.jpeg", "Владимир Чугунов: Ссылка на изображение")</f>
        <v>Владимир Чугунов: Ссылка на изображение</v>
      </c>
      <c r="BV690" t="s">
        <v>102</v>
      </c>
    </row>
    <row r="691" spans="1:74" ht="15" customHeight="1" x14ac:dyDescent="0.35">
      <c r="A691">
        <v>281</v>
      </c>
      <c r="B691" t="s">
        <v>5220</v>
      </c>
      <c r="C691">
        <v>2</v>
      </c>
      <c r="D691" t="str">
        <f>VLOOKUP(source[[#This Row],[Приоритет]],тПриоритеты[],2,0)</f>
        <v>Значительное</v>
      </c>
      <c r="E69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1" t="s">
        <v>4451</v>
      </c>
      <c r="G691" t="s">
        <v>395</v>
      </c>
      <c r="H691" t="str">
        <f>VLOOKUP(source[[#This Row],[Отвественный]],тОтветственные[],2,0)</f>
        <v>Отв19</v>
      </c>
      <c r="I691" s="2">
        <v>43667</v>
      </c>
      <c r="J691" s="2">
        <v>43667</v>
      </c>
      <c r="K691" t="s">
        <v>104</v>
      </c>
      <c r="L691">
        <v>0</v>
      </c>
      <c r="M691">
        <v>0</v>
      </c>
      <c r="N691" t="s">
        <v>105</v>
      </c>
      <c r="Q691" t="s">
        <v>106</v>
      </c>
      <c r="R691" t="str">
        <f t="shared" si="12"/>
        <v>Ссылка на план</v>
      </c>
      <c r="S691" s="1">
        <v>43668.391018518516</v>
      </c>
      <c r="T691" s="1">
        <v>43668.389467592591</v>
      </c>
      <c r="U691" s="1">
        <v>43668.390810185185</v>
      </c>
      <c r="W691" s="1">
        <v>43668.392361111109</v>
      </c>
      <c r="BF691" t="s">
        <v>114</v>
      </c>
      <c r="BG691" t="s">
        <v>5221</v>
      </c>
      <c r="BH691" t="s">
        <v>5222</v>
      </c>
      <c r="BI691" t="s">
        <v>4134</v>
      </c>
      <c r="BJ691" t="str">
        <f>HYPERLINK("https://d33htgqikc2pj4.cloudfront.net/e80800bf-c59f-49dd-9199-64dd65250788.jpeg", "Владимир Чугунов: Ссылка на изображение")</f>
        <v>Владимир Чугунов: Ссылка на изображение</v>
      </c>
      <c r="BK691" t="s">
        <v>102</v>
      </c>
    </row>
    <row r="692" spans="1:74" ht="15" customHeight="1" x14ac:dyDescent="0.35">
      <c r="A692">
        <v>370</v>
      </c>
      <c r="B692" t="s">
        <v>5223</v>
      </c>
      <c r="C692">
        <v>2</v>
      </c>
      <c r="D692" t="str">
        <f>VLOOKUP(source[[#This Row],[Приоритет]],тПриоритеты[],2,0)</f>
        <v>Значительное</v>
      </c>
      <c r="E69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2" t="s">
        <v>4451</v>
      </c>
      <c r="G692" t="s">
        <v>395</v>
      </c>
      <c r="H692" t="str">
        <f>VLOOKUP(source[[#This Row],[Отвественный]],тОтветственные[],2,0)</f>
        <v>Отв19</v>
      </c>
      <c r="I692" s="2">
        <v>43695</v>
      </c>
      <c r="J692" s="2">
        <v>43695</v>
      </c>
      <c r="K692" t="s">
        <v>104</v>
      </c>
      <c r="L692">
        <v>0</v>
      </c>
      <c r="M692">
        <v>0</v>
      </c>
      <c r="N692" t="s">
        <v>105</v>
      </c>
      <c r="Q692" t="s">
        <v>106</v>
      </c>
      <c r="R692" t="str">
        <f t="shared" si="12"/>
        <v>Ссылка на план</v>
      </c>
      <c r="S692" s="1">
        <v>43695.436828703707</v>
      </c>
      <c r="T692" s="1">
        <v>43695.436863425923</v>
      </c>
      <c r="U692" s="1">
        <v>43695.473715277774</v>
      </c>
      <c r="W692" s="1">
        <v>43695.473726851851</v>
      </c>
      <c r="X692" t="s">
        <v>3217</v>
      </c>
      <c r="AA692" t="s">
        <v>5224</v>
      </c>
      <c r="AB692" t="s">
        <v>5225</v>
      </c>
      <c r="AC692" t="s">
        <v>5226</v>
      </c>
      <c r="AD692" t="s">
        <v>5227</v>
      </c>
      <c r="AE692" t="s">
        <v>5228</v>
      </c>
      <c r="AF692" t="s">
        <v>5229</v>
      </c>
      <c r="AG692" t="s">
        <v>5230</v>
      </c>
      <c r="AH692" t="s">
        <v>5231</v>
      </c>
      <c r="AI692" t="s">
        <v>5232</v>
      </c>
      <c r="AJ692" t="s">
        <v>5233</v>
      </c>
      <c r="AK692" t="s">
        <v>5234</v>
      </c>
      <c r="BF692" t="s">
        <v>114</v>
      </c>
      <c r="BG692" t="s">
        <v>5235</v>
      </c>
      <c r="BH692" t="s">
        <v>663</v>
      </c>
      <c r="BI692" t="str">
        <f>HYPERLINK("https://d33htgqikc2pj4.cloudfront.net/b2a12ce3-85eb-4f14-97a1-3724e68150ff.jpeg", "Владимир Чугунов: Ссылка на изображение")</f>
        <v>Владимир Чугунов: Ссылка на изображение</v>
      </c>
      <c r="BJ692" t="str">
        <f>HYPERLINK("https://d33htgqikc2pj4.cloudfront.net/1a831124-399f-498a-b20e-29f13b185838.jpeg", "Владимир Чугунов: Ссылка на изображение")</f>
        <v>Владимир Чугунов: Ссылка на изображение</v>
      </c>
      <c r="BK692" t="str">
        <f>HYPERLINK("https://d33htgqikc2pj4.cloudfront.net/0b5f8dac-88fc-4acd-a2d6-b185080b6ce5.jpeg", "Владимир Чугунов: Ссылка на изображение")</f>
        <v>Владимир Чугунов: Ссылка на изображение</v>
      </c>
      <c r="BL692" t="str">
        <f>HYPERLINK("https://d33htgqikc2pj4.cloudfront.net/f117e73c-0059-4057-89b3-f50bd1ec0dbf.jpeg", "Владимир Чугунов: Ссылка на изображение")</f>
        <v>Владимир Чугунов: Ссылка на изображение</v>
      </c>
      <c r="BM692" t="str">
        <f>HYPERLINK("https://d33htgqikc2pj4.cloudfront.net/c7aa46f2-d4a8-4e6a-9e09-dd5b6a8b2944.jpeg", "Владимир Чугунов: Ссылка на изображение")</f>
        <v>Владимир Чугунов: Ссылка на изображение</v>
      </c>
      <c r="BN692" t="str">
        <f>HYPERLINK("https://d33htgqikc2pj4.cloudfront.net/d428b82d-719b-4a78-a977-2b3f9071d666.jpeg", "Владимир Чугунов: Ссылка на изображение")</f>
        <v>Владимир Чугунов: Ссылка на изображение</v>
      </c>
      <c r="BO692" t="str">
        <f>HYPERLINK("https://d33htgqikc2pj4.cloudfront.net/c6d0f3e0-106d-42ac-9e83-07c359f87444.jpeg", "Владимир Чугунов: Ссылка на изображение")</f>
        <v>Владимир Чугунов: Ссылка на изображение</v>
      </c>
      <c r="BP692" t="str">
        <f>HYPERLINK("https://d33htgqikc2pj4.cloudfront.net/9f5d0452-7e7a-4403-b559-d8de3d8ed3fe.jpeg", "Владимир Чугунов: Ссылка на изображение")</f>
        <v>Владимир Чугунов: Ссылка на изображение</v>
      </c>
      <c r="BQ692" t="str">
        <f>HYPERLINK("https://d33htgqikc2pj4.cloudfront.net/058e2b71-3e36-4451-b43b-0616d08702ad.jpeg", "Владимир Чугунов: Ссылка на изображение")</f>
        <v>Владимир Чугунов: Ссылка на изображение</v>
      </c>
      <c r="BR692" t="s">
        <v>102</v>
      </c>
    </row>
    <row r="693" spans="1:74" ht="15" customHeight="1" x14ac:dyDescent="0.35">
      <c r="A693">
        <v>371</v>
      </c>
      <c r="B693" t="s">
        <v>5236</v>
      </c>
      <c r="C693">
        <v>2</v>
      </c>
      <c r="D693" t="str">
        <f>VLOOKUP(source[[#This Row],[Приоритет]],тПриоритеты[],2,0)</f>
        <v>Значительное</v>
      </c>
      <c r="E69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3" t="s">
        <v>4451</v>
      </c>
      <c r="G693" t="s">
        <v>395</v>
      </c>
      <c r="H693" t="str">
        <f>VLOOKUP(source[[#This Row],[Отвественный]],тОтветственные[],2,0)</f>
        <v>Отв19</v>
      </c>
      <c r="I693" s="2">
        <v>43695</v>
      </c>
      <c r="J693" s="2">
        <v>43695</v>
      </c>
      <c r="K693" t="s">
        <v>104</v>
      </c>
      <c r="L693">
        <v>0</v>
      </c>
      <c r="M693">
        <v>0</v>
      </c>
      <c r="N693" t="s">
        <v>105</v>
      </c>
      <c r="Q693" t="s">
        <v>106</v>
      </c>
      <c r="R693" t="str">
        <f t="shared" si="12"/>
        <v>Ссылка на план</v>
      </c>
      <c r="S693" s="1">
        <v>43695.439745370371</v>
      </c>
      <c r="T693" s="1">
        <v>43695.439826388887</v>
      </c>
      <c r="U693" s="1">
        <v>43695.440578703703</v>
      </c>
      <c r="W693" s="1">
        <v>43695.44059027778</v>
      </c>
      <c r="X693" t="s">
        <v>2835</v>
      </c>
      <c r="AA693" t="s">
        <v>5237</v>
      </c>
      <c r="AB693" t="s">
        <v>5238</v>
      </c>
      <c r="AC693" t="s">
        <v>5239</v>
      </c>
      <c r="AD693" t="s">
        <v>5240</v>
      </c>
      <c r="AE693" t="s">
        <v>5241</v>
      </c>
      <c r="AF693" t="s">
        <v>5242</v>
      </c>
      <c r="AG693" t="s">
        <v>5243</v>
      </c>
      <c r="BF693" t="s">
        <v>114</v>
      </c>
      <c r="BG693" t="s">
        <v>5244</v>
      </c>
      <c r="BH693" t="s">
        <v>663</v>
      </c>
      <c r="BI693" t="s">
        <v>102</v>
      </c>
    </row>
    <row r="694" spans="1:74" ht="15" customHeight="1" x14ac:dyDescent="0.35">
      <c r="A694">
        <v>373</v>
      </c>
      <c r="B694" t="s">
        <v>5245</v>
      </c>
      <c r="C694">
        <v>2</v>
      </c>
      <c r="D694" t="str">
        <f>VLOOKUP(source[[#This Row],[Приоритет]],тПриоритеты[],2,0)</f>
        <v>Значительное</v>
      </c>
      <c r="E69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4" t="s">
        <v>4451</v>
      </c>
      <c r="G694" t="s">
        <v>395</v>
      </c>
      <c r="H694" t="str">
        <f>VLOOKUP(source[[#This Row],[Отвественный]],тОтветственные[],2,0)</f>
        <v>Отв19</v>
      </c>
      <c r="I694" s="2">
        <v>43695</v>
      </c>
      <c r="J694" s="2">
        <v>43695</v>
      </c>
      <c r="K694" t="s">
        <v>104</v>
      </c>
      <c r="L694">
        <v>0</v>
      </c>
      <c r="M694">
        <v>0</v>
      </c>
      <c r="N694" t="s">
        <v>105</v>
      </c>
      <c r="Q694" t="s">
        <v>106</v>
      </c>
      <c r="R694" t="str">
        <f t="shared" si="12"/>
        <v>Ссылка на план</v>
      </c>
      <c r="S694" s="1">
        <v>43695.89303240741</v>
      </c>
      <c r="T694" s="1">
        <v>43695.893113425926</v>
      </c>
      <c r="U694" s="1">
        <v>43695.894293981481</v>
      </c>
      <c r="W694" s="1">
        <v>43695.894305555557</v>
      </c>
      <c r="X694" t="s">
        <v>2333</v>
      </c>
      <c r="AA694" t="s">
        <v>5246</v>
      </c>
      <c r="AB694" t="s">
        <v>5247</v>
      </c>
      <c r="AC694" t="s">
        <v>5248</v>
      </c>
      <c r="AD694" t="s">
        <v>5249</v>
      </c>
      <c r="AE694" t="s">
        <v>5250</v>
      </c>
      <c r="AF694" t="s">
        <v>5251</v>
      </c>
      <c r="AG694" t="s">
        <v>5252</v>
      </c>
      <c r="AH694" t="s">
        <v>5253</v>
      </c>
      <c r="AI694" t="s">
        <v>5243</v>
      </c>
      <c r="BF694" t="s">
        <v>114</v>
      </c>
      <c r="BG694" t="s">
        <v>5254</v>
      </c>
      <c r="BH694" t="s">
        <v>663</v>
      </c>
      <c r="BI694" t="s">
        <v>102</v>
      </c>
    </row>
    <row r="695" spans="1:74" ht="15" customHeight="1" x14ac:dyDescent="0.35">
      <c r="A695">
        <v>375</v>
      </c>
      <c r="B695" t="s">
        <v>5255</v>
      </c>
      <c r="C695">
        <v>2</v>
      </c>
      <c r="D695" t="str">
        <f>VLOOKUP(source[[#This Row],[Приоритет]],тПриоритеты[],2,0)</f>
        <v>Значительное</v>
      </c>
      <c r="E69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5" t="s">
        <v>4451</v>
      </c>
      <c r="G695" t="s">
        <v>395</v>
      </c>
      <c r="H695" t="str">
        <f>VLOOKUP(source[[#This Row],[Отвественный]],тОтветственные[],2,0)</f>
        <v>Отв19</v>
      </c>
      <c r="I695" s="2">
        <v>43696</v>
      </c>
      <c r="J695" s="2">
        <v>43696</v>
      </c>
      <c r="K695" t="s">
        <v>104</v>
      </c>
      <c r="L695">
        <v>0</v>
      </c>
      <c r="M695">
        <v>0</v>
      </c>
      <c r="N695" t="s">
        <v>105</v>
      </c>
      <c r="Q695" t="s">
        <v>106</v>
      </c>
      <c r="R695" t="str">
        <f t="shared" si="12"/>
        <v>Ссылка на план</v>
      </c>
      <c r="S695" s="1">
        <v>43696.679108796299</v>
      </c>
      <c r="T695" s="1">
        <v>43696.679166666669</v>
      </c>
      <c r="U695" s="1">
        <v>43696.751435185186</v>
      </c>
      <c r="W695" s="1">
        <v>43696.751458333332</v>
      </c>
      <c r="X695" t="s">
        <v>3217</v>
      </c>
      <c r="AA695" t="s">
        <v>5256</v>
      </c>
      <c r="AB695" t="s">
        <v>5257</v>
      </c>
      <c r="AC695" t="s">
        <v>5258</v>
      </c>
      <c r="AD695" t="s">
        <v>5259</v>
      </c>
      <c r="AE695" t="s">
        <v>5260</v>
      </c>
      <c r="AF695" t="s">
        <v>5261</v>
      </c>
      <c r="AG695" t="s">
        <v>5262</v>
      </c>
      <c r="AH695" t="s">
        <v>5263</v>
      </c>
      <c r="AI695" t="s">
        <v>5264</v>
      </c>
      <c r="AJ695" t="s">
        <v>5265</v>
      </c>
      <c r="AK695" t="s">
        <v>5266</v>
      </c>
      <c r="BF695" t="s">
        <v>114</v>
      </c>
      <c r="BG695" t="s">
        <v>5267</v>
      </c>
      <c r="BH695" t="s">
        <v>681</v>
      </c>
      <c r="BI695" t="str">
        <f>HYPERLINK("https://d33htgqikc2pj4.cloudfront.net/80263c8a-f3cd-4c97-86ee-f86c81ce2240.jpeg", "Владимир Чугунов: Ссылка на изображение")</f>
        <v>Владимир Чугунов: Ссылка на изображение</v>
      </c>
      <c r="BJ695" t="str">
        <f>HYPERLINK("https://d33htgqikc2pj4.cloudfront.net/8f274450-8ab3-4634-b33b-338597383750.jpeg", "Владимир Чугунов: Ссылка на изображение")</f>
        <v>Владимир Чугунов: Ссылка на изображение</v>
      </c>
      <c r="BK695" t="str">
        <f>HYPERLINK("https://d33htgqikc2pj4.cloudfront.net/91b16e29-3c6e-4fd4-9ee5-7b1e312908ed.jpeg", "Владимир Чугунов: Ссылка на изображение")</f>
        <v>Владимир Чугунов: Ссылка на изображение</v>
      </c>
      <c r="BL695" t="str">
        <f>HYPERLINK("https://d33htgqikc2pj4.cloudfront.net/ebfa9cd1-922f-447b-9ae7-bc0429faa644.jpeg", "Владимир Чугунов: Ссылка на изображение")</f>
        <v>Владимир Чугунов: Ссылка на изображение</v>
      </c>
      <c r="BM695" t="str">
        <f>HYPERLINK("https://d33htgqikc2pj4.cloudfront.net/fc650b46-8c84-4edb-9fb0-d3a1cdb32530.jpeg", "Владимир Чугунов: Ссылка на изображение")</f>
        <v>Владимир Чугунов: Ссылка на изображение</v>
      </c>
      <c r="BN695" t="str">
        <f>HYPERLINK("https://d33htgqikc2pj4.cloudfront.net/3a0af319-efc8-4e8f-9965-3e8a1979989b.jpeg", "Владимир Чугунов: Ссылка на изображение")</f>
        <v>Владимир Чугунов: Ссылка на изображение</v>
      </c>
      <c r="BO695" t="str">
        <f>HYPERLINK("https://d33htgqikc2pj4.cloudfront.net/e22a3955-ba61-4d04-98d5-e4f1545e71c8.jpeg", "Владимир Чугунов: Ссылка на изображение")</f>
        <v>Владимир Чугунов: Ссылка на изображение</v>
      </c>
      <c r="BP695" t="str">
        <f>HYPERLINK("https://d33htgqikc2pj4.cloudfront.net/6f8b136a-a498-4d16-9099-35a313d2261f.jpeg", "Владимир Чугунов: Ссылка на изображение")</f>
        <v>Владимир Чугунов: Ссылка на изображение</v>
      </c>
      <c r="BQ695" t="str">
        <f>HYPERLINK("https://d33htgqikc2pj4.cloudfront.net/e1daaf3e-6a78-4ef7-8e12-cd99dfab6745.jpeg", "Владимир Чугунов: Ссылка на изображение")</f>
        <v>Владимир Чугунов: Ссылка на изображение</v>
      </c>
      <c r="BR695" t="str">
        <f>HYPERLINK("https://d33htgqikc2pj4.cloudfront.net/8fa010c0-4b6f-44ae-a40c-e5e79a1a08a3.jpeg", "Владимир Чугунов: Ссылка на изображение")</f>
        <v>Владимир Чугунов: Ссылка на изображение</v>
      </c>
      <c r="BS695" t="s">
        <v>102</v>
      </c>
    </row>
    <row r="696" spans="1:74" ht="15" customHeight="1" x14ac:dyDescent="0.35">
      <c r="A696">
        <v>377</v>
      </c>
      <c r="B696" t="s">
        <v>5268</v>
      </c>
      <c r="C696">
        <v>2</v>
      </c>
      <c r="D696" t="str">
        <f>VLOOKUP(source[[#This Row],[Приоритет]],тПриоритеты[],2,0)</f>
        <v>Значительное</v>
      </c>
      <c r="E69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6" t="s">
        <v>4451</v>
      </c>
      <c r="G696" t="s">
        <v>395</v>
      </c>
      <c r="H696" t="str">
        <f>VLOOKUP(source[[#This Row],[Отвественный]],тОтветственные[],2,0)</f>
        <v>Отв19</v>
      </c>
      <c r="I696" s="2">
        <v>43696</v>
      </c>
      <c r="J696" s="2">
        <v>43696</v>
      </c>
      <c r="K696" t="s">
        <v>104</v>
      </c>
      <c r="L696">
        <v>0</v>
      </c>
      <c r="M696">
        <v>0</v>
      </c>
      <c r="N696" t="s">
        <v>105</v>
      </c>
      <c r="Q696" t="s">
        <v>106</v>
      </c>
      <c r="R696" t="str">
        <f t="shared" si="12"/>
        <v>Ссылка на план</v>
      </c>
      <c r="S696" s="1">
        <v>43696.751597222225</v>
      </c>
      <c r="T696" s="1">
        <v>43696.75203703704</v>
      </c>
      <c r="U696" s="1">
        <v>43696.752511574072</v>
      </c>
      <c r="W696" s="1">
        <v>43696.752534722225</v>
      </c>
      <c r="X696" t="s">
        <v>2835</v>
      </c>
      <c r="AA696" t="s">
        <v>5269</v>
      </c>
      <c r="AB696" t="s">
        <v>5270</v>
      </c>
      <c r="AC696" t="s">
        <v>5271</v>
      </c>
      <c r="AD696" t="s">
        <v>5272</v>
      </c>
      <c r="AE696" t="s">
        <v>5273</v>
      </c>
      <c r="AF696" t="s">
        <v>5274</v>
      </c>
      <c r="AG696" t="s">
        <v>5275</v>
      </c>
      <c r="BF696" t="s">
        <v>5276</v>
      </c>
      <c r="BG696" t="s">
        <v>681</v>
      </c>
      <c r="BH696" t="s">
        <v>114</v>
      </c>
      <c r="BI696" t="str">
        <f>HYPERLINK("https://d33htgqikc2pj4.cloudfront.net/28751e27-e63e-4274-aa6f-7e48766263ea.jpeg", "Владимир Чугунов: Ссылка на изображение")</f>
        <v>Владимир Чугунов: Ссылка на изображение</v>
      </c>
      <c r="BJ696" t="s">
        <v>102</v>
      </c>
    </row>
    <row r="697" spans="1:74" ht="15" customHeight="1" x14ac:dyDescent="0.35">
      <c r="A697">
        <v>483</v>
      </c>
      <c r="B697" t="s">
        <v>5277</v>
      </c>
      <c r="C697">
        <v>2</v>
      </c>
      <c r="D697" t="str">
        <f>VLOOKUP(source[[#This Row],[Приоритет]],тПриоритеты[],2,0)</f>
        <v>Значительное</v>
      </c>
      <c r="E69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7" t="s">
        <v>4451</v>
      </c>
      <c r="G697" t="s">
        <v>395</v>
      </c>
      <c r="H697" t="str">
        <f>VLOOKUP(source[[#This Row],[Отвественный]],тОтветственные[],2,0)</f>
        <v>Отв19</v>
      </c>
      <c r="I697" s="2">
        <v>43725</v>
      </c>
      <c r="J697" s="2">
        <v>43725</v>
      </c>
      <c r="K697" t="s">
        <v>104</v>
      </c>
      <c r="L697">
        <v>0</v>
      </c>
      <c r="M697">
        <v>0</v>
      </c>
      <c r="N697" t="s">
        <v>105</v>
      </c>
      <c r="Q697" t="s">
        <v>106</v>
      </c>
      <c r="R697" t="str">
        <f t="shared" si="12"/>
        <v>Ссылка на план</v>
      </c>
      <c r="S697" s="1">
        <v>43725.526307870372</v>
      </c>
      <c r="T697" s="1">
        <v>43725.526585648149</v>
      </c>
      <c r="U697" s="1">
        <v>43725.527013888888</v>
      </c>
      <c r="W697" s="1">
        <v>43725.527025462965</v>
      </c>
      <c r="X697" t="s">
        <v>2835</v>
      </c>
      <c r="AA697" t="s">
        <v>5278</v>
      </c>
      <c r="AB697" t="s">
        <v>5279</v>
      </c>
      <c r="AC697" t="s">
        <v>5280</v>
      </c>
      <c r="AD697" t="s">
        <v>5281</v>
      </c>
      <c r="AE697" t="s">
        <v>5282</v>
      </c>
      <c r="AF697" t="s">
        <v>5283</v>
      </c>
      <c r="AG697" t="s">
        <v>5284</v>
      </c>
      <c r="BF697" t="s">
        <v>5285</v>
      </c>
      <c r="BG697" t="s">
        <v>699</v>
      </c>
      <c r="BH697" t="s">
        <v>114</v>
      </c>
      <c r="BI697" t="str">
        <f>HYPERLINK("https://d33htgqikc2pj4.cloudfront.net/489657e5-3570-4b3f-abff-07b5bc52c37f.jpeg", "Владимир Чугунов: Ссылка на изображение")</f>
        <v>Владимир Чугунов: Ссылка на изображение</v>
      </c>
      <c r="BJ697" t="s">
        <v>102</v>
      </c>
    </row>
    <row r="698" spans="1:74" ht="15" customHeight="1" x14ac:dyDescent="0.35">
      <c r="A698">
        <v>490</v>
      </c>
      <c r="B698" t="s">
        <v>5286</v>
      </c>
      <c r="C698">
        <v>2</v>
      </c>
      <c r="D698" t="str">
        <f>VLOOKUP(source[[#This Row],[Приоритет]],тПриоритеты[],2,0)</f>
        <v>Значительное</v>
      </c>
      <c r="E69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8" t="s">
        <v>4451</v>
      </c>
      <c r="G698" t="s">
        <v>395</v>
      </c>
      <c r="H698" t="str">
        <f>VLOOKUP(source[[#This Row],[Отвественный]],тОтветственные[],2,0)</f>
        <v>Отв19</v>
      </c>
      <c r="I698" s="2">
        <v>43725</v>
      </c>
      <c r="J698" s="2">
        <v>43725</v>
      </c>
      <c r="K698" t="s">
        <v>104</v>
      </c>
      <c r="L698">
        <v>0</v>
      </c>
      <c r="M698">
        <v>0</v>
      </c>
      <c r="N698" t="s">
        <v>105</v>
      </c>
      <c r="Q698" t="s">
        <v>106</v>
      </c>
      <c r="R698" t="str">
        <f t="shared" si="12"/>
        <v>Ссылка на план</v>
      </c>
      <c r="S698" s="1">
        <v>43725.751956018517</v>
      </c>
      <c r="T698" s="1">
        <v>43725.7966087963</v>
      </c>
      <c r="U698" s="1">
        <v>43725.857893518521</v>
      </c>
      <c r="W698" s="1">
        <v>43725.857905092591</v>
      </c>
      <c r="X698" t="s">
        <v>3217</v>
      </c>
      <c r="AA698" t="s">
        <v>5287</v>
      </c>
      <c r="AB698" t="s">
        <v>5288</v>
      </c>
      <c r="AC698" t="s">
        <v>5289</v>
      </c>
      <c r="AD698" t="s">
        <v>5290</v>
      </c>
      <c r="AE698" t="s">
        <v>5291</v>
      </c>
      <c r="AF698" t="s">
        <v>5292</v>
      </c>
      <c r="AG698" t="s">
        <v>5293</v>
      </c>
      <c r="AH698" t="s">
        <v>5294</v>
      </c>
      <c r="AI698" t="s">
        <v>5295</v>
      </c>
      <c r="AJ698" t="s">
        <v>5296</v>
      </c>
      <c r="AK698" t="s">
        <v>5297</v>
      </c>
      <c r="BF698" t="s">
        <v>5298</v>
      </c>
      <c r="BG698" t="s">
        <v>699</v>
      </c>
      <c r="BH698" t="s">
        <v>114</v>
      </c>
      <c r="BI698" t="str">
        <f>HYPERLINK("https://d33htgqikc2pj4.cloudfront.net/d4e76211-d4e1-4473-a53b-1cf66ed32acb.jpeg", "Владимир Чугунов: Ссылка на изображение")</f>
        <v>Владимир Чугунов: Ссылка на изображение</v>
      </c>
      <c r="BJ698" t="str">
        <f>HYPERLINK("https://d33htgqikc2pj4.cloudfront.net/0e93acfb-1b48-4d18-9824-11b7d3f4150d.jpeg", "Владимир Чугунов: Ссылка на изображение")</f>
        <v>Владимир Чугунов: Ссылка на изображение</v>
      </c>
      <c r="BK698" t="str">
        <f>HYPERLINK("https://d33htgqikc2pj4.cloudfront.net/6213d926-4b7a-473e-b081-1389dcb5a140.jpeg", "Владимир Чугунов: Ссылка на изображение")</f>
        <v>Владимир Чугунов: Ссылка на изображение</v>
      </c>
      <c r="BL698" t="str">
        <f>HYPERLINK("https://d33htgqikc2pj4.cloudfront.net/ddbb07a7-e9d1-4bd5-8911-6312387fc981.jpeg", "Владимир Чугунов: Ссылка на изображение")</f>
        <v>Владимир Чугунов: Ссылка на изображение</v>
      </c>
      <c r="BM698" t="str">
        <f>HYPERLINK("https://d33htgqikc2pj4.cloudfront.net/21a5c16a-295a-46f5-8d94-9b0b20753862.jpeg", "Владимир Чугунов: Ссылка на изображение")</f>
        <v>Владимир Чугунов: Ссылка на изображение</v>
      </c>
      <c r="BN698" t="s">
        <v>102</v>
      </c>
      <c r="BO698" t="str">
        <f>HYPERLINK("https://d33htgqikc2pj4.cloudfront.net/94690bd8-04ec-4774-be4c-31fc52ee3107.jpeg", "Владимир Чугунов: Ссылка на изображение")</f>
        <v>Владимир Чугунов: Ссылка на изображение</v>
      </c>
      <c r="BP698" t="str">
        <f>HYPERLINK("https://d33htgqikc2pj4.cloudfront.net/6c8d5e29-3af3-42f1-bf82-b76a1dbfc3d9.jpeg", "Владимир Чугунов: Ссылка на изображение")</f>
        <v>Владимир Чугунов: Ссылка на изображение</v>
      </c>
      <c r="BQ698" t="s">
        <v>114</v>
      </c>
      <c r="BR698" t="s">
        <v>102</v>
      </c>
    </row>
    <row r="699" spans="1:74" ht="15" customHeight="1" x14ac:dyDescent="0.35">
      <c r="A699">
        <v>378</v>
      </c>
      <c r="B699" t="s">
        <v>5299</v>
      </c>
      <c r="C699">
        <v>2</v>
      </c>
      <c r="D699" t="str">
        <f>VLOOKUP(source[[#This Row],[Приоритет]],тПриоритеты[],2,0)</f>
        <v>Значительное</v>
      </c>
      <c r="E69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699" t="s">
        <v>4451</v>
      </c>
      <c r="G699" t="s">
        <v>395</v>
      </c>
      <c r="H699" t="str">
        <f>VLOOKUP(source[[#This Row],[Отвественный]],тОтветственные[],2,0)</f>
        <v>Отв19</v>
      </c>
      <c r="I699" s="2">
        <v>43697</v>
      </c>
      <c r="J699" s="2">
        <v>43697</v>
      </c>
      <c r="K699" t="s">
        <v>104</v>
      </c>
      <c r="L699">
        <v>0</v>
      </c>
      <c r="M699">
        <v>0</v>
      </c>
      <c r="N699" t="s">
        <v>105</v>
      </c>
      <c r="Q699" t="s">
        <v>106</v>
      </c>
      <c r="R699" t="str">
        <f t="shared" si="12"/>
        <v>Ссылка на план</v>
      </c>
      <c r="S699" s="1">
        <v>43697.495671296296</v>
      </c>
      <c r="T699" s="1">
        <v>43697.452916666669</v>
      </c>
      <c r="U699" s="1">
        <v>43697.495324074072</v>
      </c>
      <c r="W699" s="1">
        <v>43697.495694444442</v>
      </c>
      <c r="X699" t="s">
        <v>3217</v>
      </c>
      <c r="AA699" t="s">
        <v>5300</v>
      </c>
      <c r="AB699" t="s">
        <v>5301</v>
      </c>
      <c r="AC699" t="s">
        <v>5302</v>
      </c>
      <c r="AD699" t="s">
        <v>5303</v>
      </c>
      <c r="AE699" t="s">
        <v>5304</v>
      </c>
      <c r="AF699" t="s">
        <v>5305</v>
      </c>
      <c r="AG699" t="s">
        <v>5306</v>
      </c>
      <c r="AH699" t="s">
        <v>5307</v>
      </c>
      <c r="AI699" t="s">
        <v>5308</v>
      </c>
      <c r="AJ699" t="s">
        <v>5309</v>
      </c>
      <c r="AK699" t="s">
        <v>5310</v>
      </c>
      <c r="BF699" t="s">
        <v>114</v>
      </c>
      <c r="BG699" t="s">
        <v>5311</v>
      </c>
      <c r="BH699" t="s">
        <v>708</v>
      </c>
      <c r="BI699" t="str">
        <f>HYPERLINK("https://d33htgqikc2pj4.cloudfront.net/de82bb0e-4133-47c6-b91f-4f6c6c08427f.jpeg", "Владимир Чугунов: Ссылка на изображение")</f>
        <v>Владимир Чугунов: Ссылка на изображение</v>
      </c>
      <c r="BJ699" t="str">
        <f>HYPERLINK("https://d33htgqikc2pj4.cloudfront.net/ec1a3a61-adec-490a-b14c-d171a50f1287.jpeg", "Владимир Чугунов: Ссылка на изображение")</f>
        <v>Владимир Чугунов: Ссылка на изображение</v>
      </c>
      <c r="BK699" t="str">
        <f>HYPERLINK("https://d33htgqikc2pj4.cloudfront.net/af81bba6-74d6-4af9-8b52-dc2979c2c78c.jpeg", "Владимир Чугунов: Ссылка на изображение")</f>
        <v>Владимир Чугунов: Ссылка на изображение</v>
      </c>
      <c r="BL699" t="str">
        <f>HYPERLINK("https://d33htgqikc2pj4.cloudfront.net/5a376d73-54d0-4ae5-a3d1-d9f8a0689990.jpeg", "Владимир Чугунов: Ссылка на изображение")</f>
        <v>Владимир Чугунов: Ссылка на изображение</v>
      </c>
      <c r="BM699" t="str">
        <f>HYPERLINK("https://d33htgqikc2pj4.cloudfront.net/8519e9dc-4a46-428c-a124-5822d828cd97.jpeg", "Владимир Чугунов: Ссылка на изображение")</f>
        <v>Владимир Чугунов: Ссылка на изображение</v>
      </c>
      <c r="BN699" t="str">
        <f>HYPERLINK("https://d33htgqikc2pj4.cloudfront.net/122582e9-bd4e-40c4-9a69-fb3118385510.jpeg", "Владимир Чугунов: Ссылка на изображение")</f>
        <v>Владимир Чугунов: Ссылка на изображение</v>
      </c>
      <c r="BO699" t="str">
        <f>HYPERLINK("https://d33htgqikc2pj4.cloudfront.net/5f78183c-ddf7-4433-9980-520d58d07c29.jpeg", "Владимир Чугунов: Ссылка на изображение")</f>
        <v>Владимир Чугунов: Ссылка на изображение</v>
      </c>
      <c r="BP699" t="str">
        <f>HYPERLINK("https://d33htgqikc2pj4.cloudfront.net/5cde4ef6-e598-4542-bde9-7ec17821f14b.jpeg", "Владимир Чугунов: Ссылка на изображение")</f>
        <v>Владимир Чугунов: Ссылка на изображение</v>
      </c>
      <c r="BQ699" t="str">
        <f>HYPERLINK("https://d33htgqikc2pj4.cloudfront.net/5b6a7d5a-99d4-4f0c-9750-113027af2a58.jpeg", "Владимир Чугунов: Ссылка на изображение")</f>
        <v>Владимир Чугунов: Ссылка на изображение</v>
      </c>
      <c r="BR699" t="str">
        <f>HYPERLINK("https://d33htgqikc2pj4.cloudfront.net/7f15c87b-79e8-4969-86b1-2d58af09d067.jpeg", "Владимир Чугунов: Ссылка на изображение")</f>
        <v>Владимир Чугунов: Ссылка на изображение</v>
      </c>
      <c r="BS699" t="s">
        <v>102</v>
      </c>
    </row>
    <row r="700" spans="1:74" ht="15" customHeight="1" x14ac:dyDescent="0.35">
      <c r="A700">
        <v>493</v>
      </c>
      <c r="B700" t="s">
        <v>5312</v>
      </c>
      <c r="C700">
        <v>2</v>
      </c>
      <c r="D700" t="str">
        <f>VLOOKUP(source[[#This Row],[Приоритет]],тПриоритеты[],2,0)</f>
        <v>Значительное</v>
      </c>
      <c r="E70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0" t="s">
        <v>4451</v>
      </c>
      <c r="G700" t="s">
        <v>395</v>
      </c>
      <c r="H700" t="str">
        <f>VLOOKUP(source[[#This Row],[Отвественный]],тОтветственные[],2,0)</f>
        <v>Отв19</v>
      </c>
      <c r="I700" s="2">
        <v>43726</v>
      </c>
      <c r="J700" s="2">
        <v>43726</v>
      </c>
      <c r="K700" t="s">
        <v>104</v>
      </c>
      <c r="L700">
        <v>0</v>
      </c>
      <c r="M700">
        <v>0</v>
      </c>
      <c r="N700" t="s">
        <v>105</v>
      </c>
      <c r="Q700" t="s">
        <v>106</v>
      </c>
      <c r="R700" t="str">
        <f t="shared" si="12"/>
        <v>Ссылка на план</v>
      </c>
      <c r="S700" s="1">
        <v>43726.603078703702</v>
      </c>
      <c r="T700" s="1">
        <v>43726.68482638889</v>
      </c>
      <c r="U700" s="1">
        <v>43726.686863425923</v>
      </c>
      <c r="W700" s="1">
        <v>43726.605405092596</v>
      </c>
      <c r="X700" t="s">
        <v>2835</v>
      </c>
      <c r="AA700" t="s">
        <v>5313</v>
      </c>
      <c r="AB700" t="s">
        <v>5314</v>
      </c>
      <c r="AC700" t="s">
        <v>5315</v>
      </c>
      <c r="AD700" t="s">
        <v>5316</v>
      </c>
      <c r="AE700" t="s">
        <v>5317</v>
      </c>
      <c r="AF700" t="s">
        <v>5318</v>
      </c>
      <c r="AG700" t="s">
        <v>5319</v>
      </c>
      <c r="BF700" t="s">
        <v>5320</v>
      </c>
      <c r="BG700" t="s">
        <v>744</v>
      </c>
      <c r="BH700" t="s">
        <v>114</v>
      </c>
      <c r="BI700" t="str">
        <f>HYPERLINK("https://d33htgqikc2pj4.cloudfront.net/11270567-258c-494b-94d1-4af06d87e5bc.jpeg", "Владимир Чугунов: Ссылка на изображение")</f>
        <v>Владимир Чугунов: Ссылка на изображение</v>
      </c>
      <c r="BJ700" t="s">
        <v>102</v>
      </c>
    </row>
    <row r="701" spans="1:74" ht="15" customHeight="1" x14ac:dyDescent="0.35">
      <c r="A701">
        <v>316</v>
      </c>
      <c r="B701" t="s">
        <v>5321</v>
      </c>
      <c r="C701">
        <v>2</v>
      </c>
      <c r="D701" t="str">
        <f>VLOOKUP(source[[#This Row],[Приоритет]],тПриоритеты[],2,0)</f>
        <v>Значительное</v>
      </c>
      <c r="E70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1" t="s">
        <v>4451</v>
      </c>
      <c r="G701" t="s">
        <v>395</v>
      </c>
      <c r="H701" t="str">
        <f>VLOOKUP(source[[#This Row],[Отвественный]],тОтветственные[],2,0)</f>
        <v>Отв19</v>
      </c>
      <c r="I701" s="2">
        <v>43673</v>
      </c>
      <c r="J701" s="2">
        <v>43673</v>
      </c>
      <c r="K701" t="s">
        <v>313</v>
      </c>
      <c r="L701">
        <v>0</v>
      </c>
      <c r="M701">
        <v>0</v>
      </c>
      <c r="N701" t="s">
        <v>159</v>
      </c>
      <c r="Q701" t="s">
        <v>106</v>
      </c>
      <c r="R701" t="str">
        <f>HYPERLINK("https://d28ji4sm1vmprj.cloudfront.net/464215be55b88773f54b8cd83354babd/02eaaeba9564da889c4ba5d284544147.jpeg", "Ссылка на план")</f>
        <v>Ссылка на план</v>
      </c>
      <c r="S701" s="1">
        <v>43676.64230324074</v>
      </c>
      <c r="T701" s="1">
        <v>43673.51840277778</v>
      </c>
      <c r="U701" s="1">
        <v>43673.520694444444</v>
      </c>
      <c r="W701" s="1">
        <v>43676.709074074075</v>
      </c>
      <c r="X701" t="s">
        <v>3846</v>
      </c>
      <c r="AA701" t="s">
        <v>5322</v>
      </c>
      <c r="AB701" t="s">
        <v>5323</v>
      </c>
      <c r="AC701" t="s">
        <v>5324</v>
      </c>
      <c r="AD701" t="s">
        <v>5325</v>
      </c>
      <c r="BF701" t="s">
        <v>869</v>
      </c>
      <c r="BG701" t="s">
        <v>114</v>
      </c>
      <c r="BH701" t="s">
        <v>5326</v>
      </c>
      <c r="BI701" t="s">
        <v>5327</v>
      </c>
      <c r="BJ701" t="str">
        <f>HYPERLINK("https://d33htgqikc2pj4.cloudfront.net/609cd549-fda1-4abd-8931-9c53b653a376.jpeg", "Владимир Чугунов: Ссылка на изображение")</f>
        <v>Владимир Чугунов: Ссылка на изображение</v>
      </c>
      <c r="BK701" t="str">
        <f>HYPERLINK("https://d33htgqikc2pj4.cloudfront.net/e432b8d1-3773-481e-a405-1700217c8ec9.jpeg", "Владимир Чугунов: Ссылка на изображение")</f>
        <v>Владимир Чугунов: Ссылка на изображение</v>
      </c>
      <c r="BL701" t="str">
        <f>HYPERLINK("https://d33htgqikc2pj4.cloudfront.net/50ff8128-9a4b-40e5-836b-9f80e2af9f53.jpeg", "Владимир Чугунов: Ссылка на изображение")</f>
        <v>Владимир Чугунов: Ссылка на изображение</v>
      </c>
      <c r="BM701" t="s">
        <v>127</v>
      </c>
      <c r="BN701" t="s">
        <v>102</v>
      </c>
    </row>
    <row r="702" spans="1:74" ht="15" customHeight="1" x14ac:dyDescent="0.35">
      <c r="A702">
        <v>319</v>
      </c>
      <c r="B702" t="s">
        <v>5328</v>
      </c>
      <c r="C702">
        <v>2</v>
      </c>
      <c r="D702" t="str">
        <f>VLOOKUP(source[[#This Row],[Приоритет]],тПриоритеты[],2,0)</f>
        <v>Значительное</v>
      </c>
      <c r="E70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2" t="s">
        <v>4451</v>
      </c>
      <c r="G702" t="s">
        <v>395</v>
      </c>
      <c r="H702" t="str">
        <f>VLOOKUP(source[[#This Row],[Отвественный]],тОтветственные[],2,0)</f>
        <v>Отв19</v>
      </c>
      <c r="I702" s="2">
        <v>43673</v>
      </c>
      <c r="J702" s="2">
        <v>43673</v>
      </c>
      <c r="K702" t="s">
        <v>5329</v>
      </c>
      <c r="L702">
        <v>0</v>
      </c>
      <c r="M702">
        <v>0</v>
      </c>
      <c r="N702" t="s">
        <v>213</v>
      </c>
      <c r="Q702" t="s">
        <v>106</v>
      </c>
      <c r="R702" t="str">
        <f>HYPERLINK("https://d28ji4sm1vmprj.cloudfront.net/270318fe55fb8004f45ba3625d0a37a2/e3d890bba98f4a5b2170ce97c02fb280.jpeg", "Ссылка на план")</f>
        <v>Ссылка на план</v>
      </c>
      <c r="S702" s="1">
        <v>43676.709074074075</v>
      </c>
      <c r="T702" s="1">
        <v>43673.521469907406</v>
      </c>
      <c r="U702" s="1">
        <v>43673.522303240738</v>
      </c>
      <c r="W702" s="1">
        <v>43676.709108796298</v>
      </c>
      <c r="X702" t="s">
        <v>2350</v>
      </c>
      <c r="AA702" t="s">
        <v>5322</v>
      </c>
      <c r="AB702" t="s">
        <v>5323</v>
      </c>
      <c r="AC702" t="s">
        <v>5330</v>
      </c>
      <c r="AD702" t="s">
        <v>5331</v>
      </c>
      <c r="AE702" t="s">
        <v>5332</v>
      </c>
      <c r="BF702" t="s">
        <v>5333</v>
      </c>
      <c r="BG702" t="s">
        <v>114</v>
      </c>
      <c r="BH702" t="s">
        <v>5327</v>
      </c>
      <c r="BI702" t="str">
        <f>HYPERLINK("https://d33htgqikc2pj4.cloudfront.net/5033f7e7-e8f8-4a75-946f-9bc8206e289b.jpeg", "Владимир Чугунов: Ссылка на изображение")</f>
        <v>Владимир Чугунов: Ссылка на изображение</v>
      </c>
      <c r="BJ702" t="str">
        <f>HYPERLINK("https://d33htgqikc2pj4.cloudfront.net/738eebb2-360e-4e8c-8c23-e672c9b415c4.jpeg", "Владимир Чугунов: Ссылка на изображение")</f>
        <v>Владимир Чугунов: Ссылка на изображение</v>
      </c>
      <c r="BK702" t="s">
        <v>102</v>
      </c>
    </row>
    <row r="703" spans="1:74" ht="15" customHeight="1" x14ac:dyDescent="0.35">
      <c r="A703">
        <v>496</v>
      </c>
      <c r="B703" t="s">
        <v>5334</v>
      </c>
      <c r="C703">
        <v>2</v>
      </c>
      <c r="D703" t="str">
        <f>VLOOKUP(source[[#This Row],[Приоритет]],тПриоритеты[],2,0)</f>
        <v>Значительное</v>
      </c>
      <c r="E70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3" t="s">
        <v>4451</v>
      </c>
      <c r="G703" t="s">
        <v>395</v>
      </c>
      <c r="H703" t="str">
        <f>VLOOKUP(source[[#This Row],[Отвественный]],тОтветственные[],2,0)</f>
        <v>Отв19</v>
      </c>
      <c r="I703" s="2">
        <v>43726</v>
      </c>
      <c r="J703" s="2">
        <v>43726</v>
      </c>
      <c r="K703" t="s">
        <v>104</v>
      </c>
      <c r="L703">
        <v>0</v>
      </c>
      <c r="M703">
        <v>0</v>
      </c>
      <c r="N703" t="s">
        <v>105</v>
      </c>
      <c r="Q703" t="s">
        <v>106</v>
      </c>
      <c r="R703" t="str">
        <f t="shared" ref="R703:R726" si="13">HYPERLINK("https://d28ji4sm1vmprj.cloudfront.net/e7a526a7220c3bc5cfeeb407c455c0b3/580ffb055aff8ee0c88c6e676cfba776.jpeg", "Ссылка на план")</f>
        <v>Ссылка на план</v>
      </c>
      <c r="S703" s="1">
        <v>43726.695775462962</v>
      </c>
      <c r="T703" s="1">
        <v>43726.696192129632</v>
      </c>
      <c r="U703" s="1">
        <v>43726.726655092592</v>
      </c>
      <c r="W703" s="1">
        <v>43726.726666666669</v>
      </c>
      <c r="X703" t="s">
        <v>3217</v>
      </c>
      <c r="AA703" t="s">
        <v>5335</v>
      </c>
      <c r="AB703" t="s">
        <v>5336</v>
      </c>
      <c r="AC703" t="s">
        <v>5337</v>
      </c>
      <c r="AD703" t="s">
        <v>5338</v>
      </c>
      <c r="AE703" t="s">
        <v>5339</v>
      </c>
      <c r="AF703" t="s">
        <v>5340</v>
      </c>
      <c r="AG703" t="s">
        <v>5341</v>
      </c>
      <c r="AH703" t="s">
        <v>5342</v>
      </c>
      <c r="AI703" t="s">
        <v>5343</v>
      </c>
      <c r="AJ703" t="s">
        <v>5344</v>
      </c>
      <c r="AK703" t="s">
        <v>5345</v>
      </c>
      <c r="BF703" t="s">
        <v>5346</v>
      </c>
      <c r="BG703" t="s">
        <v>744</v>
      </c>
      <c r="BH703" t="s">
        <v>114</v>
      </c>
      <c r="BI703" t="str">
        <f>HYPERLINK("https://d33htgqikc2pj4.cloudfront.net/5b1d4dbc-4a34-4d74-90f2-93038e23fc80.jpeg", "Владимир Чугунов: Ссылка на изображение")</f>
        <v>Владимир Чугунов: Ссылка на изображение</v>
      </c>
      <c r="BJ703" t="str">
        <f>HYPERLINK("https://d33htgqikc2pj4.cloudfront.net/f4d1fafe-9b28-4d56-932e-80d1a3b719cc.jpeg", "Владимир Чугунов: Ссылка на изображение")</f>
        <v>Владимир Чугунов: Ссылка на изображение</v>
      </c>
      <c r="BK703" t="str">
        <f>HYPERLINK("https://d33htgqikc2pj4.cloudfront.net/f57fb9d6-c328-41ac-9692-a7377d2a1c77.jpeg", "Владимир Чугунов: Ссылка на изображение")</f>
        <v>Владимир Чугунов: Ссылка на изображение</v>
      </c>
      <c r="BL703" t="str">
        <f>HYPERLINK("https://d33htgqikc2pj4.cloudfront.net/6a3f829f-1343-4b86-b039-6793b3b3ccbb.jpeg", "Владимир Чугунов: Ссылка на изображение")</f>
        <v>Владимир Чугунов: Ссылка на изображение</v>
      </c>
      <c r="BM703" t="str">
        <f>HYPERLINK("https://d33htgqikc2pj4.cloudfront.net/54e33bcd-ddef-4df6-aa60-10bde91447bc.jpeg", "Владимир Чугунов: Ссылка на изображение")</f>
        <v>Владимир Чугунов: Ссылка на изображение</v>
      </c>
      <c r="BN703" t="str">
        <f>HYPERLINK("https://d33htgqikc2pj4.cloudfront.net/9d060233-8429-41a9-8919-fa2d465a3c81.jpeg", "Владимир Чугунов: Ссылка на изображение")</f>
        <v>Владимир Чугунов: Ссылка на изображение</v>
      </c>
      <c r="BO703" t="str">
        <f>HYPERLINK("https://d33htgqikc2pj4.cloudfront.net/7305a14a-629d-404a-b4cb-0bd4961830f8.jpeg", "Владимир Чугунов: Ссылка на изображение")</f>
        <v>Владимир Чугунов: Ссылка на изображение</v>
      </c>
      <c r="BP703" t="str">
        <f>HYPERLINK("https://d33htgqikc2pj4.cloudfront.net/7be6c5e8-720b-48db-b450-05536c6cab0c.jpeg", "Владимир Чугунов: Ссылка на изображение")</f>
        <v>Владимир Чугунов: Ссылка на изображение</v>
      </c>
      <c r="BQ703" t="str">
        <f>HYPERLINK("https://d33htgqikc2pj4.cloudfront.net/19d6f5ff-27f8-4c08-aede-a2f7d31263c4.jpeg", "Владимир Чугунов: Ссылка на изображение")</f>
        <v>Владимир Чугунов: Ссылка на изображение</v>
      </c>
      <c r="BR703" t="str">
        <f>HYPERLINK("https://d33htgqikc2pj4.cloudfront.net/e4a391c4-ed66-41f1-88bf-f3a1a620c8f7.jpeg", "Владимир Чугунов: Ссылка на изображение")</f>
        <v>Владимир Чугунов: Ссылка на изображение</v>
      </c>
      <c r="BS703" t="str">
        <f>HYPERLINK("https://d33htgqikc2pj4.cloudfront.net/3dfcf311-96b7-423b-8b41-82efd301fd3f.jpeg", "Владимир Чугунов: Ссылка на изображение")</f>
        <v>Владимир Чугунов: Ссылка на изображение</v>
      </c>
      <c r="BT703" t="str">
        <f>HYPERLINK("https://d33htgqikc2pj4.cloudfront.net/07ebde11-58a0-47fc-b8d9-488f3f79d9de.jpeg", "Владимир Чугунов: Ссылка на изображение")</f>
        <v>Владимир Чугунов: Ссылка на изображение</v>
      </c>
      <c r="BU703" t="s">
        <v>102</v>
      </c>
    </row>
    <row r="704" spans="1:74" ht="15" customHeight="1" x14ac:dyDescent="0.35">
      <c r="A704">
        <v>384</v>
      </c>
      <c r="B704" t="s">
        <v>5347</v>
      </c>
      <c r="C704">
        <v>2</v>
      </c>
      <c r="D704" t="str">
        <f>VLOOKUP(source[[#This Row],[Приоритет]],тПриоритеты[],2,0)</f>
        <v>Значительное</v>
      </c>
      <c r="E70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4" t="s">
        <v>4451</v>
      </c>
      <c r="G704" t="s">
        <v>395</v>
      </c>
      <c r="H704" t="str">
        <f>VLOOKUP(source[[#This Row],[Отвественный]],тОтветственные[],2,0)</f>
        <v>Отв19</v>
      </c>
      <c r="I704" s="2">
        <v>43699</v>
      </c>
      <c r="J704" s="2">
        <v>43699</v>
      </c>
      <c r="K704" t="s">
        <v>104</v>
      </c>
      <c r="L704">
        <v>0</v>
      </c>
      <c r="M704">
        <v>0</v>
      </c>
      <c r="N704" t="s">
        <v>105</v>
      </c>
      <c r="Q704" t="s">
        <v>106</v>
      </c>
      <c r="R704" t="str">
        <f t="shared" si="13"/>
        <v>Ссылка на план</v>
      </c>
      <c r="S704" s="1">
        <v>43699.582268518519</v>
      </c>
      <c r="T704" s="1">
        <v>43699.582812499997</v>
      </c>
      <c r="U704" s="1">
        <v>43699.58315972222</v>
      </c>
      <c r="W704" s="1">
        <v>43699.583171296297</v>
      </c>
      <c r="X704" t="s">
        <v>2835</v>
      </c>
      <c r="AA704" t="s">
        <v>5348</v>
      </c>
      <c r="AB704" t="s">
        <v>5349</v>
      </c>
      <c r="AC704" t="s">
        <v>5350</v>
      </c>
      <c r="AD704" t="s">
        <v>5351</v>
      </c>
      <c r="AE704" t="s">
        <v>5352</v>
      </c>
      <c r="AF704" t="s">
        <v>5353</v>
      </c>
      <c r="AG704" t="s">
        <v>5354</v>
      </c>
      <c r="BF704" t="s">
        <v>5355</v>
      </c>
      <c r="BG704" t="s">
        <v>753</v>
      </c>
      <c r="BH704" t="s">
        <v>114</v>
      </c>
      <c r="BI704" t="s">
        <v>102</v>
      </c>
    </row>
    <row r="705" spans="1:75" ht="15" customHeight="1" x14ac:dyDescent="0.35">
      <c r="A705">
        <v>385</v>
      </c>
      <c r="B705" t="s">
        <v>5356</v>
      </c>
      <c r="C705">
        <v>2</v>
      </c>
      <c r="D705" t="str">
        <f>VLOOKUP(source[[#This Row],[Приоритет]],тПриоритеты[],2,0)</f>
        <v>Значительное</v>
      </c>
      <c r="E70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5" t="s">
        <v>4451</v>
      </c>
      <c r="G705" t="s">
        <v>395</v>
      </c>
      <c r="H705" t="str">
        <f>VLOOKUP(source[[#This Row],[Отвественный]],тОтветственные[],2,0)</f>
        <v>Отв19</v>
      </c>
      <c r="I705" s="2">
        <v>43699</v>
      </c>
      <c r="J705" s="2">
        <v>43699</v>
      </c>
      <c r="K705" t="s">
        <v>104</v>
      </c>
      <c r="L705">
        <v>0</v>
      </c>
      <c r="M705">
        <v>0</v>
      </c>
      <c r="N705" t="s">
        <v>105</v>
      </c>
      <c r="Q705" t="s">
        <v>106</v>
      </c>
      <c r="R705" t="str">
        <f t="shared" si="13"/>
        <v>Ссылка на план</v>
      </c>
      <c r="S705" s="1">
        <v>43699.583229166667</v>
      </c>
      <c r="T705" s="1">
        <v>43699.583275462966</v>
      </c>
      <c r="U705" s="1">
        <v>43699.585127314815</v>
      </c>
      <c r="W705" s="1">
        <v>43699.585138888891</v>
      </c>
      <c r="X705" t="s">
        <v>3217</v>
      </c>
      <c r="AA705" t="s">
        <v>5357</v>
      </c>
      <c r="AB705" t="s">
        <v>5358</v>
      </c>
      <c r="AC705" t="s">
        <v>5359</v>
      </c>
      <c r="AD705" t="s">
        <v>5360</v>
      </c>
      <c r="AE705" t="s">
        <v>5361</v>
      </c>
      <c r="AF705" t="s">
        <v>5362</v>
      </c>
      <c r="AG705" t="s">
        <v>5363</v>
      </c>
      <c r="AH705" t="s">
        <v>5364</v>
      </c>
      <c r="AI705" t="s">
        <v>5365</v>
      </c>
      <c r="AJ705" t="s">
        <v>5366</v>
      </c>
      <c r="AK705" t="s">
        <v>5367</v>
      </c>
      <c r="BF705" t="s">
        <v>114</v>
      </c>
      <c r="BG705" t="s">
        <v>5368</v>
      </c>
      <c r="BH705" t="s">
        <v>753</v>
      </c>
      <c r="BI705" t="str">
        <f>HYPERLINK("https://d33htgqikc2pj4.cloudfront.net/39082f36-d14e-41d4-8ffd-5cb5bf02795a.jpeg", "Владимир Чугунов: Ссылка на изображение")</f>
        <v>Владимир Чугунов: Ссылка на изображение</v>
      </c>
      <c r="BJ705" t="str">
        <f>HYPERLINK("https://d33htgqikc2pj4.cloudfront.net/5a6826a6-b8a9-47a7-9bf6-f0b85dfbe371.jpeg", "Владимир Чугунов: Ссылка на изображение")</f>
        <v>Владимир Чугунов: Ссылка на изображение</v>
      </c>
      <c r="BK705" t="str">
        <f>HYPERLINK("https://d33htgqikc2pj4.cloudfront.net/02d3b623-2201-4592-ae15-b9f6f9743dd5.jpeg", "Владимир Чугунов: Ссылка на изображение")</f>
        <v>Владимир Чугунов: Ссылка на изображение</v>
      </c>
      <c r="BL705" t="s">
        <v>102</v>
      </c>
    </row>
    <row r="706" spans="1:75" ht="15" customHeight="1" x14ac:dyDescent="0.35">
      <c r="A706">
        <v>389</v>
      </c>
      <c r="B706" t="s">
        <v>5369</v>
      </c>
      <c r="C706">
        <v>2</v>
      </c>
      <c r="D706" t="str">
        <f>VLOOKUP(source[[#This Row],[Приоритет]],тПриоритеты[],2,0)</f>
        <v>Значительное</v>
      </c>
      <c r="E70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6" t="s">
        <v>4451</v>
      </c>
      <c r="G706" t="s">
        <v>395</v>
      </c>
      <c r="H706" t="str">
        <f>VLOOKUP(source[[#This Row],[Отвественный]],тОтветственные[],2,0)</f>
        <v>Отв19</v>
      </c>
      <c r="I706" s="2">
        <v>43701</v>
      </c>
      <c r="J706" s="2">
        <v>43701</v>
      </c>
      <c r="K706" t="s">
        <v>104</v>
      </c>
      <c r="L706">
        <v>0</v>
      </c>
      <c r="M706">
        <v>0</v>
      </c>
      <c r="N706" t="s">
        <v>105</v>
      </c>
      <c r="Q706" t="s">
        <v>106</v>
      </c>
      <c r="R706" t="str">
        <f t="shared" si="13"/>
        <v>Ссылка на план</v>
      </c>
      <c r="S706" s="1">
        <v>43701.775682870371</v>
      </c>
      <c r="T706" s="1">
        <v>43701.775717592594</v>
      </c>
      <c r="U706" s="1">
        <v>43701.77684027778</v>
      </c>
      <c r="W706" s="1">
        <v>43701.77684027778</v>
      </c>
      <c r="X706" t="s">
        <v>2835</v>
      </c>
      <c r="AA706" t="s">
        <v>5370</v>
      </c>
      <c r="AB706" t="s">
        <v>5371</v>
      </c>
      <c r="AC706" t="s">
        <v>5372</v>
      </c>
      <c r="AD706" t="s">
        <v>5373</v>
      </c>
      <c r="AE706" t="s">
        <v>5374</v>
      </c>
      <c r="AF706" t="s">
        <v>5375</v>
      </c>
      <c r="AG706" t="s">
        <v>5376</v>
      </c>
      <c r="BF706" t="s">
        <v>114</v>
      </c>
      <c r="BG706" t="s">
        <v>5377</v>
      </c>
      <c r="BH706" t="s">
        <v>5378</v>
      </c>
      <c r="BI706" t="str">
        <f>HYPERLINK("https://d33htgqikc2pj4.cloudfront.net/1aa6a694-8500-4dc3-a961-aef160276ab8.jpeg", "Владимир Чугунов: Ссылка на изображение")</f>
        <v>Владимир Чугунов: Ссылка на изображение</v>
      </c>
      <c r="BJ706" t="str">
        <f>HYPERLINK("https://d33htgqikc2pj4.cloudfront.net/5c4b6796-5d15-4903-8460-6f2646916fa7.jpeg", "Владимир Чугунов: Ссылка на изображение")</f>
        <v>Владимир Чугунов: Ссылка на изображение</v>
      </c>
      <c r="BK706" t="str">
        <f>HYPERLINK("https://d33htgqikc2pj4.cloudfront.net/acaa0b5e-ec8f-47d7-b8c6-27ce89021a04.jpeg", "Владимир Чугунов: Ссылка на изображение")</f>
        <v>Владимир Чугунов: Ссылка на изображение</v>
      </c>
      <c r="BL706" t="s">
        <v>102</v>
      </c>
    </row>
    <row r="707" spans="1:75" ht="15" customHeight="1" x14ac:dyDescent="0.35">
      <c r="A707">
        <v>388</v>
      </c>
      <c r="B707" t="s">
        <v>5379</v>
      </c>
      <c r="C707">
        <v>2</v>
      </c>
      <c r="D707" t="str">
        <f>VLOOKUP(source[[#This Row],[Приоритет]],тПриоритеты[],2,0)</f>
        <v>Значительное</v>
      </c>
      <c r="E70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7" t="s">
        <v>4451</v>
      </c>
      <c r="G707" t="s">
        <v>395</v>
      </c>
      <c r="H707" t="str">
        <f>VLOOKUP(source[[#This Row],[Отвественный]],тОтветственные[],2,0)</f>
        <v>Отв19</v>
      </c>
      <c r="I707" s="2">
        <v>43700</v>
      </c>
      <c r="J707" s="2">
        <v>43700</v>
      </c>
      <c r="K707" t="s">
        <v>104</v>
      </c>
      <c r="L707">
        <v>0</v>
      </c>
      <c r="M707">
        <v>0</v>
      </c>
      <c r="N707" t="s">
        <v>105</v>
      </c>
      <c r="Q707" t="s">
        <v>106</v>
      </c>
      <c r="R707" t="str">
        <f t="shared" si="13"/>
        <v>Ссылка на план</v>
      </c>
      <c r="S707" s="1">
        <v>43700.64340277778</v>
      </c>
      <c r="T707" s="1">
        <v>43700.643414351849</v>
      </c>
      <c r="U707" s="1">
        <v>43700.646863425929</v>
      </c>
      <c r="W707" s="1">
        <v>43700.646863425929</v>
      </c>
      <c r="X707" t="s">
        <v>107</v>
      </c>
      <c r="Y707" t="s">
        <v>406</v>
      </c>
      <c r="AA707" t="s">
        <v>5380</v>
      </c>
      <c r="AB707" t="s">
        <v>5381</v>
      </c>
      <c r="AC707" t="s">
        <v>5382</v>
      </c>
      <c r="AD707" t="s">
        <v>5383</v>
      </c>
      <c r="AE707" t="s">
        <v>5384</v>
      </c>
      <c r="AF707" t="s">
        <v>5385</v>
      </c>
      <c r="AG707" t="s">
        <v>5386</v>
      </c>
      <c r="AH707" t="s">
        <v>5387</v>
      </c>
      <c r="AI707" t="s">
        <v>5388</v>
      </c>
      <c r="AJ707" t="s">
        <v>5389</v>
      </c>
      <c r="AK707" t="s">
        <v>5390</v>
      </c>
      <c r="AL707" t="s">
        <v>5391</v>
      </c>
      <c r="AM707" t="s">
        <v>5392</v>
      </c>
      <c r="BF707" t="s">
        <v>114</v>
      </c>
      <c r="BG707" t="s">
        <v>5393</v>
      </c>
      <c r="BH707" t="s">
        <v>5394</v>
      </c>
      <c r="BI707" t="s">
        <v>5395</v>
      </c>
      <c r="BJ707" t="str">
        <f>HYPERLINK("https://d33htgqikc2pj4.cloudfront.net/db2a5261-c9e1-41d3-a61f-8d4ef47c4934.jpeg", "Владимир Чугунов: Ссылка на изображение")</f>
        <v>Владимир Чугунов: Ссылка на изображение</v>
      </c>
      <c r="BK707" t="str">
        <f>HYPERLINK("https://d33htgqikc2pj4.cloudfront.net/02696426-0fbb-4980-90d4-9892fa6f0569.jpeg", "Владимир Чугунов: Ссылка на изображение")</f>
        <v>Владимир Чугунов: Ссылка на изображение</v>
      </c>
      <c r="BL707" t="str">
        <f>HYPERLINK("https://d33htgqikc2pj4.cloudfront.net/e361c237-e9f8-4ef4-a1d4-2221f9c198b4.jpeg", "Владимир Чугунов: Ссылка на изображение")</f>
        <v>Владимир Чугунов: Ссылка на изображение</v>
      </c>
      <c r="BM707" t="s">
        <v>127</v>
      </c>
      <c r="BN707" t="s">
        <v>5396</v>
      </c>
      <c r="BO707" t="s">
        <v>102</v>
      </c>
      <c r="BP707" t="str">
        <f>HYPERLINK("https://d33htgqikc2pj4.cloudfront.net/a503d62c-e271-438e-afc3-97cc4f84e0c9.jpeg", "Владимир Чугунов: Ссылка на изображение")</f>
        <v>Владимир Чугунов: Ссылка на изображение</v>
      </c>
    </row>
    <row r="708" spans="1:75" ht="15" customHeight="1" x14ac:dyDescent="0.35">
      <c r="A708">
        <v>415</v>
      </c>
      <c r="B708" t="s">
        <v>5397</v>
      </c>
      <c r="C708">
        <v>2</v>
      </c>
      <c r="D708" t="str">
        <f>VLOOKUP(source[[#This Row],[Приоритет]],тПриоритеты[],2,0)</f>
        <v>Значительное</v>
      </c>
      <c r="E70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8" t="s">
        <v>4451</v>
      </c>
      <c r="G708" t="s">
        <v>395</v>
      </c>
      <c r="H708" t="str">
        <f>VLOOKUP(source[[#This Row],[Отвественный]],тОтветственные[],2,0)</f>
        <v>Отв19</v>
      </c>
      <c r="I708" s="2">
        <v>43709</v>
      </c>
      <c r="J708" s="2">
        <v>43709</v>
      </c>
      <c r="K708" t="s">
        <v>104</v>
      </c>
      <c r="L708">
        <v>0</v>
      </c>
      <c r="M708">
        <v>0</v>
      </c>
      <c r="N708" t="s">
        <v>105</v>
      </c>
      <c r="Q708" t="s">
        <v>106</v>
      </c>
      <c r="R708" t="str">
        <f t="shared" si="13"/>
        <v>Ссылка на план</v>
      </c>
      <c r="S708" s="1">
        <v>43709.576689814814</v>
      </c>
      <c r="T708" s="1">
        <v>43709.576817129629</v>
      </c>
      <c r="U708" s="1">
        <v>43709.577557870369</v>
      </c>
      <c r="W708" s="1">
        <v>43709.577569444446</v>
      </c>
      <c r="X708" t="s">
        <v>2835</v>
      </c>
      <c r="AA708" t="s">
        <v>5398</v>
      </c>
      <c r="AB708" t="s">
        <v>5399</v>
      </c>
      <c r="AC708" t="s">
        <v>5400</v>
      </c>
      <c r="AD708" t="s">
        <v>5401</v>
      </c>
      <c r="AE708" t="s">
        <v>5402</v>
      </c>
      <c r="AF708" t="s">
        <v>5403</v>
      </c>
      <c r="AG708" t="s">
        <v>5404</v>
      </c>
      <c r="BF708" t="s">
        <v>114</v>
      </c>
      <c r="BG708" t="s">
        <v>5405</v>
      </c>
      <c r="BH708" t="s">
        <v>5406</v>
      </c>
      <c r="BI708" t="str">
        <f>HYPERLINK("https://d33htgqikc2pj4.cloudfront.net/04810ba8-f7a4-4eee-8efb-1a8a1eac2d1b.jpeg", "Владимир Чугунов: Ссылка на изображение")</f>
        <v>Владимир Чугунов: Ссылка на изображение</v>
      </c>
      <c r="BJ708" t="s">
        <v>102</v>
      </c>
    </row>
    <row r="709" spans="1:75" ht="15" customHeight="1" x14ac:dyDescent="0.35">
      <c r="A709">
        <v>501</v>
      </c>
      <c r="B709" t="s">
        <v>5407</v>
      </c>
      <c r="C709">
        <v>2</v>
      </c>
      <c r="D709" t="str">
        <f>VLOOKUP(source[[#This Row],[Приоритет]],тПриоритеты[],2,0)</f>
        <v>Значительное</v>
      </c>
      <c r="E70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09" t="s">
        <v>4451</v>
      </c>
      <c r="G709" t="s">
        <v>395</v>
      </c>
      <c r="H709" t="str">
        <f>VLOOKUP(source[[#This Row],[Отвественный]],тОтветственные[],2,0)</f>
        <v>Отв19</v>
      </c>
      <c r="I709" s="2">
        <v>43728</v>
      </c>
      <c r="J709" s="2">
        <v>43728</v>
      </c>
      <c r="K709" t="s">
        <v>104</v>
      </c>
      <c r="L709">
        <v>0</v>
      </c>
      <c r="M709">
        <v>0</v>
      </c>
      <c r="N709" t="s">
        <v>105</v>
      </c>
      <c r="Q709" t="s">
        <v>106</v>
      </c>
      <c r="R709" t="str">
        <f t="shared" si="13"/>
        <v>Ссылка на план</v>
      </c>
      <c r="S709" s="1">
        <v>43728.472291666665</v>
      </c>
      <c r="T709" s="1">
        <v>43728.472581018519</v>
      </c>
      <c r="U709" s="1">
        <v>43728.473692129628</v>
      </c>
      <c r="W709" s="1">
        <v>43728.473703703705</v>
      </c>
      <c r="X709" t="s">
        <v>2835</v>
      </c>
      <c r="AA709" t="s">
        <v>5408</v>
      </c>
      <c r="AB709" t="s">
        <v>5409</v>
      </c>
      <c r="AC709" t="s">
        <v>5410</v>
      </c>
      <c r="AD709" t="s">
        <v>5411</v>
      </c>
      <c r="AE709" t="s">
        <v>5412</v>
      </c>
      <c r="AF709" t="s">
        <v>5413</v>
      </c>
      <c r="AG709" t="s">
        <v>5414</v>
      </c>
      <c r="BF709" t="s">
        <v>5415</v>
      </c>
      <c r="BG709" t="s">
        <v>835</v>
      </c>
      <c r="BH709" t="s">
        <v>114</v>
      </c>
      <c r="BI709" t="str">
        <f>HYPERLINK("https://d33htgqikc2pj4.cloudfront.net/0eeb1b0c-df2e-4f0b-8610-537c9d5360c9.jpeg", "Владимир Чугунов: Ссылка на изображение")</f>
        <v>Владимир Чугунов: Ссылка на изображение</v>
      </c>
      <c r="BJ709" t="str">
        <f>HYPERLINK("https://d33htgqikc2pj4.cloudfront.net/bfabad95-fc88-4cea-9c25-1c6e6d8fd3b6.jpeg", "Владимир Чугунов: Ссылка на изображение")</f>
        <v>Владимир Чугунов: Ссылка на изображение</v>
      </c>
      <c r="BK709" t="s">
        <v>127</v>
      </c>
      <c r="BL709" t="s">
        <v>102</v>
      </c>
    </row>
    <row r="710" spans="1:75" ht="15" customHeight="1" x14ac:dyDescent="0.35">
      <c r="A710">
        <v>347</v>
      </c>
      <c r="B710" t="s">
        <v>5416</v>
      </c>
      <c r="C710">
        <v>2</v>
      </c>
      <c r="D710" t="str">
        <f>VLOOKUP(source[[#This Row],[Приоритет]],тПриоритеты[],2,0)</f>
        <v>Значительное</v>
      </c>
      <c r="E71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0" t="s">
        <v>4451</v>
      </c>
      <c r="G710" t="s">
        <v>395</v>
      </c>
      <c r="H710" t="str">
        <f>VLOOKUP(source[[#This Row],[Отвественный]],тОтветственные[],2,0)</f>
        <v>Отв19</v>
      </c>
      <c r="I710" s="2">
        <v>43684</v>
      </c>
      <c r="J710" s="2">
        <v>43684</v>
      </c>
      <c r="K710" t="s">
        <v>104</v>
      </c>
      <c r="L710">
        <v>0</v>
      </c>
      <c r="M710">
        <v>0</v>
      </c>
      <c r="N710" t="s">
        <v>105</v>
      </c>
      <c r="Q710" t="s">
        <v>106</v>
      </c>
      <c r="R710" t="str">
        <f t="shared" si="13"/>
        <v>Ссылка на план</v>
      </c>
      <c r="S710" s="1">
        <v>43684.650891203702</v>
      </c>
      <c r="T710" s="1">
        <v>43684.651689814818</v>
      </c>
      <c r="U710" s="1">
        <v>43684.70349537037</v>
      </c>
      <c r="W710" s="1">
        <v>43684.703553240739</v>
      </c>
      <c r="X710" t="s">
        <v>2835</v>
      </c>
      <c r="AA710" t="s">
        <v>5417</v>
      </c>
      <c r="AB710" t="s">
        <v>5418</v>
      </c>
      <c r="AC710" t="s">
        <v>5419</v>
      </c>
      <c r="AD710" t="s">
        <v>5420</v>
      </c>
      <c r="AE710" t="s">
        <v>5421</v>
      </c>
      <c r="AF710" t="s">
        <v>5422</v>
      </c>
      <c r="AG710" t="s">
        <v>5423</v>
      </c>
      <c r="BF710" t="s">
        <v>114</v>
      </c>
      <c r="BG710" t="s">
        <v>5424</v>
      </c>
      <c r="BH710" t="s">
        <v>5425</v>
      </c>
      <c r="BI710" t="str">
        <f>HYPERLINK("https://d33htgqikc2pj4.cloudfront.net/55ce828a-d234-46de-8767-32323fd552fc.jpeg", "Владимир Чугунов: Ссылка на изображение")</f>
        <v>Владимир Чугунов: Ссылка на изображение</v>
      </c>
      <c r="BJ710" t="str">
        <f>HYPERLINK("https://d33htgqikc2pj4.cloudfront.net/01b76c7c-557c-43d7-9b01-941d034447c1.jpeg", "Владимир Чугунов: Ссылка на изображение")</f>
        <v>Владимир Чугунов: Ссылка на изображение</v>
      </c>
      <c r="BK710" t="str">
        <f>HYPERLINK("https://d33htgqikc2pj4.cloudfront.net/08217ce2-0420-4ac5-a6dc-ee736f2296dc.jpeg", "Владимир Чугунов: Ссылка на изображение")</f>
        <v>Владимир Чугунов: Ссылка на изображение</v>
      </c>
      <c r="BL710" t="s">
        <v>102</v>
      </c>
    </row>
    <row r="711" spans="1:75" ht="15" customHeight="1" x14ac:dyDescent="0.35">
      <c r="A711">
        <v>507</v>
      </c>
      <c r="B711" t="s">
        <v>5426</v>
      </c>
      <c r="C711">
        <v>2</v>
      </c>
      <c r="D711" t="str">
        <f>VLOOKUP(source[[#This Row],[Приоритет]],тПриоритеты[],2,0)</f>
        <v>Значительное</v>
      </c>
      <c r="E71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1" t="s">
        <v>4451</v>
      </c>
      <c r="G711" t="s">
        <v>395</v>
      </c>
      <c r="H711" t="str">
        <f>VLOOKUP(source[[#This Row],[Отвественный]],тОтветственные[],2,0)</f>
        <v>Отв19</v>
      </c>
      <c r="I711" s="2">
        <v>43729</v>
      </c>
      <c r="J711" s="2">
        <v>43729</v>
      </c>
      <c r="K711" t="s">
        <v>104</v>
      </c>
      <c r="L711">
        <v>0</v>
      </c>
      <c r="M711">
        <v>0</v>
      </c>
      <c r="N711" t="s">
        <v>105</v>
      </c>
      <c r="Q711" t="s">
        <v>106</v>
      </c>
      <c r="R711" t="str">
        <f t="shared" si="13"/>
        <v>Ссылка на план</v>
      </c>
      <c r="S711" s="1">
        <v>43729.685682870368</v>
      </c>
      <c r="T711" s="1">
        <v>43729.685729166667</v>
      </c>
      <c r="U711" s="1">
        <v>43729.6871875</v>
      </c>
      <c r="W711" s="1">
        <v>43729.687199074076</v>
      </c>
      <c r="X711" t="s">
        <v>3217</v>
      </c>
      <c r="AA711" t="s">
        <v>5427</v>
      </c>
      <c r="AB711" t="s">
        <v>5428</v>
      </c>
      <c r="AC711" t="s">
        <v>5429</v>
      </c>
      <c r="AD711" t="s">
        <v>5430</v>
      </c>
      <c r="AE711" t="s">
        <v>5431</v>
      </c>
      <c r="AF711" t="s">
        <v>5432</v>
      </c>
      <c r="AG711" t="s">
        <v>5433</v>
      </c>
      <c r="AH711" t="s">
        <v>5434</v>
      </c>
      <c r="AI711" t="s">
        <v>5435</v>
      </c>
      <c r="AJ711" t="s">
        <v>5436</v>
      </c>
      <c r="AK711" t="s">
        <v>5437</v>
      </c>
      <c r="BF711" t="s">
        <v>114</v>
      </c>
      <c r="BG711" t="s">
        <v>5438</v>
      </c>
      <c r="BH711" t="s">
        <v>816</v>
      </c>
      <c r="BI711" t="str">
        <f>HYPERLINK("https://d33htgqikc2pj4.cloudfront.net/f8ac99e5-ed13-4427-99f5-b807835a9185.jpeg", "Владимир Чугунов: Ссылка на изображение")</f>
        <v>Владимир Чугунов: Ссылка на изображение</v>
      </c>
      <c r="BJ711" t="str">
        <f>HYPERLINK("https://d33htgqikc2pj4.cloudfront.net/bdb587a2-0b21-4459-87b1-b3b474dd10d4.jpeg", "Владимир Чугунов: Ссылка на изображение")</f>
        <v>Владимир Чугунов: Ссылка на изображение</v>
      </c>
      <c r="BK711" t="str">
        <f>HYPERLINK("https://d33htgqikc2pj4.cloudfront.net/dab5a4ae-f861-4df5-9678-255f3ec4517d.jpeg", "Владимир Чугунов: Ссылка на изображение")</f>
        <v>Владимир Чугунов: Ссылка на изображение</v>
      </c>
      <c r="BL711" t="str">
        <f>HYPERLINK("https://d33htgqikc2pj4.cloudfront.net/db3cc661-338a-4a46-83ca-1cc6f20fc093.jpeg", "Владимир Чугунов: Ссылка на изображение")</f>
        <v>Владимир Чугунов: Ссылка на изображение</v>
      </c>
      <c r="BM711" t="str">
        <f>HYPERLINK("https://d33htgqikc2pj4.cloudfront.net/3b85ccff-3d4b-45dd-a94d-08c2aa36b678.jpeg", "Владимир Чугунов: Ссылка на изображение")</f>
        <v>Владимир Чугунов: Ссылка на изображение</v>
      </c>
      <c r="BN711" t="str">
        <f>HYPERLINK("https://d33htgqikc2pj4.cloudfront.net/95c8d297-10bf-4d51-9390-69843b9bae32.jpeg", "Владимир Чугунов: Ссылка на изображение")</f>
        <v>Владимир Чугунов: Ссылка на изображение</v>
      </c>
      <c r="BO711" t="str">
        <f>HYPERLINK("https://d33htgqikc2pj4.cloudfront.net/99cdb814-a545-4081-9004-e2e4234c5b04.jpeg", "Владимир Чугунов: Ссылка на изображение")</f>
        <v>Владимир Чугунов: Ссылка на изображение</v>
      </c>
      <c r="BP711" t="str">
        <f>HYPERLINK("https://d33htgqikc2pj4.cloudfront.net/a9a5197c-ea3b-4111-a16f-02366a5f9ef7.jpeg", "Владимир Чугунов: Ссылка на изображение")</f>
        <v>Владимир Чугунов: Ссылка на изображение</v>
      </c>
      <c r="BQ711" t="s">
        <v>102</v>
      </c>
    </row>
    <row r="712" spans="1:75" ht="15" customHeight="1" x14ac:dyDescent="0.35">
      <c r="A712">
        <v>348</v>
      </c>
      <c r="B712" t="s">
        <v>5439</v>
      </c>
      <c r="C712">
        <v>2</v>
      </c>
      <c r="D712" t="str">
        <f>VLOOKUP(source[[#This Row],[Приоритет]],тПриоритеты[],2,0)</f>
        <v>Значительное</v>
      </c>
      <c r="E71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2" t="s">
        <v>4451</v>
      </c>
      <c r="G712" t="s">
        <v>395</v>
      </c>
      <c r="H712" t="str">
        <f>VLOOKUP(source[[#This Row],[Отвественный]],тОтветственные[],2,0)</f>
        <v>Отв19</v>
      </c>
      <c r="I712" s="2">
        <v>43685</v>
      </c>
      <c r="J712" s="2">
        <v>43685</v>
      </c>
      <c r="K712" t="s">
        <v>104</v>
      </c>
      <c r="L712">
        <v>0</v>
      </c>
      <c r="M712">
        <v>0</v>
      </c>
      <c r="N712" t="s">
        <v>105</v>
      </c>
      <c r="Q712" t="s">
        <v>106</v>
      </c>
      <c r="R712" t="str">
        <f t="shared" si="13"/>
        <v>Ссылка на план</v>
      </c>
      <c r="S712" s="1">
        <v>43685.545590277776</v>
      </c>
      <c r="T712" s="1">
        <v>43685.545520833337</v>
      </c>
      <c r="U712" s="1">
        <v>43685.547789351855</v>
      </c>
      <c r="W712" s="1">
        <v>43685.547905092593</v>
      </c>
      <c r="X712" t="s">
        <v>3217</v>
      </c>
      <c r="AA712" t="s">
        <v>5440</v>
      </c>
      <c r="AB712" t="s">
        <v>5441</v>
      </c>
      <c r="AC712" t="s">
        <v>5442</v>
      </c>
      <c r="AD712" t="s">
        <v>5443</v>
      </c>
      <c r="AE712" t="s">
        <v>5444</v>
      </c>
      <c r="AF712" t="s">
        <v>5445</v>
      </c>
      <c r="AG712" t="s">
        <v>5446</v>
      </c>
      <c r="AH712" t="s">
        <v>5447</v>
      </c>
      <c r="AI712" t="s">
        <v>5448</v>
      </c>
      <c r="AJ712" t="s">
        <v>5449</v>
      </c>
      <c r="AK712" t="s">
        <v>5450</v>
      </c>
      <c r="BF712" t="s">
        <v>114</v>
      </c>
      <c r="BG712" t="s">
        <v>5451</v>
      </c>
      <c r="BH712" t="s">
        <v>807</v>
      </c>
      <c r="BI712" t="str">
        <f>HYPERLINK("https://d33htgqikc2pj4.cloudfront.net/688a6d8d-4e7d-4873-991d-59a903a84778.jpeg", "Владимир Чугунов: Ссылка на изображение")</f>
        <v>Владимир Чугунов: Ссылка на изображение</v>
      </c>
      <c r="BJ712" t="str">
        <f>HYPERLINK("https://d33htgqikc2pj4.cloudfront.net/b3985c30-5ea2-4695-b404-ef4783482458.jpeg", "Владимир Чугунов: Ссылка на изображение")</f>
        <v>Владимир Чугунов: Ссылка на изображение</v>
      </c>
      <c r="BK712" t="str">
        <f>HYPERLINK("https://d33htgqikc2pj4.cloudfront.net/9470ec61-a7ca-49f7-b49f-bec3c879a656.jpeg", "Владимир Чугунов: Ссылка на изображение")</f>
        <v>Владимир Чугунов: Ссылка на изображение</v>
      </c>
      <c r="BL712" t="str">
        <f>HYPERLINK("https://d33htgqikc2pj4.cloudfront.net/fecfa3ff-1700-4f74-bf48-3ab5409a7e4e.jpeg", "Владимир Чугунов: Ссылка на изображение")</f>
        <v>Владимир Чугунов: Ссылка на изображение</v>
      </c>
      <c r="BM712" t="str">
        <f>HYPERLINK("https://d33htgqikc2pj4.cloudfront.net/ab1a5252-3eda-45cf-bdc2-bffabf4838e6.jpeg", "Владимир Чугунов: Ссылка на изображение")</f>
        <v>Владимир Чугунов: Ссылка на изображение</v>
      </c>
      <c r="BN712" t="str">
        <f>HYPERLINK("https://d33htgqikc2pj4.cloudfront.net/b75b7ad3-3710-49f0-981e-6610e656dacd.jpeg", "Владимир Чугунов: Ссылка на изображение")</f>
        <v>Владимир Чугунов: Ссылка на изображение</v>
      </c>
      <c r="BO712" t="str">
        <f>HYPERLINK("https://d33htgqikc2pj4.cloudfront.net/c5c4b0d6-7891-4e87-af11-17f888261452.jpeg", "Владимир Чугунов: Ссылка на изображение")</f>
        <v>Владимир Чугунов: Ссылка на изображение</v>
      </c>
      <c r="BP712" t="str">
        <f>HYPERLINK("https://d33htgqikc2pj4.cloudfront.net/bc32bdf8-ed18-41b7-bae7-c13eab8afa76.jpeg", "Владимир Чугунов: Ссылка на изображение")</f>
        <v>Владимир Чугунов: Ссылка на изображение</v>
      </c>
      <c r="BQ712" t="str">
        <f>HYPERLINK("https://d33htgqikc2pj4.cloudfront.net/6a80d233-6007-4af7-92b7-a1e38e8ec9c7.jpeg", "Владимир Чугунов: Ссылка на изображение")</f>
        <v>Владимир Чугунов: Ссылка на изображение</v>
      </c>
      <c r="BR712" t="str">
        <f>HYPERLINK("https://d33htgqikc2pj4.cloudfront.net/54d7ea9d-7e30-4b14-a85e-176d85895ea2.jpeg", "Владимир Чугунов: Ссылка на изображение")</f>
        <v>Владимир Чугунов: Ссылка на изображение</v>
      </c>
      <c r="BS712" t="str">
        <f>HYPERLINK("https://d33htgqikc2pj4.cloudfront.net/d1bf11c6-3056-4bf8-a0e6-77bd482558ec.jpeg", "Владимир Чугунов: Ссылка на изображение")</f>
        <v>Владимир Чугунов: Ссылка на изображение</v>
      </c>
      <c r="BT712" t="str">
        <f>HYPERLINK("https://d33htgqikc2pj4.cloudfront.net/57de9ac1-00ca-4735-bb13-e045a82285f1.jpeg", "Владимир Чугунов: Ссылка на изображение")</f>
        <v>Владимир Чугунов: Ссылка на изображение</v>
      </c>
      <c r="BU712" t="str">
        <f>HYPERLINK("https://d33htgqikc2pj4.cloudfront.net/d0e26c57-3adc-4f8a-b41d-1589b860c2c6.jpeg", "Владимир Чугунов: Ссылка на изображение")</f>
        <v>Владимир Чугунов: Ссылка на изображение</v>
      </c>
      <c r="BV712" t="s">
        <v>102</v>
      </c>
    </row>
    <row r="713" spans="1:75" ht="15" customHeight="1" x14ac:dyDescent="0.35">
      <c r="A713">
        <v>396</v>
      </c>
      <c r="B713" t="s">
        <v>5452</v>
      </c>
      <c r="C713">
        <v>2</v>
      </c>
      <c r="D713" t="str">
        <f>VLOOKUP(source[[#This Row],[Приоритет]],тПриоритеты[],2,0)</f>
        <v>Значительное</v>
      </c>
      <c r="E71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3" t="s">
        <v>4451</v>
      </c>
      <c r="G713" t="s">
        <v>395</v>
      </c>
      <c r="H713" t="str">
        <f>VLOOKUP(source[[#This Row],[Отвественный]],тОтветственные[],2,0)</f>
        <v>Отв19</v>
      </c>
      <c r="I713" s="2">
        <v>43706</v>
      </c>
      <c r="J713" s="2">
        <v>43706</v>
      </c>
      <c r="K713" t="s">
        <v>104</v>
      </c>
      <c r="L713">
        <v>0</v>
      </c>
      <c r="M713">
        <v>0</v>
      </c>
      <c r="N713" t="s">
        <v>105</v>
      </c>
      <c r="Q713" t="s">
        <v>106</v>
      </c>
      <c r="R713" t="str">
        <f t="shared" si="13"/>
        <v>Ссылка на план</v>
      </c>
      <c r="S713" s="1">
        <v>43704.432476851849</v>
      </c>
      <c r="T713" s="1">
        <v>43704.432523148149</v>
      </c>
      <c r="U713" s="1">
        <v>43706.461192129631</v>
      </c>
      <c r="W713" s="1">
        <v>43706.4612037037</v>
      </c>
      <c r="X713" t="s">
        <v>3217</v>
      </c>
      <c r="AA713" t="s">
        <v>5453</v>
      </c>
      <c r="AB713" t="s">
        <v>5454</v>
      </c>
      <c r="AC713" t="s">
        <v>5455</v>
      </c>
      <c r="AD713" t="s">
        <v>5456</v>
      </c>
      <c r="AE713" t="s">
        <v>5457</v>
      </c>
      <c r="AF713" t="s">
        <v>5458</v>
      </c>
      <c r="AG713" t="s">
        <v>5459</v>
      </c>
      <c r="AH713" t="s">
        <v>5460</v>
      </c>
      <c r="AI713" t="s">
        <v>5461</v>
      </c>
      <c r="AJ713" t="s">
        <v>5462</v>
      </c>
      <c r="AK713" t="s">
        <v>5463</v>
      </c>
      <c r="BF713" t="s">
        <v>114</v>
      </c>
      <c r="BG713" t="s">
        <v>5464</v>
      </c>
      <c r="BH713" t="s">
        <v>826</v>
      </c>
      <c r="BI713" t="str">
        <f>HYPERLINK("https://d33htgqikc2pj4.cloudfront.net/f69ae4b3-bfae-4fe5-8c37-ca2abd1b43c2.jpeg", "Владимир Чугунов: Ссылка на изображение")</f>
        <v>Владимир Чугунов: Ссылка на изображение</v>
      </c>
      <c r="BJ713" t="str">
        <f>HYPERLINK("https://d33htgqikc2pj4.cloudfront.net/4fde7652-617d-4ba4-b188-911f27f1fa12.jpeg", "Владимир Чугунов: Ссылка на изображение")</f>
        <v>Владимир Чугунов: Ссылка на изображение</v>
      </c>
      <c r="BK713" t="str">
        <f>HYPERLINK("https://d33htgqikc2pj4.cloudfront.net/d1165605-352d-4114-9425-fec740bd7d5a.jpeg", "Владимир Чугунов: Ссылка на изображение")</f>
        <v>Владимир Чугунов: Ссылка на изображение</v>
      </c>
      <c r="BL713" t="str">
        <f>HYPERLINK("https://d33htgqikc2pj4.cloudfront.net/381f892e-881a-4466-a12a-1cde95435a75.jpeg", "Владимир Чугунов: Ссылка на изображение")</f>
        <v>Владимир Чугунов: Ссылка на изображение</v>
      </c>
      <c r="BM713" t="str">
        <f>HYPERLINK("https://d33htgqikc2pj4.cloudfront.net/9538b0d6-01a3-4940-8658-abf4a63473e8.jpeg", "Владимир Чугунов: Ссылка на изображение")</f>
        <v>Владимир Чугунов: Ссылка на изображение</v>
      </c>
      <c r="BN713" t="str">
        <f>HYPERLINK("https://d33htgqikc2pj4.cloudfront.net/92026535-068d-4ab9-a129-13900bdd9363.jpeg", "Владимир Чугунов: Ссылка на изображение")</f>
        <v>Владимир Чугунов: Ссылка на изображение</v>
      </c>
      <c r="BO713" t="str">
        <f>HYPERLINK("https://d33htgqikc2pj4.cloudfront.net/949dbe2f-17a6-4410-8c05-5f4126f04fc5.jpeg", "Владимир Чугунов: Ссылка на изображение")</f>
        <v>Владимир Чугунов: Ссылка на изображение</v>
      </c>
      <c r="BP713" t="str">
        <f>HYPERLINK("https://d33htgqikc2pj4.cloudfront.net/531fcad7-f6a8-45ba-919f-035862a079c3.jpeg", "Владимир Чугунов: Ссылка на изображение")</f>
        <v>Владимир Чугунов: Ссылка на изображение</v>
      </c>
      <c r="BQ713" t="str">
        <f>HYPERLINK("https://d33htgqikc2pj4.cloudfront.net/e6eb5429-a513-47f6-995f-cbd6ed96f1d2.jpeg", "Владимир Чугунов: Ссылка на изображение")</f>
        <v>Владимир Чугунов: Ссылка на изображение</v>
      </c>
      <c r="BR713" t="str">
        <f>HYPERLINK("https://d33htgqikc2pj4.cloudfront.net/fb8d34c6-22ef-4a94-ad3d-65307a443917.jpeg", "Владимир Чугунов: Ссылка на изображение")</f>
        <v>Владимир Чугунов: Ссылка на изображение</v>
      </c>
      <c r="BS713" t="str">
        <f>HYPERLINK("https://d33htgqikc2pj4.cloudfront.net/252480cc-6024-49a6-bb17-d31a9d228776.jpeg", "Владимир Чугунов: Ссылка на изображение")</f>
        <v>Владимир Чугунов: Ссылка на изображение</v>
      </c>
      <c r="BT713" t="str">
        <f>HYPERLINK("https://d33htgqikc2pj4.cloudfront.net/173a1dcd-22bb-4db4-a2a5-f9cfff412d17.jpeg", "Владимир Чугунов: Ссылка на изображение")</f>
        <v>Владимир Чугунов: Ссылка на изображение</v>
      </c>
      <c r="BU713" t="str">
        <f>HYPERLINK("https://d33htgqikc2pj4.cloudfront.net/094707ec-3406-481b-b5a8-7fe76b1dbaea.jpeg", "Владимир Чугунов: Ссылка на изображение")</f>
        <v>Владимир Чугунов: Ссылка на изображение</v>
      </c>
      <c r="BV713" t="s">
        <v>102</v>
      </c>
      <c r="BW713" t="s">
        <v>102</v>
      </c>
    </row>
    <row r="714" spans="1:75" ht="15" customHeight="1" x14ac:dyDescent="0.35">
      <c r="A714">
        <v>505</v>
      </c>
      <c r="B714" t="s">
        <v>5465</v>
      </c>
      <c r="C714">
        <v>2</v>
      </c>
      <c r="D714" t="str">
        <f>VLOOKUP(source[[#This Row],[Приоритет]],тПриоритеты[],2,0)</f>
        <v>Значительное</v>
      </c>
      <c r="E71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4" t="s">
        <v>4451</v>
      </c>
      <c r="G714" t="s">
        <v>395</v>
      </c>
      <c r="H714" t="str">
        <f>VLOOKUP(source[[#This Row],[Отвественный]],тОтветственные[],2,0)</f>
        <v>Отв19</v>
      </c>
      <c r="I714" s="2">
        <v>43729</v>
      </c>
      <c r="J714" s="2">
        <v>43729</v>
      </c>
      <c r="K714" t="s">
        <v>104</v>
      </c>
      <c r="L714">
        <v>0</v>
      </c>
      <c r="M714">
        <v>0</v>
      </c>
      <c r="N714" t="s">
        <v>105</v>
      </c>
      <c r="Q714" t="s">
        <v>106</v>
      </c>
      <c r="R714" t="str">
        <f t="shared" si="13"/>
        <v>Ссылка на план</v>
      </c>
      <c r="S714" s="1">
        <v>43729.495775462965</v>
      </c>
      <c r="T714" s="1">
        <v>43729.495821759258</v>
      </c>
      <c r="U714" s="1">
        <v>43729.496736111112</v>
      </c>
      <c r="W714" s="1">
        <v>43729.496759259258</v>
      </c>
      <c r="X714" t="s">
        <v>2835</v>
      </c>
      <c r="AA714" t="s">
        <v>5466</v>
      </c>
      <c r="AB714" t="s">
        <v>5467</v>
      </c>
      <c r="AC714" t="s">
        <v>5468</v>
      </c>
      <c r="AD714" t="s">
        <v>5469</v>
      </c>
      <c r="AE714" t="s">
        <v>5470</v>
      </c>
      <c r="AF714" t="s">
        <v>5471</v>
      </c>
      <c r="AG714" t="s">
        <v>5472</v>
      </c>
      <c r="BF714" t="s">
        <v>114</v>
      </c>
      <c r="BG714" t="s">
        <v>5473</v>
      </c>
      <c r="BH714" t="s">
        <v>816</v>
      </c>
      <c r="BI714" t="str">
        <f>HYPERLINK("https://d33htgqikc2pj4.cloudfront.net/10813ec9-9322-4b87-b6c2-ae261ced186a.jpeg", "Владимир Чугунов: Ссылка на изображение")</f>
        <v>Владимир Чугунов: Ссылка на изображение</v>
      </c>
      <c r="BJ714" t="s">
        <v>102</v>
      </c>
    </row>
    <row r="715" spans="1:75" ht="15" customHeight="1" x14ac:dyDescent="0.35">
      <c r="A715">
        <v>529</v>
      </c>
      <c r="B715" t="s">
        <v>5474</v>
      </c>
      <c r="C715">
        <v>2</v>
      </c>
      <c r="D715" t="str">
        <f>VLOOKUP(source[[#This Row],[Приоритет]],тПриоритеты[],2,0)</f>
        <v>Значительное</v>
      </c>
      <c r="E71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5" t="s">
        <v>4451</v>
      </c>
      <c r="G715" t="s">
        <v>395</v>
      </c>
      <c r="H715" t="str">
        <f>VLOOKUP(source[[#This Row],[Отвественный]],тОтветственные[],2,0)</f>
        <v>Отв19</v>
      </c>
      <c r="I715" s="2">
        <v>43732</v>
      </c>
      <c r="J715" s="2">
        <v>43732</v>
      </c>
      <c r="K715" t="s">
        <v>104</v>
      </c>
      <c r="L715">
        <v>0</v>
      </c>
      <c r="M715">
        <v>0</v>
      </c>
      <c r="N715" t="s">
        <v>105</v>
      </c>
      <c r="Q715" t="s">
        <v>106</v>
      </c>
      <c r="R715" t="str">
        <f t="shared" si="13"/>
        <v>Ссылка на план</v>
      </c>
      <c r="S715" s="1">
        <v>43732.410243055558</v>
      </c>
      <c r="T715" s="1">
        <v>43732.410266203704</v>
      </c>
      <c r="U715" s="1">
        <v>43732.695011574076</v>
      </c>
      <c r="W715" s="1">
        <v>43732.695023148146</v>
      </c>
      <c r="X715" t="s">
        <v>3217</v>
      </c>
      <c r="AA715" t="s">
        <v>5475</v>
      </c>
      <c r="AB715" t="s">
        <v>5476</v>
      </c>
      <c r="AC715" t="s">
        <v>5477</v>
      </c>
      <c r="AD715" t="s">
        <v>5478</v>
      </c>
      <c r="AE715" t="s">
        <v>5479</v>
      </c>
      <c r="AF715" t="s">
        <v>5480</v>
      </c>
      <c r="AG715" t="s">
        <v>5481</v>
      </c>
      <c r="AH715" t="s">
        <v>5482</v>
      </c>
      <c r="AI715" t="s">
        <v>5483</v>
      </c>
      <c r="AJ715" t="s">
        <v>5484</v>
      </c>
      <c r="AK715" t="s">
        <v>5485</v>
      </c>
      <c r="BF715" t="s">
        <v>114</v>
      </c>
      <c r="BG715" t="s">
        <v>5486</v>
      </c>
      <c r="BH715" t="s">
        <v>870</v>
      </c>
      <c r="BI715" t="str">
        <f>HYPERLINK("https://d33htgqikc2pj4.cloudfront.net/695691af-806f-45dd-be94-4f10064c71ed.jpeg", "Владимир Чугунов: Ссылка на изображение")</f>
        <v>Владимир Чугунов: Ссылка на изображение</v>
      </c>
      <c r="BJ715" t="str">
        <f>HYPERLINK("https://d33htgqikc2pj4.cloudfront.net/5e863d91-0d60-4ad4-a8b1-73a8764b242f.jpeg", "Владимир Чугунов: Ссылка на изображение")</f>
        <v>Владимир Чугунов: Ссылка на изображение</v>
      </c>
      <c r="BK715" t="str">
        <f>HYPERLINK("https://d33htgqikc2pj4.cloudfront.net/bd24c1ca-4205-4808-b7bd-677dcd13fe54.jpeg", "Владимир Чугунов: Ссылка на изображение")</f>
        <v>Владимир Чугунов: Ссылка на изображение</v>
      </c>
      <c r="BL715" t="str">
        <f>HYPERLINK("https://d33htgqikc2pj4.cloudfront.net/307df380-e549-4425-9010-630a8f68a76d.jpeg", "Владимир Чугунов: Ссылка на изображение")</f>
        <v>Владимир Чугунов: Ссылка на изображение</v>
      </c>
      <c r="BM715" t="str">
        <f>HYPERLINK("https://d33htgqikc2pj4.cloudfront.net/9467d513-0aa1-4724-be7f-7c4ca50f5541.jpeg", "Владимир Чугунов: Ссылка на изображение")</f>
        <v>Владимир Чугунов: Ссылка на изображение</v>
      </c>
      <c r="BN715" t="str">
        <f>HYPERLINK("https://d33htgqikc2pj4.cloudfront.net/3273b8ed-5070-4d56-85b3-1173c07a8342.jpeg", "Владимир Чугунов: Ссылка на изображение")</f>
        <v>Владимир Чугунов: Ссылка на изображение</v>
      </c>
      <c r="BO715" t="str">
        <f>HYPERLINK("https://d33htgqikc2pj4.cloudfront.net/b32ffcd1-3c03-44f7-a177-584b8a8398d3.jpeg", "Владимир Чугунов: Ссылка на изображение")</f>
        <v>Владимир Чугунов: Ссылка на изображение</v>
      </c>
      <c r="BP715" t="str">
        <f>HYPERLINK("https://d33htgqikc2pj4.cloudfront.net/541abe76-6ca9-4f4c-bf81-30fc0a9a8a44.jpeg", "Владимир Чугунов: Ссылка на изображение")</f>
        <v>Владимир Чугунов: Ссылка на изображение</v>
      </c>
      <c r="BQ715" t="str">
        <f>HYPERLINK("https://d33htgqikc2pj4.cloudfront.net/626e9c91-0830-4943-bac2-d6e1f655bfaf.jpeg", "Владимир Чугунов: Ссылка на изображение")</f>
        <v>Владимир Чугунов: Ссылка на изображение</v>
      </c>
      <c r="BR715" t="str">
        <f>HYPERLINK("https://d33htgqikc2pj4.cloudfront.net/dde46706-10ee-4170-b1f7-ace6714febfa.jpeg", "Владимир Чугунов: Ссылка на изображение")</f>
        <v>Владимир Чугунов: Ссылка на изображение</v>
      </c>
      <c r="BS715" t="str">
        <f>HYPERLINK("https://d33htgqikc2pj4.cloudfront.net/f2cbe17f-afe7-4661-a370-d9bc8bddb3fb.jpeg", "Владимир Чугунов: Ссылка на изображение")</f>
        <v>Владимир Чугунов: Ссылка на изображение</v>
      </c>
      <c r="BT715" t="str">
        <f>HYPERLINK("https://d33htgqikc2pj4.cloudfront.net/3719dd67-c21d-45e9-881e-894d46f33914.jpeg", "Владимир Чугунов: Ссылка на изображение")</f>
        <v>Владимир Чугунов: Ссылка на изображение</v>
      </c>
      <c r="BU715" t="str">
        <f>HYPERLINK("https://d33htgqikc2pj4.cloudfront.net/a55dc61c-8e71-4742-bd9e-1dbc9fa08ef0.jpeg", "Владимир Чугунов: Ссылка на изображение")</f>
        <v>Владимир Чугунов: Ссылка на изображение</v>
      </c>
      <c r="BV715" t="str">
        <f>HYPERLINK("https://d33htgqikc2pj4.cloudfront.net/bc3d68ae-f09f-4542-baa2-17d675306fce.jpeg", "Владимир Чугунов: Ссылка на изображение")</f>
        <v>Владимир Чугунов: Ссылка на изображение</v>
      </c>
      <c r="BW715" t="s">
        <v>102</v>
      </c>
    </row>
    <row r="716" spans="1:75" ht="15" customHeight="1" x14ac:dyDescent="0.35">
      <c r="A716">
        <v>533</v>
      </c>
      <c r="B716" t="s">
        <v>5487</v>
      </c>
      <c r="C716">
        <v>2</v>
      </c>
      <c r="D716" t="str">
        <f>VLOOKUP(source[[#This Row],[Приоритет]],тПриоритеты[],2,0)</f>
        <v>Значительное</v>
      </c>
      <c r="E71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6" t="s">
        <v>4451</v>
      </c>
      <c r="G716" t="s">
        <v>395</v>
      </c>
      <c r="H716" t="str">
        <f>VLOOKUP(source[[#This Row],[Отвественный]],тОтветственные[],2,0)</f>
        <v>Отв19</v>
      </c>
      <c r="I716" s="2">
        <v>43733</v>
      </c>
      <c r="J716" s="2">
        <v>43733</v>
      </c>
      <c r="K716" t="s">
        <v>104</v>
      </c>
      <c r="L716">
        <v>0</v>
      </c>
      <c r="M716">
        <v>0</v>
      </c>
      <c r="N716" t="s">
        <v>105</v>
      </c>
      <c r="Q716" t="s">
        <v>106</v>
      </c>
      <c r="R716" t="str">
        <f t="shared" si="13"/>
        <v>Ссылка на план</v>
      </c>
      <c r="S716" s="1">
        <v>43733.702638888892</v>
      </c>
      <c r="T716" s="1">
        <v>43733.702662037038</v>
      </c>
      <c r="U716" s="1">
        <v>43733.746469907404</v>
      </c>
      <c r="W716" s="1">
        <v>43733.746504629627</v>
      </c>
      <c r="X716" t="s">
        <v>3217</v>
      </c>
      <c r="AA716" t="s">
        <v>5488</v>
      </c>
      <c r="AB716" t="s">
        <v>5489</v>
      </c>
      <c r="AC716" t="s">
        <v>5490</v>
      </c>
      <c r="AD716" t="s">
        <v>5491</v>
      </c>
      <c r="AE716" t="s">
        <v>5492</v>
      </c>
      <c r="AF716" t="s">
        <v>5493</v>
      </c>
      <c r="AG716" t="s">
        <v>5494</v>
      </c>
      <c r="AH716" t="s">
        <v>5495</v>
      </c>
      <c r="AI716" t="s">
        <v>5496</v>
      </c>
      <c r="AJ716" t="s">
        <v>5497</v>
      </c>
      <c r="AK716" t="s">
        <v>5498</v>
      </c>
      <c r="BF716" t="s">
        <v>114</v>
      </c>
      <c r="BG716" t="s">
        <v>5499</v>
      </c>
      <c r="BH716" t="s">
        <v>897</v>
      </c>
      <c r="BI716" t="str">
        <f>HYPERLINK("https://d33htgqikc2pj4.cloudfront.net/78fb90c3-261d-425f-85a2-827a6958e4e1.jpeg", "Владимир Чугунов: Ссылка на изображение")</f>
        <v>Владимир Чугунов: Ссылка на изображение</v>
      </c>
      <c r="BJ716" t="str">
        <f>HYPERLINK("https://d33htgqikc2pj4.cloudfront.net/2f3984c8-619d-408a-af66-985f622960f1.jpeg", "Владимир Чугунов: Ссылка на изображение")</f>
        <v>Владимир Чугунов: Ссылка на изображение</v>
      </c>
      <c r="BK716" t="str">
        <f>HYPERLINK("https://d33htgqikc2pj4.cloudfront.net/85713a92-7129-4d1d-bf72-33be7a1210e9.jpeg", "Владимир Чугунов: Ссылка на изображение")</f>
        <v>Владимир Чугунов: Ссылка на изображение</v>
      </c>
      <c r="BL716" t="str">
        <f>HYPERLINK("https://d33htgqikc2pj4.cloudfront.net/bbc967b3-2bba-4658-a7da-f52f28b0d4a6.jpeg", "Владимир Чугунов: Ссылка на изображение")</f>
        <v>Владимир Чугунов: Ссылка на изображение</v>
      </c>
      <c r="BM716" t="str">
        <f>HYPERLINK("https://d33htgqikc2pj4.cloudfront.net/942a40b3-8814-4546-92a7-5142159c26cc.jpeg", "Владимир Чугунов: Ссылка на изображение")</f>
        <v>Владимир Чугунов: Ссылка на изображение</v>
      </c>
      <c r="BN716" t="str">
        <f>HYPERLINK("https://d33htgqikc2pj4.cloudfront.net/bb61c3fb-f5c3-4f9e-aea7-c19d42dd8f44.jpeg", "Владимир Чугунов: Ссылка на изображение")</f>
        <v>Владимир Чугунов: Ссылка на изображение</v>
      </c>
      <c r="BO716" t="str">
        <f>HYPERLINK("https://d33htgqikc2pj4.cloudfront.net/665aea12-71bf-4e69-8b69-0945bb1ec6cf.jpeg", "Владимир Чугунов: Ссылка на изображение")</f>
        <v>Владимир Чугунов: Ссылка на изображение</v>
      </c>
      <c r="BP716" t="str">
        <f>HYPERLINK("https://d33htgqikc2pj4.cloudfront.net/4f8d775c-b2a3-4335-ab3d-a9508e1c5ea5.jpeg", "Владимир Чугунов: Ссылка на изображение")</f>
        <v>Владимир Чугунов: Ссылка на изображение</v>
      </c>
      <c r="BQ716" t="str">
        <f>HYPERLINK("https://d33htgqikc2pj4.cloudfront.net/7fb7d9c7-0409-4dd2-bb2d-662f0071a30b.jpeg", "Владимир Чугунов: Ссылка на изображение")</f>
        <v>Владимир Чугунов: Ссылка на изображение</v>
      </c>
      <c r="BR716" t="s">
        <v>102</v>
      </c>
    </row>
    <row r="717" spans="1:75" ht="15" customHeight="1" x14ac:dyDescent="0.35">
      <c r="A717">
        <v>416</v>
      </c>
      <c r="B717" t="s">
        <v>5500</v>
      </c>
      <c r="C717">
        <v>2</v>
      </c>
      <c r="D717" t="str">
        <f>VLOOKUP(source[[#This Row],[Приоритет]],тПриоритеты[],2,0)</f>
        <v>Значительное</v>
      </c>
      <c r="E71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7" t="s">
        <v>4451</v>
      </c>
      <c r="G717" t="s">
        <v>395</v>
      </c>
      <c r="H717" t="str">
        <f>VLOOKUP(source[[#This Row],[Отвественный]],тОтветственные[],2,0)</f>
        <v>Отв19</v>
      </c>
      <c r="I717" s="2">
        <v>43710</v>
      </c>
      <c r="J717" s="2">
        <v>43710</v>
      </c>
      <c r="K717" t="s">
        <v>104</v>
      </c>
      <c r="L717">
        <v>0</v>
      </c>
      <c r="M717">
        <v>0</v>
      </c>
      <c r="N717" t="s">
        <v>105</v>
      </c>
      <c r="Q717" t="s">
        <v>106</v>
      </c>
      <c r="R717" t="str">
        <f t="shared" si="13"/>
        <v>Ссылка на план</v>
      </c>
      <c r="S717" s="1">
        <v>43710.43959490741</v>
      </c>
      <c r="T717" s="1">
        <v>43710.441793981481</v>
      </c>
      <c r="U717" s="1">
        <v>43710.477199074077</v>
      </c>
      <c r="W717" s="1">
        <v>43710.477210648147</v>
      </c>
      <c r="X717" t="s">
        <v>3217</v>
      </c>
      <c r="AA717" t="s">
        <v>5501</v>
      </c>
      <c r="AB717" t="s">
        <v>5502</v>
      </c>
      <c r="AC717" t="s">
        <v>5503</v>
      </c>
      <c r="AD717" t="s">
        <v>5504</v>
      </c>
      <c r="AE717" t="s">
        <v>5505</v>
      </c>
      <c r="AF717" t="s">
        <v>5506</v>
      </c>
      <c r="AG717" t="s">
        <v>5507</v>
      </c>
      <c r="AH717" t="s">
        <v>5508</v>
      </c>
      <c r="AI717" t="s">
        <v>5509</v>
      </c>
      <c r="AJ717" t="s">
        <v>5510</v>
      </c>
      <c r="AK717" t="s">
        <v>5511</v>
      </c>
      <c r="BF717" t="s">
        <v>5512</v>
      </c>
      <c r="BG717" t="s">
        <v>888</v>
      </c>
      <c r="BH717" t="s">
        <v>114</v>
      </c>
      <c r="BI717" t="str">
        <f>HYPERLINK("https://d33htgqikc2pj4.cloudfront.net/8b624cea-af3c-43f9-8ead-5d728ae8a50a.jpeg", "Владимир Чугунов: Ссылка на изображение")</f>
        <v>Владимир Чугунов: Ссылка на изображение</v>
      </c>
      <c r="BJ717" t="str">
        <f>HYPERLINK("https://d33htgqikc2pj4.cloudfront.net/337e7be8-702b-4dde-aad0-17187ef9ae85.jpeg", "Владимир Чугунов: Ссылка на изображение")</f>
        <v>Владимир Чугунов: Ссылка на изображение</v>
      </c>
      <c r="BK717" t="str">
        <f>HYPERLINK("https://d33htgqikc2pj4.cloudfront.net/2c6e6908-2106-421a-9300-543ca591c05d.jpeg", "Владимир Чугунов: Ссылка на изображение")</f>
        <v>Владимир Чугунов: Ссылка на изображение</v>
      </c>
      <c r="BL717" t="str">
        <f>HYPERLINK("https://d33htgqikc2pj4.cloudfront.net/fcc1478a-dc49-4b9d-81ba-bdd71f9e60e5.jpeg", "Владимир Чугунов: Ссылка на изображение")</f>
        <v>Владимир Чугунов: Ссылка на изображение</v>
      </c>
      <c r="BM717" t="str">
        <f>HYPERLINK("https://d33htgqikc2pj4.cloudfront.net/2b933efc-5e85-4fa9-8b97-75a7d73c1949.jpeg", "Владимир Чугунов: Ссылка на изображение")</f>
        <v>Владимир Чугунов: Ссылка на изображение</v>
      </c>
      <c r="BN717" t="str">
        <f>HYPERLINK("https://d33htgqikc2pj4.cloudfront.net/d2ed5f16-8716-4187-8b5c-15f987698e67.jpeg", "Владимир Чугунов: Ссылка на изображение")</f>
        <v>Владимир Чугунов: Ссылка на изображение</v>
      </c>
      <c r="BO717" t="str">
        <f>HYPERLINK("https://d33htgqikc2pj4.cloudfront.net/9d4c79cd-08c2-45e9-95fd-1f6bcbe24ba5.jpeg", "Владимир Чугунов: Ссылка на изображение")</f>
        <v>Владимир Чугунов: Ссылка на изображение</v>
      </c>
      <c r="BP717" t="str">
        <f>HYPERLINK("https://d33htgqikc2pj4.cloudfront.net/fe7685d3-8310-4e47-9efd-164169bc945e.jpeg", "Владимир Чугунов: Ссылка на изображение")</f>
        <v>Владимир Чугунов: Ссылка на изображение</v>
      </c>
      <c r="BQ717" t="str">
        <f>HYPERLINK("https://d33htgqikc2pj4.cloudfront.net/5a4e579d-d0e5-490a-ba0e-b1af37e8297f.jpeg", "Владимир Чугунов: Ссылка на изображение")</f>
        <v>Владимир Чугунов: Ссылка на изображение</v>
      </c>
      <c r="BR717" t="str">
        <f>HYPERLINK("https://d33htgqikc2pj4.cloudfront.net/4b3d15ff-316d-4662-9bac-7f7e30e280c0.jpeg", "Владимир Чугунов: Ссылка на изображение")</f>
        <v>Владимир Чугунов: Ссылка на изображение</v>
      </c>
      <c r="BS717" t="str">
        <f>HYPERLINK("https://d33htgqikc2pj4.cloudfront.net/f7343001-77ac-40d3-a4ff-fa0950544280.jpeg", "Владимир Чугунов: Ссылка на изображение")</f>
        <v>Владимир Чугунов: Ссылка на изображение</v>
      </c>
      <c r="BT717" t="s">
        <v>102</v>
      </c>
    </row>
    <row r="718" spans="1:75" ht="15" customHeight="1" x14ac:dyDescent="0.35">
      <c r="A718">
        <v>539</v>
      </c>
      <c r="B718" t="s">
        <v>5513</v>
      </c>
      <c r="C718">
        <v>2</v>
      </c>
      <c r="D718" t="str">
        <f>VLOOKUP(source[[#This Row],[Приоритет]],тПриоритеты[],2,0)</f>
        <v>Значительное</v>
      </c>
      <c r="E71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8" t="s">
        <v>4451</v>
      </c>
      <c r="G718" t="s">
        <v>395</v>
      </c>
      <c r="H718" t="str">
        <f>VLOOKUP(source[[#This Row],[Отвественный]],тОтветственные[],2,0)</f>
        <v>Отв19</v>
      </c>
      <c r="I718" s="2">
        <v>43734</v>
      </c>
      <c r="J718" s="2">
        <v>43734</v>
      </c>
      <c r="K718" t="s">
        <v>104</v>
      </c>
      <c r="L718">
        <v>0</v>
      </c>
      <c r="M718">
        <v>0</v>
      </c>
      <c r="N718" t="s">
        <v>105</v>
      </c>
      <c r="Q718" t="s">
        <v>106</v>
      </c>
      <c r="R718" t="str">
        <f t="shared" si="13"/>
        <v>Ссылка на план</v>
      </c>
      <c r="S718" s="1">
        <v>43734.776331018518</v>
      </c>
      <c r="T718" s="1">
        <v>43734.776423611111</v>
      </c>
      <c r="U718" s="1">
        <v>43734.799664351849</v>
      </c>
      <c r="W718" s="1">
        <v>43734.799675925926</v>
      </c>
      <c r="X718" t="s">
        <v>3217</v>
      </c>
      <c r="AA718" t="s">
        <v>5514</v>
      </c>
      <c r="AB718" t="s">
        <v>5515</v>
      </c>
      <c r="AC718" t="s">
        <v>5516</v>
      </c>
      <c r="AD718" t="s">
        <v>5517</v>
      </c>
      <c r="AE718" t="s">
        <v>5518</v>
      </c>
      <c r="AF718" t="s">
        <v>5519</v>
      </c>
      <c r="AG718" t="s">
        <v>5520</v>
      </c>
      <c r="AH718" t="s">
        <v>5521</v>
      </c>
      <c r="AI718" t="s">
        <v>5522</v>
      </c>
      <c r="AJ718" t="s">
        <v>5523</v>
      </c>
      <c r="AK718" t="s">
        <v>5524</v>
      </c>
      <c r="BF718" t="s">
        <v>114</v>
      </c>
      <c r="BG718" t="s">
        <v>5525</v>
      </c>
      <c r="BH718" t="s">
        <v>879</v>
      </c>
      <c r="BI718" t="str">
        <f>HYPERLINK("https://d33htgqikc2pj4.cloudfront.net/d2a5bc9b-3bd6-41cc-a848-2ffbe0fdf9a7.jpeg", "Владимир Чугунов: Ссылка на изображение")</f>
        <v>Владимир Чугунов: Ссылка на изображение</v>
      </c>
      <c r="BJ718" t="str">
        <f>HYPERLINK("https://d33htgqikc2pj4.cloudfront.net/deec7e06-9c1c-4b1b-919d-89b6001068cc.jpeg", "Владимир Чугунов: Ссылка на изображение")</f>
        <v>Владимир Чугунов: Ссылка на изображение</v>
      </c>
      <c r="BK718" t="str">
        <f>HYPERLINK("https://d33htgqikc2pj4.cloudfront.net/343d1226-90ab-46b2-ae5e-077d4e86a4cd.jpeg", "Владимир Чугунов: Ссылка на изображение")</f>
        <v>Владимир Чугунов: Ссылка на изображение</v>
      </c>
      <c r="BL718" t="str">
        <f>HYPERLINK("https://d33htgqikc2pj4.cloudfront.net/91d109e6-e581-4a0c-9c78-871d40d41595.jpeg", "Владимир Чугунов: Ссылка на изображение")</f>
        <v>Владимир Чугунов: Ссылка на изображение</v>
      </c>
      <c r="BM718" t="str">
        <f>HYPERLINK("https://d33htgqikc2pj4.cloudfront.net/9cacf51d-ccd6-4ce7-b5bd-2604bd87fbd3.jpeg", "Владимир Чугунов: Ссылка на изображение")</f>
        <v>Владимир Чугунов: Ссылка на изображение</v>
      </c>
      <c r="BN718" t="str">
        <f>HYPERLINK("https://d33htgqikc2pj4.cloudfront.net/a160f5b9-0cf1-471b-baeb-4825912ef0fe.jpeg", "Владимир Чугунов: Ссылка на изображение")</f>
        <v>Владимир Чугунов: Ссылка на изображение</v>
      </c>
      <c r="BO718" t="str">
        <f>HYPERLINK("https://d33htgqikc2pj4.cloudfront.net/6d19463c-548a-4d50-9889-c8f7b1dcc717.jpeg", "Владимир Чугунов: Ссылка на изображение")</f>
        <v>Владимир Чугунов: Ссылка на изображение</v>
      </c>
      <c r="BP718" t="s">
        <v>102</v>
      </c>
    </row>
    <row r="719" spans="1:75" ht="15" customHeight="1" x14ac:dyDescent="0.35">
      <c r="A719">
        <v>428</v>
      </c>
      <c r="B719" t="s">
        <v>5526</v>
      </c>
      <c r="C719">
        <v>2</v>
      </c>
      <c r="D719" t="str">
        <f>VLOOKUP(source[[#This Row],[Приоритет]],тПриоритеты[],2,0)</f>
        <v>Значительное</v>
      </c>
      <c r="E71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19" t="s">
        <v>4451</v>
      </c>
      <c r="G719" t="s">
        <v>395</v>
      </c>
      <c r="H719" t="str">
        <f>VLOOKUP(source[[#This Row],[Отвественный]],тОтветственные[],2,0)</f>
        <v>Отв19</v>
      </c>
      <c r="I719" s="2">
        <v>43712</v>
      </c>
      <c r="J719" s="2">
        <v>43712</v>
      </c>
      <c r="K719" t="s">
        <v>104</v>
      </c>
      <c r="L719">
        <v>0</v>
      </c>
      <c r="M719">
        <v>0</v>
      </c>
      <c r="N719" t="s">
        <v>105</v>
      </c>
      <c r="Q719" t="s">
        <v>106</v>
      </c>
      <c r="R719" t="str">
        <f t="shared" si="13"/>
        <v>Ссылка на план</v>
      </c>
      <c r="S719" s="1">
        <v>43712.42633101852</v>
      </c>
      <c r="T719" s="1">
        <v>43712.4455787037</v>
      </c>
      <c r="U719" s="1">
        <v>43712.462314814817</v>
      </c>
      <c r="W719" s="1">
        <v>43712.462326388886</v>
      </c>
      <c r="X719" t="s">
        <v>406</v>
      </c>
      <c r="Y719" t="s">
        <v>3217</v>
      </c>
      <c r="AA719" t="s">
        <v>5527</v>
      </c>
      <c r="AB719" t="s">
        <v>5528</v>
      </c>
      <c r="AC719" t="s">
        <v>5529</v>
      </c>
      <c r="AD719" t="s">
        <v>5530</v>
      </c>
      <c r="AE719" t="s">
        <v>5531</v>
      </c>
      <c r="AF719" t="s">
        <v>5532</v>
      </c>
      <c r="AG719" t="s">
        <v>5533</v>
      </c>
      <c r="AH719" t="s">
        <v>5534</v>
      </c>
      <c r="AI719" t="s">
        <v>5535</v>
      </c>
      <c r="AJ719" t="s">
        <v>5536</v>
      </c>
      <c r="AK719" t="s">
        <v>5537</v>
      </c>
      <c r="AL719" t="s">
        <v>5538</v>
      </c>
      <c r="AM719" t="s">
        <v>5539</v>
      </c>
      <c r="AN719" t="s">
        <v>5540</v>
      </c>
      <c r="AO719" t="s">
        <v>5541</v>
      </c>
      <c r="AP719" t="s">
        <v>5542</v>
      </c>
      <c r="AQ719" t="s">
        <v>5543</v>
      </c>
      <c r="AR719" t="s">
        <v>5544</v>
      </c>
      <c r="BF719" t="s">
        <v>5545</v>
      </c>
      <c r="BG719" t="s">
        <v>917</v>
      </c>
      <c r="BH719" t="s">
        <v>114</v>
      </c>
      <c r="BI719" t="s">
        <v>5546</v>
      </c>
      <c r="BJ719" t="str">
        <f>HYPERLINK("https://d33htgqikc2pj4.cloudfront.net/94317839-1142-4d7b-8e0e-6e4926962d24.jpeg", "Владимир Чугунов: Ссылка на изображение")</f>
        <v>Владимир Чугунов: Ссылка на изображение</v>
      </c>
      <c r="BK719" t="str">
        <f>HYPERLINK("https://d33htgqikc2pj4.cloudfront.net/c69c0a5f-77da-4c0f-895c-370435e3a1ee.jpeg", "Владимир Чугунов: Ссылка на изображение")</f>
        <v>Владимир Чугунов: Ссылка на изображение</v>
      </c>
      <c r="BL719" t="str">
        <f>HYPERLINK("https://d33htgqikc2pj4.cloudfront.net/7002dac3-e850-4258-865a-a7effbdee1d0.jpeg", "Владимир Чугунов: Ссылка на изображение")</f>
        <v>Владимир Чугунов: Ссылка на изображение</v>
      </c>
      <c r="BM719" t="str">
        <f>HYPERLINK("https://d33htgqikc2pj4.cloudfront.net/e4580317-ab7b-4dde-8ff6-80eeb10c2576.jpeg", "Владимир Чугунов: Ссылка на изображение")</f>
        <v>Владимир Чугунов: Ссылка на изображение</v>
      </c>
      <c r="BN719" t="str">
        <f>HYPERLINK("https://d33htgqikc2pj4.cloudfront.net/009be0c6-2328-4b5e-b54d-4c821142db40.jpeg", "Владимир Чугунов: Ссылка на изображение")</f>
        <v>Владимир Чугунов: Ссылка на изображение</v>
      </c>
      <c r="BO719" t="str">
        <f>HYPERLINK("https://d33htgqikc2pj4.cloudfront.net/9f0bfb8f-6ea8-44ff-b8fb-f35f49fd81d4.jpeg", "Владимир Чугунов: Ссылка на изображение")</f>
        <v>Владимир Чугунов: Ссылка на изображение</v>
      </c>
      <c r="BP719" t="str">
        <f>HYPERLINK("https://d33htgqikc2pj4.cloudfront.net/52b5fae7-583e-441b-a041-71929ccdea9d.jpeg", "Владимир Чугунов: Ссылка на изображение")</f>
        <v>Владимир Чугунов: Ссылка на изображение</v>
      </c>
      <c r="BQ719" t="str">
        <f>HYPERLINK("https://d33htgqikc2pj4.cloudfront.net/6b9baaaa-8c13-4d1a-becf-97ffb15cf978.jpeg", "Владимир Чугунов: Ссылка на изображение")</f>
        <v>Владимир Чугунов: Ссылка на изображение</v>
      </c>
      <c r="BR719" t="str">
        <f>HYPERLINK("https://d33htgqikc2pj4.cloudfront.net/029908cc-3636-449d-b6f1-b960fa749f37.jpeg", "Владимир Чугунов: Ссылка на изображение")</f>
        <v>Владимир Чугунов: Ссылка на изображение</v>
      </c>
      <c r="BS719" t="str">
        <f>HYPERLINK("https://d33htgqikc2pj4.cloudfront.net/8f7d3e41-91f8-4884-809d-5b25e0ec00cd.jpeg", "Владимир Чугунов: Ссылка на изображение")</f>
        <v>Владимир Чугунов: Ссылка на изображение</v>
      </c>
      <c r="BT719" t="str">
        <f>HYPERLINK("https://d33htgqikc2pj4.cloudfront.net/04e348fd-abae-43fc-9bba-f807d7f36c52.jpeg", "Владимир Чугунов: Ссылка на изображение")</f>
        <v>Владимир Чугунов: Ссылка на изображение</v>
      </c>
      <c r="BU719" t="s">
        <v>102</v>
      </c>
    </row>
    <row r="720" spans="1:75" ht="15" customHeight="1" x14ac:dyDescent="0.35">
      <c r="A720">
        <v>546</v>
      </c>
      <c r="B720" t="s">
        <v>5547</v>
      </c>
      <c r="C720">
        <v>2</v>
      </c>
      <c r="D720" t="str">
        <f>VLOOKUP(source[[#This Row],[Приоритет]],тПриоритеты[],2,0)</f>
        <v>Значительное</v>
      </c>
      <c r="E72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0" t="s">
        <v>4451</v>
      </c>
      <c r="G720" t="s">
        <v>395</v>
      </c>
      <c r="H720" t="str">
        <f>VLOOKUP(source[[#This Row],[Отвественный]],тОтветственные[],2,0)</f>
        <v>Отв19</v>
      </c>
      <c r="I720" s="2">
        <v>43735</v>
      </c>
      <c r="J720" s="2">
        <v>43735</v>
      </c>
      <c r="K720" t="s">
        <v>104</v>
      </c>
      <c r="L720">
        <v>0</v>
      </c>
      <c r="M720">
        <v>0</v>
      </c>
      <c r="N720" t="s">
        <v>105</v>
      </c>
      <c r="Q720" t="s">
        <v>106</v>
      </c>
      <c r="R720" t="str">
        <f t="shared" si="13"/>
        <v>Ссылка на план</v>
      </c>
      <c r="S720" s="1">
        <v>43735.653912037036</v>
      </c>
      <c r="T720" s="1">
        <v>43735.654409722221</v>
      </c>
      <c r="U720" s="1">
        <v>43735.655972222223</v>
      </c>
      <c r="W720" s="1">
        <v>43735.6559837963</v>
      </c>
      <c r="X720" t="s">
        <v>3217</v>
      </c>
      <c r="AA720" t="s">
        <v>5548</v>
      </c>
      <c r="AB720" t="s">
        <v>5549</v>
      </c>
      <c r="AC720" t="s">
        <v>5550</v>
      </c>
      <c r="AD720" t="s">
        <v>5551</v>
      </c>
      <c r="AE720" t="s">
        <v>5552</v>
      </c>
      <c r="AF720" t="s">
        <v>5553</v>
      </c>
      <c r="AG720" t="s">
        <v>5554</v>
      </c>
      <c r="AH720" t="s">
        <v>5555</v>
      </c>
      <c r="AI720" t="s">
        <v>5556</v>
      </c>
      <c r="AJ720" t="s">
        <v>5557</v>
      </c>
      <c r="AK720" t="s">
        <v>5558</v>
      </c>
      <c r="BF720" t="s">
        <v>5559</v>
      </c>
      <c r="BG720" t="s">
        <v>114</v>
      </c>
      <c r="BH720" t="s">
        <v>4337</v>
      </c>
      <c r="BI720" t="str">
        <f>HYPERLINK("https://d33htgqikc2pj4.cloudfront.net/464d976b-49c3-402c-9181-0fde696839c1.jpeg", "Владимир Чугунов: Ссылка на изображение")</f>
        <v>Владимир Чугунов: Ссылка на изображение</v>
      </c>
      <c r="BJ720" t="str">
        <f>HYPERLINK("https://d33htgqikc2pj4.cloudfront.net/7d510b14-7d28-4c06-9c69-4545867c22a5.jpeg", "Владимир Чугунов: Ссылка на изображение")</f>
        <v>Владимир Чугунов: Ссылка на изображение</v>
      </c>
      <c r="BK720" t="str">
        <f>HYPERLINK("https://d33htgqikc2pj4.cloudfront.net/cf57364b-649c-43b8-b90d-76364654f8e1.jpeg", "Владимир Чугунов: Ссылка на изображение")</f>
        <v>Владимир Чугунов: Ссылка на изображение</v>
      </c>
      <c r="BL720" t="str">
        <f>HYPERLINK("https://d33htgqikc2pj4.cloudfront.net/ba20404b-510c-4cc6-b076-25bf3f07ad3a.jpeg", "Владимир Чугунов: Ссылка на изображение")</f>
        <v>Владимир Чугунов: Ссылка на изображение</v>
      </c>
      <c r="BM720" t="str">
        <f>HYPERLINK("https://d33htgqikc2pj4.cloudfront.net/3cbdfef0-23bb-472e-b04a-d20390631134.jpeg", "Владимир Чугунов: Ссылка на изображение")</f>
        <v>Владимир Чугунов: Ссылка на изображение</v>
      </c>
      <c r="BN720" t="str">
        <f>HYPERLINK("https://d33htgqikc2pj4.cloudfront.net/8b59a963-a357-4542-b50e-01ac72b4ae0d.jpeg", "Владимир Чугунов: Ссылка на изображение")</f>
        <v>Владимир Чугунов: Ссылка на изображение</v>
      </c>
      <c r="BO720" t="str">
        <f>HYPERLINK("https://d33htgqikc2pj4.cloudfront.net/1502cf53-754b-4ea5-b5a0-2ecaa5806baa.jpeg", "Владимир Чугунов: Ссылка на изображение")</f>
        <v>Владимир Чугунов: Ссылка на изображение</v>
      </c>
      <c r="BP720" t="str">
        <f>HYPERLINK("https://d33htgqikc2pj4.cloudfront.net/26ee078e-d39d-4f13-8776-7fbdbb278aa1.jpeg", "Владимир Чугунов: Ссылка на изображение")</f>
        <v>Владимир Чугунов: Ссылка на изображение</v>
      </c>
      <c r="BQ720" t="str">
        <f>HYPERLINK("https://d33htgqikc2pj4.cloudfront.net/38e3efab-959e-41aa-b3bd-a6674562b66f.jpeg", "Владимир Чугунов: Ссылка на изображение")</f>
        <v>Владимир Чугунов: Ссылка на изображение</v>
      </c>
      <c r="BR720" t="str">
        <f>HYPERLINK("https://d33htgqikc2pj4.cloudfront.net/f624f8b4-edb1-4d38-8826-4b05e377e1b7.jpeg", "Владимир Чугунов: Ссылка на изображение")</f>
        <v>Владимир Чугунов: Ссылка на изображение</v>
      </c>
      <c r="BS720" t="str">
        <f>HYPERLINK("https://d33htgqikc2pj4.cloudfront.net/68d5b441-3eed-4102-ae6c-797c8807a562.jpeg", "Владимир Чугунов: Ссылка на изображение")</f>
        <v>Владимир Чугунов: Ссылка на изображение</v>
      </c>
      <c r="BT720" t="s">
        <v>102</v>
      </c>
    </row>
    <row r="721" spans="1:74" ht="15" customHeight="1" x14ac:dyDescent="0.35">
      <c r="A721">
        <v>543</v>
      </c>
      <c r="B721" t="s">
        <v>5560</v>
      </c>
      <c r="C721">
        <v>2</v>
      </c>
      <c r="D721" t="str">
        <f>VLOOKUP(source[[#This Row],[Приоритет]],тПриоритеты[],2,0)</f>
        <v>Значительное</v>
      </c>
      <c r="E72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1" t="s">
        <v>4451</v>
      </c>
      <c r="G721" t="s">
        <v>395</v>
      </c>
      <c r="H721" t="str">
        <f>VLOOKUP(source[[#This Row],[Отвественный]],тОтветственные[],2,0)</f>
        <v>Отв19</v>
      </c>
      <c r="I721" s="2">
        <v>43735</v>
      </c>
      <c r="J721" s="2">
        <v>43735</v>
      </c>
      <c r="K721" t="s">
        <v>104</v>
      </c>
      <c r="L721">
        <v>0</v>
      </c>
      <c r="M721">
        <v>0</v>
      </c>
      <c r="N721" t="s">
        <v>105</v>
      </c>
      <c r="Q721" t="s">
        <v>106</v>
      </c>
      <c r="R721" t="str">
        <f t="shared" si="13"/>
        <v>Ссылка на план</v>
      </c>
      <c r="S721" s="1">
        <v>43735.488749999997</v>
      </c>
      <c r="T721" s="1">
        <v>43735.48877314815</v>
      </c>
      <c r="U721" s="1">
        <v>43735.490115740744</v>
      </c>
      <c r="W721" s="1">
        <v>43735.490127314813</v>
      </c>
      <c r="X721" t="s">
        <v>2835</v>
      </c>
      <c r="AA721" t="s">
        <v>5561</v>
      </c>
      <c r="AB721" t="s">
        <v>5562</v>
      </c>
      <c r="AC721" t="s">
        <v>5563</v>
      </c>
      <c r="AD721" t="s">
        <v>5564</v>
      </c>
      <c r="AE721" t="s">
        <v>5565</v>
      </c>
      <c r="AF721" t="s">
        <v>5566</v>
      </c>
      <c r="AG721" t="s">
        <v>5567</v>
      </c>
      <c r="BF721" t="s">
        <v>114</v>
      </c>
      <c r="BG721" t="s">
        <v>5568</v>
      </c>
      <c r="BH721" t="s">
        <v>4337</v>
      </c>
      <c r="BI721" t="str">
        <f>HYPERLINK("https://d33htgqikc2pj4.cloudfront.net/35f3afc5-b50e-4fa9-9ea1-af540b17e9cd.jpeg", "Владимир Чугунов: Ссылка на изображение")</f>
        <v>Владимир Чугунов: Ссылка на изображение</v>
      </c>
      <c r="BJ721" t="s">
        <v>102</v>
      </c>
    </row>
    <row r="722" spans="1:74" ht="15" customHeight="1" x14ac:dyDescent="0.35">
      <c r="A722">
        <v>553</v>
      </c>
      <c r="B722" t="s">
        <v>5569</v>
      </c>
      <c r="C722">
        <v>2</v>
      </c>
      <c r="D722" t="str">
        <f>VLOOKUP(source[[#This Row],[Приоритет]],тПриоритеты[],2,0)</f>
        <v>Значительное</v>
      </c>
      <c r="E72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2" t="s">
        <v>4451</v>
      </c>
      <c r="G722" t="s">
        <v>395</v>
      </c>
      <c r="H722" t="str">
        <f>VLOOKUP(source[[#This Row],[Отвественный]],тОтветственные[],2,0)</f>
        <v>Отв19</v>
      </c>
      <c r="I722" s="2">
        <v>43737</v>
      </c>
      <c r="J722" s="2">
        <v>43737</v>
      </c>
      <c r="K722" t="s">
        <v>104</v>
      </c>
      <c r="L722">
        <v>0</v>
      </c>
      <c r="M722">
        <v>0</v>
      </c>
      <c r="N722" t="s">
        <v>105</v>
      </c>
      <c r="Q722" t="s">
        <v>106</v>
      </c>
      <c r="R722" t="str">
        <f t="shared" si="13"/>
        <v>Ссылка на план</v>
      </c>
      <c r="S722" s="1">
        <v>43737.646736111114</v>
      </c>
      <c r="T722" s="1">
        <v>43737.64675925926</v>
      </c>
      <c r="U722" s="1">
        <v>43737.648310185185</v>
      </c>
      <c r="W722" s="1">
        <v>43737.648333333331</v>
      </c>
      <c r="X722" t="s">
        <v>2835</v>
      </c>
      <c r="AA722" t="s">
        <v>5570</v>
      </c>
      <c r="AB722" t="s">
        <v>5571</v>
      </c>
      <c r="AC722" t="s">
        <v>5572</v>
      </c>
      <c r="AD722" t="s">
        <v>5573</v>
      </c>
      <c r="AE722" t="s">
        <v>5574</v>
      </c>
      <c r="AF722" t="s">
        <v>5575</v>
      </c>
      <c r="AG722" t="s">
        <v>5576</v>
      </c>
      <c r="BF722" t="s">
        <v>114</v>
      </c>
      <c r="BG722" t="s">
        <v>5577</v>
      </c>
      <c r="BH722" t="s">
        <v>926</v>
      </c>
      <c r="BI722" t="s">
        <v>127</v>
      </c>
      <c r="BJ722" t="s">
        <v>127</v>
      </c>
      <c r="BK722" t="s">
        <v>102</v>
      </c>
    </row>
    <row r="723" spans="1:74" ht="15" customHeight="1" x14ac:dyDescent="0.35">
      <c r="A723">
        <v>554</v>
      </c>
      <c r="B723" t="s">
        <v>5578</v>
      </c>
      <c r="C723">
        <v>2</v>
      </c>
      <c r="D723" t="str">
        <f>VLOOKUP(source[[#This Row],[Приоритет]],тПриоритеты[],2,0)</f>
        <v>Значительное</v>
      </c>
      <c r="E72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3" t="s">
        <v>4451</v>
      </c>
      <c r="G723" t="s">
        <v>395</v>
      </c>
      <c r="H723" t="str">
        <f>VLOOKUP(source[[#This Row],[Отвественный]],тОтветственные[],2,0)</f>
        <v>Отв19</v>
      </c>
      <c r="I723" s="2">
        <v>43737</v>
      </c>
      <c r="J723" s="2">
        <v>43737</v>
      </c>
      <c r="K723" t="s">
        <v>104</v>
      </c>
      <c r="L723">
        <v>0</v>
      </c>
      <c r="M723">
        <v>0</v>
      </c>
      <c r="N723" t="s">
        <v>105</v>
      </c>
      <c r="Q723" t="s">
        <v>106</v>
      </c>
      <c r="R723" t="str">
        <f t="shared" si="13"/>
        <v>Ссылка на план</v>
      </c>
      <c r="S723" s="1">
        <v>43737.6484375</v>
      </c>
      <c r="T723" s="1">
        <v>43737.648449074077</v>
      </c>
      <c r="U723" s="1">
        <v>43737.689027777778</v>
      </c>
      <c r="W723" s="1">
        <v>43737.689039351855</v>
      </c>
      <c r="X723" t="s">
        <v>3217</v>
      </c>
      <c r="AA723" t="s">
        <v>5579</v>
      </c>
      <c r="AB723" t="s">
        <v>5580</v>
      </c>
      <c r="AC723" t="s">
        <v>5581</v>
      </c>
      <c r="AD723" t="s">
        <v>5582</v>
      </c>
      <c r="AE723" t="s">
        <v>5583</v>
      </c>
      <c r="AF723" t="s">
        <v>5584</v>
      </c>
      <c r="AG723" t="s">
        <v>5585</v>
      </c>
      <c r="AH723" t="s">
        <v>5586</v>
      </c>
      <c r="AI723" t="s">
        <v>5587</v>
      </c>
      <c r="AJ723" t="s">
        <v>5588</v>
      </c>
      <c r="AK723" t="s">
        <v>5589</v>
      </c>
      <c r="BF723" t="s">
        <v>114</v>
      </c>
      <c r="BG723" t="s">
        <v>5590</v>
      </c>
      <c r="BH723" t="s">
        <v>926</v>
      </c>
      <c r="BI723" t="str">
        <f>HYPERLINK("https://d33htgqikc2pj4.cloudfront.net/56716f71-a92c-41a0-a060-2388c76d2f02.jpeg", "Владимир Чугунов: Ссылка на изображение")</f>
        <v>Владимир Чугунов: Ссылка на изображение</v>
      </c>
      <c r="BJ723" t="str">
        <f>HYPERLINK("https://d33htgqikc2pj4.cloudfront.net/f267036b-80a3-403b-b01a-1dc67314707c.jpeg", "Владимир Чугунов: Ссылка на изображение")</f>
        <v>Владимир Чугунов: Ссылка на изображение</v>
      </c>
      <c r="BK723" t="str">
        <f>HYPERLINK("https://d33htgqikc2pj4.cloudfront.net/024daf08-06c5-424f-bda3-d8659516158a.jpeg", "Владимир Чугунов: Ссылка на изображение")</f>
        <v>Владимир Чугунов: Ссылка на изображение</v>
      </c>
      <c r="BL723" t="str">
        <f>HYPERLINK("https://d33htgqikc2pj4.cloudfront.net/720f5532-49b5-4489-b48f-abdfec04460d.jpeg", "Владимир Чугунов: Ссылка на изображение")</f>
        <v>Владимир Чугунов: Ссылка на изображение</v>
      </c>
      <c r="BM723" t="str">
        <f>HYPERLINK("https://d33htgqikc2pj4.cloudfront.net/9c3238ee-38c0-4135-8e53-ad12e137a35c.jpeg", "Владимир Чугунов: Ссылка на изображение")</f>
        <v>Владимир Чугунов: Ссылка на изображение</v>
      </c>
      <c r="BN723" t="str">
        <f>HYPERLINK("https://d33htgqikc2pj4.cloudfront.net/59b542eb-14a6-4645-aaaf-0982a408c958.jpeg", "Владимир Чугунов: Ссылка на изображение")</f>
        <v>Владимир Чугунов: Ссылка на изображение</v>
      </c>
      <c r="BO723" t="str">
        <f>HYPERLINK("https://d33htgqikc2pj4.cloudfront.net/7ebc69ae-4703-47f5-9a27-167a0bd3c9fa.jpeg", "Владимир Чугунов: Ссылка на изображение")</f>
        <v>Владимир Чугунов: Ссылка на изображение</v>
      </c>
      <c r="BP723" t="s">
        <v>102</v>
      </c>
    </row>
    <row r="724" spans="1:74" ht="15" customHeight="1" x14ac:dyDescent="0.35">
      <c r="A724">
        <v>439</v>
      </c>
      <c r="B724" t="s">
        <v>5591</v>
      </c>
      <c r="C724">
        <v>2</v>
      </c>
      <c r="D724" t="str">
        <f>VLOOKUP(source[[#This Row],[Приоритет]],тПриоритеты[],2,0)</f>
        <v>Значительное</v>
      </c>
      <c r="E72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4" t="s">
        <v>4451</v>
      </c>
      <c r="G724" t="s">
        <v>395</v>
      </c>
      <c r="H724" t="str">
        <f>VLOOKUP(source[[#This Row],[Отвественный]],тОтветственные[],2,0)</f>
        <v>Отв19</v>
      </c>
      <c r="I724" s="2">
        <v>43714</v>
      </c>
      <c r="J724" s="2">
        <v>43714</v>
      </c>
      <c r="K724" t="s">
        <v>104</v>
      </c>
      <c r="L724">
        <v>0</v>
      </c>
      <c r="M724">
        <v>0</v>
      </c>
      <c r="N724" t="s">
        <v>105</v>
      </c>
      <c r="Q724" t="s">
        <v>106</v>
      </c>
      <c r="R724" t="str">
        <f t="shared" si="13"/>
        <v>Ссылка на план</v>
      </c>
      <c r="S724" s="1">
        <v>43714.622465277775</v>
      </c>
      <c r="T724" s="1">
        <v>43714.623217592591</v>
      </c>
      <c r="U724" s="1">
        <v>43714.624016203707</v>
      </c>
      <c r="W724" s="1">
        <v>43714.624050925922</v>
      </c>
      <c r="X724" t="s">
        <v>406</v>
      </c>
      <c r="AA724" t="s">
        <v>5592</v>
      </c>
      <c r="AB724" t="s">
        <v>5593</v>
      </c>
      <c r="AC724" t="s">
        <v>5594</v>
      </c>
      <c r="AD724" t="s">
        <v>5595</v>
      </c>
      <c r="AE724" t="s">
        <v>5596</v>
      </c>
      <c r="AF724" t="s">
        <v>5597</v>
      </c>
      <c r="AG724" t="s">
        <v>5598</v>
      </c>
      <c r="BF724" t="s">
        <v>5599</v>
      </c>
      <c r="BG724" t="s">
        <v>5600</v>
      </c>
      <c r="BH724" t="s">
        <v>114</v>
      </c>
      <c r="BI724" t="str">
        <f>HYPERLINK("https://d33htgqikc2pj4.cloudfront.net/853679f3-f16b-44b5-8c3c-f23011a949cf.jpeg", "Владимир Чугунов: Ссылка на изображение")</f>
        <v>Владимир Чугунов: Ссылка на изображение</v>
      </c>
      <c r="BJ724" t="str">
        <f>HYPERLINK("https://d33htgqikc2pj4.cloudfront.net/67343f04-563b-41ef-9769-b22f27ab0e90.jpeg", "Владимир Чугунов: Ссылка на изображение")</f>
        <v>Владимир Чугунов: Ссылка на изображение</v>
      </c>
      <c r="BK724" t="str">
        <f>HYPERLINK("https://d33htgqikc2pj4.cloudfront.net/0dac454e-7cc8-4c1d-9730-d5c760871678.jpeg", "Владимир Чугунов: Ссылка на изображение")</f>
        <v>Владимир Чугунов: Ссылка на изображение</v>
      </c>
      <c r="BL724" t="str">
        <f>HYPERLINK("https://d33htgqikc2pj4.cloudfront.net/352bf4af-6895-4b32-99ad-948a9118e6c2.jpeg", "Владимир Чугунов: Ссылка на изображение")</f>
        <v>Владимир Чугунов: Ссылка на изображение</v>
      </c>
      <c r="BM724" t="str">
        <f>HYPERLINK("https://d33htgqikc2pj4.cloudfront.net/c6edae11-03ae-4837-95d7-07ed56103d0e.jpeg", "Владимир Чугунов: Ссылка на изображение")</f>
        <v>Владимир Чугунов: Ссылка на изображение</v>
      </c>
      <c r="BN724" t="s">
        <v>102</v>
      </c>
    </row>
    <row r="725" spans="1:74" ht="15" customHeight="1" x14ac:dyDescent="0.35">
      <c r="A725">
        <v>447</v>
      </c>
      <c r="B725" t="s">
        <v>5601</v>
      </c>
      <c r="C725">
        <v>2</v>
      </c>
      <c r="D725" t="str">
        <f>VLOOKUP(source[[#This Row],[Приоритет]],тПриоритеты[],2,0)</f>
        <v>Значительное</v>
      </c>
      <c r="E72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5" t="s">
        <v>4451</v>
      </c>
      <c r="G725" t="s">
        <v>395</v>
      </c>
      <c r="H725" t="str">
        <f>VLOOKUP(source[[#This Row],[Отвественный]],тОтветственные[],2,0)</f>
        <v>Отв19</v>
      </c>
      <c r="I725" s="2">
        <v>43715</v>
      </c>
      <c r="J725" s="2">
        <v>43715</v>
      </c>
      <c r="K725" t="s">
        <v>104</v>
      </c>
      <c r="L725">
        <v>0</v>
      </c>
      <c r="M725">
        <v>0</v>
      </c>
      <c r="N725" t="s">
        <v>105</v>
      </c>
      <c r="Q725" t="s">
        <v>106</v>
      </c>
      <c r="R725" t="str">
        <f t="shared" si="13"/>
        <v>Ссылка на план</v>
      </c>
      <c r="S725" s="1">
        <v>43715.467106481483</v>
      </c>
      <c r="T725" s="1">
        <v>43715.467118055552</v>
      </c>
      <c r="U725" s="1">
        <v>43715.615879629629</v>
      </c>
      <c r="W725" s="1">
        <v>43715.615891203706</v>
      </c>
      <c r="X725" t="s">
        <v>3217</v>
      </c>
      <c r="AA725" t="s">
        <v>5602</v>
      </c>
      <c r="AB725" t="s">
        <v>5603</v>
      </c>
      <c r="AC725" t="s">
        <v>5604</v>
      </c>
      <c r="AD725" t="s">
        <v>5605</v>
      </c>
      <c r="AE725" t="s">
        <v>5606</v>
      </c>
      <c r="AF725" t="s">
        <v>5607</v>
      </c>
      <c r="AG725" t="s">
        <v>5608</v>
      </c>
      <c r="AH725" t="s">
        <v>5609</v>
      </c>
      <c r="AI725" t="s">
        <v>5610</v>
      </c>
      <c r="AJ725" t="s">
        <v>5611</v>
      </c>
      <c r="AK725" t="s">
        <v>5612</v>
      </c>
      <c r="BF725" t="s">
        <v>114</v>
      </c>
      <c r="BG725" t="s">
        <v>5613</v>
      </c>
      <c r="BH725" t="s">
        <v>935</v>
      </c>
      <c r="BI725" t="str">
        <f>HYPERLINK("https://d33htgqikc2pj4.cloudfront.net/f63274bc-7281-44fe-aa8b-5b93ef8c20f1.jpeg", "Владимир Чугунов: Ссылка на изображение")</f>
        <v>Владимир Чугунов: Ссылка на изображение</v>
      </c>
      <c r="BJ725" t="str">
        <f>HYPERLINK("https://d33htgqikc2pj4.cloudfront.net/beece467-55f7-49e0-a84c-7c496472996a.jpeg", "Владимир Чугунов: Ссылка на изображение")</f>
        <v>Владимир Чугунов: Ссылка на изображение</v>
      </c>
      <c r="BK725" t="str">
        <f>HYPERLINK("https://d33htgqikc2pj4.cloudfront.net/d5578656-0c36-4443-8b94-e4fc29d3c2df.jpeg", "Владимир Чугунов: Ссылка на изображение")</f>
        <v>Владимир Чугунов: Ссылка на изображение</v>
      </c>
      <c r="BL725" t="str">
        <f>HYPERLINK("https://d33htgqikc2pj4.cloudfront.net/2f2049e1-5018-4215-9b2e-d59896876e9e.jpeg", "Владимир Чугунов: Ссылка на изображение")</f>
        <v>Владимир Чугунов: Ссылка на изображение</v>
      </c>
      <c r="BM725" t="str">
        <f>HYPERLINK("https://d33htgqikc2pj4.cloudfront.net/19919d08-5888-4b9a-8ba2-82d6edf19dbb.jpeg", "Владимир Чугунов: Ссылка на изображение")</f>
        <v>Владимир Чугунов: Ссылка на изображение</v>
      </c>
      <c r="BN725" t="str">
        <f>HYPERLINK("https://d33htgqikc2pj4.cloudfront.net/a09a1976-7eb3-4035-9ed4-1ce4d6217a43.jpeg", "Владимир Чугунов: Ссылка на изображение")</f>
        <v>Владимир Чугунов: Ссылка на изображение</v>
      </c>
      <c r="BO725" t="str">
        <f>HYPERLINK("https://d33htgqikc2pj4.cloudfront.net/fc6bc3be-7fab-4af6-ba7c-bc0f5a86c389.jpeg", "Владимир Чугунов: Ссылка на изображение")</f>
        <v>Владимир Чугунов: Ссылка на изображение</v>
      </c>
      <c r="BP725" t="str">
        <f>HYPERLINK("https://d33htgqikc2pj4.cloudfront.net/3d6b54eb-3f76-43ac-bddd-3b6ed1d7b83f.jpeg", "Владимир Чугунов: Ссылка на изображение")</f>
        <v>Владимир Чугунов: Ссылка на изображение</v>
      </c>
      <c r="BQ725" t="str">
        <f>HYPERLINK("https://d33htgqikc2pj4.cloudfront.net/142b45ef-4e0a-4ea5-9b2f-ac085f41ac0f.jpeg", "Владимир Чугунов: Ссылка на изображение")</f>
        <v>Владимир Чугунов: Ссылка на изображение</v>
      </c>
      <c r="BR725" t="str">
        <f>HYPERLINK("https://d33htgqikc2pj4.cloudfront.net/b5f3c082-fe1b-41b7-af73-d575cd1fd5a4.jpeg", "Владимир Чугунов: Ссылка на изображение")</f>
        <v>Владимир Чугунов: Ссылка на изображение</v>
      </c>
      <c r="BS725" t="str">
        <f>HYPERLINK("https://d33htgqikc2pj4.cloudfront.net/d0eccdb9-374d-4e5f-979e-c536022d7549.jpeg", "Владимир Чугунов: Ссылка на изображение")</f>
        <v>Владимир Чугунов: Ссылка на изображение</v>
      </c>
      <c r="BT725" t="s">
        <v>102</v>
      </c>
    </row>
    <row r="726" spans="1:74" ht="15" customHeight="1" x14ac:dyDescent="0.35">
      <c r="A726">
        <v>445</v>
      </c>
      <c r="B726" t="s">
        <v>5614</v>
      </c>
      <c r="C726">
        <v>2</v>
      </c>
      <c r="D726" t="str">
        <f>VLOOKUP(source[[#This Row],[Приоритет]],тПриоритеты[],2,0)</f>
        <v>Значительное</v>
      </c>
      <c r="E72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6" t="s">
        <v>4451</v>
      </c>
      <c r="G726" t="s">
        <v>395</v>
      </c>
      <c r="H726" t="str">
        <f>VLOOKUP(source[[#This Row],[Отвественный]],тОтветственные[],2,0)</f>
        <v>Отв19</v>
      </c>
      <c r="I726" s="2">
        <v>43715</v>
      </c>
      <c r="J726" s="2">
        <v>43715</v>
      </c>
      <c r="K726" t="s">
        <v>104</v>
      </c>
      <c r="L726">
        <v>0</v>
      </c>
      <c r="M726">
        <v>0</v>
      </c>
      <c r="N726" t="s">
        <v>105</v>
      </c>
      <c r="Q726" t="s">
        <v>106</v>
      </c>
      <c r="R726" t="str">
        <f t="shared" si="13"/>
        <v>Ссылка на план</v>
      </c>
      <c r="S726" s="1">
        <v>43715.458090277774</v>
      </c>
      <c r="T726" s="1">
        <v>43715.458113425928</v>
      </c>
      <c r="U726" s="1">
        <v>43715.459201388891</v>
      </c>
      <c r="W726" s="1">
        <v>43715.45921296296</v>
      </c>
      <c r="BF726" t="s">
        <v>114</v>
      </c>
      <c r="BG726" t="s">
        <v>5615</v>
      </c>
      <c r="BH726" t="s">
        <v>935</v>
      </c>
      <c r="BI726" t="str">
        <f>HYPERLINK("https://d33htgqikc2pj4.cloudfront.net/b51c71a4-34dc-4709-a41e-2d999536a29a.jpeg", "Владимир Чугунов: Ссылка на изображение")</f>
        <v>Владимир Чугунов: Ссылка на изображение</v>
      </c>
      <c r="BJ726" t="str">
        <f>HYPERLINK("https://d33htgqikc2pj4.cloudfront.net/c8bf9c85-74d4-4c6c-8e43-48bf8b889fc8.jpeg", "Владимир Чугунов: Ссылка на изображение")</f>
        <v>Владимир Чугунов: Ссылка на изображение</v>
      </c>
      <c r="BK726" t="str">
        <f>HYPERLINK("https://d33htgqikc2pj4.cloudfront.net/6020b96b-f295-4a69-8f55-db0e364d45ad.jpeg", "Владимир Чугунов: Ссылка на изображение")</f>
        <v>Владимир Чугунов: Ссылка на изображение</v>
      </c>
      <c r="BL726" t="str">
        <f>HYPERLINK("https://d33htgqikc2pj4.cloudfront.net/9b7e824d-6aba-4649-8436-c7e3ca0be03e.jpeg", "Владимир Чугунов: Ссылка на изображение")</f>
        <v>Владимир Чугунов: Ссылка на изображение</v>
      </c>
      <c r="BM726" t="str">
        <f>HYPERLINK("https://d33htgqikc2pj4.cloudfront.net/ad702583-fb02-4747-b730-36789c4a53ae.jpeg", "Владимир Чугунов: Ссылка на изображение")</f>
        <v>Владимир Чугунов: Ссылка на изображение</v>
      </c>
      <c r="BN726" t="str">
        <f>HYPERLINK("https://d33htgqikc2pj4.cloudfront.net/f7d55fb2-1586-4762-9733-5984c677dec7.jpeg", "Владимир Чугунов: Ссылка на изображение")</f>
        <v>Владимир Чугунов: Ссылка на изображение</v>
      </c>
      <c r="BO726" t="str">
        <f>HYPERLINK("https://d33htgqikc2pj4.cloudfront.net/0ddba468-8833-4c74-a3e8-b53ab43cb94c.jpeg", "Владимир Чугунов: Ссылка на изображение")</f>
        <v>Владимир Чугунов: Ссылка на изображение</v>
      </c>
      <c r="BP726" t="s">
        <v>102</v>
      </c>
    </row>
    <row r="727" spans="1:74" ht="15" customHeight="1" x14ac:dyDescent="0.35">
      <c r="A727">
        <v>446</v>
      </c>
      <c r="B727" t="s">
        <v>5616</v>
      </c>
      <c r="C727">
        <v>2</v>
      </c>
      <c r="D727" t="str">
        <f>VLOOKUP(source[[#This Row],[Приоритет]],тПриоритеты[],2,0)</f>
        <v>Значительное</v>
      </c>
      <c r="E72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7" t="s">
        <v>4451</v>
      </c>
      <c r="G727" t="s">
        <v>395</v>
      </c>
      <c r="H727" t="str">
        <f>VLOOKUP(source[[#This Row],[Отвественный]],тОтветственные[],2,0)</f>
        <v>Отв19</v>
      </c>
      <c r="I727" s="2">
        <v>43715</v>
      </c>
      <c r="J727" s="2">
        <v>43715</v>
      </c>
      <c r="K727" t="s">
        <v>375</v>
      </c>
      <c r="L727">
        <v>0</v>
      </c>
      <c r="M727">
        <v>0</v>
      </c>
      <c r="N727" t="s">
        <v>159</v>
      </c>
      <c r="Q727" t="s">
        <v>106</v>
      </c>
      <c r="R727" t="str">
        <f>HYPERLINK("https://d28ji4sm1vmprj.cloudfront.net/3e7bd1b1c8123e07928556a95537ec96/b6f4ea1a4c385def2ded1a2b1779c1a4.jpeg", "Ссылка на план")</f>
        <v>Ссылка на план</v>
      </c>
      <c r="S727" s="1">
        <v>43715.459490740737</v>
      </c>
      <c r="T727" s="1">
        <v>43715.459502314814</v>
      </c>
      <c r="U727" s="1">
        <v>43715.462141203701</v>
      </c>
      <c r="W727" s="1">
        <v>43715.462152777778</v>
      </c>
      <c r="X727" t="s">
        <v>3846</v>
      </c>
      <c r="AA727" t="s">
        <v>5617</v>
      </c>
      <c r="AB727" t="s">
        <v>5618</v>
      </c>
      <c r="AC727" t="s">
        <v>5619</v>
      </c>
      <c r="AD727" t="s">
        <v>5620</v>
      </c>
      <c r="BF727" t="s">
        <v>114</v>
      </c>
      <c r="BG727" t="s">
        <v>5621</v>
      </c>
      <c r="BH727" t="s">
        <v>935</v>
      </c>
      <c r="BI727" t="str">
        <f>HYPERLINK("https://d33htgqikc2pj4.cloudfront.net/530d43d0-8983-4f26-9feb-f9d46aef91b4.jpeg", "Владимир Чугунов: Ссылка на изображение")</f>
        <v>Владимир Чугунов: Ссылка на изображение</v>
      </c>
      <c r="BJ727" t="str">
        <f>HYPERLINK("https://d33htgqikc2pj4.cloudfront.net/d3501886-7074-4d99-9572-ca5793fcde7b.jpeg", "Владимир Чугунов: Ссылка на изображение")</f>
        <v>Владимир Чугунов: Ссылка на изображение</v>
      </c>
      <c r="BK727" t="str">
        <f>HYPERLINK("https://d33htgqikc2pj4.cloudfront.net/0747eb1e-2331-487c-bfbe-8e8c45563dbe.jpeg", "Владимир Чугунов: Ссылка на изображение")</f>
        <v>Владимир Чугунов: Ссылка на изображение</v>
      </c>
      <c r="BL727" t="str">
        <f>HYPERLINK("https://d33htgqikc2pj4.cloudfront.net/38e5b61a-413c-4d3d-b216-83fc20a42e20.jpeg", "Владимир Чугунов: Ссылка на изображение")</f>
        <v>Владимир Чугунов: Ссылка на изображение</v>
      </c>
      <c r="BM727" t="str">
        <f>HYPERLINK("https://d33htgqikc2pj4.cloudfront.net/e4395fca-110b-4faa-a708-12471eebb741.jpeg", "Владимир Чугунов: Ссылка на изображение")</f>
        <v>Владимир Чугунов: Ссылка на изображение</v>
      </c>
      <c r="BN727" t="str">
        <f>HYPERLINK("https://d33htgqikc2pj4.cloudfront.net/ac9883ef-6be0-401f-8554-99003b17029f.jpeg", "Владимир Чугунов: Ссылка на изображение")</f>
        <v>Владимир Чугунов: Ссылка на изображение</v>
      </c>
      <c r="BO727" t="str">
        <f>HYPERLINK("https://d33htgqikc2pj4.cloudfront.net/867a8cc8-07e9-47cc-8ed2-d9cc24c34c91.jpeg", "Владимир Чугунов: Ссылка на изображение")</f>
        <v>Владимир Чугунов: Ссылка на изображение</v>
      </c>
      <c r="BP727" t="s">
        <v>102</v>
      </c>
    </row>
    <row r="728" spans="1:74" ht="15" customHeight="1" x14ac:dyDescent="0.35">
      <c r="A728">
        <v>152</v>
      </c>
      <c r="B728" t="s">
        <v>5622</v>
      </c>
      <c r="C728">
        <v>2</v>
      </c>
      <c r="D728" t="str">
        <f>VLOOKUP(source[[#This Row],[Приоритет]],тПриоритеты[],2,0)</f>
        <v>Значительное</v>
      </c>
      <c r="E72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8" t="s">
        <v>4451</v>
      </c>
      <c r="G728" t="s">
        <v>395</v>
      </c>
      <c r="H728" t="str">
        <f>VLOOKUP(source[[#This Row],[Отвественный]],тОтветственные[],2,0)</f>
        <v>Отв19</v>
      </c>
      <c r="I728" s="2">
        <v>43634</v>
      </c>
      <c r="J728" s="2">
        <v>43634</v>
      </c>
      <c r="K728" t="s">
        <v>122</v>
      </c>
      <c r="L728">
        <v>0</v>
      </c>
      <c r="M728">
        <v>0</v>
      </c>
      <c r="N728" t="s">
        <v>123</v>
      </c>
      <c r="Q728" t="s">
        <v>124</v>
      </c>
      <c r="R728" t="str">
        <f>HYPERLINK("https://d28ji4sm1vmprj.cloudfront.net/78b1fbd1c87eb90dac050448d7e72c8d/a7fb9bbb452cbb899c601a0b8b67fd7d.jpeg", "Ссылка на план")</f>
        <v>Ссылка на план</v>
      </c>
      <c r="S728" s="1">
        <v>43634.683333333334</v>
      </c>
      <c r="T728" s="1">
        <v>43761.485069444447</v>
      </c>
      <c r="U728" s="1">
        <v>43761.485162037039</v>
      </c>
      <c r="W728" s="1">
        <v>43761.485173611109</v>
      </c>
      <c r="X728" t="s">
        <v>406</v>
      </c>
      <c r="AA728" t="s">
        <v>5623</v>
      </c>
      <c r="AB728" t="s">
        <v>5624</v>
      </c>
      <c r="AC728" t="s">
        <v>5625</v>
      </c>
      <c r="AD728" t="s">
        <v>5626</v>
      </c>
      <c r="AE728" t="s">
        <v>5627</v>
      </c>
      <c r="AF728" t="s">
        <v>5628</v>
      </c>
      <c r="AG728" t="s">
        <v>5629</v>
      </c>
      <c r="BF728" t="s">
        <v>114</v>
      </c>
      <c r="BG728" t="s">
        <v>5630</v>
      </c>
      <c r="BH728" t="s">
        <v>520</v>
      </c>
      <c r="BI728" t="str">
        <f>HYPERLINK("https://d33htgqikc2pj4.cloudfront.net/bcc5ace8-ec05-4672-a336-7c718741ffaf.jpeg", "Владимир Чугунов: Ссылка на изображение")</f>
        <v>Владимир Чугунов: Ссылка на изображение</v>
      </c>
      <c r="BJ728" t="str">
        <f>HYPERLINK("https://d33htgqikc2pj4.cloudfront.net/c3951599-70b4-4ea7-b62f-c0d7f12ce530.jpeg", "Владимир Чугунов: Ссылка на изображение")</f>
        <v>Владимир Чугунов: Ссылка на изображение</v>
      </c>
      <c r="BK728" t="str">
        <f>HYPERLINK("https://d33htgqikc2pj4.cloudfront.net/edcd125a-3fc5-4b01-9114-5a071388b62e.jpeg", "Владимир Чугунов: Ссылка на изображение")</f>
        <v>Владимир Чугунов: Ссылка на изображение</v>
      </c>
      <c r="BL728" t="str">
        <f>HYPERLINK("https://d33htgqikc2pj4.cloudfront.net/4c4e016d-9d5e-4416-a013-70d8a73f3d9e.jpeg", "Владимир Чугунов: Ссылка на изображение")</f>
        <v>Владимир Чугунов: Ссылка на изображение</v>
      </c>
      <c r="BM728" t="str">
        <f>HYPERLINK("https://d33htgqikc2pj4.cloudfront.net/f0b16987-b2bd-48d1-aa0a-54b4a7fa1974.jpeg", "Владимир Чугунов: Ссылка на изображение")</f>
        <v>Владимир Чугунов: Ссылка на изображение</v>
      </c>
      <c r="BN728" t="s">
        <v>102</v>
      </c>
      <c r="BO728" t="s">
        <v>114</v>
      </c>
      <c r="BP728" t="s">
        <v>102</v>
      </c>
    </row>
    <row r="729" spans="1:74" ht="15" customHeight="1" x14ac:dyDescent="0.35">
      <c r="A729">
        <v>556</v>
      </c>
      <c r="B729" t="s">
        <v>5631</v>
      </c>
      <c r="C729">
        <v>2</v>
      </c>
      <c r="D729" t="str">
        <f>VLOOKUP(source[[#This Row],[Приоритет]],тПриоритеты[],2,0)</f>
        <v>Значительное</v>
      </c>
      <c r="E72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29" t="s">
        <v>4451</v>
      </c>
      <c r="G729" t="s">
        <v>395</v>
      </c>
      <c r="H729" t="str">
        <f>VLOOKUP(source[[#This Row],[Отвественный]],тОтветственные[],2,0)</f>
        <v>Отв19</v>
      </c>
      <c r="I729" s="2">
        <v>43738</v>
      </c>
      <c r="J729" s="2">
        <v>43738</v>
      </c>
      <c r="K729" t="s">
        <v>104</v>
      </c>
      <c r="L729">
        <v>0</v>
      </c>
      <c r="M729">
        <v>0</v>
      </c>
      <c r="N729" t="s">
        <v>105</v>
      </c>
      <c r="Q729" t="s">
        <v>106</v>
      </c>
      <c r="R729" t="str">
        <f>HYPERLINK("https://d28ji4sm1vmprj.cloudfront.net/e7a526a7220c3bc5cfeeb407c455c0b3/580ffb055aff8ee0c88c6e676cfba776.jpeg", "Ссылка на план")</f>
        <v>Ссылка на план</v>
      </c>
      <c r="S729" s="1">
        <v>43738.68346064815</v>
      </c>
      <c r="T729" s="1">
        <v>43738.683703703704</v>
      </c>
      <c r="U729" s="1">
        <v>43738.684513888889</v>
      </c>
      <c r="W729" s="1">
        <v>43738.684513888889</v>
      </c>
      <c r="X729" t="s">
        <v>2835</v>
      </c>
      <c r="AA729" t="s">
        <v>5632</v>
      </c>
      <c r="AB729" t="s">
        <v>5633</v>
      </c>
      <c r="AC729" t="s">
        <v>5634</v>
      </c>
      <c r="AD729" t="s">
        <v>5635</v>
      </c>
      <c r="AE729" t="s">
        <v>5636</v>
      </c>
      <c r="AF729" t="s">
        <v>5637</v>
      </c>
      <c r="AG729" t="s">
        <v>5638</v>
      </c>
      <c r="BF729" t="s">
        <v>5639</v>
      </c>
      <c r="BG729" t="s">
        <v>114</v>
      </c>
      <c r="BH729" t="s">
        <v>944</v>
      </c>
      <c r="BI729" t="str">
        <f>HYPERLINK("https://d33htgqikc2pj4.cloudfront.net/ca00945a-609c-46f9-8547-b60292a0f708.jpeg", "Владимир Чугунов: Ссылка на изображение")</f>
        <v>Владимир Чугунов: Ссылка на изображение</v>
      </c>
      <c r="BJ729" t="s">
        <v>102</v>
      </c>
    </row>
    <row r="730" spans="1:74" ht="15" customHeight="1" x14ac:dyDescent="0.35">
      <c r="A730">
        <v>559</v>
      </c>
      <c r="B730" t="s">
        <v>5640</v>
      </c>
      <c r="C730">
        <v>2</v>
      </c>
      <c r="D730" t="str">
        <f>VLOOKUP(source[[#This Row],[Приоритет]],тПриоритеты[],2,0)</f>
        <v>Значительное</v>
      </c>
      <c r="E73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0" t="s">
        <v>4451</v>
      </c>
      <c r="G730" t="s">
        <v>395</v>
      </c>
      <c r="H730" t="str">
        <f>VLOOKUP(source[[#This Row],[Отвественный]],тОтветственные[],2,0)</f>
        <v>Отв19</v>
      </c>
      <c r="I730" s="2">
        <v>43738</v>
      </c>
      <c r="J730" s="2">
        <v>43738</v>
      </c>
      <c r="K730" t="s">
        <v>104</v>
      </c>
      <c r="L730">
        <v>0</v>
      </c>
      <c r="M730">
        <v>0</v>
      </c>
      <c r="N730" t="s">
        <v>123</v>
      </c>
      <c r="Q730" t="s">
        <v>106</v>
      </c>
      <c r="R730" t="str">
        <f>HYPERLINK("https://d28ji4sm1vmprj.cloudfront.net/e7a526a7220c3bc5cfeeb407c455c0b3/580ffb055aff8ee0c88c6e676cfba776.jpeg", "Ссылка на план")</f>
        <v>Ссылка на план</v>
      </c>
      <c r="S730" s="1">
        <v>43738.781064814815</v>
      </c>
      <c r="T730" s="1">
        <v>43738.781493055554</v>
      </c>
      <c r="U730" s="1">
        <v>43738.781909722224</v>
      </c>
      <c r="W730" s="1">
        <v>43738.781921296293</v>
      </c>
      <c r="BF730" t="s">
        <v>5641</v>
      </c>
      <c r="BG730" t="s">
        <v>944</v>
      </c>
      <c r="BH730" t="s">
        <v>114</v>
      </c>
      <c r="BI730" t="str">
        <f>HYPERLINK("https://d33htgqikc2pj4.cloudfront.net/986ecc5e-2904-4d07-bc8d-48ccd9665776.jpeg", "Владимир Чугунов: Ссылка на изображение")</f>
        <v>Владимир Чугунов: Ссылка на изображение</v>
      </c>
      <c r="BJ730" t="str">
        <f>HYPERLINK("https://d33htgqikc2pj4.cloudfront.net/c7ddb52f-45d3-4a4b-abd5-42e6ea879f27.jpeg", "Владимир Чугунов: Ссылка на изображение")</f>
        <v>Владимир Чугунов: Ссылка на изображение</v>
      </c>
      <c r="BK730" t="str">
        <f>HYPERLINK("https://d33htgqikc2pj4.cloudfront.net/2201cab2-5014-45aa-b199-18be06a3d9e7.jpeg", "Владимир Чугунов: Ссылка на изображение")</f>
        <v>Владимир Чугунов: Ссылка на изображение</v>
      </c>
      <c r="BL730" t="str">
        <f>HYPERLINK("https://d33htgqikc2pj4.cloudfront.net/90bfc693-7525-4b65-8a39-63aec404922f.jpeg", "Владимир Чугунов: Ссылка на изображение")</f>
        <v>Владимир Чугунов: Ссылка на изображение</v>
      </c>
      <c r="BM730" t="s">
        <v>102</v>
      </c>
      <c r="BN730" t="str">
        <f>HYPERLINK("https://d33htgqikc2pj4.cloudfront.net/9ca03bc0-b459-4c0a-bdf1-840ba71ceb33.jpeg", "Владимир Чугунов: Ссылка на изображение")</f>
        <v>Владимир Чугунов: Ссылка на изображение</v>
      </c>
      <c r="BO730" t="str">
        <f>HYPERLINK("https://d33htgqikc2pj4.cloudfront.net/f54951de-f793-43bb-aeb4-5cd450d85712.jpeg", "Владимир Чугунов: Ссылка на изображение")</f>
        <v>Владимир Чугунов: Ссылка на изображение</v>
      </c>
      <c r="BP730" t="str">
        <f>HYPERLINK("https://d33htgqikc2pj4.cloudfront.net/01633122-a9c8-4c58-b625-5a648140f3d1.jpeg", "Владимир Чугунов: Ссылка на изображение")</f>
        <v>Владимир Чугунов: Ссылка на изображение</v>
      </c>
      <c r="BQ730" t="str">
        <f>HYPERLINK("https://d33htgqikc2pj4.cloudfront.net/32fa418c-e6b1-4884-83e8-c39e8615bc3f.jpeg", "Владимир Чугунов: Ссылка на изображение")</f>
        <v>Владимир Чугунов: Ссылка на изображение</v>
      </c>
    </row>
    <row r="731" spans="1:74" ht="15" customHeight="1" x14ac:dyDescent="0.35">
      <c r="A731">
        <v>451</v>
      </c>
      <c r="B731" t="s">
        <v>5642</v>
      </c>
      <c r="C731">
        <v>2</v>
      </c>
      <c r="D731" t="str">
        <f>VLOOKUP(source[[#This Row],[Приоритет]],тПриоритеты[],2,0)</f>
        <v>Значительное</v>
      </c>
      <c r="E73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1" t="s">
        <v>4451</v>
      </c>
      <c r="G731" t="s">
        <v>395</v>
      </c>
      <c r="H731" t="str">
        <f>VLOOKUP(source[[#This Row],[Отвественный]],тОтветственные[],2,0)</f>
        <v>Отв19</v>
      </c>
      <c r="I731" s="2">
        <v>43717</v>
      </c>
      <c r="J731" s="2">
        <v>43717</v>
      </c>
      <c r="K731" t="s">
        <v>104</v>
      </c>
      <c r="L731">
        <v>0</v>
      </c>
      <c r="M731">
        <v>0</v>
      </c>
      <c r="N731" t="s">
        <v>105</v>
      </c>
      <c r="Q731" t="s">
        <v>106</v>
      </c>
      <c r="R731" t="str">
        <f>HYPERLINK("https://d28ji4sm1vmprj.cloudfront.net/e7a526a7220c3bc5cfeeb407c455c0b3/580ffb055aff8ee0c88c6e676cfba776.jpeg", "Ссылка на план")</f>
        <v>Ссылка на план</v>
      </c>
      <c r="S731" s="1">
        <v>43717.458344907405</v>
      </c>
      <c r="T731" s="1">
        <v>43717.458368055559</v>
      </c>
      <c r="U731" s="1">
        <v>43717.459861111114</v>
      </c>
      <c r="W731" s="1">
        <v>43717.459872685184</v>
      </c>
      <c r="X731" t="s">
        <v>3217</v>
      </c>
      <c r="AA731" t="s">
        <v>5643</v>
      </c>
      <c r="AB731" t="s">
        <v>5644</v>
      </c>
      <c r="AC731" t="s">
        <v>5645</v>
      </c>
      <c r="AD731" t="s">
        <v>5646</v>
      </c>
      <c r="AE731" t="s">
        <v>5647</v>
      </c>
      <c r="AF731" t="s">
        <v>5648</v>
      </c>
      <c r="AG731" t="s">
        <v>5649</v>
      </c>
      <c r="AH731" t="s">
        <v>5650</v>
      </c>
      <c r="AI731" t="s">
        <v>5651</v>
      </c>
      <c r="AJ731" t="s">
        <v>5652</v>
      </c>
      <c r="AK731" t="s">
        <v>5653</v>
      </c>
      <c r="BF731" t="s">
        <v>114</v>
      </c>
      <c r="BG731" t="s">
        <v>5654</v>
      </c>
      <c r="BH731" t="s">
        <v>953</v>
      </c>
      <c r="BI731" t="str">
        <f>HYPERLINK("https://d33htgqikc2pj4.cloudfront.net/a4cc07f0-c1ff-4107-8d27-168fa53c4fc4.jpeg", "Владимир Чугунов: Ссылка на изображение")</f>
        <v>Владимир Чугунов: Ссылка на изображение</v>
      </c>
      <c r="BJ731" t="str">
        <f>HYPERLINK("https://d33htgqikc2pj4.cloudfront.net/001ca656-0cd2-4c21-a8d9-8d59da6919f3.jpeg", "Владимир Чугунов: Ссылка на изображение")</f>
        <v>Владимир Чугунов: Ссылка на изображение</v>
      </c>
      <c r="BK731" t="str">
        <f>HYPERLINK("https://d33htgqikc2pj4.cloudfront.net/5ae9a899-c9ce-4acb-a1ee-b9a47d8881ad.jpeg", "Владимир Чугунов: Ссылка на изображение")</f>
        <v>Владимир Чугунов: Ссылка на изображение</v>
      </c>
      <c r="BL731" t="str">
        <f>HYPERLINK("https://d33htgqikc2pj4.cloudfront.net/09ddce1b-ce3e-4797-9636-a708a7b0a660.jpeg", "Владимир Чугунов: Ссылка на изображение")</f>
        <v>Владимир Чугунов: Ссылка на изображение</v>
      </c>
      <c r="BM731" t="str">
        <f>HYPERLINK("https://d33htgqikc2pj4.cloudfront.net/7d1f766c-143d-4237-8cb9-d140ee82bd64.jpeg", "Владимир Чугунов: Ссылка на изображение")</f>
        <v>Владимир Чугунов: Ссылка на изображение</v>
      </c>
      <c r="BN731" t="str">
        <f>HYPERLINK("https://d33htgqikc2pj4.cloudfront.net/3c64fc5a-3e6c-41e0-a811-631c3680d3f9.jpeg", "Владимир Чугунов: Ссылка на изображение")</f>
        <v>Владимир Чугунов: Ссылка на изображение</v>
      </c>
      <c r="BO731" t="str">
        <f>HYPERLINK("https://d33htgqikc2pj4.cloudfront.net/cc7c93e4-f100-43f5-82ae-519d7f04132e.jpeg", "Владимир Чугунов: Ссылка на изображение")</f>
        <v>Владимир Чугунов: Ссылка на изображение</v>
      </c>
      <c r="BP731" t="str">
        <f>HYPERLINK("https://d33htgqikc2pj4.cloudfront.net/b9fa3989-c619-41af-9b1a-d9fcb67b34af.jpeg", "Владимир Чугунов: Ссылка на изображение")</f>
        <v>Владимир Чугунов: Ссылка на изображение</v>
      </c>
      <c r="BQ731" t="str">
        <f>HYPERLINK("https://d33htgqikc2pj4.cloudfront.net/810c908c-9d69-48b5-a954-e90a185c5606.jpeg", "Владимир Чугунов: Ссылка на изображение")</f>
        <v>Владимир Чугунов: Ссылка на изображение</v>
      </c>
      <c r="BR731" t="str">
        <f>HYPERLINK("https://d33htgqikc2pj4.cloudfront.net/c1fa895d-2637-4379-a502-89dca28282fd.jpeg", "Владимир Чугунов: Ссылка на изображение")</f>
        <v>Владимир Чугунов: Ссылка на изображение</v>
      </c>
      <c r="BS731" t="str">
        <f>HYPERLINK("https://d33htgqikc2pj4.cloudfront.net/d0f59029-60b0-4885-84ef-e44b5d593ef8.jpeg", "Владимир Чугунов: Ссылка на изображение")</f>
        <v>Владимир Чугунов: Ссылка на изображение</v>
      </c>
      <c r="BT731" t="str">
        <f>HYPERLINK("https://d33htgqikc2pj4.cloudfront.net/fd9245c1-f58c-422b-b32d-52fad30efca6.jpeg", "Владимир Чугунов: Ссылка на изображение")</f>
        <v>Владимир Чугунов: Ссылка на изображение</v>
      </c>
      <c r="BU731" t="str">
        <f>HYPERLINK("https://d33htgqikc2pj4.cloudfront.net/39057928-dfcd-4e42-9155-55e6e653ff78.jpeg", "Владимир Чугунов: Ссылка на изображение")</f>
        <v>Владимир Чугунов: Ссылка на изображение</v>
      </c>
      <c r="BV731" t="s">
        <v>102</v>
      </c>
    </row>
    <row r="732" spans="1:74" ht="15" customHeight="1" x14ac:dyDescent="0.35">
      <c r="A732">
        <v>809</v>
      </c>
      <c r="B732" t="s">
        <v>5655</v>
      </c>
      <c r="C732">
        <v>2</v>
      </c>
      <c r="D732" t="str">
        <f>VLOOKUP(source[[#This Row],[Приоритет]],тПриоритеты[],2,0)</f>
        <v>Значительное</v>
      </c>
      <c r="E73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2" t="s">
        <v>4451</v>
      </c>
      <c r="G732" t="s">
        <v>395</v>
      </c>
      <c r="H732" t="str">
        <f>VLOOKUP(source[[#This Row],[Отвественный]],тОтветственные[],2,0)</f>
        <v>Отв19</v>
      </c>
      <c r="I732" s="2">
        <v>43821</v>
      </c>
      <c r="J732" s="2">
        <v>43821</v>
      </c>
      <c r="K732" t="s">
        <v>955</v>
      </c>
      <c r="L732">
        <v>0</v>
      </c>
      <c r="M732">
        <v>0</v>
      </c>
      <c r="N732" t="s">
        <v>338</v>
      </c>
      <c r="R732" t="str">
        <f>HYPERLINK("https://d28ji4sm1vmprj.cloudfront.net/7b317170271f5a7204d7ab299c9b70f6/7d105e941831ee74b817bf0b9136a752.jpeg", "Ссылка на план")</f>
        <v>Ссылка на план</v>
      </c>
      <c r="S732" s="1">
        <v>43821.595046296294</v>
      </c>
      <c r="T732" s="1">
        <v>43821.596898148149</v>
      </c>
      <c r="U732" s="1">
        <v>43821.596932870372</v>
      </c>
      <c r="W732" s="1">
        <v>43821.596956018519</v>
      </c>
      <c r="X732" t="s">
        <v>340</v>
      </c>
      <c r="Y732" t="s">
        <v>2471</v>
      </c>
      <c r="AA732" t="s">
        <v>5656</v>
      </c>
      <c r="AB732" t="s">
        <v>5657</v>
      </c>
      <c r="AC732" t="s">
        <v>5658</v>
      </c>
      <c r="AD732" t="s">
        <v>5659</v>
      </c>
      <c r="AE732" t="s">
        <v>5660</v>
      </c>
      <c r="AF732" t="s">
        <v>5661</v>
      </c>
      <c r="AG732" t="s">
        <v>5662</v>
      </c>
      <c r="AH732" t="s">
        <v>5663</v>
      </c>
      <c r="AI732" t="s">
        <v>5664</v>
      </c>
      <c r="AJ732" t="s">
        <v>5665</v>
      </c>
      <c r="AK732" t="s">
        <v>5666</v>
      </c>
      <c r="AL732" t="s">
        <v>5667</v>
      </c>
      <c r="AM732" t="s">
        <v>5668</v>
      </c>
      <c r="AN732" t="s">
        <v>5669</v>
      </c>
      <c r="AO732" t="s">
        <v>5670</v>
      </c>
      <c r="AP732" t="s">
        <v>5671</v>
      </c>
      <c r="AQ732" t="s">
        <v>5672</v>
      </c>
      <c r="AR732" t="s">
        <v>5673</v>
      </c>
      <c r="AS732" t="s">
        <v>5674</v>
      </c>
      <c r="AT732" t="s">
        <v>5675</v>
      </c>
      <c r="AU732" t="s">
        <v>5676</v>
      </c>
      <c r="AV732" t="s">
        <v>5677</v>
      </c>
      <c r="AW732" t="s">
        <v>5678</v>
      </c>
      <c r="AX732" t="s">
        <v>5679</v>
      </c>
      <c r="AY732" t="s">
        <v>5680</v>
      </c>
      <c r="AZ732" t="s">
        <v>5681</v>
      </c>
      <c r="BA732" t="s">
        <v>5682</v>
      </c>
      <c r="BB732" t="s">
        <v>5683</v>
      </c>
      <c r="BC732" t="s">
        <v>5684</v>
      </c>
      <c r="BD732" t="s">
        <v>5685</v>
      </c>
      <c r="BE732" t="s">
        <v>5686</v>
      </c>
      <c r="BF732" t="s">
        <v>962</v>
      </c>
      <c r="BG732" t="s">
        <v>964</v>
      </c>
      <c r="BH732" t="str">
        <f>HYPERLINK("https://d33htgqikc2pj4.cloudfront.net/5d13ef2c-f532-4735-a327-66910e980871.jpeg", "Владимир Чугунов: Ссылка на изображение")</f>
        <v>Владимир Чугунов: Ссылка на изображение</v>
      </c>
      <c r="BI732" t="str">
        <f>HYPERLINK("https://d33htgqikc2pj4.cloudfront.net/94b76375-f5c0-42a7-ad9c-d1b2c025567c.jpeg", "Владимир Чугунов: Ссылка на изображение")</f>
        <v>Владимир Чугунов: Ссылка на изображение</v>
      </c>
      <c r="BJ732" t="str">
        <f>HYPERLINK("https://d33htgqikc2pj4.cloudfront.net/118ab973-e782-49b7-a673-4c0a789f323f.jpeg", "Владимир Чугунов: Ссылка на изображение")</f>
        <v>Владимир Чугунов: Ссылка на изображение</v>
      </c>
      <c r="BK732" t="str">
        <f>HYPERLINK("https://d33htgqikc2pj4.cloudfront.net/027759a1-6d8a-4001-8587-933f570adb41.jpeg", "Владимир Чугунов: Ссылка на изображение")</f>
        <v>Владимир Чугунов: Ссылка на изображение</v>
      </c>
      <c r="BL732" t="s">
        <v>114</v>
      </c>
      <c r="BM732" t="s">
        <v>102</v>
      </c>
    </row>
    <row r="733" spans="1:74" ht="15" customHeight="1" x14ac:dyDescent="0.35">
      <c r="A733">
        <v>562</v>
      </c>
      <c r="B733" t="s">
        <v>5687</v>
      </c>
      <c r="C733">
        <v>2</v>
      </c>
      <c r="D733" t="str">
        <f>VLOOKUP(source[[#This Row],[Приоритет]],тПриоритеты[],2,0)</f>
        <v>Значительное</v>
      </c>
      <c r="E73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3" t="s">
        <v>4451</v>
      </c>
      <c r="G733" t="s">
        <v>395</v>
      </c>
      <c r="H733" t="str">
        <f>VLOOKUP(source[[#This Row],[Отвественный]],тОтветственные[],2,0)</f>
        <v>Отв19</v>
      </c>
      <c r="I733" s="2">
        <v>43740</v>
      </c>
      <c r="J733" s="2">
        <v>43740</v>
      </c>
      <c r="K733" t="s">
        <v>104</v>
      </c>
      <c r="L733">
        <v>0</v>
      </c>
      <c r="M733">
        <v>0</v>
      </c>
      <c r="N733" t="s">
        <v>105</v>
      </c>
      <c r="Q733" t="s">
        <v>106</v>
      </c>
      <c r="R733" t="str">
        <f>HYPERLINK("https://d28ji4sm1vmprj.cloudfront.net/e7a526a7220c3bc5cfeeb407c455c0b3/580ffb055aff8ee0c88c6e676cfba776.jpeg", "Ссылка на план")</f>
        <v>Ссылка на план</v>
      </c>
      <c r="S733" s="1">
        <v>43740.708622685182</v>
      </c>
      <c r="T733" s="1">
        <v>43740.70890046296</v>
      </c>
      <c r="U733" s="1">
        <v>43741.450590277775</v>
      </c>
      <c r="W733" s="1">
        <v>43741.450601851851</v>
      </c>
      <c r="BF733" t="s">
        <v>5688</v>
      </c>
      <c r="BG733" t="s">
        <v>114</v>
      </c>
      <c r="BH733" t="s">
        <v>5689</v>
      </c>
      <c r="BI733" t="str">
        <f>HYPERLINK("https://d33htgqikc2pj4.cloudfront.net/e9613488-259c-4bc4-b9f2-a13116e1d02b.jpeg", "Владимир Чугунов: Ссылка на изображение")</f>
        <v>Владимир Чугунов: Ссылка на изображение</v>
      </c>
      <c r="BJ733" t="str">
        <f>HYPERLINK("https://d33htgqikc2pj4.cloudfront.net/3316faee-97f6-4329-aac5-48dcbf4b5fac.jpeg", "Владимир Чугунов: Ссылка на изображение")</f>
        <v>Владимир Чугунов: Ссылка на изображение</v>
      </c>
      <c r="BK733" t="str">
        <f>HYPERLINK("https://d33htgqikc2pj4.cloudfront.net/a97b41f9-d835-4484-a73e-4dd30198640b.jpeg", "Владимир Чугунов: Ссылка на изображение")</f>
        <v>Владимир Чугунов: Ссылка на изображение</v>
      </c>
      <c r="BL733" t="str">
        <f>HYPERLINK("https://d33htgqikc2pj4.cloudfront.net/db2b7902-72e5-48eb-b6de-d542d5837c74.jpeg", "Владимир Чугунов: Ссылка на изображение")</f>
        <v>Владимир Чугунов: Ссылка на изображение</v>
      </c>
      <c r="BM733" t="str">
        <f>HYPERLINK("https://d33htgqikc2pj4.cloudfront.net/defb3852-7743-4d1b-b103-80acea1a0da5.jpeg", "Владимир Чугунов: Ссылка на изображение")</f>
        <v>Владимир Чугунов: Ссылка на изображение</v>
      </c>
      <c r="BN733" t="str">
        <f>HYPERLINK("https://d33htgqikc2pj4.cloudfront.net/18f06903-e784-407d-8540-cb8ba12b7a5f.jpeg", "Владимир Чугунов: Ссылка на изображение")</f>
        <v>Владимир Чугунов: Ссылка на изображение</v>
      </c>
      <c r="BO733" t="str">
        <f>HYPERLINK("https://d33htgqikc2pj4.cloudfront.net/144d12be-9578-4308-ad46-df4488aa8823.jpeg", "Владимир Чугунов: Ссылка на изображение")</f>
        <v>Владимир Чугунов: Ссылка на изображение</v>
      </c>
      <c r="BP733" t="str">
        <f>HYPERLINK("https://d33htgqikc2pj4.cloudfront.net/eb58bae2-3c22-4f78-935e-092b5dbb3b3e.jpeg", "Владимир Чугунов: Ссылка на изображение")</f>
        <v>Владимир Чугунов: Ссылка на изображение</v>
      </c>
      <c r="BQ733" t="str">
        <f>HYPERLINK("https://d33htgqikc2pj4.cloudfront.net/b17bccf9-4211-4bf1-9dc4-b9d8d98b18c5.jpeg", "Владимир Чугунов: Ссылка на изображение")</f>
        <v>Владимир Чугунов: Ссылка на изображение</v>
      </c>
      <c r="BR733" t="str">
        <f>HYPERLINK("https://d33htgqikc2pj4.cloudfront.net/7b0991f2-2971-40ad-80f8-7595a2abba75.jpeg", "Владимир Чугунов: Ссылка на изображение")</f>
        <v>Владимир Чугунов: Ссылка на изображение</v>
      </c>
      <c r="BS733" t="s">
        <v>102</v>
      </c>
    </row>
    <row r="734" spans="1:74" ht="15" customHeight="1" x14ac:dyDescent="0.35">
      <c r="A734">
        <v>561</v>
      </c>
      <c r="B734" t="s">
        <v>5690</v>
      </c>
      <c r="C734">
        <v>2</v>
      </c>
      <c r="D734" t="str">
        <f>VLOOKUP(source[[#This Row],[Приоритет]],тПриоритеты[],2,0)</f>
        <v>Значительное</v>
      </c>
      <c r="E73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4" t="s">
        <v>4451</v>
      </c>
      <c r="G734" t="s">
        <v>395</v>
      </c>
      <c r="H734" t="str">
        <f>VLOOKUP(source[[#This Row],[Отвественный]],тОтветственные[],2,0)</f>
        <v>Отв19</v>
      </c>
      <c r="I734" s="2">
        <v>43740</v>
      </c>
      <c r="J734" s="2">
        <v>43740</v>
      </c>
      <c r="K734" t="s">
        <v>104</v>
      </c>
      <c r="L734">
        <v>0</v>
      </c>
      <c r="M734">
        <v>0</v>
      </c>
      <c r="N734" t="s">
        <v>105</v>
      </c>
      <c r="Q734" t="s">
        <v>106</v>
      </c>
      <c r="R734" t="str">
        <f>HYPERLINK("https://d28ji4sm1vmprj.cloudfront.net/e7a526a7220c3bc5cfeeb407c455c0b3/580ffb055aff8ee0c88c6e676cfba776.jpeg", "Ссылка на план")</f>
        <v>Ссылка на план</v>
      </c>
      <c r="S734" s="1">
        <v>43740.586030092592</v>
      </c>
      <c r="T734" s="1">
        <v>43740.586064814815</v>
      </c>
      <c r="U734" s="1">
        <v>43740.70853009259</v>
      </c>
      <c r="W734" s="1">
        <v>43740.70853009259</v>
      </c>
      <c r="X734" t="s">
        <v>2835</v>
      </c>
      <c r="AA734" t="s">
        <v>5691</v>
      </c>
      <c r="AB734" t="s">
        <v>5692</v>
      </c>
      <c r="AC734" t="s">
        <v>5693</v>
      </c>
      <c r="AD734" t="s">
        <v>5694</v>
      </c>
      <c r="AE734" t="s">
        <v>5695</v>
      </c>
      <c r="AF734" t="s">
        <v>5696</v>
      </c>
      <c r="AG734" t="s">
        <v>5697</v>
      </c>
      <c r="BF734" t="s">
        <v>114</v>
      </c>
      <c r="BG734" t="s">
        <v>5698</v>
      </c>
      <c r="BH734" t="s">
        <v>5689</v>
      </c>
      <c r="BI734" t="str">
        <f>HYPERLINK("https://d33htgqikc2pj4.cloudfront.net/332bf680-1356-40b7-a631-9e81bdcb7e05.jpeg", "Владимир Чугунов: Ссылка на изображение")</f>
        <v>Владимир Чугунов: Ссылка на изображение</v>
      </c>
      <c r="BJ734" t="s">
        <v>102</v>
      </c>
    </row>
    <row r="735" spans="1:74" ht="15" customHeight="1" x14ac:dyDescent="0.35">
      <c r="A735">
        <v>563</v>
      </c>
      <c r="B735" t="s">
        <v>5699</v>
      </c>
      <c r="C735">
        <v>2</v>
      </c>
      <c r="D735" t="str">
        <f>VLOOKUP(source[[#This Row],[Приоритет]],тПриоритеты[],2,0)</f>
        <v>Значительное</v>
      </c>
      <c r="E73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5" t="s">
        <v>4451</v>
      </c>
      <c r="G735" t="s">
        <v>395</v>
      </c>
      <c r="H735" t="str">
        <f>VLOOKUP(source[[#This Row],[Отвественный]],тОтветственные[],2,0)</f>
        <v>Отв19</v>
      </c>
      <c r="I735" s="2">
        <v>43741</v>
      </c>
      <c r="J735" s="2">
        <v>43741</v>
      </c>
      <c r="K735" t="s">
        <v>104</v>
      </c>
      <c r="L735">
        <v>0</v>
      </c>
      <c r="M735">
        <v>0</v>
      </c>
      <c r="N735" t="s">
        <v>105</v>
      </c>
      <c r="Q735" t="s">
        <v>106</v>
      </c>
      <c r="R735" t="str">
        <f>HYPERLINK("https://d28ji4sm1vmprj.cloudfront.net/e7a526a7220c3bc5cfeeb407c455c0b3/580ffb055aff8ee0c88c6e676cfba776.jpeg", "Ссылка на план")</f>
        <v>Ссылка на план</v>
      </c>
      <c r="S735" s="1">
        <v>43741.450532407405</v>
      </c>
      <c r="T735" s="1">
        <v>43741.450671296298</v>
      </c>
      <c r="U735" s="1">
        <v>43741.451736111114</v>
      </c>
      <c r="W735" s="1">
        <v>43741.451747685183</v>
      </c>
      <c r="X735" t="s">
        <v>3217</v>
      </c>
      <c r="AA735" t="s">
        <v>5700</v>
      </c>
      <c r="AB735" t="s">
        <v>5701</v>
      </c>
      <c r="AC735" t="s">
        <v>5702</v>
      </c>
      <c r="AD735" t="s">
        <v>5703</v>
      </c>
      <c r="AE735" t="s">
        <v>5704</v>
      </c>
      <c r="AF735" t="s">
        <v>5705</v>
      </c>
      <c r="AG735" t="s">
        <v>5706</v>
      </c>
      <c r="AH735" t="s">
        <v>5707</v>
      </c>
      <c r="AI735" t="s">
        <v>5708</v>
      </c>
      <c r="AJ735" t="s">
        <v>5709</v>
      </c>
      <c r="AK735" t="s">
        <v>5710</v>
      </c>
      <c r="BF735" t="s">
        <v>114</v>
      </c>
      <c r="BG735" t="s">
        <v>5711</v>
      </c>
      <c r="BH735" t="s">
        <v>988</v>
      </c>
      <c r="BI735" t="str">
        <f>HYPERLINK("https://d33htgqikc2pj4.cloudfront.net/c9c59eb9-402c-4ef6-9db8-19fd46468023.jpeg", "Владимир Чугунов: Ссылка на изображение")</f>
        <v>Владимир Чугунов: Ссылка на изображение</v>
      </c>
      <c r="BJ735" t="str">
        <f>HYPERLINK("https://d33htgqikc2pj4.cloudfront.net/9f9f07d3-6c11-4fe0-b44c-d599cf3a42a9.jpeg", "Владимир Чугунов: Ссылка на изображение")</f>
        <v>Владимир Чугунов: Ссылка на изображение</v>
      </c>
      <c r="BK735" t="str">
        <f>HYPERLINK("https://d33htgqikc2pj4.cloudfront.net/bb6697ca-308d-4c5e-a60c-a3eb93e4074d.jpeg", "Владимир Чугунов: Ссылка на изображение")</f>
        <v>Владимир Чугунов: Ссылка на изображение</v>
      </c>
      <c r="BL735" t="s">
        <v>102</v>
      </c>
    </row>
    <row r="736" spans="1:74" ht="15" customHeight="1" x14ac:dyDescent="0.35">
      <c r="A736">
        <v>572</v>
      </c>
      <c r="B736" t="s">
        <v>5712</v>
      </c>
      <c r="C736">
        <v>2</v>
      </c>
      <c r="D736" t="str">
        <f>VLOOKUP(source[[#This Row],[Приоритет]],тПриоритеты[],2,0)</f>
        <v>Значительное</v>
      </c>
      <c r="E73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6" t="s">
        <v>4451</v>
      </c>
      <c r="G736" t="s">
        <v>395</v>
      </c>
      <c r="H736" t="str">
        <f>VLOOKUP(source[[#This Row],[Отвественный]],тОтветственные[],2,0)</f>
        <v>Отв19</v>
      </c>
      <c r="I736" s="2">
        <v>43742</v>
      </c>
      <c r="J736" s="2">
        <v>43742</v>
      </c>
      <c r="K736" t="s">
        <v>104</v>
      </c>
      <c r="L736">
        <v>0</v>
      </c>
      <c r="M736">
        <v>0</v>
      </c>
      <c r="N736" t="s">
        <v>105</v>
      </c>
      <c r="Q736" t="s">
        <v>106</v>
      </c>
      <c r="R736" t="str">
        <f>HYPERLINK("https://d28ji4sm1vmprj.cloudfront.net/e7a526a7220c3bc5cfeeb407c455c0b3/580ffb055aff8ee0c88c6e676cfba776.jpeg", "Ссылка на план")</f>
        <v>Ссылка на план</v>
      </c>
      <c r="S736" s="1">
        <v>43742.669224537036</v>
      </c>
      <c r="T736" s="1">
        <v>43742.669259259259</v>
      </c>
      <c r="U736" s="1">
        <v>43742.670798611114</v>
      </c>
      <c r="W736" s="1">
        <v>43742.670810185184</v>
      </c>
      <c r="X736" t="s">
        <v>3217</v>
      </c>
      <c r="AA736" t="s">
        <v>5713</v>
      </c>
      <c r="AB736" t="s">
        <v>5714</v>
      </c>
      <c r="AC736" t="s">
        <v>5715</v>
      </c>
      <c r="AD736" t="s">
        <v>5716</v>
      </c>
      <c r="AE736" t="s">
        <v>5717</v>
      </c>
      <c r="AF736" t="s">
        <v>5718</v>
      </c>
      <c r="AG736" t="s">
        <v>5719</v>
      </c>
      <c r="AH736" t="s">
        <v>5720</v>
      </c>
      <c r="AI736" t="s">
        <v>5721</v>
      </c>
      <c r="AJ736" t="s">
        <v>5722</v>
      </c>
      <c r="AK736" t="s">
        <v>5723</v>
      </c>
      <c r="BF736" t="s">
        <v>114</v>
      </c>
      <c r="BG736" t="s">
        <v>5724</v>
      </c>
      <c r="BH736" t="s">
        <v>997</v>
      </c>
      <c r="BI736" t="str">
        <f>HYPERLINK("https://d33htgqikc2pj4.cloudfront.net/ba75e395-a33d-4e0d-b048-3c1c2bb8664f.jpeg", "Владимир Чугунов: Ссылка на изображение")</f>
        <v>Владимир Чугунов: Ссылка на изображение</v>
      </c>
      <c r="BJ736" t="str">
        <f>HYPERLINK("https://d33htgqikc2pj4.cloudfront.net/45c4848b-8e4c-4ed6-bda1-26bc42e3a69e.jpeg", "Владимир Чугунов: Ссылка на изображение")</f>
        <v>Владимир Чугунов: Ссылка на изображение</v>
      </c>
      <c r="BK736" t="str">
        <f>HYPERLINK("https://d33htgqikc2pj4.cloudfront.net/8e8e2781-8131-4a20-b0ec-b4191d1f417c.jpeg", "Владимир Чугунов: Ссылка на изображение")</f>
        <v>Владимир Чугунов: Ссылка на изображение</v>
      </c>
      <c r="BL736" t="str">
        <f>HYPERLINK("https://d33htgqikc2pj4.cloudfront.net/dbd26b5d-a5e7-4ee9-bc23-124a51f0a3e0.jpeg", "Владимир Чугунов: Ссылка на изображение")</f>
        <v>Владимир Чугунов: Ссылка на изображение</v>
      </c>
      <c r="BM736" t="str">
        <f>HYPERLINK("https://d33htgqikc2pj4.cloudfront.net/e8a3c47c-fff0-4ad6-802e-656c1bf803e4.jpeg", "Владимир Чугунов: Ссылка на изображение")</f>
        <v>Владимир Чугунов: Ссылка на изображение</v>
      </c>
      <c r="BN736" t="str">
        <f>HYPERLINK("https://d33htgqikc2pj4.cloudfront.net/b1f3b61d-d599-448a-9728-a2862c294f3f.jpeg", "Владимир Чугунов: Ссылка на изображение")</f>
        <v>Владимир Чугунов: Ссылка на изображение</v>
      </c>
      <c r="BO736" t="s">
        <v>102</v>
      </c>
    </row>
    <row r="737" spans="1:70" ht="15" customHeight="1" x14ac:dyDescent="0.35">
      <c r="A737">
        <v>812</v>
      </c>
      <c r="B737" t="s">
        <v>5725</v>
      </c>
      <c r="C737">
        <v>2</v>
      </c>
      <c r="D737" t="str">
        <f>VLOOKUP(source[[#This Row],[Приоритет]],тПриоритеты[],2,0)</f>
        <v>Значительное</v>
      </c>
      <c r="E73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7" t="s">
        <v>4451</v>
      </c>
      <c r="G737" t="s">
        <v>395</v>
      </c>
      <c r="H737" t="str">
        <f>VLOOKUP(source[[#This Row],[Отвественный]],тОтветственные[],2,0)</f>
        <v>Отв19</v>
      </c>
      <c r="I737" s="2">
        <v>43822</v>
      </c>
      <c r="J737" s="2">
        <v>43822</v>
      </c>
      <c r="K737" t="s">
        <v>337</v>
      </c>
      <c r="L737">
        <v>0</v>
      </c>
      <c r="M737">
        <v>0</v>
      </c>
      <c r="N737" t="s">
        <v>338</v>
      </c>
      <c r="Q737" t="s">
        <v>339</v>
      </c>
      <c r="R737" t="str">
        <f>HYPERLINK("https://d28ji4sm1vmprj.cloudfront.net/19dc4a1afc4fcc7f30fd79820762e797/bb9fe60bbdb1c123800b0cd50ec150cc.jpeg", "Ссылка на план")</f>
        <v>Ссылка на план</v>
      </c>
      <c r="S737" s="1">
        <v>43822.386990740742</v>
      </c>
      <c r="T737" s="1">
        <v>43822.389456018522</v>
      </c>
      <c r="U737" s="1">
        <v>43822.390474537038</v>
      </c>
      <c r="W737" s="1">
        <v>43822.390474537038</v>
      </c>
      <c r="X737" t="s">
        <v>5726</v>
      </c>
      <c r="Y737" t="s">
        <v>5727</v>
      </c>
      <c r="AA737" t="s">
        <v>5728</v>
      </c>
      <c r="AB737" t="s">
        <v>5729</v>
      </c>
      <c r="AC737" t="s">
        <v>5730</v>
      </c>
      <c r="AD737" t="s">
        <v>5731</v>
      </c>
      <c r="AE737" t="s">
        <v>5732</v>
      </c>
      <c r="AF737" t="s">
        <v>5733</v>
      </c>
      <c r="AG737" t="s">
        <v>5734</v>
      </c>
      <c r="AH737" t="s">
        <v>5735</v>
      </c>
      <c r="AI737" t="s">
        <v>5736</v>
      </c>
      <c r="AJ737" t="s">
        <v>5737</v>
      </c>
      <c r="AK737" t="s">
        <v>5738</v>
      </c>
      <c r="AL737" t="s">
        <v>5739</v>
      </c>
      <c r="AM737" t="s">
        <v>5740</v>
      </c>
      <c r="AN737" t="s">
        <v>5741</v>
      </c>
      <c r="BF737" t="s">
        <v>5742</v>
      </c>
      <c r="BG737" t="s">
        <v>1008</v>
      </c>
      <c r="BH737" t="s">
        <v>114</v>
      </c>
      <c r="BI737" t="str">
        <f>HYPERLINK("https://d33htgqikc2pj4.cloudfront.net/baec7816-981d-4ec0-87a2-cc35e4dc4293.jpeg", "Владимир Чугунов: Ссылка на изображение")</f>
        <v>Владимир Чугунов: Ссылка на изображение</v>
      </c>
      <c r="BJ737" t="str">
        <f>HYPERLINK("https://d33htgqikc2pj4.cloudfront.net/2070b2ba-6a07-4114-bf9e-3897401619c9.jpeg", "Владимир Чугунов: Ссылка на изображение")</f>
        <v>Владимир Чугунов: Ссылка на изображение</v>
      </c>
      <c r="BK737" t="s">
        <v>102</v>
      </c>
    </row>
    <row r="738" spans="1:70" ht="15" customHeight="1" x14ac:dyDescent="0.35">
      <c r="A738">
        <v>648</v>
      </c>
      <c r="B738" t="s">
        <v>5743</v>
      </c>
      <c r="C738">
        <v>2</v>
      </c>
      <c r="D738" t="str">
        <f>VLOOKUP(source[[#This Row],[Приоритет]],тПриоритеты[],2,0)</f>
        <v>Значительное</v>
      </c>
      <c r="E73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8" t="s">
        <v>4451</v>
      </c>
      <c r="G738" t="s">
        <v>395</v>
      </c>
      <c r="H738" t="str">
        <f>VLOOKUP(source[[#This Row],[Отвественный]],тОтветственные[],2,0)</f>
        <v>Отв19</v>
      </c>
      <c r="I738" s="2">
        <v>43764</v>
      </c>
      <c r="J738" s="2">
        <v>43764</v>
      </c>
      <c r="K738" t="s">
        <v>104</v>
      </c>
      <c r="L738">
        <v>50</v>
      </c>
      <c r="M738">
        <v>50</v>
      </c>
      <c r="N738" t="s">
        <v>105</v>
      </c>
      <c r="Q738" t="s">
        <v>106</v>
      </c>
      <c r="R738" t="str">
        <f>HYPERLINK("https://d28ji4sm1vmprj.cloudfront.net/e7a526a7220c3bc5cfeeb407c455c0b3/580ffb055aff8ee0c88c6e676cfba776.jpeg", "Ссылка на план")</f>
        <v>Ссылка на план</v>
      </c>
      <c r="S738" s="1">
        <v>43764.520844907405</v>
      </c>
      <c r="T738" s="1">
        <v>43764.520879629628</v>
      </c>
      <c r="U738" s="1">
        <v>43764.597997685189</v>
      </c>
      <c r="W738" s="1">
        <v>43764.598692129628</v>
      </c>
      <c r="X738" t="s">
        <v>2835</v>
      </c>
      <c r="AA738" t="s">
        <v>5744</v>
      </c>
      <c r="AB738" t="s">
        <v>5745</v>
      </c>
      <c r="AC738" t="s">
        <v>5746</v>
      </c>
      <c r="AD738" t="s">
        <v>5747</v>
      </c>
      <c r="AE738" t="s">
        <v>5748</v>
      </c>
      <c r="AF738" t="s">
        <v>5749</v>
      </c>
      <c r="AG738" t="s">
        <v>5750</v>
      </c>
      <c r="BF738" t="s">
        <v>114</v>
      </c>
      <c r="BG738" t="s">
        <v>5751</v>
      </c>
      <c r="BH738" t="s">
        <v>1023</v>
      </c>
      <c r="BI738" t="str">
        <f>HYPERLINK("https://d33htgqikc2pj4.cloudfront.net/11669eaf-cd2d-4c1a-86b1-8c2000c67c55.jpeg", "Владимир Чугунов: Ссылка на изображение")</f>
        <v>Владимир Чугунов: Ссылка на изображение</v>
      </c>
      <c r="BJ738" t="str">
        <f>HYPERLINK("https://d33htgqikc2pj4.cloudfront.net/639e61de-0afd-42e3-a565-ad310c69583d.jpeg", "Владимир Чугунов: Ссылка на изображение")</f>
        <v>Владимир Чугунов: Ссылка на изображение</v>
      </c>
      <c r="BK738" t="s">
        <v>102</v>
      </c>
    </row>
    <row r="739" spans="1:70" ht="15" customHeight="1" x14ac:dyDescent="0.35">
      <c r="A739">
        <v>649</v>
      </c>
      <c r="B739" t="s">
        <v>5752</v>
      </c>
      <c r="C739">
        <v>2</v>
      </c>
      <c r="D739" t="str">
        <f>VLOOKUP(source[[#This Row],[Приоритет]],тПриоритеты[],2,0)</f>
        <v>Значительное</v>
      </c>
      <c r="E73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39" t="s">
        <v>4451</v>
      </c>
      <c r="G739" t="s">
        <v>395</v>
      </c>
      <c r="H739" t="str">
        <f>VLOOKUP(source[[#This Row],[Отвественный]],тОтветственные[],2,0)</f>
        <v>Отв19</v>
      </c>
      <c r="I739" s="2">
        <v>43764</v>
      </c>
      <c r="J739" s="2">
        <v>43764</v>
      </c>
      <c r="K739" t="s">
        <v>104</v>
      </c>
      <c r="L739">
        <v>0</v>
      </c>
      <c r="M739">
        <v>0</v>
      </c>
      <c r="N739" t="s">
        <v>105</v>
      </c>
      <c r="Q739" t="s">
        <v>106</v>
      </c>
      <c r="R739" t="str">
        <f>HYPERLINK("https://d28ji4sm1vmprj.cloudfront.net/e7a526a7220c3bc5cfeeb407c455c0b3/580ffb055aff8ee0c88c6e676cfba776.jpeg", "Ссылка на план")</f>
        <v>Ссылка на план</v>
      </c>
      <c r="S739" s="1">
        <v>43764.718055555553</v>
      </c>
      <c r="T739" s="1">
        <v>43764.756678240738</v>
      </c>
      <c r="U739" s="1">
        <v>43764.757141203707</v>
      </c>
      <c r="W739" s="1">
        <v>43764.757152777776</v>
      </c>
      <c r="BF739" t="s">
        <v>5753</v>
      </c>
      <c r="BG739" t="s">
        <v>114</v>
      </c>
      <c r="BH739" t="s">
        <v>1023</v>
      </c>
      <c r="BI739" t="str">
        <f>HYPERLINK("https://d33htgqikc2pj4.cloudfront.net/096d683c-d10e-40cc-bf8e-3bc08ad41889.jpeg", "Владимир Чугунов: Ссылка на изображение")</f>
        <v>Владимир Чугунов: Ссылка на изображение</v>
      </c>
      <c r="BJ739" t="str">
        <f>HYPERLINK("https://d33htgqikc2pj4.cloudfront.net/b1e702db-4204-4f77-b1e7-7a63e56aad82.jpeg", "Владимир Чугунов: Ссылка на изображение")</f>
        <v>Владимир Чугунов: Ссылка на изображение</v>
      </c>
      <c r="BK739" t="str">
        <f>HYPERLINK("https://d33htgqikc2pj4.cloudfront.net/ca331d5b-49ff-4efe-93b4-1563c4a7e837.jpeg", "Владимир Чугунов: Ссылка на изображение")</f>
        <v>Владимир Чугунов: Ссылка на изображение</v>
      </c>
      <c r="BL739" t="str">
        <f>HYPERLINK("https://d33htgqikc2pj4.cloudfront.net/977e3001-7418-4896-9536-d0bd7fd9c180.jpeg", "Владимир Чугунов: Ссылка на изображение")</f>
        <v>Владимир Чугунов: Ссылка на изображение</v>
      </c>
      <c r="BM739" t="str">
        <f>HYPERLINK("https://d33htgqikc2pj4.cloudfront.net/7c15202c-1aa8-415b-811a-3279d89437f4.jpeg", "Владимир Чугунов: Ссылка на изображение")</f>
        <v>Владимир Чугунов: Ссылка на изображение</v>
      </c>
      <c r="BN739" t="str">
        <f>HYPERLINK("https://d33htgqikc2pj4.cloudfront.net/6c905fea-22a7-40e4-b5d3-5b3f6c387c84.jpeg", "Владимир Чугунов: Ссылка на изображение")</f>
        <v>Владимир Чугунов: Ссылка на изображение</v>
      </c>
      <c r="BO739" t="s">
        <v>102</v>
      </c>
    </row>
    <row r="740" spans="1:70" ht="15" customHeight="1" x14ac:dyDescent="0.35">
      <c r="A740">
        <v>817</v>
      </c>
      <c r="B740" t="s">
        <v>5754</v>
      </c>
      <c r="C740">
        <v>2</v>
      </c>
      <c r="D740" t="str">
        <f>VLOOKUP(source[[#This Row],[Приоритет]],тПриоритеты[],2,0)</f>
        <v>Значительное</v>
      </c>
      <c r="E74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0" t="s">
        <v>4451</v>
      </c>
      <c r="G740" t="s">
        <v>395</v>
      </c>
      <c r="H740" t="str">
        <f>VLOOKUP(source[[#This Row],[Отвественный]],тОтветственные[],2,0)</f>
        <v>Отв19</v>
      </c>
      <c r="I740" s="2">
        <v>43822</v>
      </c>
      <c r="J740" s="2">
        <v>43822</v>
      </c>
      <c r="K740" t="s">
        <v>337</v>
      </c>
      <c r="L740">
        <v>0</v>
      </c>
      <c r="M740">
        <v>0</v>
      </c>
      <c r="N740" t="s">
        <v>338</v>
      </c>
      <c r="Q740" t="s">
        <v>339</v>
      </c>
      <c r="R740" t="str">
        <f>HYPERLINK("https://d28ji4sm1vmprj.cloudfront.net/19dc4a1afc4fcc7f30fd79820762e797/bb9fe60bbdb1c123800b0cd50ec150cc.jpeg", "Ссылка на план")</f>
        <v>Ссылка на план</v>
      </c>
      <c r="S740" s="1">
        <v>43822.68109953704</v>
      </c>
      <c r="T740" s="1">
        <v>43822.681851851848</v>
      </c>
      <c r="U740" s="1">
        <v>43823.609259259261</v>
      </c>
      <c r="W740" s="1">
        <v>43823.610358796293</v>
      </c>
      <c r="X740" t="s">
        <v>3380</v>
      </c>
      <c r="Y740" t="s">
        <v>5727</v>
      </c>
      <c r="AA740" t="s">
        <v>5737</v>
      </c>
      <c r="AB740" t="s">
        <v>5738</v>
      </c>
      <c r="AC740" t="s">
        <v>5739</v>
      </c>
      <c r="AD740" t="s">
        <v>5740</v>
      </c>
      <c r="AE740" t="s">
        <v>5741</v>
      </c>
      <c r="AF740" t="s">
        <v>5755</v>
      </c>
      <c r="AG740" t="s">
        <v>5756</v>
      </c>
      <c r="AH740" t="s">
        <v>5757</v>
      </c>
      <c r="AI740" t="s">
        <v>5758</v>
      </c>
      <c r="AJ740" t="s">
        <v>5759</v>
      </c>
      <c r="AK740" t="s">
        <v>5760</v>
      </c>
      <c r="AL740" t="s">
        <v>5761</v>
      </c>
      <c r="AM740" t="s">
        <v>5762</v>
      </c>
      <c r="AN740" t="s">
        <v>5763</v>
      </c>
      <c r="AO740" t="s">
        <v>5764</v>
      </c>
      <c r="AP740" t="s">
        <v>5740</v>
      </c>
      <c r="AQ740" t="s">
        <v>5765</v>
      </c>
      <c r="AR740" t="s">
        <v>5766</v>
      </c>
      <c r="BF740" t="s">
        <v>5767</v>
      </c>
      <c r="BG740" t="s">
        <v>1008</v>
      </c>
      <c r="BH740" t="s">
        <v>114</v>
      </c>
      <c r="BI740" t="str">
        <f>HYPERLINK("https://d33htgqikc2pj4.cloudfront.net/d28a54d3-e72e-44ad-858b-68b36fb5e2b3.jpeg", "Владимир Чугунов: Ссылка на изображение")</f>
        <v>Владимир Чугунов: Ссылка на изображение</v>
      </c>
      <c r="BJ740" t="str">
        <f>HYPERLINK("https://d33htgqikc2pj4.cloudfront.net/7d711c90-16ed-4399-bf21-6018b8f44e3c.jpeg", "Владимир Чугунов: Ссылка на изображение")</f>
        <v>Владимир Чугунов: Ссылка на изображение</v>
      </c>
      <c r="BK740" t="s">
        <v>5768</v>
      </c>
      <c r="BL740" t="s">
        <v>102</v>
      </c>
    </row>
    <row r="741" spans="1:70" ht="15" customHeight="1" x14ac:dyDescent="0.35">
      <c r="A741">
        <v>650</v>
      </c>
      <c r="B741" t="s">
        <v>5769</v>
      </c>
      <c r="C741">
        <v>2</v>
      </c>
      <c r="D741" t="str">
        <f>VLOOKUP(source[[#This Row],[Приоритет]],тПриоритеты[],2,0)</f>
        <v>Значительное</v>
      </c>
      <c r="E74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1" t="s">
        <v>4451</v>
      </c>
      <c r="G741" t="s">
        <v>395</v>
      </c>
      <c r="H741" t="str">
        <f>VLOOKUP(source[[#This Row],[Отвественный]],тОтветственные[],2,0)</f>
        <v>Отв19</v>
      </c>
      <c r="I741" s="2">
        <v>43764</v>
      </c>
      <c r="J741" s="2">
        <v>43764</v>
      </c>
      <c r="K741" t="s">
        <v>104</v>
      </c>
      <c r="L741">
        <v>0</v>
      </c>
      <c r="M741">
        <v>0</v>
      </c>
      <c r="N741" t="s">
        <v>105</v>
      </c>
      <c r="Q741" t="s">
        <v>106</v>
      </c>
      <c r="R741" t="str">
        <f>HYPERLINK("https://d28ji4sm1vmprj.cloudfront.net/e7a526a7220c3bc5cfeeb407c455c0b3/580ffb055aff8ee0c88c6e676cfba776.jpeg", "Ссылка на план")</f>
        <v>Ссылка на план</v>
      </c>
      <c r="S741" s="1">
        <v>43764.757210648146</v>
      </c>
      <c r="T741" s="1">
        <v>43764.757569444446</v>
      </c>
      <c r="U741" s="1">
        <v>43764.758564814816</v>
      </c>
      <c r="W741" s="1">
        <v>43764.758576388886</v>
      </c>
      <c r="X741" t="s">
        <v>3217</v>
      </c>
      <c r="AA741" t="s">
        <v>5770</v>
      </c>
      <c r="AB741" t="s">
        <v>5771</v>
      </c>
      <c r="AC741" t="s">
        <v>5772</v>
      </c>
      <c r="AD741" t="s">
        <v>5773</v>
      </c>
      <c r="AE741" t="s">
        <v>5774</v>
      </c>
      <c r="AF741" t="s">
        <v>5775</v>
      </c>
      <c r="AG741" t="s">
        <v>5776</v>
      </c>
      <c r="AH741" t="s">
        <v>5777</v>
      </c>
      <c r="AI741" t="s">
        <v>5778</v>
      </c>
      <c r="AJ741" t="s">
        <v>5779</v>
      </c>
      <c r="AK741" t="s">
        <v>5780</v>
      </c>
      <c r="BF741" t="s">
        <v>5781</v>
      </c>
      <c r="BG741" t="s">
        <v>114</v>
      </c>
      <c r="BH741" t="s">
        <v>1023</v>
      </c>
      <c r="BI741" t="str">
        <f>HYPERLINK("https://d33htgqikc2pj4.cloudfront.net/8515c2c5-c55c-48bb-b9c7-4fd8926c441c.jpeg", "Владимир Чугунов: Ссылка на изображение")</f>
        <v>Владимир Чугунов: Ссылка на изображение</v>
      </c>
      <c r="BJ741" t="str">
        <f>HYPERLINK("https://d33htgqikc2pj4.cloudfront.net/567220b4-638d-486e-bc90-57d7465be825.jpeg", "Владимир Чугунов: Ссылка на изображение")</f>
        <v>Владимир Чугунов: Ссылка на изображение</v>
      </c>
      <c r="BK741" t="str">
        <f>HYPERLINK("https://d33htgqikc2pj4.cloudfront.net/85406c95-e8ad-4222-9b3a-df251b221531.jpeg", "Владимир Чугунов: Ссылка на изображение")</f>
        <v>Владимир Чугунов: Ссылка на изображение</v>
      </c>
      <c r="BL741" t="str">
        <f>HYPERLINK("https://d33htgqikc2pj4.cloudfront.net/7c759fed-d966-41be-a613-258fa584ce59.jpeg", "Владимир Чугунов: Ссылка на изображение")</f>
        <v>Владимир Чугунов: Ссылка на изображение</v>
      </c>
      <c r="BM741" t="str">
        <f>HYPERLINK("https://d33htgqikc2pj4.cloudfront.net/0f6bd8bb-8b6a-4017-afd6-2ba07f56581a.jpeg", "Владимир Чугунов: Ссылка на изображение")</f>
        <v>Владимир Чугунов: Ссылка на изображение</v>
      </c>
      <c r="BN741" t="str">
        <f>HYPERLINK("https://d33htgqikc2pj4.cloudfront.net/6311a03f-ec30-41b8-be50-08dbfd291e7a.jpeg", "Владимир Чугунов: Ссылка на изображение")</f>
        <v>Владимир Чугунов: Ссылка на изображение</v>
      </c>
      <c r="BO741" t="str">
        <f>HYPERLINK("https://d33htgqikc2pj4.cloudfront.net/e8b49607-b079-4844-b410-ef0c06ace3f2.jpeg", "Владимир Чугунов: Ссылка на изображение")</f>
        <v>Владимир Чугунов: Ссылка на изображение</v>
      </c>
      <c r="BP741" t="s">
        <v>102</v>
      </c>
    </row>
    <row r="742" spans="1:70" ht="15" customHeight="1" x14ac:dyDescent="0.35">
      <c r="A742">
        <v>656</v>
      </c>
      <c r="B742" t="s">
        <v>5782</v>
      </c>
      <c r="C742">
        <v>2</v>
      </c>
      <c r="D742" t="str">
        <f>VLOOKUP(source[[#This Row],[Приоритет]],тПриоритеты[],2,0)</f>
        <v>Значительное</v>
      </c>
      <c r="E74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2" t="s">
        <v>4451</v>
      </c>
      <c r="G742" t="s">
        <v>395</v>
      </c>
      <c r="H742" t="str">
        <f>VLOOKUP(source[[#This Row],[Отвественный]],тОтветственные[],2,0)</f>
        <v>Отв19</v>
      </c>
      <c r="I742" s="2">
        <v>43767</v>
      </c>
      <c r="J742" s="2">
        <v>43767</v>
      </c>
      <c r="K742" t="s">
        <v>104</v>
      </c>
      <c r="L742">
        <v>0</v>
      </c>
      <c r="M742">
        <v>0</v>
      </c>
      <c r="N742" t="s">
        <v>105</v>
      </c>
      <c r="Q742" t="s">
        <v>106</v>
      </c>
      <c r="R742" t="str">
        <f>HYPERLINK("https://d28ji4sm1vmprj.cloudfront.net/e7a526a7220c3bc5cfeeb407c455c0b3/580ffb055aff8ee0c88c6e676cfba776.jpeg", "Ссылка на план")</f>
        <v>Ссылка на план</v>
      </c>
      <c r="S742" s="1">
        <v>43767.518333333333</v>
      </c>
      <c r="T742" s="1">
        <v>43767.518831018519</v>
      </c>
      <c r="U742" s="1">
        <v>43767.519212962965</v>
      </c>
      <c r="W742" s="1">
        <v>43767.519224537034</v>
      </c>
      <c r="X742" t="s">
        <v>2835</v>
      </c>
      <c r="AA742" t="s">
        <v>5783</v>
      </c>
      <c r="AB742" t="s">
        <v>5784</v>
      </c>
      <c r="AC742" t="s">
        <v>5785</v>
      </c>
      <c r="AD742" t="s">
        <v>5786</v>
      </c>
      <c r="AE742" t="s">
        <v>5787</v>
      </c>
      <c r="AF742" t="s">
        <v>5788</v>
      </c>
      <c r="AG742" t="s">
        <v>5789</v>
      </c>
      <c r="BF742" t="s">
        <v>5790</v>
      </c>
      <c r="BG742" t="s">
        <v>1026</v>
      </c>
      <c r="BH742" t="s">
        <v>114</v>
      </c>
      <c r="BI742" t="str">
        <f>HYPERLINK("https://d33htgqikc2pj4.cloudfront.net/b788f728-9716-43d6-b171-312ca94908bf.jpeg", "Владимир Чугунов: Ссылка на изображение")</f>
        <v>Владимир Чугунов: Ссылка на изображение</v>
      </c>
      <c r="BJ742" t="s">
        <v>102</v>
      </c>
    </row>
    <row r="743" spans="1:70" ht="15" customHeight="1" x14ac:dyDescent="0.35">
      <c r="A743">
        <v>838</v>
      </c>
      <c r="B743" t="s">
        <v>5791</v>
      </c>
      <c r="C743">
        <v>2</v>
      </c>
      <c r="D743" t="str">
        <f>VLOOKUP(source[[#This Row],[Приоритет]],тПриоритеты[],2,0)</f>
        <v>Значительное</v>
      </c>
      <c r="E74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3" t="s">
        <v>4451</v>
      </c>
      <c r="G743" t="s">
        <v>395</v>
      </c>
      <c r="H743" t="str">
        <f>VLOOKUP(source[[#This Row],[Отвественный]],тОтветственные[],2,0)</f>
        <v>Отв19</v>
      </c>
      <c r="I743" s="2">
        <v>43823</v>
      </c>
      <c r="J743" s="2">
        <v>43823</v>
      </c>
      <c r="K743" t="s">
        <v>337</v>
      </c>
      <c r="L743">
        <v>0</v>
      </c>
      <c r="M743">
        <v>0</v>
      </c>
      <c r="N743" t="s">
        <v>338</v>
      </c>
      <c r="Q743" t="s">
        <v>339</v>
      </c>
      <c r="R743" t="str">
        <f>HYPERLINK("https://d28ji4sm1vmprj.cloudfront.net/19dc4a1afc4fcc7f30fd79820762e797/bb9fe60bbdb1c123800b0cd50ec150cc.jpeg", "Ссылка на план")</f>
        <v>Ссылка на план</v>
      </c>
      <c r="S743" s="1">
        <v>43824.548182870371</v>
      </c>
      <c r="T743" s="1">
        <v>43823.662581018521</v>
      </c>
      <c r="U743" s="1">
        <v>43823.663425925923</v>
      </c>
      <c r="W743" s="1">
        <v>43824.548368055555</v>
      </c>
      <c r="X743" t="s">
        <v>107</v>
      </c>
      <c r="Y743" t="s">
        <v>340</v>
      </c>
      <c r="AA743" t="s">
        <v>5792</v>
      </c>
      <c r="AB743" t="s">
        <v>5793</v>
      </c>
      <c r="AC743" t="s">
        <v>5794</v>
      </c>
      <c r="AD743" t="s">
        <v>5795</v>
      </c>
      <c r="AE743" t="s">
        <v>5796</v>
      </c>
      <c r="AF743" t="s">
        <v>5797</v>
      </c>
      <c r="AG743" t="s">
        <v>5798</v>
      </c>
      <c r="AH743" t="s">
        <v>5799</v>
      </c>
      <c r="AI743" t="s">
        <v>5800</v>
      </c>
      <c r="AJ743" t="s">
        <v>5801</v>
      </c>
      <c r="AK743" t="s">
        <v>5802</v>
      </c>
      <c r="AL743" t="s">
        <v>5803</v>
      </c>
      <c r="AM743" t="s">
        <v>5804</v>
      </c>
      <c r="AN743" t="s">
        <v>5805</v>
      </c>
      <c r="AO743" t="s">
        <v>5806</v>
      </c>
      <c r="AP743" t="s">
        <v>5807</v>
      </c>
      <c r="AQ743" t="s">
        <v>5808</v>
      </c>
      <c r="AR743" t="s">
        <v>5809</v>
      </c>
      <c r="AS743" t="s">
        <v>5810</v>
      </c>
      <c r="AT743" t="s">
        <v>5811</v>
      </c>
      <c r="BF743" t="s">
        <v>5812</v>
      </c>
      <c r="BG743" t="s">
        <v>398</v>
      </c>
      <c r="BH743" t="s">
        <v>114</v>
      </c>
      <c r="BI743" t="s">
        <v>102</v>
      </c>
      <c r="BJ743" t="s">
        <v>127</v>
      </c>
      <c r="BK743" t="s">
        <v>127</v>
      </c>
      <c r="BL743" t="str">
        <f>HYPERLINK("https://d33htgqikc2pj4.cloudfront.net/1a514b16-3d38-44f3-8567-910fb2b3f21f.jpeg", "Владимир Чугунов: Ссылка на изображение")</f>
        <v>Владимир Чугунов: Ссылка на изображение</v>
      </c>
      <c r="BM743" t="str">
        <f>HYPERLINK("https://d33htgqikc2pj4.cloudfront.net/d631f0f2-680d-4007-984e-df6bb5acd98f.jpeg", "Владимир Чугунов: Ссылка на изображение")</f>
        <v>Владимир Чугунов: Ссылка на изображение</v>
      </c>
      <c r="BN743" t="s">
        <v>127</v>
      </c>
      <c r="BO743" t="s">
        <v>127</v>
      </c>
    </row>
    <row r="744" spans="1:70" ht="15" customHeight="1" x14ac:dyDescent="0.35">
      <c r="A744">
        <v>660</v>
      </c>
      <c r="B744" t="s">
        <v>5813</v>
      </c>
      <c r="C744">
        <v>2</v>
      </c>
      <c r="D744" t="str">
        <f>VLOOKUP(source[[#This Row],[Приоритет]],тПриоритеты[],2,0)</f>
        <v>Значительное</v>
      </c>
      <c r="E74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4" t="s">
        <v>4451</v>
      </c>
      <c r="G744" t="s">
        <v>395</v>
      </c>
      <c r="H744" t="str">
        <f>VLOOKUP(source[[#This Row],[Отвественный]],тОтветственные[],2,0)</f>
        <v>Отв19</v>
      </c>
      <c r="I744" s="2">
        <v>43767</v>
      </c>
      <c r="J744" s="2">
        <v>43767</v>
      </c>
      <c r="K744" t="s">
        <v>104</v>
      </c>
      <c r="L744">
        <v>0</v>
      </c>
      <c r="M744">
        <v>0</v>
      </c>
      <c r="N744" t="s">
        <v>105</v>
      </c>
      <c r="Q744" t="s">
        <v>106</v>
      </c>
      <c r="R744" t="str">
        <f>HYPERLINK("https://d28ji4sm1vmprj.cloudfront.net/e7a526a7220c3bc5cfeeb407c455c0b3/580ffb055aff8ee0c88c6e676cfba776.jpeg", "Ссылка на план")</f>
        <v>Ссылка на план</v>
      </c>
      <c r="S744" s="1">
        <v>43767.921354166669</v>
      </c>
      <c r="T744" s="1">
        <v>43759.921388888892</v>
      </c>
      <c r="U744" s="1">
        <v>43767.923773148148</v>
      </c>
      <c r="W744" s="1">
        <v>43767.923784722225</v>
      </c>
      <c r="X744" t="s">
        <v>2333</v>
      </c>
      <c r="AA744" t="s">
        <v>5814</v>
      </c>
      <c r="AB744" t="s">
        <v>5815</v>
      </c>
      <c r="AC744" t="s">
        <v>5816</v>
      </c>
      <c r="AD744" t="s">
        <v>5817</v>
      </c>
      <c r="AE744" t="s">
        <v>5818</v>
      </c>
      <c r="AF744" t="s">
        <v>5819</v>
      </c>
      <c r="AG744" t="s">
        <v>5820</v>
      </c>
      <c r="AH744" t="s">
        <v>5821</v>
      </c>
      <c r="AI744" t="s">
        <v>5789</v>
      </c>
      <c r="BF744" t="s">
        <v>114</v>
      </c>
      <c r="BG744" t="s">
        <v>5822</v>
      </c>
      <c r="BH744" t="s">
        <v>5823</v>
      </c>
      <c r="BI744" t="s">
        <v>1026</v>
      </c>
      <c r="BJ744" t="str">
        <f>HYPERLINK("https://d33htgqikc2pj4.cloudfront.net/c1c9f292-8df0-49ef-be78-d50b27727532.jpeg", "Владимир Чугунов: Ссылка на изображение")</f>
        <v>Владимир Чугунов: Ссылка на изображение</v>
      </c>
      <c r="BK744" t="s">
        <v>102</v>
      </c>
    </row>
    <row r="745" spans="1:70" ht="15" customHeight="1" x14ac:dyDescent="0.35">
      <c r="A745">
        <v>662</v>
      </c>
      <c r="B745" t="s">
        <v>5824</v>
      </c>
      <c r="C745">
        <v>2</v>
      </c>
      <c r="D745" t="str">
        <f>VLOOKUP(source[[#This Row],[Приоритет]],тПриоритеты[],2,0)</f>
        <v>Значительное</v>
      </c>
      <c r="E745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5" t="s">
        <v>4451</v>
      </c>
      <c r="G745" t="s">
        <v>395</v>
      </c>
      <c r="H745" t="str">
        <f>VLOOKUP(source[[#This Row],[Отвественный]],тОтветственные[],2,0)</f>
        <v>Отв19</v>
      </c>
      <c r="I745" s="2">
        <v>43768</v>
      </c>
      <c r="J745" s="2">
        <v>43768</v>
      </c>
      <c r="K745" t="s">
        <v>104</v>
      </c>
      <c r="L745">
        <v>0</v>
      </c>
      <c r="M745">
        <v>0</v>
      </c>
      <c r="N745" t="s">
        <v>105</v>
      </c>
      <c r="Q745" t="s">
        <v>106</v>
      </c>
      <c r="R745" t="str">
        <f>HYPERLINK("https://d28ji4sm1vmprj.cloudfront.net/e7a526a7220c3bc5cfeeb407c455c0b3/580ffb055aff8ee0c88c6e676cfba776.jpeg", "Ссылка на план")</f>
        <v>Ссылка на план</v>
      </c>
      <c r="S745" s="1">
        <v>43768.717314814814</v>
      </c>
      <c r="T745" s="1">
        <v>43768.717731481483</v>
      </c>
      <c r="U745" s="1">
        <v>43768.718101851853</v>
      </c>
      <c r="W745" s="1">
        <v>43768.718113425923</v>
      </c>
      <c r="BF745" t="s">
        <v>5825</v>
      </c>
      <c r="BG745" t="s">
        <v>5826</v>
      </c>
      <c r="BH745" t="s">
        <v>114</v>
      </c>
      <c r="BI745" t="str">
        <f>HYPERLINK("https://d33htgqikc2pj4.cloudfront.net/3f013030-0dc1-44e6-8cde-cc3b7efdc3ff.jpeg", "Владимир Чугунов: Ссылка на изображение")</f>
        <v>Владимир Чугунов: Ссылка на изображение</v>
      </c>
      <c r="BJ745" t="str">
        <f>HYPERLINK("https://d33htgqikc2pj4.cloudfront.net/c9830c83-fcdb-4088-b3ca-c3faf2b82a52.jpeg", "Владимир Чугунов: Ссылка на изображение")</f>
        <v>Владимир Чугунов: Ссылка на изображение</v>
      </c>
      <c r="BK745" t="str">
        <f>HYPERLINK("https://d33htgqikc2pj4.cloudfront.net/b65cf140-d0de-4c92-80d0-a4b79b4ecdef.jpeg", "Владимир Чугунов: Ссылка на изображение")</f>
        <v>Владимир Чугунов: Ссылка на изображение</v>
      </c>
      <c r="BL745" t="s">
        <v>102</v>
      </c>
    </row>
    <row r="746" spans="1:70" ht="15" customHeight="1" x14ac:dyDescent="0.35">
      <c r="A746">
        <v>663</v>
      </c>
      <c r="B746" t="s">
        <v>5827</v>
      </c>
      <c r="C746">
        <v>2</v>
      </c>
      <c r="D746" t="str">
        <f>VLOOKUP(source[[#This Row],[Приоритет]],тПриоритеты[],2,0)</f>
        <v>Значительное</v>
      </c>
      <c r="E746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6" t="s">
        <v>4451</v>
      </c>
      <c r="G746" t="s">
        <v>395</v>
      </c>
      <c r="H746" t="str">
        <f>VLOOKUP(source[[#This Row],[Отвественный]],тОтветственные[],2,0)</f>
        <v>Отв19</v>
      </c>
      <c r="I746" s="2">
        <v>43768</v>
      </c>
      <c r="J746" s="2">
        <v>43768</v>
      </c>
      <c r="K746" t="s">
        <v>104</v>
      </c>
      <c r="L746">
        <v>0</v>
      </c>
      <c r="M746">
        <v>0</v>
      </c>
      <c r="N746" t="s">
        <v>105</v>
      </c>
      <c r="Q746" t="s">
        <v>106</v>
      </c>
      <c r="R746" t="str">
        <f>HYPERLINK("https://d28ji4sm1vmprj.cloudfront.net/e7a526a7220c3bc5cfeeb407c455c0b3/580ffb055aff8ee0c88c6e676cfba776.jpeg", "Ссылка на план")</f>
        <v>Ссылка на план</v>
      </c>
      <c r="S746" s="1">
        <v>43768.857777777775</v>
      </c>
      <c r="T746" s="1">
        <v>43768.858229166668</v>
      </c>
      <c r="U746" s="1">
        <v>43768.86105324074</v>
      </c>
      <c r="W746" s="1">
        <v>43768.861064814817</v>
      </c>
      <c r="X746" t="s">
        <v>3217</v>
      </c>
      <c r="AA746" t="s">
        <v>5828</v>
      </c>
      <c r="AB746" t="s">
        <v>5829</v>
      </c>
      <c r="AC746" t="s">
        <v>5830</v>
      </c>
      <c r="AD746" t="s">
        <v>5831</v>
      </c>
      <c r="AE746" t="s">
        <v>5832</v>
      </c>
      <c r="AF746" t="s">
        <v>5833</v>
      </c>
      <c r="AG746" t="s">
        <v>5834</v>
      </c>
      <c r="AH746" t="s">
        <v>5835</v>
      </c>
      <c r="AI746" t="s">
        <v>5836</v>
      </c>
      <c r="AJ746" t="s">
        <v>5837</v>
      </c>
      <c r="AK746" t="s">
        <v>5838</v>
      </c>
      <c r="BF746" t="s">
        <v>114</v>
      </c>
      <c r="BG746" t="s">
        <v>5839</v>
      </c>
      <c r="BH746" t="s">
        <v>5826</v>
      </c>
      <c r="BI746" t="str">
        <f>HYPERLINK("https://d33htgqikc2pj4.cloudfront.net/244b8983-40e4-4dce-8304-9b50bcb00b8b.jpeg", "Владимир Чугунов: Ссылка на изображение")</f>
        <v>Владимир Чугунов: Ссылка на изображение</v>
      </c>
      <c r="BJ746" t="str">
        <f>HYPERLINK("https://d33htgqikc2pj4.cloudfront.net/d5b5b180-9578-416e-837f-8263bab1f48b.jpeg", "Владимир Чугунов: Ссылка на изображение")</f>
        <v>Владимир Чугунов: Ссылка на изображение</v>
      </c>
      <c r="BK746" t="str">
        <f>HYPERLINK("https://d33htgqikc2pj4.cloudfront.net/f309bf34-0cb6-4f3f-8469-5c96d1f7257e.jpeg", "Владимир Чугунов: Ссылка на изображение")</f>
        <v>Владимир Чугунов: Ссылка на изображение</v>
      </c>
      <c r="BL746" t="s">
        <v>102</v>
      </c>
      <c r="BM746" t="str">
        <f>HYPERLINK("https://d33htgqikc2pj4.cloudfront.net/0cc2567f-4600-49ab-ac59-9c614cbf2245.jpeg", "Владимир Чугунов: Ссылка на изображение")</f>
        <v>Владимир Чугунов: Ссылка на изображение</v>
      </c>
      <c r="BN746" t="str">
        <f>HYPERLINK("https://d33htgqikc2pj4.cloudfront.net/db6df10e-f392-4f5b-95c0-e3b9626f30bb.jpeg", "Владимир Чугунов: Ссылка на изображение")</f>
        <v>Владимир Чугунов: Ссылка на изображение</v>
      </c>
      <c r="BO746" t="str">
        <f>HYPERLINK("https://d33htgqikc2pj4.cloudfront.net/370630cc-81ad-4053-ac7c-1a9afaf4ab0b.jpeg", "Владимир Чугунов: Ссылка на изображение")</f>
        <v>Владимир Чугунов: Ссылка на изображение</v>
      </c>
      <c r="BP746" t="str">
        <f>HYPERLINK("https://d33htgqikc2pj4.cloudfront.net/a46238fb-9b38-4143-b0cd-2517478dbc91.jpeg", "Владимир Чугунов: Ссылка на изображение")</f>
        <v>Владимир Чугунов: Ссылка на изображение</v>
      </c>
    </row>
    <row r="747" spans="1:70" ht="15" customHeight="1" x14ac:dyDescent="0.35">
      <c r="A747">
        <v>666</v>
      </c>
      <c r="B747" t="s">
        <v>5840</v>
      </c>
      <c r="C747">
        <v>2</v>
      </c>
      <c r="D747" t="str">
        <f>VLOOKUP(source[[#This Row],[Приоритет]],тПриоритеты[],2,0)</f>
        <v>Значительное</v>
      </c>
      <c r="E747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7" t="s">
        <v>4451</v>
      </c>
      <c r="G747" t="s">
        <v>395</v>
      </c>
      <c r="H747" t="str">
        <f>VLOOKUP(source[[#This Row],[Отвественный]],тОтветственные[],2,0)</f>
        <v>Отв19</v>
      </c>
      <c r="I747" s="2">
        <v>43769</v>
      </c>
      <c r="J747" s="2">
        <v>43769</v>
      </c>
      <c r="K747" t="s">
        <v>313</v>
      </c>
      <c r="L747">
        <v>0</v>
      </c>
      <c r="M747">
        <v>0</v>
      </c>
      <c r="N747" t="s">
        <v>105</v>
      </c>
      <c r="Q747" t="s">
        <v>106</v>
      </c>
      <c r="R747" t="str">
        <f>HYPERLINK("https://d28ji4sm1vmprj.cloudfront.net/464215be55b88773f54b8cd83354babd/02eaaeba9564da889c4ba5d284544147.jpeg", "Ссылка на план")</f>
        <v>Ссылка на план</v>
      </c>
      <c r="S747" s="1">
        <v>43769.660127314812</v>
      </c>
      <c r="T747" s="1">
        <v>43769.660162037035</v>
      </c>
      <c r="U747" s="1">
        <v>43769.661087962966</v>
      </c>
      <c r="W747" s="1">
        <v>43769.661099537036</v>
      </c>
      <c r="BF747" t="s">
        <v>114</v>
      </c>
      <c r="BG747" t="s">
        <v>5841</v>
      </c>
      <c r="BH747" t="s">
        <v>1035</v>
      </c>
      <c r="BI747" t="str">
        <f>HYPERLINK("https://d33htgqikc2pj4.cloudfront.net/345595bd-b7ae-4340-9f72-2ccb71ab2332.jpeg", "Владимир Чугунов: Ссылка на изображение")</f>
        <v>Владимир Чугунов: Ссылка на изображение</v>
      </c>
      <c r="BJ747" t="str">
        <f>HYPERLINK("https://d33htgqikc2pj4.cloudfront.net/7466c323-af42-4abd-a506-aea4f0ecbf15.jpeg", "Владимир Чугунов: Ссылка на изображение")</f>
        <v>Владимир Чугунов: Ссылка на изображение</v>
      </c>
      <c r="BK747" t="str">
        <f>HYPERLINK("https://d33htgqikc2pj4.cloudfront.net/2eb15662-c2b5-4f58-84f3-54554f5e972a.jpeg", "Владимир Чугунов: Ссылка на изображение")</f>
        <v>Владимир Чугунов: Ссылка на изображение</v>
      </c>
      <c r="BL747" t="str">
        <f>HYPERLINK("https://d33htgqikc2pj4.cloudfront.net/a1215fb5-a8fa-40f3-a04f-273cf5152428.jpeg", "Владимир Чугунов: Ссылка на изображение")</f>
        <v>Владимир Чугунов: Ссылка на изображение</v>
      </c>
      <c r="BM747" t="s">
        <v>102</v>
      </c>
    </row>
    <row r="748" spans="1:70" ht="15" customHeight="1" x14ac:dyDescent="0.35">
      <c r="A748">
        <v>669</v>
      </c>
      <c r="B748" t="s">
        <v>5842</v>
      </c>
      <c r="C748">
        <v>2</v>
      </c>
      <c r="D748" t="str">
        <f>VLOOKUP(source[[#This Row],[Приоритет]],тПриоритеты[],2,0)</f>
        <v>Значительное</v>
      </c>
      <c r="E748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8" t="s">
        <v>4451</v>
      </c>
      <c r="G748" t="s">
        <v>395</v>
      </c>
      <c r="H748" t="str">
        <f>VLOOKUP(source[[#This Row],[Отвественный]],тОтветственные[],2,0)</f>
        <v>Отв19</v>
      </c>
      <c r="I748" s="2">
        <v>43769</v>
      </c>
      <c r="J748" s="2">
        <v>43769</v>
      </c>
      <c r="K748" t="s">
        <v>104</v>
      </c>
      <c r="L748">
        <v>0</v>
      </c>
      <c r="M748">
        <v>0</v>
      </c>
      <c r="N748" t="s">
        <v>105</v>
      </c>
      <c r="Q748" t="s">
        <v>106</v>
      </c>
      <c r="R748" t="str">
        <f t="shared" ref="R748:R754" si="14">HYPERLINK("https://d28ji4sm1vmprj.cloudfront.net/e7a526a7220c3bc5cfeeb407c455c0b3/580ffb055aff8ee0c88c6e676cfba776.jpeg", "Ссылка на план")</f>
        <v>Ссылка на план</v>
      </c>
      <c r="S748" s="1">
        <v>43769.731342592589</v>
      </c>
      <c r="T748" s="1">
        <v>43769.732662037037</v>
      </c>
      <c r="U748" s="1">
        <v>43769.837962962964</v>
      </c>
      <c r="W748" s="1">
        <v>43769.83797453704</v>
      </c>
      <c r="X748" t="s">
        <v>3217</v>
      </c>
      <c r="AA748" t="s">
        <v>5843</v>
      </c>
      <c r="AB748" t="s">
        <v>5844</v>
      </c>
      <c r="AC748" t="s">
        <v>5845</v>
      </c>
      <c r="AD748" t="s">
        <v>5846</v>
      </c>
      <c r="AE748" t="s">
        <v>5847</v>
      </c>
      <c r="AF748" t="s">
        <v>5848</v>
      </c>
      <c r="AG748" t="s">
        <v>5849</v>
      </c>
      <c r="AH748" t="s">
        <v>5850</v>
      </c>
      <c r="AI748" t="s">
        <v>5851</v>
      </c>
      <c r="AJ748" t="s">
        <v>5852</v>
      </c>
      <c r="AK748" t="s">
        <v>5853</v>
      </c>
      <c r="BF748" t="s">
        <v>5854</v>
      </c>
      <c r="BG748" t="s">
        <v>1035</v>
      </c>
      <c r="BH748" t="s">
        <v>114</v>
      </c>
      <c r="BI748" t="str">
        <f>HYPERLINK("https://d33htgqikc2pj4.cloudfront.net/976c13a2-3015-4e77-bba2-1926beb678fa.jpeg", "Владимир Чугунов: Ссылка на изображение")</f>
        <v>Владимир Чугунов: Ссылка на изображение</v>
      </c>
      <c r="BJ748" t="str">
        <f>HYPERLINK("https://d33htgqikc2pj4.cloudfront.net/4c4ddada-753f-42f7-bbb1-cc0143291cd6.jpeg", "Владимир Чугунов: Ссылка на изображение")</f>
        <v>Владимир Чугунов: Ссылка на изображение</v>
      </c>
      <c r="BK748" t="str">
        <f>HYPERLINK("https://d33htgqikc2pj4.cloudfront.net/9eca88c4-3de0-4e6d-981f-83de97e84474.jpeg", "Владимир Чугунов: Ссылка на изображение")</f>
        <v>Владимир Чугунов: Ссылка на изображение</v>
      </c>
      <c r="BL748" t="str">
        <f>HYPERLINK("https://d33htgqikc2pj4.cloudfront.net/55c81710-8a6d-41ef-bda4-849be781fcd3.jpeg", "Владимир Чугунов: Ссылка на изображение")</f>
        <v>Владимир Чугунов: Ссылка на изображение</v>
      </c>
      <c r="BM748" t="str">
        <f>HYPERLINK("https://d33htgqikc2pj4.cloudfront.net/372d3810-e574-4f34-9dac-491d1289666b.jpeg", "Владимир Чугунов: Ссылка на изображение")</f>
        <v>Владимир Чугунов: Ссылка на изображение</v>
      </c>
      <c r="BN748" t="str">
        <f>HYPERLINK("https://d33htgqikc2pj4.cloudfront.net/b47d57a3-e1b4-4b8d-8f3e-6a1e7709c191.jpeg", "Владимир Чугунов: Ссылка на изображение")</f>
        <v>Владимир Чугунов: Ссылка на изображение</v>
      </c>
      <c r="BO748" t="str">
        <f>HYPERLINK("https://d33htgqikc2pj4.cloudfront.net/d9bc83df-c98c-474b-95fc-3c65c3713cc2.jpeg", "Владимир Чугунов: Ссылка на изображение")</f>
        <v>Владимир Чугунов: Ссылка на изображение</v>
      </c>
      <c r="BP748" t="str">
        <f>HYPERLINK("https://d33htgqikc2pj4.cloudfront.net/623f8b41-6c1d-4267-9608-617e89128e78.jpeg", "Владимир Чугунов: Ссылка на изображение")</f>
        <v>Владимир Чугунов: Ссылка на изображение</v>
      </c>
      <c r="BQ748" t="str">
        <f>HYPERLINK("https://d33htgqikc2pj4.cloudfront.net/8238ded0-b8df-41af-a8ca-e7ecc0c13970.jpeg", "Владимир Чугунов: Ссылка на изображение")</f>
        <v>Владимир Чугунов: Ссылка на изображение</v>
      </c>
      <c r="BR748" t="s">
        <v>102</v>
      </c>
    </row>
    <row r="749" spans="1:70" ht="15" customHeight="1" x14ac:dyDescent="0.35">
      <c r="A749">
        <v>671</v>
      </c>
      <c r="B749" t="s">
        <v>5855</v>
      </c>
      <c r="C749">
        <v>2</v>
      </c>
      <c r="D749" t="str">
        <f>VLOOKUP(source[[#This Row],[Приоритет]],тПриоритеты[],2,0)</f>
        <v>Значительное</v>
      </c>
      <c r="E749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49" t="s">
        <v>4451</v>
      </c>
      <c r="G749" t="s">
        <v>395</v>
      </c>
      <c r="H749" t="str">
        <f>VLOOKUP(source[[#This Row],[Отвественный]],тОтветственные[],2,0)</f>
        <v>Отв19</v>
      </c>
      <c r="I749" s="2">
        <v>43770</v>
      </c>
      <c r="J749" s="2">
        <v>43770</v>
      </c>
      <c r="K749" t="s">
        <v>104</v>
      </c>
      <c r="L749">
        <v>0</v>
      </c>
      <c r="M749">
        <v>0</v>
      </c>
      <c r="N749" t="s">
        <v>105</v>
      </c>
      <c r="Q749" t="s">
        <v>106</v>
      </c>
      <c r="R749" t="str">
        <f t="shared" si="14"/>
        <v>Ссылка на план</v>
      </c>
      <c r="S749" s="1">
        <v>43770.634143518517</v>
      </c>
      <c r="T749" s="1">
        <v>43770.634166666663</v>
      </c>
      <c r="U749" s="1">
        <v>43770.637256944443</v>
      </c>
      <c r="W749" s="1">
        <v>43770.637256944443</v>
      </c>
      <c r="X749" t="s">
        <v>2835</v>
      </c>
      <c r="AA749" t="s">
        <v>5856</v>
      </c>
      <c r="AB749" t="s">
        <v>5857</v>
      </c>
      <c r="AC749" t="s">
        <v>5858</v>
      </c>
      <c r="AD749" t="s">
        <v>5859</v>
      </c>
      <c r="AE749" t="s">
        <v>5860</v>
      </c>
      <c r="AF749" t="s">
        <v>5861</v>
      </c>
      <c r="AG749" t="s">
        <v>5862</v>
      </c>
      <c r="BF749" t="s">
        <v>114</v>
      </c>
      <c r="BG749" t="s">
        <v>5863</v>
      </c>
      <c r="BH749" t="s">
        <v>5864</v>
      </c>
      <c r="BI749" t="str">
        <f>HYPERLINK("https://d33htgqikc2pj4.cloudfront.net/2c701c5b-fc9b-4f63-8923-6715b8507dac.jpeg", "Владимир Чугунов: Ссылка на изображение")</f>
        <v>Владимир Чугунов: Ссылка на изображение</v>
      </c>
      <c r="BJ749" t="s">
        <v>102</v>
      </c>
    </row>
    <row r="750" spans="1:70" ht="15" customHeight="1" x14ac:dyDescent="0.35">
      <c r="A750">
        <v>672</v>
      </c>
      <c r="B750" t="s">
        <v>5865</v>
      </c>
      <c r="C750">
        <v>2</v>
      </c>
      <c r="D750" t="str">
        <f>VLOOKUP(source[[#This Row],[Приоритет]],тПриоритеты[],2,0)</f>
        <v>Значительное</v>
      </c>
      <c r="E750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50" t="s">
        <v>4451</v>
      </c>
      <c r="G750" t="s">
        <v>395</v>
      </c>
      <c r="H750" t="str">
        <f>VLOOKUP(source[[#This Row],[Отвественный]],тОтветственные[],2,0)</f>
        <v>Отв19</v>
      </c>
      <c r="I750" s="2">
        <v>43770</v>
      </c>
      <c r="J750" s="2">
        <v>43770</v>
      </c>
      <c r="K750" t="s">
        <v>104</v>
      </c>
      <c r="L750">
        <v>0</v>
      </c>
      <c r="M750">
        <v>0</v>
      </c>
      <c r="N750" t="s">
        <v>105</v>
      </c>
      <c r="Q750" t="s">
        <v>106</v>
      </c>
      <c r="R750" t="str">
        <f t="shared" si="14"/>
        <v>Ссылка на план</v>
      </c>
      <c r="S750" s="1">
        <v>43770.637326388889</v>
      </c>
      <c r="T750" s="1">
        <v>43770.637627314813</v>
      </c>
      <c r="U750" s="1">
        <v>43770.638148148151</v>
      </c>
      <c r="W750" s="1">
        <v>43770.638159722221</v>
      </c>
      <c r="BF750" t="s">
        <v>5866</v>
      </c>
      <c r="BG750" t="s">
        <v>114</v>
      </c>
      <c r="BH750" t="s">
        <v>5864</v>
      </c>
      <c r="BI750" t="str">
        <f>HYPERLINK("https://d33htgqikc2pj4.cloudfront.net/0db7f9f1-37a2-47c3-9ae0-53c09d42ec0b.jpeg", "Владимир Чугунов: Ссылка на изображение")</f>
        <v>Владимир Чугунов: Ссылка на изображение</v>
      </c>
      <c r="BJ750" t="str">
        <f>HYPERLINK("https://d33htgqikc2pj4.cloudfront.net/eff0fa81-fff7-4538-97e6-0f9364355352.jpeg", "Владимир Чугунов: Ссылка на изображение")</f>
        <v>Владимир Чугунов: Ссылка на изображение</v>
      </c>
      <c r="BK750" t="str">
        <f>HYPERLINK("https://d33htgqikc2pj4.cloudfront.net/b87ab48e-a960-40a4-aa19-78f200b86ed3.jpeg", "Владимир Чугунов: Ссылка на изображение")</f>
        <v>Владимир Чугунов: Ссылка на изображение</v>
      </c>
      <c r="BL750" t="str">
        <f>HYPERLINK("https://d33htgqikc2pj4.cloudfront.net/464be029-352d-47d7-970e-e50df861cba3.jpeg", "Владимир Чугунов: Ссылка на изображение")</f>
        <v>Владимир Чугунов: Ссылка на изображение</v>
      </c>
      <c r="BM750" t="str">
        <f>HYPERLINK("https://d33htgqikc2pj4.cloudfront.net/79d91940-1999-417e-98ee-4f0348539d61.jpeg", "Владимир Чугунов: Ссылка на изображение")</f>
        <v>Владимир Чугунов: Ссылка на изображение</v>
      </c>
      <c r="BN750" t="str">
        <f>HYPERLINK("https://d33htgqikc2pj4.cloudfront.net/1d1fc617-0fc8-4115-a953-d7346252c686.jpeg", "Владимир Чугунов: Ссылка на изображение")</f>
        <v>Владимир Чугунов: Ссылка на изображение</v>
      </c>
      <c r="BO750" t="str">
        <f>HYPERLINK("https://d33htgqikc2pj4.cloudfront.net/efdf7024-501f-4a4c-818f-8d681714a4f1.jpeg", "Владимир Чугунов: Ссылка на изображение")</f>
        <v>Владимир Чугунов: Ссылка на изображение</v>
      </c>
      <c r="BP750" t="str">
        <f>HYPERLINK("https://d33htgqikc2pj4.cloudfront.net/24876018-c315-4f21-9fab-df9c84622e03.jpeg", "Владимир Чугунов: Ссылка на изображение")</f>
        <v>Владимир Чугунов: Ссылка на изображение</v>
      </c>
      <c r="BQ750" t="s">
        <v>102</v>
      </c>
    </row>
    <row r="751" spans="1:70" ht="15" customHeight="1" x14ac:dyDescent="0.35">
      <c r="A751">
        <v>673</v>
      </c>
      <c r="B751" t="s">
        <v>5867</v>
      </c>
      <c r="C751">
        <v>2</v>
      </c>
      <c r="D751" t="str">
        <f>VLOOKUP(source[[#This Row],[Приоритет]],тПриоритеты[],2,0)</f>
        <v>Значительное</v>
      </c>
      <c r="E751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51" t="s">
        <v>4451</v>
      </c>
      <c r="G751" t="s">
        <v>395</v>
      </c>
      <c r="H751" t="str">
        <f>VLOOKUP(source[[#This Row],[Отвественный]],тОтветственные[],2,0)</f>
        <v>Отв19</v>
      </c>
      <c r="I751" s="2">
        <v>43770</v>
      </c>
      <c r="J751" s="2">
        <v>43770</v>
      </c>
      <c r="K751" t="s">
        <v>104</v>
      </c>
      <c r="L751">
        <v>0</v>
      </c>
      <c r="M751">
        <v>0</v>
      </c>
      <c r="N751" t="s">
        <v>105</v>
      </c>
      <c r="Q751" t="s">
        <v>106</v>
      </c>
      <c r="R751" t="str">
        <f t="shared" si="14"/>
        <v>Ссылка на план</v>
      </c>
      <c r="S751" s="1">
        <v>43770.72556712963</v>
      </c>
      <c r="T751" s="1">
        <v>43770.725601851853</v>
      </c>
      <c r="U751" s="1">
        <v>43770.726504629631</v>
      </c>
      <c r="W751" s="1">
        <v>43770.7265162037</v>
      </c>
      <c r="X751" t="s">
        <v>3217</v>
      </c>
      <c r="AA751" t="s">
        <v>5868</v>
      </c>
      <c r="AB751" t="s">
        <v>5869</v>
      </c>
      <c r="AC751" t="s">
        <v>5870</v>
      </c>
      <c r="AD751" t="s">
        <v>5871</v>
      </c>
      <c r="AE751" t="s">
        <v>5872</v>
      </c>
      <c r="AF751" t="s">
        <v>5873</v>
      </c>
      <c r="AG751" t="s">
        <v>5874</v>
      </c>
      <c r="AH751" t="s">
        <v>5875</v>
      </c>
      <c r="AI751" t="s">
        <v>5876</v>
      </c>
      <c r="AJ751" t="s">
        <v>5877</v>
      </c>
      <c r="AK751" t="s">
        <v>5878</v>
      </c>
      <c r="BF751" t="s">
        <v>114</v>
      </c>
      <c r="BG751" t="s">
        <v>5879</v>
      </c>
      <c r="BH751" t="s">
        <v>5864</v>
      </c>
      <c r="BI751" t="str">
        <f>HYPERLINK("https://d33htgqikc2pj4.cloudfront.net/69891562-455a-4821-8e4f-b14526267b6e.jpeg", "Владимир Чугунов: Ссылка на изображение")</f>
        <v>Владимир Чугунов: Ссылка на изображение</v>
      </c>
      <c r="BJ751" t="str">
        <f>HYPERLINK("https://d33htgqikc2pj4.cloudfront.net/a97471e9-b029-4545-ad13-27bc57da08c0.jpeg", "Владимир Чугунов: Ссылка на изображение")</f>
        <v>Владимир Чугунов: Ссылка на изображение</v>
      </c>
      <c r="BK751" t="str">
        <f>HYPERLINK("https://d33htgqikc2pj4.cloudfront.net/2d2363a5-1dfd-46f4-b6d0-66400fdacd22.jpeg", "Владимир Чугунов: Ссылка на изображение")</f>
        <v>Владимир Чугунов: Ссылка на изображение</v>
      </c>
      <c r="BL751" t="str">
        <f>HYPERLINK("https://d33htgqikc2pj4.cloudfront.net/15173f22-94ca-46ba-a8e7-61da028db7e3.jpeg", "Владимир Чугунов: Ссылка на изображение")</f>
        <v>Владимир Чугунов: Ссылка на изображение</v>
      </c>
      <c r="BM751" t="str">
        <f>HYPERLINK("https://d33htgqikc2pj4.cloudfront.net/c82cc9d3-4a13-43d1-a3fd-64211196ee61.jpeg", "Владимир Чугунов: Ссылка на изображение")</f>
        <v>Владимир Чугунов: Ссылка на изображение</v>
      </c>
      <c r="BN751" t="str">
        <f>HYPERLINK("https://d33htgqikc2pj4.cloudfront.net/60357481-a87e-4dff-91ae-7fe6e35a74a4.jpeg", "Владимир Чугунов: Ссылка на изображение")</f>
        <v>Владимир Чугунов: Ссылка на изображение</v>
      </c>
      <c r="BO751" t="str">
        <f>HYPERLINK("https://d33htgqikc2pj4.cloudfront.net/3b1cec83-622c-46b2-a8e9-aace81060050.jpeg", "Владимир Чугунов: Ссылка на изображение")</f>
        <v>Владимир Чугунов: Ссылка на изображение</v>
      </c>
      <c r="BP751" t="s">
        <v>102</v>
      </c>
    </row>
    <row r="752" spans="1:70" ht="15" customHeight="1" x14ac:dyDescent="0.35">
      <c r="A752">
        <v>675</v>
      </c>
      <c r="B752" t="s">
        <v>5880</v>
      </c>
      <c r="C752">
        <v>2</v>
      </c>
      <c r="D752" t="str">
        <f>VLOOKUP(source[[#This Row],[Приоритет]],тПриоритеты[],2,0)</f>
        <v>Значительное</v>
      </c>
      <c r="E752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52" t="s">
        <v>4451</v>
      </c>
      <c r="G752" t="s">
        <v>395</v>
      </c>
      <c r="H752" t="str">
        <f>VLOOKUP(source[[#This Row],[Отвественный]],тОтветственные[],2,0)</f>
        <v>Отв19</v>
      </c>
      <c r="I752" s="2">
        <v>43771</v>
      </c>
      <c r="J752" s="2">
        <v>43771</v>
      </c>
      <c r="K752" t="s">
        <v>104</v>
      </c>
      <c r="L752">
        <v>0</v>
      </c>
      <c r="M752">
        <v>0</v>
      </c>
      <c r="N752" t="s">
        <v>105</v>
      </c>
      <c r="Q752" t="s">
        <v>106</v>
      </c>
      <c r="R752" t="str">
        <f t="shared" si="14"/>
        <v>Ссылка на план</v>
      </c>
      <c r="S752" s="1">
        <v>43771.880127314813</v>
      </c>
      <c r="T752" s="1">
        <v>43771.880173611113</v>
      </c>
      <c r="U752" s="1">
        <v>43771.88113425926</v>
      </c>
      <c r="W752" s="1">
        <v>43771.881157407406</v>
      </c>
      <c r="X752" t="s">
        <v>3217</v>
      </c>
      <c r="AA752" t="s">
        <v>5881</v>
      </c>
      <c r="AB752" t="s">
        <v>5882</v>
      </c>
      <c r="AC752" t="s">
        <v>5883</v>
      </c>
      <c r="AD752" t="s">
        <v>5884</v>
      </c>
      <c r="AE752" t="s">
        <v>5885</v>
      </c>
      <c r="AF752" t="s">
        <v>5886</v>
      </c>
      <c r="AG752" t="s">
        <v>5887</v>
      </c>
      <c r="AH752" t="s">
        <v>5888</v>
      </c>
      <c r="AI752" t="s">
        <v>5889</v>
      </c>
      <c r="AJ752" t="s">
        <v>5890</v>
      </c>
      <c r="AK752" t="s">
        <v>5891</v>
      </c>
      <c r="BF752" t="s">
        <v>114</v>
      </c>
      <c r="BG752" t="s">
        <v>5892</v>
      </c>
      <c r="BH752" t="s">
        <v>1046</v>
      </c>
      <c r="BI752" t="str">
        <f>HYPERLINK("https://d33htgqikc2pj4.cloudfront.net/bc0a099f-f555-4fed-b498-b24ba3346395.jpeg", "Владимир Чугунов: Ссылка на изображение")</f>
        <v>Владимир Чугунов: Ссылка на изображение</v>
      </c>
      <c r="BJ752" t="str">
        <f>HYPERLINK("https://d33htgqikc2pj4.cloudfront.net/8d546f18-e01c-4cca-b66c-cc9dfb4656ce.jpeg", "Владимир Чугунов: Ссылка на изображение")</f>
        <v>Владимир Чугунов: Ссылка на изображение</v>
      </c>
      <c r="BK752" t="str">
        <f>HYPERLINK("https://d33htgqikc2pj4.cloudfront.net/b90b5bf8-be50-4b54-be15-1b57fa8b576f.jpeg", "Владимир Чугунов: Ссылка на изображение")</f>
        <v>Владимир Чугунов: Ссылка на изображение</v>
      </c>
      <c r="BL752" t="s">
        <v>102</v>
      </c>
    </row>
    <row r="753" spans="1:69" ht="15" customHeight="1" x14ac:dyDescent="0.35">
      <c r="A753">
        <v>767</v>
      </c>
      <c r="B753" t="s">
        <v>5893</v>
      </c>
      <c r="C753">
        <v>2</v>
      </c>
      <c r="D753" t="str">
        <f>VLOOKUP(source[[#This Row],[Приоритет]],тПриоритеты[],2,0)</f>
        <v>Значительное</v>
      </c>
      <c r="E753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53" t="s">
        <v>4451</v>
      </c>
      <c r="G753" t="s">
        <v>395</v>
      </c>
      <c r="H753" t="str">
        <f>VLOOKUP(source[[#This Row],[Отвественный]],тОтветственные[],2,0)</f>
        <v>Отв19</v>
      </c>
      <c r="I753" s="2">
        <v>43810</v>
      </c>
      <c r="J753" s="2">
        <v>43810</v>
      </c>
      <c r="K753" t="s">
        <v>104</v>
      </c>
      <c r="L753">
        <v>0</v>
      </c>
      <c r="M753">
        <v>0</v>
      </c>
      <c r="N753" t="s">
        <v>419</v>
      </c>
      <c r="Q753" t="s">
        <v>106</v>
      </c>
      <c r="R753" t="str">
        <f t="shared" si="14"/>
        <v>Ссылка на план</v>
      </c>
      <c r="S753" s="1">
        <v>43810.697048611109</v>
      </c>
      <c r="T753" s="1">
        <v>43810.697118055556</v>
      </c>
      <c r="U753" s="1">
        <v>43810.69908564815</v>
      </c>
      <c r="W753" s="1">
        <v>43810.704756944448</v>
      </c>
      <c r="X753" t="s">
        <v>406</v>
      </c>
      <c r="AA753" t="s">
        <v>5894</v>
      </c>
      <c r="AB753" t="s">
        <v>5895</v>
      </c>
      <c r="AC753" t="s">
        <v>5896</v>
      </c>
      <c r="AD753" t="s">
        <v>5897</v>
      </c>
      <c r="AE753" t="s">
        <v>5898</v>
      </c>
      <c r="AF753" t="s">
        <v>5899</v>
      </c>
      <c r="AG753" t="s">
        <v>5900</v>
      </c>
      <c r="BF753" t="s">
        <v>114</v>
      </c>
      <c r="BG753" t="str">
        <f>HYPERLINK("https://d33htgqikc2pj4.cloudfront.net/812ec281-ae37-42c5-9bea-aab601715d56.jpeg", "Владимир Чугунов: Ссылка на изображение")</f>
        <v>Владимир Чугунов: Ссылка на изображение</v>
      </c>
      <c r="BH753" t="str">
        <f>HYPERLINK("https://d33htgqikc2pj4.cloudfront.net/14426b4f-f5e5-467d-8632-c408fcf90d50.jpeg", "Владимир Чугунов: Ссылка на изображение")</f>
        <v>Владимир Чугунов: Ссылка на изображение</v>
      </c>
      <c r="BI753" t="str">
        <f>HYPERLINK("https://d33htgqikc2pj4.cloudfront.net/35523eac-5ce6-4fa7-89a2-dfaa863224a5.jpeg", "Владимир Чугунов: Ссылка на изображение")</f>
        <v>Владимир Чугунов: Ссылка на изображение</v>
      </c>
      <c r="BJ753" t="str">
        <f>HYPERLINK("https://d33htgqikc2pj4.cloudfront.net/5fecd909-7523-4d19-aeb1-7db70e608da2.jpeg", "Владимир Чугунов: Ссылка на изображение")</f>
        <v>Владимир Чугунов: Ссылка на изображение</v>
      </c>
      <c r="BK753" t="str">
        <f>HYPERLINK("https://d33htgqikc2pj4.cloudfront.net/521c6201-4ed3-4602-9bfa-53d094849f38.jpeg", "Владимир Чугунов: Ссылка на изображение")</f>
        <v>Владимир Чугунов: Ссылка на изображение</v>
      </c>
      <c r="BL753" t="str">
        <f>HYPERLINK("https://d33htgqikc2pj4.cloudfront.net/34b542d7-344b-428f-a198-1e1f024b625b.jpeg", "Владимир Чугунов: Ссылка на изображение")</f>
        <v>Владимир Чугунов: Ссылка на изображение</v>
      </c>
      <c r="BM753" t="str">
        <f>HYPERLINK("https://d33htgqikc2pj4.cloudfront.net/d74e979b-7ff3-4a21-a837-e15baa518bb8.jpeg", "Владимир Чугунов: Ссылка на изображение")</f>
        <v>Владимир Чугунов: Ссылка на изображение</v>
      </c>
      <c r="BN753" t="s">
        <v>1055</v>
      </c>
      <c r="BO753" t="s">
        <v>102</v>
      </c>
      <c r="BP753" t="s">
        <v>5901</v>
      </c>
      <c r="BQ753" t="s">
        <v>5902</v>
      </c>
    </row>
    <row r="754" spans="1:69" ht="15" customHeight="1" x14ac:dyDescent="0.35">
      <c r="A754">
        <v>691</v>
      </c>
      <c r="B754" t="s">
        <v>5903</v>
      </c>
      <c r="C754">
        <v>2</v>
      </c>
      <c r="D754" t="str">
        <f>VLOOKUP(source[[#This Row],[Приоритет]],тПриоритеты[],2,0)</f>
        <v>Значительное</v>
      </c>
      <c r="E754" t="str">
        <f>IF(ISBLANK(source[[#This Row],[Проверенные]]),IF(ISBLANK(source[[#This Row],[Завершенные]]),source[[#This Row],[Приоритет_]],"Завершено"),"Проверено")</f>
        <v>Проверено</v>
      </c>
      <c r="F754" t="s">
        <v>4451</v>
      </c>
      <c r="G754" t="s">
        <v>395</v>
      </c>
      <c r="H754" t="str">
        <f>VLOOKUP(source[[#This Row],[Отвественный]],тОтветственные[],2,0)</f>
        <v>Отв19</v>
      </c>
      <c r="I754" s="2">
        <v>43787</v>
      </c>
      <c r="J754" s="2">
        <v>43787</v>
      </c>
      <c r="K754" t="s">
        <v>104</v>
      </c>
      <c r="L754">
        <v>0</v>
      </c>
      <c r="M754">
        <v>0</v>
      </c>
      <c r="N754" t="s">
        <v>105</v>
      </c>
      <c r="Q754" t="s">
        <v>106</v>
      </c>
      <c r="R754" t="str">
        <f t="shared" si="14"/>
        <v>Ссылка на план</v>
      </c>
      <c r="S754" s="1">
        <v>43787.49800925926</v>
      </c>
      <c r="T754" s="1">
        <v>43787.498032407406</v>
      </c>
      <c r="U754" s="1">
        <v>43787.5000462963</v>
      </c>
      <c r="W754" s="1">
        <v>43787.500057870369</v>
      </c>
      <c r="X754" t="s">
        <v>107</v>
      </c>
      <c r="AA754" t="s">
        <v>5904</v>
      </c>
      <c r="AB754" t="s">
        <v>5905</v>
      </c>
      <c r="AC754" t="s">
        <v>5906</v>
      </c>
      <c r="AD754" t="s">
        <v>5907</v>
      </c>
      <c r="AE754" t="s">
        <v>5908</v>
      </c>
      <c r="AF754" t="s">
        <v>5909</v>
      </c>
      <c r="BF754" t="s">
        <v>114</v>
      </c>
      <c r="BG754" t="s">
        <v>5910</v>
      </c>
      <c r="BH754" t="s">
        <v>5911</v>
      </c>
      <c r="BI754" t="str">
        <f>HYPERLINK("https://d33htgqikc2pj4.cloudfront.net/055d3ba3-33d8-475d-aeb9-b4cde4f7a8dc.jpeg", "Владимир Чугунов: Ссылка на изображение")</f>
        <v>Владимир Чугунов: Ссылка на изображение</v>
      </c>
      <c r="BJ754" t="str">
        <f>HYPERLINK("https://d33htgqikc2pj4.cloudfront.net/1ffc681b-5ed1-4006-aca1-3720b179599a.jpeg", "Владимир Чугунов: Ссылка на изображение")</f>
        <v>Владимир Чугунов: Ссылка на изображение</v>
      </c>
      <c r="BK754" t="str">
        <f>HYPERLINK("https://d33htgqikc2pj4.cloudfront.net/cc68037c-de0d-4fa1-923f-9dcad7f7b18d.jpeg", "Владимир Чугунов: Ссылка на изображение")</f>
        <v>Владимир Чугунов: Ссылка на изображение</v>
      </c>
      <c r="BL754" t="s">
        <v>102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N71"/>
  <sheetViews>
    <sheetView tabSelected="1" workbookViewId="0"/>
  </sheetViews>
  <sheetFormatPr defaultRowHeight="14.5" x14ac:dyDescent="0.35"/>
  <cols>
    <col min="3" max="3" width="17.6328125" bestFit="1" customWidth="1"/>
    <col min="4" max="753" width="4.6328125" customWidth="1"/>
    <col min="754" max="754" width="11.1796875" bestFit="1" customWidth="1"/>
  </cols>
  <sheetData>
    <row r="3" spans="1:14" x14ac:dyDescent="0.35">
      <c r="A3" s="4" t="s">
        <v>5934</v>
      </c>
      <c r="D3" s="4" t="s">
        <v>5935</v>
      </c>
      <c r="E3" s="4" t="s">
        <v>17</v>
      </c>
    </row>
    <row r="4" spans="1:14" x14ac:dyDescent="0.35">
      <c r="D4" t="s">
        <v>5936</v>
      </c>
      <c r="N4" t="s">
        <v>5931</v>
      </c>
    </row>
    <row r="5" spans="1:14" x14ac:dyDescent="0.35">
      <c r="A5" s="4" t="s">
        <v>5</v>
      </c>
      <c r="B5" s="4" t="s">
        <v>5930</v>
      </c>
      <c r="C5" s="4" t="s">
        <v>5929</v>
      </c>
      <c r="D5" s="1" t="s">
        <v>5937</v>
      </c>
      <c r="E5" s="1" t="s">
        <v>5938</v>
      </c>
      <c r="F5" s="1" t="s">
        <v>5939</v>
      </c>
      <c r="G5" s="1" t="s">
        <v>5940</v>
      </c>
      <c r="H5" s="1" t="s">
        <v>5941</v>
      </c>
      <c r="I5" s="1" t="s">
        <v>5942</v>
      </c>
      <c r="J5" s="1" t="s">
        <v>5943</v>
      </c>
      <c r="K5" s="1" t="s">
        <v>5944</v>
      </c>
      <c r="L5" s="1" t="s">
        <v>5945</v>
      </c>
      <c r="M5" s="1" t="s">
        <v>5946</v>
      </c>
    </row>
    <row r="6" spans="1:14" x14ac:dyDescent="0.35">
      <c r="A6" t="s">
        <v>96</v>
      </c>
      <c r="D6" s="5">
        <v>1</v>
      </c>
      <c r="E6" s="5">
        <v>10</v>
      </c>
      <c r="F6" s="5">
        <v>4</v>
      </c>
      <c r="G6" s="5">
        <v>7</v>
      </c>
      <c r="H6" s="5">
        <v>24</v>
      </c>
      <c r="I6" s="5">
        <v>15</v>
      </c>
      <c r="J6" s="5">
        <v>24</v>
      </c>
      <c r="K6" s="5">
        <v>8</v>
      </c>
      <c r="L6" s="5">
        <v>7</v>
      </c>
      <c r="M6" s="5">
        <v>13</v>
      </c>
      <c r="N6" s="5">
        <v>113</v>
      </c>
    </row>
    <row r="7" spans="1:14" x14ac:dyDescent="0.35">
      <c r="B7" t="s">
        <v>5916</v>
      </c>
      <c r="D7" s="5"/>
      <c r="E7" s="5"/>
      <c r="F7" s="5"/>
      <c r="G7" s="5">
        <v>1</v>
      </c>
      <c r="H7" s="5">
        <v>2</v>
      </c>
      <c r="I7" s="5"/>
      <c r="J7" s="5"/>
      <c r="K7" s="5"/>
      <c r="L7" s="5"/>
      <c r="M7" s="5"/>
      <c r="N7" s="5">
        <v>3</v>
      </c>
    </row>
    <row r="8" spans="1:14" x14ac:dyDescent="0.35">
      <c r="C8" t="s">
        <v>5932</v>
      </c>
      <c r="D8" s="5"/>
      <c r="E8" s="5"/>
      <c r="F8" s="5"/>
      <c r="G8" s="5">
        <v>1</v>
      </c>
      <c r="H8" s="5">
        <v>2</v>
      </c>
      <c r="I8" s="5"/>
      <c r="J8" s="5"/>
      <c r="K8" s="5"/>
      <c r="L8" s="5"/>
      <c r="M8" s="5"/>
      <c r="N8" s="5">
        <v>3</v>
      </c>
    </row>
    <row r="9" spans="1:14" x14ac:dyDescent="0.35">
      <c r="B9" t="s">
        <v>5920</v>
      </c>
      <c r="D9" s="5"/>
      <c r="E9" s="5">
        <v>10</v>
      </c>
      <c r="F9" s="5">
        <v>2</v>
      </c>
      <c r="G9" s="5">
        <v>2</v>
      </c>
      <c r="H9" s="5">
        <v>2</v>
      </c>
      <c r="I9" s="5"/>
      <c r="J9" s="5">
        <v>3</v>
      </c>
      <c r="K9" s="5"/>
      <c r="L9" s="5">
        <v>2</v>
      </c>
      <c r="M9" s="5">
        <v>3</v>
      </c>
      <c r="N9" s="5">
        <v>24</v>
      </c>
    </row>
    <row r="10" spans="1:14" x14ac:dyDescent="0.35">
      <c r="C10" t="s">
        <v>5932</v>
      </c>
      <c r="D10" s="5"/>
      <c r="E10" s="5">
        <v>10</v>
      </c>
      <c r="F10" s="5">
        <v>2</v>
      </c>
      <c r="G10" s="5">
        <v>2</v>
      </c>
      <c r="H10" s="5">
        <v>2</v>
      </c>
      <c r="I10" s="5"/>
      <c r="J10" s="5">
        <v>3</v>
      </c>
      <c r="K10" s="5"/>
      <c r="L10" s="5">
        <v>2</v>
      </c>
      <c r="M10" s="5">
        <v>3</v>
      </c>
      <c r="N10" s="5">
        <v>24</v>
      </c>
    </row>
    <row r="11" spans="1:14" x14ac:dyDescent="0.35">
      <c r="B11" t="s">
        <v>5921</v>
      </c>
      <c r="D11" s="5">
        <v>1</v>
      </c>
      <c r="E11" s="5"/>
      <c r="F11" s="5">
        <v>2</v>
      </c>
      <c r="G11" s="5">
        <v>4</v>
      </c>
      <c r="H11" s="5">
        <v>20</v>
      </c>
      <c r="I11" s="5">
        <v>15</v>
      </c>
      <c r="J11" s="5">
        <v>21</v>
      </c>
      <c r="K11" s="5">
        <v>8</v>
      </c>
      <c r="L11" s="5">
        <v>3</v>
      </c>
      <c r="M11" s="5">
        <v>10</v>
      </c>
      <c r="N11" s="5">
        <v>84</v>
      </c>
    </row>
    <row r="12" spans="1:14" x14ac:dyDescent="0.35">
      <c r="C12" t="s">
        <v>5917</v>
      </c>
      <c r="D12" s="5"/>
      <c r="E12" s="5"/>
      <c r="F12" s="5"/>
      <c r="G12" s="5"/>
      <c r="H12" s="5"/>
      <c r="I12" s="5"/>
      <c r="J12" s="5"/>
      <c r="K12" s="5"/>
      <c r="L12" s="5"/>
      <c r="M12" s="5">
        <v>1</v>
      </c>
      <c r="N12" s="5">
        <v>1</v>
      </c>
    </row>
    <row r="13" spans="1:14" x14ac:dyDescent="0.35">
      <c r="C13" t="s">
        <v>5932</v>
      </c>
      <c r="D13" s="5">
        <v>1</v>
      </c>
      <c r="E13" s="5"/>
      <c r="F13" s="5">
        <v>2</v>
      </c>
      <c r="G13" s="5">
        <v>4</v>
      </c>
      <c r="H13" s="5">
        <v>20</v>
      </c>
      <c r="I13" s="5">
        <v>15</v>
      </c>
      <c r="J13" s="5">
        <v>21</v>
      </c>
      <c r="K13" s="5">
        <v>8</v>
      </c>
      <c r="L13" s="5">
        <v>3</v>
      </c>
      <c r="M13" s="5">
        <v>9</v>
      </c>
      <c r="N13" s="5">
        <v>83</v>
      </c>
    </row>
    <row r="14" spans="1:14" x14ac:dyDescent="0.35">
      <c r="B14" t="s">
        <v>5918</v>
      </c>
      <c r="D14" s="5"/>
      <c r="E14" s="5"/>
      <c r="F14" s="5"/>
      <c r="G14" s="5"/>
      <c r="H14" s="5"/>
      <c r="I14" s="5"/>
      <c r="J14" s="5"/>
      <c r="K14" s="5"/>
      <c r="L14" s="5">
        <v>2</v>
      </c>
      <c r="M14" s="5"/>
      <c r="N14" s="5">
        <v>2</v>
      </c>
    </row>
    <row r="15" spans="1:14" x14ac:dyDescent="0.35">
      <c r="C15" t="s">
        <v>5932</v>
      </c>
      <c r="D15" s="5"/>
      <c r="E15" s="5"/>
      <c r="F15" s="5"/>
      <c r="G15" s="5"/>
      <c r="H15" s="5"/>
      <c r="I15" s="5"/>
      <c r="J15" s="5"/>
      <c r="K15" s="5"/>
      <c r="L15" s="5">
        <v>2</v>
      </c>
      <c r="M15" s="5"/>
      <c r="N15" s="5">
        <v>2</v>
      </c>
    </row>
    <row r="16" spans="1:14" x14ac:dyDescent="0.35">
      <c r="A16" t="s">
        <v>1086</v>
      </c>
      <c r="D16" s="5">
        <v>2</v>
      </c>
      <c r="E16" s="5">
        <v>7</v>
      </c>
      <c r="F16" s="5">
        <v>4</v>
      </c>
      <c r="G16" s="5">
        <v>6</v>
      </c>
      <c r="H16" s="5">
        <v>14</v>
      </c>
      <c r="I16" s="5">
        <v>5</v>
      </c>
      <c r="J16" s="5">
        <v>3</v>
      </c>
      <c r="K16" s="5">
        <v>9</v>
      </c>
      <c r="L16" s="5">
        <v>13</v>
      </c>
      <c r="M16" s="5">
        <v>13</v>
      </c>
      <c r="N16" s="5">
        <v>76</v>
      </c>
    </row>
    <row r="17" spans="2:14" x14ac:dyDescent="0.35">
      <c r="B17" t="s">
        <v>5916</v>
      </c>
      <c r="D17" s="5">
        <v>2</v>
      </c>
      <c r="E17" s="5">
        <v>7</v>
      </c>
      <c r="F17" s="5">
        <v>4</v>
      </c>
      <c r="G17" s="5">
        <v>6</v>
      </c>
      <c r="H17" s="5">
        <v>14</v>
      </c>
      <c r="I17" s="5">
        <v>5</v>
      </c>
      <c r="J17" s="5">
        <v>2</v>
      </c>
      <c r="K17" s="5">
        <v>2</v>
      </c>
      <c r="L17" s="5">
        <v>3</v>
      </c>
      <c r="M17" s="5">
        <v>6</v>
      </c>
      <c r="N17" s="5">
        <v>51</v>
      </c>
    </row>
    <row r="18" spans="2:14" x14ac:dyDescent="0.35">
      <c r="C18" t="s">
        <v>5933</v>
      </c>
      <c r="D18" s="5"/>
      <c r="E18" s="5"/>
      <c r="F18" s="5"/>
      <c r="G18" s="5"/>
      <c r="H18" s="5">
        <v>1</v>
      </c>
      <c r="I18" s="5"/>
      <c r="J18" s="5"/>
      <c r="K18" s="5"/>
      <c r="L18" s="5"/>
      <c r="M18" s="5"/>
      <c r="N18" s="5">
        <v>1</v>
      </c>
    </row>
    <row r="19" spans="2:14" x14ac:dyDescent="0.35">
      <c r="C19" t="s">
        <v>5917</v>
      </c>
      <c r="D19" s="5"/>
      <c r="E19" s="5"/>
      <c r="F19" s="5"/>
      <c r="G19" s="5"/>
      <c r="H19" s="5"/>
      <c r="I19" s="5">
        <v>1</v>
      </c>
      <c r="J19" s="5"/>
      <c r="K19" s="5"/>
      <c r="L19" s="5"/>
      <c r="M19" s="5"/>
      <c r="N19" s="5">
        <v>1</v>
      </c>
    </row>
    <row r="20" spans="2:14" x14ac:dyDescent="0.35">
      <c r="C20" t="s">
        <v>5915</v>
      </c>
      <c r="D20" s="5"/>
      <c r="E20" s="5"/>
      <c r="F20" s="5"/>
      <c r="G20" s="5">
        <v>1</v>
      </c>
      <c r="H20" s="5"/>
      <c r="I20" s="5"/>
      <c r="J20" s="5"/>
      <c r="K20" s="5">
        <v>1</v>
      </c>
      <c r="L20" s="5">
        <v>1</v>
      </c>
      <c r="M20" s="5">
        <v>4</v>
      </c>
      <c r="N20" s="5">
        <v>7</v>
      </c>
    </row>
    <row r="21" spans="2:14" x14ac:dyDescent="0.35">
      <c r="C21" t="s">
        <v>5919</v>
      </c>
      <c r="D21" s="5"/>
      <c r="E21" s="5"/>
      <c r="F21" s="5"/>
      <c r="G21" s="5"/>
      <c r="H21" s="5"/>
      <c r="I21" s="5"/>
      <c r="J21" s="5"/>
      <c r="K21" s="5"/>
      <c r="L21" s="5"/>
      <c r="M21" s="5">
        <v>1</v>
      </c>
      <c r="N21" s="5">
        <v>1</v>
      </c>
    </row>
    <row r="22" spans="2:14" x14ac:dyDescent="0.35">
      <c r="C22" t="s">
        <v>5932</v>
      </c>
      <c r="D22" s="5">
        <v>2</v>
      </c>
      <c r="E22" s="5">
        <v>7</v>
      </c>
      <c r="F22" s="5">
        <v>4</v>
      </c>
      <c r="G22" s="5">
        <v>5</v>
      </c>
      <c r="H22" s="5">
        <v>13</v>
      </c>
      <c r="I22" s="5">
        <v>4</v>
      </c>
      <c r="J22" s="5">
        <v>2</v>
      </c>
      <c r="K22" s="5">
        <v>1</v>
      </c>
      <c r="L22" s="5">
        <v>2</v>
      </c>
      <c r="M22" s="5">
        <v>1</v>
      </c>
      <c r="N22" s="5">
        <v>41</v>
      </c>
    </row>
    <row r="23" spans="2:14" x14ac:dyDescent="0.35">
      <c r="B23" t="s">
        <v>5922</v>
      </c>
      <c r="D23" s="5"/>
      <c r="E23" s="5"/>
      <c r="F23" s="5"/>
      <c r="G23" s="5"/>
      <c r="H23" s="5"/>
      <c r="I23" s="5"/>
      <c r="J23" s="5"/>
      <c r="K23" s="5"/>
      <c r="L23" s="5"/>
      <c r="M23" s="5">
        <v>1</v>
      </c>
      <c r="N23" s="5">
        <v>1</v>
      </c>
    </row>
    <row r="24" spans="2:14" x14ac:dyDescent="0.35">
      <c r="C24" t="s">
        <v>5932</v>
      </c>
      <c r="D24" s="5"/>
      <c r="E24" s="5"/>
      <c r="F24" s="5"/>
      <c r="G24" s="5"/>
      <c r="H24" s="5"/>
      <c r="I24" s="5"/>
      <c r="J24" s="5"/>
      <c r="K24" s="5"/>
      <c r="L24" s="5"/>
      <c r="M24" s="5">
        <v>1</v>
      </c>
      <c r="N24" s="5">
        <v>1</v>
      </c>
    </row>
    <row r="25" spans="2:14" x14ac:dyDescent="0.35">
      <c r="B25" t="s">
        <v>5923</v>
      </c>
      <c r="D25" s="5"/>
      <c r="E25" s="5"/>
      <c r="F25" s="5"/>
      <c r="G25" s="5"/>
      <c r="H25" s="5"/>
      <c r="I25" s="5"/>
      <c r="J25" s="5"/>
      <c r="K25" s="5">
        <v>4</v>
      </c>
      <c r="L25" s="5">
        <v>8</v>
      </c>
      <c r="M25" s="5">
        <v>3</v>
      </c>
      <c r="N25" s="5">
        <v>15</v>
      </c>
    </row>
    <row r="26" spans="2:14" x14ac:dyDescent="0.35">
      <c r="C26" t="s">
        <v>5915</v>
      </c>
      <c r="D26" s="5"/>
      <c r="E26" s="5"/>
      <c r="F26" s="5"/>
      <c r="G26" s="5"/>
      <c r="H26" s="5"/>
      <c r="I26" s="5"/>
      <c r="J26" s="5"/>
      <c r="K26" s="5"/>
      <c r="L26" s="5">
        <v>1</v>
      </c>
      <c r="M26" s="5"/>
      <c r="N26" s="5">
        <v>1</v>
      </c>
    </row>
    <row r="27" spans="2:14" x14ac:dyDescent="0.35">
      <c r="C27" t="s">
        <v>5932</v>
      </c>
      <c r="D27" s="5"/>
      <c r="E27" s="5"/>
      <c r="F27" s="5"/>
      <c r="G27" s="5"/>
      <c r="H27" s="5"/>
      <c r="I27" s="5"/>
      <c r="J27" s="5"/>
      <c r="K27" s="5">
        <v>4</v>
      </c>
      <c r="L27" s="5">
        <v>7</v>
      </c>
      <c r="M27" s="5">
        <v>3</v>
      </c>
      <c r="N27" s="5">
        <v>14</v>
      </c>
    </row>
    <row r="28" spans="2:14" x14ac:dyDescent="0.35">
      <c r="B28" t="s">
        <v>5924</v>
      </c>
      <c r="D28" s="5"/>
      <c r="E28" s="5"/>
      <c r="F28" s="5"/>
      <c r="G28" s="5"/>
      <c r="H28" s="5"/>
      <c r="I28" s="5"/>
      <c r="J28" s="5"/>
      <c r="K28" s="5"/>
      <c r="L28" s="5"/>
      <c r="M28" s="5">
        <v>1</v>
      </c>
      <c r="N28" s="5">
        <v>1</v>
      </c>
    </row>
    <row r="29" spans="2:14" x14ac:dyDescent="0.35">
      <c r="C29" t="s">
        <v>5932</v>
      </c>
      <c r="D29" s="5"/>
      <c r="E29" s="5"/>
      <c r="F29" s="5"/>
      <c r="G29" s="5"/>
      <c r="H29" s="5"/>
      <c r="I29" s="5"/>
      <c r="J29" s="5"/>
      <c r="K29" s="5"/>
      <c r="L29" s="5"/>
      <c r="M29" s="5">
        <v>1</v>
      </c>
      <c r="N29" s="5">
        <v>1</v>
      </c>
    </row>
    <row r="30" spans="2:14" x14ac:dyDescent="0.35">
      <c r="B30" t="s">
        <v>5925</v>
      </c>
      <c r="D30" s="5"/>
      <c r="E30" s="5"/>
      <c r="F30" s="5"/>
      <c r="G30" s="5"/>
      <c r="H30" s="5"/>
      <c r="I30" s="5"/>
      <c r="J30" s="5">
        <v>1</v>
      </c>
      <c r="K30" s="5">
        <v>3</v>
      </c>
      <c r="L30" s="5">
        <v>1</v>
      </c>
      <c r="M30" s="5">
        <v>2</v>
      </c>
      <c r="N30" s="5">
        <v>7</v>
      </c>
    </row>
    <row r="31" spans="2:14" x14ac:dyDescent="0.35">
      <c r="C31" t="s">
        <v>5932</v>
      </c>
      <c r="D31" s="5"/>
      <c r="E31" s="5"/>
      <c r="F31" s="5"/>
      <c r="G31" s="5"/>
      <c r="H31" s="5"/>
      <c r="I31" s="5"/>
      <c r="J31" s="5">
        <v>1</v>
      </c>
      <c r="K31" s="5">
        <v>3</v>
      </c>
      <c r="L31" s="5">
        <v>1</v>
      </c>
      <c r="M31" s="5">
        <v>2</v>
      </c>
      <c r="N31" s="5">
        <v>7</v>
      </c>
    </row>
    <row r="32" spans="2:14" x14ac:dyDescent="0.35">
      <c r="B32" t="s">
        <v>5918</v>
      </c>
      <c r="D32" s="5"/>
      <c r="E32" s="5"/>
      <c r="F32" s="5"/>
      <c r="G32" s="5"/>
      <c r="H32" s="5"/>
      <c r="I32" s="5"/>
      <c r="J32" s="5"/>
      <c r="K32" s="5"/>
      <c r="L32" s="5">
        <v>1</v>
      </c>
      <c r="M32" s="5"/>
      <c r="N32" s="5">
        <v>1</v>
      </c>
    </row>
    <row r="33" spans="1:14" x14ac:dyDescent="0.35">
      <c r="C33" t="s">
        <v>5932</v>
      </c>
      <c r="D33" s="5"/>
      <c r="E33" s="5"/>
      <c r="F33" s="5"/>
      <c r="G33" s="5"/>
      <c r="H33" s="5"/>
      <c r="I33" s="5"/>
      <c r="J33" s="5"/>
      <c r="K33" s="5"/>
      <c r="L33" s="5">
        <v>1</v>
      </c>
      <c r="M33" s="5"/>
      <c r="N33" s="5">
        <v>1</v>
      </c>
    </row>
    <row r="34" spans="1:14" x14ac:dyDescent="0.35">
      <c r="A34" t="s">
        <v>1613</v>
      </c>
      <c r="D34" s="5"/>
      <c r="E34" s="5">
        <v>1</v>
      </c>
      <c r="F34" s="5">
        <v>9</v>
      </c>
      <c r="G34" s="5">
        <v>19</v>
      </c>
      <c r="H34" s="5">
        <v>30</v>
      </c>
      <c r="I34" s="5">
        <v>11</v>
      </c>
      <c r="J34" s="5">
        <v>30</v>
      </c>
      <c r="K34" s="5">
        <v>25</v>
      </c>
      <c r="L34" s="5">
        <v>11</v>
      </c>
      <c r="M34" s="5">
        <v>12</v>
      </c>
      <c r="N34" s="5">
        <v>148</v>
      </c>
    </row>
    <row r="35" spans="1:14" x14ac:dyDescent="0.35">
      <c r="B35" t="s">
        <v>5916</v>
      </c>
      <c r="D35" s="5"/>
      <c r="E35" s="5">
        <v>1</v>
      </c>
      <c r="F35" s="5">
        <v>9</v>
      </c>
      <c r="G35" s="5">
        <v>15</v>
      </c>
      <c r="H35" s="5">
        <v>10</v>
      </c>
      <c r="I35" s="5"/>
      <c r="J35" s="5">
        <v>11</v>
      </c>
      <c r="K35" s="5">
        <v>3</v>
      </c>
      <c r="L35" s="5">
        <v>2</v>
      </c>
      <c r="M35" s="5">
        <v>3</v>
      </c>
      <c r="N35" s="5">
        <v>54</v>
      </c>
    </row>
    <row r="36" spans="1:14" x14ac:dyDescent="0.35">
      <c r="C36" t="s">
        <v>5915</v>
      </c>
      <c r="D36" s="5"/>
      <c r="E36" s="5"/>
      <c r="F36" s="5"/>
      <c r="G36" s="5"/>
      <c r="H36" s="5"/>
      <c r="I36" s="5"/>
      <c r="J36" s="5"/>
      <c r="K36" s="5"/>
      <c r="L36" s="5"/>
      <c r="M36" s="5">
        <v>3</v>
      </c>
      <c r="N36" s="5">
        <v>3</v>
      </c>
    </row>
    <row r="37" spans="1:14" x14ac:dyDescent="0.35">
      <c r="C37" t="s">
        <v>5932</v>
      </c>
      <c r="D37" s="5"/>
      <c r="E37" s="5">
        <v>1</v>
      </c>
      <c r="F37" s="5">
        <v>9</v>
      </c>
      <c r="G37" s="5">
        <v>15</v>
      </c>
      <c r="H37" s="5">
        <v>10</v>
      </c>
      <c r="I37" s="5"/>
      <c r="J37" s="5">
        <v>11</v>
      </c>
      <c r="K37" s="5">
        <v>3</v>
      </c>
      <c r="L37" s="5">
        <v>2</v>
      </c>
      <c r="M37" s="5"/>
      <c r="N37" s="5">
        <v>51</v>
      </c>
    </row>
    <row r="38" spans="1:14" x14ac:dyDescent="0.35">
      <c r="B38" t="s">
        <v>5922</v>
      </c>
      <c r="D38" s="5"/>
      <c r="E38" s="5"/>
      <c r="F38" s="5"/>
      <c r="G38" s="5"/>
      <c r="H38" s="5"/>
      <c r="I38" s="5"/>
      <c r="J38" s="5"/>
      <c r="K38" s="5">
        <v>5</v>
      </c>
      <c r="L38" s="5">
        <v>1</v>
      </c>
      <c r="M38" s="5">
        <v>2</v>
      </c>
      <c r="N38" s="5">
        <v>8</v>
      </c>
    </row>
    <row r="39" spans="1:14" x14ac:dyDescent="0.35">
      <c r="C39" t="s">
        <v>5915</v>
      </c>
      <c r="D39" s="5"/>
      <c r="E39" s="5"/>
      <c r="F39" s="5"/>
      <c r="G39" s="5"/>
      <c r="H39" s="5"/>
      <c r="I39" s="5"/>
      <c r="J39" s="5"/>
      <c r="K39" s="5">
        <v>1</v>
      </c>
      <c r="L39" s="5"/>
      <c r="M39" s="5">
        <v>2</v>
      </c>
      <c r="N39" s="5">
        <v>3</v>
      </c>
    </row>
    <row r="40" spans="1:14" x14ac:dyDescent="0.35">
      <c r="C40" t="s">
        <v>5932</v>
      </c>
      <c r="D40" s="5"/>
      <c r="E40" s="5"/>
      <c r="F40" s="5"/>
      <c r="G40" s="5"/>
      <c r="H40" s="5"/>
      <c r="I40" s="5"/>
      <c r="J40" s="5"/>
      <c r="K40" s="5">
        <v>4</v>
      </c>
      <c r="L40" s="5">
        <v>1</v>
      </c>
      <c r="M40" s="5"/>
      <c r="N40" s="5">
        <v>5</v>
      </c>
    </row>
    <row r="41" spans="1:14" x14ac:dyDescent="0.35">
      <c r="B41" t="s">
        <v>5923</v>
      </c>
      <c r="D41" s="5"/>
      <c r="E41" s="5"/>
      <c r="F41" s="5"/>
      <c r="G41" s="5"/>
      <c r="H41" s="5">
        <v>1</v>
      </c>
      <c r="I41" s="5">
        <v>5</v>
      </c>
      <c r="J41" s="5">
        <v>7</v>
      </c>
      <c r="K41" s="5">
        <v>3</v>
      </c>
      <c r="L41" s="5">
        <v>3</v>
      </c>
      <c r="M41" s="5">
        <v>4</v>
      </c>
      <c r="N41" s="5">
        <v>23</v>
      </c>
    </row>
    <row r="42" spans="1:14" x14ac:dyDescent="0.35">
      <c r="C42" t="s">
        <v>5917</v>
      </c>
      <c r="D42" s="5"/>
      <c r="E42" s="5"/>
      <c r="F42" s="5"/>
      <c r="G42" s="5"/>
      <c r="H42" s="5"/>
      <c r="I42" s="5"/>
      <c r="J42" s="5"/>
      <c r="K42" s="5"/>
      <c r="L42" s="5"/>
      <c r="M42" s="5">
        <v>1</v>
      </c>
      <c r="N42" s="5">
        <v>1</v>
      </c>
    </row>
    <row r="43" spans="1:14" x14ac:dyDescent="0.35">
      <c r="C43" t="s">
        <v>5915</v>
      </c>
      <c r="D43" s="5"/>
      <c r="E43" s="5"/>
      <c r="F43" s="5"/>
      <c r="G43" s="5"/>
      <c r="H43" s="5"/>
      <c r="I43" s="5"/>
      <c r="J43" s="5"/>
      <c r="K43" s="5"/>
      <c r="L43" s="5"/>
      <c r="M43" s="5">
        <v>2</v>
      </c>
      <c r="N43" s="5">
        <v>2</v>
      </c>
    </row>
    <row r="44" spans="1:14" x14ac:dyDescent="0.35">
      <c r="C44" t="s">
        <v>5919</v>
      </c>
      <c r="D44" s="5"/>
      <c r="E44" s="5"/>
      <c r="F44" s="5"/>
      <c r="G44" s="5"/>
      <c r="H44" s="5"/>
      <c r="I44" s="5"/>
      <c r="J44" s="5"/>
      <c r="K44" s="5"/>
      <c r="L44" s="5"/>
      <c r="M44" s="5">
        <v>1</v>
      </c>
      <c r="N44" s="5">
        <v>1</v>
      </c>
    </row>
    <row r="45" spans="1:14" x14ac:dyDescent="0.35">
      <c r="C45" t="s">
        <v>5932</v>
      </c>
      <c r="D45" s="5"/>
      <c r="E45" s="5"/>
      <c r="F45" s="5"/>
      <c r="G45" s="5"/>
      <c r="H45" s="5">
        <v>1</v>
      </c>
      <c r="I45" s="5">
        <v>5</v>
      </c>
      <c r="J45" s="5">
        <v>7</v>
      </c>
      <c r="K45" s="5">
        <v>3</v>
      </c>
      <c r="L45" s="5">
        <v>3</v>
      </c>
      <c r="M45" s="5"/>
      <c r="N45" s="5">
        <v>19</v>
      </c>
    </row>
    <row r="46" spans="1:14" x14ac:dyDescent="0.35">
      <c r="B46" t="s">
        <v>5924</v>
      </c>
      <c r="D46" s="5"/>
      <c r="E46" s="5"/>
      <c r="F46" s="5"/>
      <c r="G46" s="5"/>
      <c r="H46" s="5"/>
      <c r="I46" s="5"/>
      <c r="J46" s="5"/>
      <c r="K46" s="5">
        <v>5</v>
      </c>
      <c r="L46" s="5">
        <v>2</v>
      </c>
      <c r="M46" s="5"/>
      <c r="N46" s="5">
        <v>7</v>
      </c>
    </row>
    <row r="47" spans="1:14" x14ac:dyDescent="0.35">
      <c r="C47" t="s">
        <v>5932</v>
      </c>
      <c r="D47" s="5"/>
      <c r="E47" s="5"/>
      <c r="F47" s="5"/>
      <c r="G47" s="5"/>
      <c r="H47" s="5"/>
      <c r="I47" s="5"/>
      <c r="J47" s="5"/>
      <c r="K47" s="5">
        <v>5</v>
      </c>
      <c r="L47" s="5">
        <v>2</v>
      </c>
      <c r="M47" s="5"/>
      <c r="N47" s="5">
        <v>7</v>
      </c>
    </row>
    <row r="48" spans="1:14" x14ac:dyDescent="0.35">
      <c r="B48" t="s">
        <v>5925</v>
      </c>
      <c r="D48" s="5"/>
      <c r="E48" s="5"/>
      <c r="F48" s="5"/>
      <c r="G48" s="5">
        <v>2</v>
      </c>
      <c r="H48" s="5">
        <v>7</v>
      </c>
      <c r="I48" s="5">
        <v>5</v>
      </c>
      <c r="J48" s="5">
        <v>12</v>
      </c>
      <c r="K48" s="5">
        <v>8</v>
      </c>
      <c r="L48" s="5">
        <v>3</v>
      </c>
      <c r="M48" s="5">
        <v>2</v>
      </c>
      <c r="N48" s="5">
        <v>39</v>
      </c>
    </row>
    <row r="49" spans="1:14" x14ac:dyDescent="0.35">
      <c r="C49" t="s">
        <v>5932</v>
      </c>
      <c r="D49" s="5"/>
      <c r="E49" s="5"/>
      <c r="F49" s="5"/>
      <c r="G49" s="5">
        <v>2</v>
      </c>
      <c r="H49" s="5">
        <v>7</v>
      </c>
      <c r="I49" s="5">
        <v>5</v>
      </c>
      <c r="J49" s="5">
        <v>12</v>
      </c>
      <c r="K49" s="5">
        <v>8</v>
      </c>
      <c r="L49" s="5">
        <v>3</v>
      </c>
      <c r="M49" s="5">
        <v>2</v>
      </c>
      <c r="N49" s="5">
        <v>39</v>
      </c>
    </row>
    <row r="50" spans="1:14" x14ac:dyDescent="0.35">
      <c r="B50" t="s">
        <v>5926</v>
      </c>
      <c r="D50" s="5"/>
      <c r="E50" s="5"/>
      <c r="F50" s="5"/>
      <c r="G50" s="5">
        <v>2</v>
      </c>
      <c r="H50" s="5">
        <v>6</v>
      </c>
      <c r="I50" s="5">
        <v>1</v>
      </c>
      <c r="J50" s="5"/>
      <c r="K50" s="5">
        <v>1</v>
      </c>
      <c r="L50" s="5"/>
      <c r="M50" s="5">
        <v>1</v>
      </c>
      <c r="N50" s="5">
        <v>11</v>
      </c>
    </row>
    <row r="51" spans="1:14" x14ac:dyDescent="0.35">
      <c r="C51" t="s">
        <v>5917</v>
      </c>
      <c r="D51" s="5"/>
      <c r="E51" s="5"/>
      <c r="F51" s="5"/>
      <c r="G51" s="5"/>
      <c r="H51" s="5"/>
      <c r="I51" s="5"/>
      <c r="J51" s="5"/>
      <c r="K51" s="5"/>
      <c r="L51" s="5"/>
      <c r="M51" s="5">
        <v>1</v>
      </c>
      <c r="N51" s="5">
        <v>1</v>
      </c>
    </row>
    <row r="52" spans="1:14" x14ac:dyDescent="0.35">
      <c r="C52" t="s">
        <v>5932</v>
      </c>
      <c r="D52" s="5"/>
      <c r="E52" s="5"/>
      <c r="F52" s="5"/>
      <c r="G52" s="5">
        <v>2</v>
      </c>
      <c r="H52" s="5">
        <v>6</v>
      </c>
      <c r="I52" s="5">
        <v>1</v>
      </c>
      <c r="J52" s="5"/>
      <c r="K52" s="5">
        <v>1</v>
      </c>
      <c r="L52" s="5"/>
      <c r="M52" s="5"/>
      <c r="N52" s="5">
        <v>10</v>
      </c>
    </row>
    <row r="53" spans="1:14" x14ac:dyDescent="0.35">
      <c r="B53" t="s">
        <v>5927</v>
      </c>
      <c r="D53" s="5"/>
      <c r="E53" s="5"/>
      <c r="F53" s="5"/>
      <c r="G53" s="5"/>
      <c r="H53" s="5">
        <v>6</v>
      </c>
      <c r="I53" s="5"/>
      <c r="J53" s="5"/>
      <c r="K53" s="5"/>
      <c r="L53" s="5"/>
      <c r="M53" s="5"/>
      <c r="N53" s="5">
        <v>6</v>
      </c>
    </row>
    <row r="54" spans="1:14" x14ac:dyDescent="0.35">
      <c r="C54" t="s">
        <v>5919</v>
      </c>
      <c r="D54" s="5"/>
      <c r="E54" s="5"/>
      <c r="F54" s="5"/>
      <c r="G54" s="5"/>
      <c r="H54" s="5">
        <v>1</v>
      </c>
      <c r="I54" s="5"/>
      <c r="J54" s="5"/>
      <c r="K54" s="5"/>
      <c r="L54" s="5"/>
      <c r="M54" s="5"/>
      <c r="N54" s="5">
        <v>1</v>
      </c>
    </row>
    <row r="55" spans="1:14" x14ac:dyDescent="0.35">
      <c r="C55" t="s">
        <v>5932</v>
      </c>
      <c r="D55" s="5"/>
      <c r="E55" s="5"/>
      <c r="F55" s="5"/>
      <c r="G55" s="5"/>
      <c r="H55" s="5">
        <v>5</v>
      </c>
      <c r="I55" s="5"/>
      <c r="J55" s="5"/>
      <c r="K55" s="5"/>
      <c r="L55" s="5"/>
      <c r="M55" s="5"/>
      <c r="N55" s="5">
        <v>5</v>
      </c>
    </row>
    <row r="56" spans="1:14" x14ac:dyDescent="0.35">
      <c r="A56" t="s">
        <v>2273</v>
      </c>
      <c r="D56" s="5">
        <v>4</v>
      </c>
      <c r="E56" s="5">
        <v>22</v>
      </c>
      <c r="F56" s="5">
        <v>19</v>
      </c>
      <c r="G56" s="5">
        <v>16</v>
      </c>
      <c r="H56" s="5">
        <v>46</v>
      </c>
      <c r="I56" s="5">
        <v>27</v>
      </c>
      <c r="J56" s="5">
        <v>40</v>
      </c>
      <c r="K56" s="5">
        <v>17</v>
      </c>
      <c r="L56" s="5">
        <v>16</v>
      </c>
      <c r="M56" s="5">
        <v>45</v>
      </c>
      <c r="N56" s="5">
        <v>252</v>
      </c>
    </row>
    <row r="57" spans="1:14" x14ac:dyDescent="0.35">
      <c r="B57" t="s">
        <v>5916</v>
      </c>
      <c r="D57" s="5"/>
      <c r="E57" s="5"/>
      <c r="F57" s="5"/>
      <c r="G57" s="5"/>
      <c r="H57" s="5">
        <v>1</v>
      </c>
      <c r="I57" s="5"/>
      <c r="J57" s="5"/>
      <c r="K57" s="5"/>
      <c r="L57" s="5">
        <v>1</v>
      </c>
      <c r="M57" s="5"/>
      <c r="N57" s="5">
        <v>2</v>
      </c>
    </row>
    <row r="58" spans="1:14" x14ac:dyDescent="0.35">
      <c r="C58" t="s">
        <v>5919</v>
      </c>
      <c r="D58" s="5"/>
      <c r="E58" s="5"/>
      <c r="F58" s="5"/>
      <c r="G58" s="5"/>
      <c r="H58" s="5"/>
      <c r="I58" s="5"/>
      <c r="J58" s="5"/>
      <c r="K58" s="5"/>
      <c r="L58" s="5">
        <v>1</v>
      </c>
      <c r="M58" s="5"/>
      <c r="N58" s="5">
        <v>1</v>
      </c>
    </row>
    <row r="59" spans="1:14" x14ac:dyDescent="0.35">
      <c r="C59" t="s">
        <v>5932</v>
      </c>
      <c r="D59" s="5"/>
      <c r="E59" s="5"/>
      <c r="F59" s="5"/>
      <c r="G59" s="5"/>
      <c r="H59" s="5">
        <v>1</v>
      </c>
      <c r="I59" s="5"/>
      <c r="J59" s="5"/>
      <c r="K59" s="5"/>
      <c r="L59" s="5"/>
      <c r="M59" s="5"/>
      <c r="N59" s="5">
        <v>1</v>
      </c>
    </row>
    <row r="60" spans="1:14" x14ac:dyDescent="0.35">
      <c r="B60" t="s">
        <v>5920</v>
      </c>
      <c r="D60" s="5">
        <v>3</v>
      </c>
      <c r="E60" s="5">
        <v>10</v>
      </c>
      <c r="F60" s="5">
        <v>11</v>
      </c>
      <c r="G60" s="5">
        <v>7</v>
      </c>
      <c r="H60" s="5">
        <v>26</v>
      </c>
      <c r="I60" s="5">
        <v>19</v>
      </c>
      <c r="J60" s="5">
        <v>24</v>
      </c>
      <c r="K60" s="5">
        <v>15</v>
      </c>
      <c r="L60" s="5">
        <v>14</v>
      </c>
      <c r="M60" s="5">
        <v>34</v>
      </c>
      <c r="N60" s="5">
        <v>163</v>
      </c>
    </row>
    <row r="61" spans="1:14" x14ac:dyDescent="0.35">
      <c r="C61" t="s">
        <v>5932</v>
      </c>
      <c r="D61" s="5">
        <v>3</v>
      </c>
      <c r="E61" s="5">
        <v>10</v>
      </c>
      <c r="F61" s="5">
        <v>11</v>
      </c>
      <c r="G61" s="5">
        <v>7</v>
      </c>
      <c r="H61" s="5">
        <v>26</v>
      </c>
      <c r="I61" s="5">
        <v>19</v>
      </c>
      <c r="J61" s="5">
        <v>24</v>
      </c>
      <c r="K61" s="5">
        <v>15</v>
      </c>
      <c r="L61" s="5">
        <v>14</v>
      </c>
      <c r="M61" s="5">
        <v>34</v>
      </c>
      <c r="N61" s="5">
        <v>163</v>
      </c>
    </row>
    <row r="62" spans="1:14" x14ac:dyDescent="0.35">
      <c r="B62" t="s">
        <v>5921</v>
      </c>
      <c r="D62" s="5">
        <v>1</v>
      </c>
      <c r="E62" s="5">
        <v>12</v>
      </c>
      <c r="F62" s="5">
        <v>8</v>
      </c>
      <c r="G62" s="5">
        <v>9</v>
      </c>
      <c r="H62" s="5">
        <v>19</v>
      </c>
      <c r="I62" s="5">
        <v>8</v>
      </c>
      <c r="J62" s="5">
        <v>16</v>
      </c>
      <c r="K62" s="5">
        <v>2</v>
      </c>
      <c r="L62" s="5">
        <v>1</v>
      </c>
      <c r="M62" s="5">
        <v>10</v>
      </c>
      <c r="N62" s="5">
        <v>86</v>
      </c>
    </row>
    <row r="63" spans="1:14" x14ac:dyDescent="0.35">
      <c r="C63" t="s">
        <v>5932</v>
      </c>
      <c r="D63" s="5">
        <v>1</v>
      </c>
      <c r="E63" s="5">
        <v>12</v>
      </c>
      <c r="F63" s="5">
        <v>8</v>
      </c>
      <c r="G63" s="5">
        <v>9</v>
      </c>
      <c r="H63" s="5">
        <v>19</v>
      </c>
      <c r="I63" s="5">
        <v>8</v>
      </c>
      <c r="J63" s="5">
        <v>16</v>
      </c>
      <c r="K63" s="5">
        <v>2</v>
      </c>
      <c r="L63" s="5">
        <v>1</v>
      </c>
      <c r="M63" s="5">
        <v>10</v>
      </c>
      <c r="N63" s="5">
        <v>86</v>
      </c>
    </row>
    <row r="64" spans="1:14" x14ac:dyDescent="0.35">
      <c r="B64" t="s">
        <v>5923</v>
      </c>
      <c r="D64" s="5"/>
      <c r="E64" s="5"/>
      <c r="F64" s="5"/>
      <c r="G64" s="5"/>
      <c r="H64" s="5"/>
      <c r="I64" s="5"/>
      <c r="J64" s="5"/>
      <c r="K64" s="5"/>
      <c r="L64" s="5"/>
      <c r="M64" s="5">
        <v>1</v>
      </c>
      <c r="N64" s="5">
        <v>1</v>
      </c>
    </row>
    <row r="65" spans="1:14" x14ac:dyDescent="0.35">
      <c r="C65" t="s">
        <v>5932</v>
      </c>
      <c r="D65" s="5"/>
      <c r="E65" s="5"/>
      <c r="F65" s="5"/>
      <c r="G65" s="5"/>
      <c r="H65" s="5"/>
      <c r="I65" s="5"/>
      <c r="J65" s="5"/>
      <c r="K65" s="5"/>
      <c r="L65" s="5"/>
      <c r="M65" s="5">
        <v>1</v>
      </c>
      <c r="N65" s="5">
        <v>1</v>
      </c>
    </row>
    <row r="66" spans="1:14" x14ac:dyDescent="0.35">
      <c r="A66" t="s">
        <v>4451</v>
      </c>
      <c r="D66" s="5">
        <v>2</v>
      </c>
      <c r="E66" s="5">
        <v>5</v>
      </c>
      <c r="F66" s="5">
        <v>2</v>
      </c>
      <c r="G66" s="5">
        <v>12</v>
      </c>
      <c r="H66" s="5">
        <v>21</v>
      </c>
      <c r="I66" s="5">
        <v>20</v>
      </c>
      <c r="J66" s="5">
        <v>39</v>
      </c>
      <c r="K66" s="5">
        <v>45</v>
      </c>
      <c r="L66" s="5">
        <v>8</v>
      </c>
      <c r="M66" s="5">
        <v>7</v>
      </c>
      <c r="N66" s="5">
        <v>161</v>
      </c>
    </row>
    <row r="67" spans="1:14" x14ac:dyDescent="0.35">
      <c r="B67" t="s">
        <v>5920</v>
      </c>
      <c r="D67" s="5">
        <v>1</v>
      </c>
      <c r="E67" s="5">
        <v>1</v>
      </c>
      <c r="F67" s="5">
        <v>2</v>
      </c>
      <c r="G67" s="5">
        <v>6</v>
      </c>
      <c r="H67" s="5">
        <v>14</v>
      </c>
      <c r="I67" s="5">
        <v>4</v>
      </c>
      <c r="J67" s="5">
        <v>11</v>
      </c>
      <c r="K67" s="5">
        <v>32</v>
      </c>
      <c r="L67" s="5">
        <v>3</v>
      </c>
      <c r="M67" s="5">
        <v>1</v>
      </c>
      <c r="N67" s="5">
        <v>75</v>
      </c>
    </row>
    <row r="68" spans="1:14" x14ac:dyDescent="0.35">
      <c r="C68" t="s">
        <v>5932</v>
      </c>
      <c r="D68" s="5">
        <v>1</v>
      </c>
      <c r="E68" s="5">
        <v>1</v>
      </c>
      <c r="F68" s="5">
        <v>2</v>
      </c>
      <c r="G68" s="5">
        <v>6</v>
      </c>
      <c r="H68" s="5">
        <v>14</v>
      </c>
      <c r="I68" s="5">
        <v>4</v>
      </c>
      <c r="J68" s="5">
        <v>11</v>
      </c>
      <c r="K68" s="5">
        <v>32</v>
      </c>
      <c r="L68" s="5">
        <v>3</v>
      </c>
      <c r="M68" s="5">
        <v>1</v>
      </c>
      <c r="N68" s="5">
        <v>75</v>
      </c>
    </row>
    <row r="69" spans="1:14" x14ac:dyDescent="0.35">
      <c r="B69" t="s">
        <v>5921</v>
      </c>
      <c r="D69" s="5">
        <v>1</v>
      </c>
      <c r="E69" s="5">
        <v>4</v>
      </c>
      <c r="F69" s="5"/>
      <c r="G69" s="5">
        <v>6</v>
      </c>
      <c r="H69" s="5">
        <v>7</v>
      </c>
      <c r="I69" s="5">
        <v>16</v>
      </c>
      <c r="J69" s="5">
        <v>28</v>
      </c>
      <c r="K69" s="5">
        <v>13</v>
      </c>
      <c r="L69" s="5">
        <v>5</v>
      </c>
      <c r="M69" s="5">
        <v>6</v>
      </c>
      <c r="N69" s="5">
        <v>86</v>
      </c>
    </row>
    <row r="70" spans="1:14" x14ac:dyDescent="0.35">
      <c r="C70" t="s">
        <v>5932</v>
      </c>
      <c r="D70" s="5">
        <v>1</v>
      </c>
      <c r="E70" s="5">
        <v>4</v>
      </c>
      <c r="F70" s="5"/>
      <c r="G70" s="5">
        <v>6</v>
      </c>
      <c r="H70" s="5">
        <v>7</v>
      </c>
      <c r="I70" s="5">
        <v>16</v>
      </c>
      <c r="J70" s="5">
        <v>28</v>
      </c>
      <c r="K70" s="5">
        <v>13</v>
      </c>
      <c r="L70" s="5">
        <v>5</v>
      </c>
      <c r="M70" s="5">
        <v>6</v>
      </c>
      <c r="N70" s="5">
        <v>86</v>
      </c>
    </row>
    <row r="71" spans="1:14" x14ac:dyDescent="0.35">
      <c r="A71" t="s">
        <v>5931</v>
      </c>
      <c r="D71" s="5">
        <v>9</v>
      </c>
      <c r="E71" s="5">
        <v>45</v>
      </c>
      <c r="F71" s="5">
        <v>38</v>
      </c>
      <c r="G71" s="5">
        <v>60</v>
      </c>
      <c r="H71" s="5">
        <v>135</v>
      </c>
      <c r="I71" s="5">
        <v>78</v>
      </c>
      <c r="J71" s="5">
        <v>136</v>
      </c>
      <c r="K71" s="5">
        <v>104</v>
      </c>
      <c r="L71" s="5">
        <v>55</v>
      </c>
      <c r="M71" s="5">
        <v>90</v>
      </c>
      <c r="N71" s="5">
        <v>750</v>
      </c>
    </row>
  </sheetData>
  <conditionalFormatting sqref="A3:N71">
    <cfRule type="expression" dxfId="3" priority="1" stopIfTrue="1">
      <formula>$C3="КРИТИЧЕСКОЕ"</formula>
    </cfRule>
    <cfRule type="expression" dxfId="2" priority="2" stopIfTrue="1">
      <formula>$C3="Проверено"</formula>
    </cfRule>
    <cfRule type="expression" dxfId="1" priority="3" stopIfTrue="1">
      <formula>$C3="Завершено"</formula>
    </cfRule>
    <cfRule type="expression" dxfId="0" priority="4" stopIfTrue="1">
      <formula>$C3="Значительное"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2:F12"/>
  <sheetViews>
    <sheetView showGridLines="0" workbookViewId="0">
      <selection activeCell="C4" sqref="C4"/>
    </sheetView>
  </sheetViews>
  <sheetFormatPr defaultRowHeight="14.5" x14ac:dyDescent="0.35"/>
  <cols>
    <col min="3" max="3" width="17.6328125" bestFit="1" customWidth="1"/>
    <col min="5" max="5" width="22.54296875" bestFit="1" customWidth="1"/>
    <col min="6" max="6" width="16.1796875" customWidth="1"/>
  </cols>
  <sheetData>
    <row r="2" spans="2:6" x14ac:dyDescent="0.35">
      <c r="B2" t="s">
        <v>5912</v>
      </c>
      <c r="C2" t="s">
        <v>4</v>
      </c>
      <c r="E2" t="s">
        <v>5913</v>
      </c>
      <c r="F2" t="s">
        <v>5914</v>
      </c>
    </row>
    <row r="3" spans="2:6" x14ac:dyDescent="0.35">
      <c r="B3">
        <v>1</v>
      </c>
      <c r="C3" t="s">
        <v>5915</v>
      </c>
      <c r="E3" t="s">
        <v>97</v>
      </c>
      <c r="F3" t="s">
        <v>5916</v>
      </c>
    </row>
    <row r="4" spans="2:6" x14ac:dyDescent="0.35">
      <c r="B4">
        <v>2</v>
      </c>
      <c r="C4" t="s">
        <v>5917</v>
      </c>
      <c r="E4" t="s">
        <v>132</v>
      </c>
      <c r="F4" t="s">
        <v>5918</v>
      </c>
    </row>
    <row r="5" spans="2:6" x14ac:dyDescent="0.35">
      <c r="B5">
        <v>3</v>
      </c>
      <c r="C5" t="s">
        <v>5919</v>
      </c>
      <c r="E5" t="s">
        <v>157</v>
      </c>
      <c r="F5" t="s">
        <v>5920</v>
      </c>
    </row>
    <row r="6" spans="2:6" x14ac:dyDescent="0.35">
      <c r="E6" t="s">
        <v>395</v>
      </c>
      <c r="F6" t="s">
        <v>5921</v>
      </c>
    </row>
    <row r="7" spans="2:6" x14ac:dyDescent="0.35">
      <c r="E7" t="s">
        <v>1087</v>
      </c>
      <c r="F7" t="s">
        <v>5922</v>
      </c>
    </row>
    <row r="8" spans="2:6" x14ac:dyDescent="0.35">
      <c r="E8" t="s">
        <v>1421</v>
      </c>
      <c r="F8" t="s">
        <v>5923</v>
      </c>
    </row>
    <row r="9" spans="2:6" x14ac:dyDescent="0.35">
      <c r="E9" t="s">
        <v>1542</v>
      </c>
      <c r="F9" t="s">
        <v>5924</v>
      </c>
    </row>
    <row r="10" spans="2:6" x14ac:dyDescent="0.35">
      <c r="E10" t="s">
        <v>1555</v>
      </c>
      <c r="F10" t="s">
        <v>5925</v>
      </c>
    </row>
    <row r="11" spans="2:6" x14ac:dyDescent="0.35">
      <c r="E11" t="s">
        <v>2010</v>
      </c>
      <c r="F11" t="s">
        <v>5926</v>
      </c>
    </row>
    <row r="12" spans="2:6" x14ac:dyDescent="0.35">
      <c r="E12" t="s">
        <v>2247</v>
      </c>
      <c r="F12" t="s">
        <v>5927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raw.data</vt:lpstr>
      <vt:lpstr>Свод</vt:lpstr>
      <vt:lpstr>Справочники</vt:lpstr>
    </vt:vector>
  </TitlesOfParts>
  <Company>Группа компаний Спектрум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Created by Excel toolbox(c) by Spectrum Group_x000d_
www.spgr.ru_x000d_
10-февраля-2020</dc:description>
  <cp:lastModifiedBy>Акимов Дмитрий Александрович</cp:lastModifiedBy>
  <dcterms:created xsi:type="dcterms:W3CDTF">2019-12-26T08:24:55Z</dcterms:created>
  <dcterms:modified xsi:type="dcterms:W3CDTF">2020-02-10T14:22:09Z</dcterms:modified>
</cp:coreProperties>
</file>