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 activeTab="9"/>
  </bookViews>
  <sheets>
    <sheet name="DC-BASE" sheetId="1" r:id="rId1"/>
    <sheet name="1HY16" sheetId="2" r:id="rId2"/>
    <sheet name="2HY16" sheetId="3" r:id="rId3"/>
    <sheet name="1HY2017" sheetId="7" r:id="rId4"/>
    <sheet name="2HY2017" sheetId="6" r:id="rId5"/>
    <sheet name="1HY2018" sheetId="4" r:id="rId6"/>
    <sheet name="2HY2018" sheetId="5" r:id="rId7"/>
    <sheet name="Summary" sheetId="8" r:id="rId8"/>
    <sheet name="Исходные данные" sheetId="9" r:id="rId9"/>
    <sheet name="Rack server" sheetId="10" r:id="rId10"/>
  </sheets>
  <calcPr calcId="145621" concurrentCalc="0"/>
</workbook>
</file>

<file path=xl/calcChain.xml><?xml version="1.0" encoding="utf-8"?>
<calcChain xmlns="http://schemas.openxmlformats.org/spreadsheetml/2006/main">
  <c r="L4" i="9" l="1"/>
  <c r="D4" i="9"/>
  <c r="E4" i="9"/>
  <c r="F4" i="9"/>
  <c r="G4" i="9"/>
  <c r="H4" i="9"/>
  <c r="I4" i="9"/>
  <c r="J4" i="9"/>
  <c r="D5" i="9"/>
  <c r="E5" i="9"/>
  <c r="F5" i="9"/>
  <c r="G5" i="9"/>
  <c r="H5" i="9"/>
  <c r="I5" i="9"/>
  <c r="J5" i="9"/>
  <c r="D7" i="9"/>
  <c r="D31" i="9"/>
  <c r="E31" i="9"/>
  <c r="F31" i="9"/>
  <c r="G31" i="9"/>
  <c r="H31" i="9"/>
  <c r="I31" i="9"/>
  <c r="J31" i="9"/>
  <c r="D33" i="9"/>
  <c r="E33" i="9"/>
  <c r="F33" i="9"/>
  <c r="G33" i="9"/>
  <c r="H33" i="9"/>
  <c r="I33" i="9"/>
  <c r="J33" i="9"/>
  <c r="D35" i="9"/>
  <c r="E35" i="9"/>
  <c r="F35" i="9"/>
  <c r="G35" i="9"/>
  <c r="H35" i="9"/>
  <c r="I35" i="9"/>
  <c r="J35" i="9"/>
  <c r="G36" i="9"/>
  <c r="I36" i="9"/>
  <c r="H37" i="9"/>
  <c r="J37" i="9"/>
  <c r="D38" i="9"/>
  <c r="E38" i="9"/>
  <c r="F38" i="9"/>
  <c r="G38" i="9"/>
  <c r="H38" i="9"/>
  <c r="I38" i="9"/>
  <c r="J38" i="9"/>
  <c r="D39" i="9"/>
  <c r="E39" i="9"/>
  <c r="F39" i="9"/>
  <c r="G39" i="9"/>
  <c r="H39" i="9"/>
  <c r="I39" i="9"/>
  <c r="J39" i="9"/>
  <c r="D41" i="9"/>
  <c r="E41" i="9"/>
  <c r="F41" i="9"/>
  <c r="G41" i="9"/>
  <c r="H41" i="9"/>
  <c r="I41" i="9"/>
  <c r="J41" i="9"/>
  <c r="F46" i="9"/>
  <c r="E61" i="9"/>
  <c r="F61" i="9"/>
  <c r="G61" i="9"/>
  <c r="I61" i="9"/>
  <c r="E71" i="9"/>
  <c r="F71" i="9"/>
  <c r="G71" i="9"/>
  <c r="I71" i="9"/>
  <c r="E72" i="9"/>
  <c r="F72" i="9"/>
  <c r="G72" i="9"/>
  <c r="I72" i="9"/>
  <c r="D73" i="9"/>
  <c r="E73" i="9"/>
  <c r="D74" i="9"/>
  <c r="E74" i="9"/>
  <c r="F74" i="9"/>
  <c r="G74" i="9"/>
  <c r="I74" i="9"/>
  <c r="B8" i="8"/>
  <c r="B7" i="8"/>
  <c r="B10" i="8"/>
  <c r="B6" i="8"/>
  <c r="B5" i="8"/>
  <c r="B4" i="8"/>
  <c r="B3" i="8"/>
  <c r="B2" i="8"/>
  <c r="I2" i="7"/>
  <c r="K2" i="7"/>
  <c r="I3" i="7"/>
  <c r="K3" i="7"/>
  <c r="I4" i="7"/>
  <c r="K4" i="7"/>
  <c r="I5" i="7"/>
  <c r="K5" i="7"/>
  <c r="I6" i="7"/>
  <c r="K6" i="7"/>
  <c r="I7" i="7"/>
  <c r="K7" i="7"/>
  <c r="I8" i="7"/>
  <c r="K8" i="7"/>
  <c r="I9" i="7"/>
  <c r="K9" i="7"/>
  <c r="I10" i="7"/>
  <c r="K10" i="7"/>
  <c r="I11" i="7"/>
  <c r="K11" i="7"/>
  <c r="I12" i="7"/>
  <c r="K12" i="7"/>
  <c r="K13" i="7"/>
  <c r="I14" i="7"/>
  <c r="K14" i="7"/>
  <c r="I15" i="7"/>
  <c r="K15" i="7"/>
  <c r="I16" i="7"/>
  <c r="K16" i="7"/>
  <c r="I17" i="7"/>
  <c r="K17" i="7"/>
  <c r="I18" i="7"/>
  <c r="K18" i="7"/>
  <c r="I19" i="7"/>
  <c r="K19" i="7"/>
  <c r="I20" i="7"/>
  <c r="K20" i="7"/>
  <c r="I21" i="7"/>
  <c r="K21" i="7"/>
  <c r="I22" i="7"/>
  <c r="K22" i="7"/>
  <c r="I23" i="7"/>
  <c r="K23" i="7"/>
  <c r="I24" i="7"/>
  <c r="K24" i="7"/>
  <c r="K25" i="7"/>
  <c r="I26" i="7"/>
  <c r="K26" i="7"/>
  <c r="I27" i="7"/>
  <c r="K27" i="7"/>
  <c r="I28" i="7"/>
  <c r="K28" i="7"/>
  <c r="I29" i="7"/>
  <c r="K29" i="7"/>
  <c r="I30" i="7"/>
  <c r="K30" i="7"/>
  <c r="I31" i="7"/>
  <c r="K31" i="7"/>
  <c r="I32" i="7"/>
  <c r="K32" i="7"/>
  <c r="I33" i="7"/>
  <c r="K33" i="7"/>
  <c r="I34" i="7"/>
  <c r="K34" i="7"/>
  <c r="I35" i="7"/>
  <c r="K35" i="7"/>
  <c r="I36" i="7"/>
  <c r="K36" i="7"/>
  <c r="I37" i="7"/>
  <c r="K37" i="7"/>
  <c r="K38" i="7"/>
  <c r="I39" i="7"/>
  <c r="K39" i="7"/>
  <c r="I40" i="7"/>
  <c r="K40" i="7"/>
  <c r="I41" i="7"/>
  <c r="K41" i="7"/>
  <c r="I42" i="7"/>
  <c r="K42" i="7"/>
  <c r="I43" i="7"/>
  <c r="K43" i="7"/>
  <c r="I44" i="7"/>
  <c r="K44" i="7"/>
  <c r="I45" i="7"/>
  <c r="K45" i="7"/>
  <c r="I46" i="7"/>
  <c r="K46" i="7"/>
  <c r="I47" i="7"/>
  <c r="K47" i="7"/>
  <c r="I48" i="7"/>
  <c r="K48" i="7"/>
  <c r="I49" i="7"/>
  <c r="K49" i="7"/>
  <c r="I50" i="7"/>
  <c r="K50" i="7"/>
  <c r="I51" i="7"/>
  <c r="K51" i="7"/>
  <c r="I52" i="7"/>
  <c r="K52" i="7"/>
  <c r="I53" i="7"/>
  <c r="K53" i="7"/>
  <c r="K54" i="7"/>
  <c r="I55" i="7"/>
  <c r="K55" i="7"/>
  <c r="K56" i="7"/>
  <c r="I57" i="7"/>
  <c r="K57" i="7"/>
  <c r="K58" i="7"/>
  <c r="I59" i="7"/>
  <c r="K59" i="7"/>
  <c r="K60" i="7"/>
  <c r="K61" i="7"/>
  <c r="I2" i="6"/>
  <c r="K2" i="6"/>
  <c r="I3" i="6"/>
  <c r="K3" i="6"/>
  <c r="I4" i="6"/>
  <c r="K4" i="6"/>
  <c r="I5" i="6"/>
  <c r="K5" i="6"/>
  <c r="I6" i="6"/>
  <c r="K6" i="6"/>
  <c r="I7" i="6"/>
  <c r="K7" i="6"/>
  <c r="I8" i="6"/>
  <c r="K8" i="6"/>
  <c r="I9" i="6"/>
  <c r="K9" i="6"/>
  <c r="I10" i="6"/>
  <c r="K10" i="6"/>
  <c r="I11" i="6"/>
  <c r="K11" i="6"/>
  <c r="I12" i="6"/>
  <c r="K12" i="6"/>
  <c r="K13" i="6"/>
  <c r="I14" i="6"/>
  <c r="K14" i="6"/>
  <c r="I15" i="6"/>
  <c r="K15" i="6"/>
  <c r="I16" i="6"/>
  <c r="K16" i="6"/>
  <c r="I17" i="6"/>
  <c r="K17" i="6"/>
  <c r="I18" i="6"/>
  <c r="K18" i="6"/>
  <c r="I19" i="6"/>
  <c r="K19" i="6"/>
  <c r="I20" i="6"/>
  <c r="K20" i="6"/>
  <c r="I21" i="6"/>
  <c r="K21" i="6"/>
  <c r="I22" i="6"/>
  <c r="K22" i="6"/>
  <c r="I23" i="6"/>
  <c r="K23" i="6"/>
  <c r="I24" i="6"/>
  <c r="K24" i="6"/>
  <c r="K25" i="6"/>
  <c r="I26" i="6"/>
  <c r="K26" i="6"/>
  <c r="I27" i="6"/>
  <c r="K27" i="6"/>
  <c r="I28" i="6"/>
  <c r="K28" i="6"/>
  <c r="I29" i="6"/>
  <c r="K29" i="6"/>
  <c r="I30" i="6"/>
  <c r="K30" i="6"/>
  <c r="I31" i="6"/>
  <c r="K31" i="6"/>
  <c r="I32" i="6"/>
  <c r="K32" i="6"/>
  <c r="I33" i="6"/>
  <c r="K33" i="6"/>
  <c r="I34" i="6"/>
  <c r="K34" i="6"/>
  <c r="I35" i="6"/>
  <c r="K35" i="6"/>
  <c r="I36" i="6"/>
  <c r="K36" i="6"/>
  <c r="I37" i="6"/>
  <c r="K37" i="6"/>
  <c r="K38" i="6"/>
  <c r="I39" i="6"/>
  <c r="K39" i="6"/>
  <c r="I40" i="6"/>
  <c r="K40" i="6"/>
  <c r="I41" i="6"/>
  <c r="K41" i="6"/>
  <c r="I42" i="6"/>
  <c r="K42" i="6"/>
  <c r="I43" i="6"/>
  <c r="K43" i="6"/>
  <c r="I44" i="6"/>
  <c r="K44" i="6"/>
  <c r="I45" i="6"/>
  <c r="K45" i="6"/>
  <c r="I46" i="6"/>
  <c r="K46" i="6"/>
  <c r="I47" i="6"/>
  <c r="K47" i="6"/>
  <c r="I48" i="6"/>
  <c r="K48" i="6"/>
  <c r="I49" i="6"/>
  <c r="K49" i="6"/>
  <c r="I50" i="6"/>
  <c r="K50" i="6"/>
  <c r="I51" i="6"/>
  <c r="K51" i="6"/>
  <c r="I52" i="6"/>
  <c r="K52" i="6"/>
  <c r="I53" i="6"/>
  <c r="K53" i="6"/>
  <c r="K54" i="6"/>
  <c r="I55" i="6"/>
  <c r="K55" i="6"/>
  <c r="I56" i="6"/>
  <c r="K56" i="6"/>
  <c r="I57" i="6"/>
  <c r="K57" i="6"/>
  <c r="I58" i="6"/>
  <c r="K58" i="6"/>
  <c r="I59" i="6"/>
  <c r="K59" i="6"/>
  <c r="I60" i="6"/>
  <c r="K60" i="6"/>
  <c r="I61" i="6"/>
  <c r="K61" i="6"/>
  <c r="I62" i="6"/>
  <c r="K62" i="6"/>
  <c r="I63" i="6"/>
  <c r="K63" i="6"/>
  <c r="I64" i="6"/>
  <c r="K64" i="6"/>
  <c r="I65" i="6"/>
  <c r="K65" i="6"/>
  <c r="I66" i="6"/>
  <c r="K66" i="6"/>
  <c r="I67" i="6"/>
  <c r="K67" i="6"/>
  <c r="I68" i="6"/>
  <c r="K68" i="6"/>
  <c r="I69" i="6"/>
  <c r="K69" i="6"/>
  <c r="K70" i="6"/>
  <c r="I71" i="6"/>
  <c r="K71" i="6"/>
  <c r="I72" i="6"/>
  <c r="K72" i="6"/>
  <c r="I73" i="6"/>
  <c r="K73" i="6"/>
  <c r="I74" i="6"/>
  <c r="K74" i="6"/>
  <c r="I75" i="6"/>
  <c r="K75" i="6"/>
  <c r="I76" i="6"/>
  <c r="K76" i="6"/>
  <c r="I77" i="6"/>
  <c r="K77" i="6"/>
  <c r="I78" i="6"/>
  <c r="K78" i="6"/>
  <c r="I79" i="6"/>
  <c r="K79" i="6"/>
  <c r="I80" i="6"/>
  <c r="K80" i="6"/>
  <c r="I81" i="6"/>
  <c r="K81" i="6"/>
  <c r="I82" i="6"/>
  <c r="K82" i="6"/>
  <c r="I83" i="6"/>
  <c r="K83" i="6"/>
  <c r="I84" i="6"/>
  <c r="K84" i="6"/>
  <c r="I85" i="6"/>
  <c r="K85" i="6"/>
  <c r="K86" i="6"/>
  <c r="I87" i="6"/>
  <c r="K87" i="6"/>
  <c r="K88" i="6"/>
  <c r="I89" i="6"/>
  <c r="K89" i="6"/>
  <c r="K90" i="6"/>
  <c r="I91" i="6"/>
  <c r="K91" i="6"/>
  <c r="K92" i="6"/>
  <c r="I93" i="6"/>
  <c r="K93" i="6"/>
  <c r="K94" i="6"/>
  <c r="I95" i="6"/>
  <c r="K95" i="6"/>
  <c r="K96" i="6"/>
  <c r="K97" i="6"/>
  <c r="I2" i="5"/>
  <c r="K2" i="5"/>
  <c r="I3" i="5"/>
  <c r="K3" i="5"/>
  <c r="I4" i="5"/>
  <c r="K4" i="5"/>
  <c r="I5" i="5"/>
  <c r="K5" i="5"/>
  <c r="I6" i="5"/>
  <c r="K6" i="5"/>
  <c r="I7" i="5"/>
  <c r="K7" i="5"/>
  <c r="I8" i="5"/>
  <c r="K8" i="5"/>
  <c r="I9" i="5"/>
  <c r="K9" i="5"/>
  <c r="I10" i="5"/>
  <c r="K10" i="5"/>
  <c r="I11" i="5"/>
  <c r="K11" i="5"/>
  <c r="I12" i="5"/>
  <c r="K12" i="5"/>
  <c r="K13" i="5"/>
  <c r="I14" i="5"/>
  <c r="K14" i="5"/>
  <c r="I15" i="5"/>
  <c r="K15" i="5"/>
  <c r="I16" i="5"/>
  <c r="K16" i="5"/>
  <c r="I17" i="5"/>
  <c r="K17" i="5"/>
  <c r="I18" i="5"/>
  <c r="K18" i="5"/>
  <c r="I19" i="5"/>
  <c r="K19" i="5"/>
  <c r="I20" i="5"/>
  <c r="K20" i="5"/>
  <c r="I21" i="5"/>
  <c r="K21" i="5"/>
  <c r="I22" i="5"/>
  <c r="K22" i="5"/>
  <c r="I23" i="5"/>
  <c r="K23" i="5"/>
  <c r="I24" i="5"/>
  <c r="K24" i="5"/>
  <c r="K25" i="5"/>
  <c r="I26" i="5"/>
  <c r="K26" i="5"/>
  <c r="I27" i="5"/>
  <c r="K27" i="5"/>
  <c r="I28" i="5"/>
  <c r="K28" i="5"/>
  <c r="I29" i="5"/>
  <c r="K29" i="5"/>
  <c r="I30" i="5"/>
  <c r="K30" i="5"/>
  <c r="I31" i="5"/>
  <c r="K31" i="5"/>
  <c r="I32" i="5"/>
  <c r="K32" i="5"/>
  <c r="I33" i="5"/>
  <c r="K33" i="5"/>
  <c r="I34" i="5"/>
  <c r="K34" i="5"/>
  <c r="I35" i="5"/>
  <c r="K35" i="5"/>
  <c r="I36" i="5"/>
  <c r="K36" i="5"/>
  <c r="I37" i="5"/>
  <c r="K37" i="5"/>
  <c r="K38" i="5"/>
  <c r="I39" i="5"/>
  <c r="K39" i="5"/>
  <c r="I40" i="5"/>
  <c r="K40" i="5"/>
  <c r="I41" i="5"/>
  <c r="K41" i="5"/>
  <c r="I42" i="5"/>
  <c r="K42" i="5"/>
  <c r="I43" i="5"/>
  <c r="K43" i="5"/>
  <c r="I44" i="5"/>
  <c r="K44" i="5"/>
  <c r="I45" i="5"/>
  <c r="K45" i="5"/>
  <c r="I46" i="5"/>
  <c r="K46" i="5"/>
  <c r="I47" i="5"/>
  <c r="K47" i="5"/>
  <c r="I48" i="5"/>
  <c r="K48" i="5"/>
  <c r="I49" i="5"/>
  <c r="K49" i="5"/>
  <c r="I50" i="5"/>
  <c r="K50" i="5"/>
  <c r="I51" i="5"/>
  <c r="K51" i="5"/>
  <c r="I52" i="5"/>
  <c r="K52" i="5"/>
  <c r="I53" i="5"/>
  <c r="K53" i="5"/>
  <c r="K54" i="5"/>
  <c r="I55" i="5"/>
  <c r="K55" i="5"/>
  <c r="K56" i="5"/>
  <c r="I57" i="5"/>
  <c r="K57" i="5"/>
  <c r="K58" i="5"/>
  <c r="I59" i="5"/>
  <c r="K59" i="5"/>
  <c r="K60" i="5"/>
  <c r="I61" i="5"/>
  <c r="K61" i="5"/>
  <c r="K62" i="5"/>
  <c r="I63" i="5"/>
  <c r="K63" i="5"/>
  <c r="K64" i="5"/>
  <c r="K65" i="5"/>
  <c r="I2" i="4"/>
  <c r="K2" i="4"/>
  <c r="I3" i="4"/>
  <c r="K3" i="4"/>
  <c r="I4" i="4"/>
  <c r="K4" i="4"/>
  <c r="I5" i="4"/>
  <c r="K5" i="4"/>
  <c r="I6" i="4"/>
  <c r="K6" i="4"/>
  <c r="I7" i="4"/>
  <c r="K7" i="4"/>
  <c r="I8" i="4"/>
  <c r="K8" i="4"/>
  <c r="I9" i="4"/>
  <c r="K9" i="4"/>
  <c r="I10" i="4"/>
  <c r="K10" i="4"/>
  <c r="I11" i="4"/>
  <c r="K11" i="4"/>
  <c r="I12" i="4"/>
  <c r="K12" i="4"/>
  <c r="K13" i="4"/>
  <c r="I14" i="4"/>
  <c r="K14" i="4"/>
  <c r="I15" i="4"/>
  <c r="K15" i="4"/>
  <c r="I16" i="4"/>
  <c r="K16" i="4"/>
  <c r="I17" i="4"/>
  <c r="K17" i="4"/>
  <c r="I18" i="4"/>
  <c r="K18" i="4"/>
  <c r="I19" i="4"/>
  <c r="K19" i="4"/>
  <c r="I20" i="4"/>
  <c r="K20" i="4"/>
  <c r="I21" i="4"/>
  <c r="K21" i="4"/>
  <c r="I22" i="4"/>
  <c r="K22" i="4"/>
  <c r="I23" i="4"/>
  <c r="K23" i="4"/>
  <c r="I24" i="4"/>
  <c r="K24" i="4"/>
  <c r="K25" i="4"/>
  <c r="I26" i="4"/>
  <c r="K26" i="4"/>
  <c r="I27" i="4"/>
  <c r="K27" i="4"/>
  <c r="I28" i="4"/>
  <c r="K28" i="4"/>
  <c r="I29" i="4"/>
  <c r="K29" i="4"/>
  <c r="I30" i="4"/>
  <c r="K30" i="4"/>
  <c r="I31" i="4"/>
  <c r="K31" i="4"/>
  <c r="I32" i="4"/>
  <c r="K32" i="4"/>
  <c r="I33" i="4"/>
  <c r="K33" i="4"/>
  <c r="I34" i="4"/>
  <c r="K34" i="4"/>
  <c r="I35" i="4"/>
  <c r="K35" i="4"/>
  <c r="I36" i="4"/>
  <c r="K36" i="4"/>
  <c r="I37" i="4"/>
  <c r="K37" i="4"/>
  <c r="K38" i="4"/>
  <c r="I39" i="4"/>
  <c r="K39" i="4"/>
  <c r="I40" i="4"/>
  <c r="K40" i="4"/>
  <c r="I41" i="4"/>
  <c r="K41" i="4"/>
  <c r="I42" i="4"/>
  <c r="K42" i="4"/>
  <c r="I43" i="4"/>
  <c r="K43" i="4"/>
  <c r="I44" i="4"/>
  <c r="K44" i="4"/>
  <c r="I45" i="4"/>
  <c r="K45" i="4"/>
  <c r="I46" i="4"/>
  <c r="K46" i="4"/>
  <c r="I47" i="4"/>
  <c r="K47" i="4"/>
  <c r="I48" i="4"/>
  <c r="K48" i="4"/>
  <c r="I49" i="4"/>
  <c r="K49" i="4"/>
  <c r="I50" i="4"/>
  <c r="K50" i="4"/>
  <c r="I51" i="4"/>
  <c r="K51" i="4"/>
  <c r="I52" i="4"/>
  <c r="K52" i="4"/>
  <c r="I53" i="4"/>
  <c r="K53" i="4"/>
  <c r="K54" i="4"/>
  <c r="I55" i="4"/>
  <c r="K55" i="4"/>
  <c r="I56" i="4"/>
  <c r="K56" i="4"/>
  <c r="I57" i="4"/>
  <c r="K57" i="4"/>
  <c r="I58" i="4"/>
  <c r="K58" i="4"/>
  <c r="I59" i="4"/>
  <c r="K59" i="4"/>
  <c r="I60" i="4"/>
  <c r="K60" i="4"/>
  <c r="I61" i="4"/>
  <c r="K61" i="4"/>
  <c r="I62" i="4"/>
  <c r="K62" i="4"/>
  <c r="I63" i="4"/>
  <c r="K63" i="4"/>
  <c r="I64" i="4"/>
  <c r="K64" i="4"/>
  <c r="I65" i="4"/>
  <c r="K65" i="4"/>
  <c r="I66" i="4"/>
  <c r="K66" i="4"/>
  <c r="I67" i="4"/>
  <c r="K67" i="4"/>
  <c r="I68" i="4"/>
  <c r="K68" i="4"/>
  <c r="I69" i="4"/>
  <c r="K69" i="4"/>
  <c r="K70" i="4"/>
  <c r="I71" i="4"/>
  <c r="K71" i="4"/>
  <c r="I72" i="4"/>
  <c r="K72" i="4"/>
  <c r="I73" i="4"/>
  <c r="K73" i="4"/>
  <c r="I74" i="4"/>
  <c r="K74" i="4"/>
  <c r="I75" i="4"/>
  <c r="K75" i="4"/>
  <c r="I76" i="4"/>
  <c r="K76" i="4"/>
  <c r="I77" i="4"/>
  <c r="K77" i="4"/>
  <c r="I78" i="4"/>
  <c r="K78" i="4"/>
  <c r="I79" i="4"/>
  <c r="K79" i="4"/>
  <c r="I80" i="4"/>
  <c r="K80" i="4"/>
  <c r="I81" i="4"/>
  <c r="K81" i="4"/>
  <c r="I82" i="4"/>
  <c r="K82" i="4"/>
  <c r="I83" i="4"/>
  <c r="K83" i="4"/>
  <c r="I84" i="4"/>
  <c r="K84" i="4"/>
  <c r="I85" i="4"/>
  <c r="K85" i="4"/>
  <c r="K86" i="4"/>
  <c r="I87" i="4"/>
  <c r="K87" i="4"/>
  <c r="K88" i="4"/>
  <c r="I89" i="4"/>
  <c r="K89" i="4"/>
  <c r="K90" i="4"/>
  <c r="I91" i="4"/>
  <c r="K91" i="4"/>
  <c r="K92" i="4"/>
  <c r="I93" i="4"/>
  <c r="K93" i="4"/>
  <c r="K94" i="4"/>
  <c r="I95" i="4"/>
  <c r="K95" i="4"/>
  <c r="K96" i="4"/>
  <c r="K97" i="4"/>
  <c r="I2" i="3"/>
  <c r="K2" i="3"/>
  <c r="K3" i="3"/>
  <c r="I4" i="3"/>
  <c r="K4" i="3"/>
  <c r="I5" i="3"/>
  <c r="K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K51" i="3"/>
  <c r="I52" i="3"/>
  <c r="K52" i="3"/>
  <c r="K53" i="3"/>
  <c r="I54" i="3"/>
  <c r="K54" i="3"/>
  <c r="K55" i="3"/>
  <c r="I56" i="3"/>
  <c r="K56" i="3"/>
  <c r="K57" i="3"/>
  <c r="K58" i="3"/>
  <c r="I2" i="2"/>
  <c r="K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K13" i="2"/>
  <c r="I14" i="2"/>
  <c r="K14" i="2"/>
  <c r="I15" i="2"/>
  <c r="K15" i="2"/>
  <c r="I16" i="2"/>
  <c r="K16" i="2"/>
  <c r="I17" i="2"/>
  <c r="K17" i="2"/>
  <c r="I18" i="2"/>
  <c r="K18" i="2"/>
  <c r="I19" i="2"/>
  <c r="K19" i="2"/>
  <c r="I20" i="2"/>
  <c r="K20" i="2"/>
  <c r="I21" i="2"/>
  <c r="K21" i="2"/>
  <c r="I22" i="2"/>
  <c r="K22" i="2"/>
  <c r="I23" i="2"/>
  <c r="K23" i="2"/>
  <c r="I24" i="2"/>
  <c r="K24" i="2"/>
  <c r="K25" i="2"/>
  <c r="I26" i="2"/>
  <c r="K26" i="2"/>
  <c r="I27" i="2"/>
  <c r="K27" i="2"/>
  <c r="I28" i="2"/>
  <c r="K28" i="2"/>
  <c r="I29" i="2"/>
  <c r="K29" i="2"/>
  <c r="I30" i="2"/>
  <c r="K30" i="2"/>
  <c r="I31" i="2"/>
  <c r="K31" i="2"/>
  <c r="I32" i="2"/>
  <c r="K32" i="2"/>
  <c r="I33" i="2"/>
  <c r="K33" i="2"/>
  <c r="I34" i="2"/>
  <c r="K34" i="2"/>
  <c r="I35" i="2"/>
  <c r="K35" i="2"/>
  <c r="I36" i="2"/>
  <c r="K36" i="2"/>
  <c r="I37" i="2"/>
  <c r="K37" i="2"/>
  <c r="K38" i="2"/>
  <c r="I39" i="2"/>
  <c r="K39" i="2"/>
  <c r="I40" i="2"/>
  <c r="K40" i="2"/>
  <c r="I41" i="2"/>
  <c r="K41" i="2"/>
  <c r="I42" i="2"/>
  <c r="K42" i="2"/>
  <c r="I43" i="2"/>
  <c r="K43" i="2"/>
  <c r="I44" i="2"/>
  <c r="K44" i="2"/>
  <c r="I45" i="2"/>
  <c r="K45" i="2"/>
  <c r="I46" i="2"/>
  <c r="K46" i="2"/>
  <c r="I47" i="2"/>
  <c r="K47" i="2"/>
  <c r="I48" i="2"/>
  <c r="K48" i="2"/>
  <c r="I49" i="2"/>
  <c r="K49" i="2"/>
  <c r="I50" i="2"/>
  <c r="K50" i="2"/>
  <c r="K51" i="2"/>
  <c r="I52" i="2"/>
  <c r="K52" i="2"/>
  <c r="I53" i="2"/>
  <c r="K53" i="2"/>
  <c r="I54" i="2"/>
  <c r="K54" i="2"/>
  <c r="I55" i="2"/>
  <c r="K55" i="2"/>
  <c r="I56" i="2"/>
  <c r="K56" i="2"/>
  <c r="I57" i="2"/>
  <c r="K57" i="2"/>
  <c r="I58" i="2"/>
  <c r="K58" i="2"/>
  <c r="I59" i="2"/>
  <c r="K59" i="2"/>
  <c r="I60" i="2"/>
  <c r="K60" i="2"/>
  <c r="I61" i="2"/>
  <c r="K61" i="2"/>
  <c r="I62" i="2"/>
  <c r="K62" i="2"/>
  <c r="I63" i="2"/>
  <c r="K63" i="2"/>
  <c r="I64" i="2"/>
  <c r="K64" i="2"/>
  <c r="I65" i="2"/>
  <c r="K65" i="2"/>
  <c r="I66" i="2"/>
  <c r="K66" i="2"/>
  <c r="K67" i="2"/>
  <c r="I68" i="2"/>
  <c r="K68" i="2"/>
  <c r="K69" i="2"/>
  <c r="I70" i="2"/>
  <c r="K70" i="2"/>
  <c r="K71" i="2"/>
  <c r="I72" i="2"/>
  <c r="K72" i="2"/>
  <c r="K73" i="2"/>
  <c r="I74" i="2"/>
  <c r="K74" i="2"/>
  <c r="K75" i="2"/>
  <c r="I76" i="2"/>
  <c r="K76" i="2"/>
  <c r="I77" i="2"/>
  <c r="K77" i="2"/>
  <c r="I78" i="2"/>
  <c r="K78" i="2"/>
  <c r="I79" i="2"/>
  <c r="K79" i="2"/>
  <c r="I80" i="2"/>
  <c r="K80" i="2"/>
  <c r="I81" i="2"/>
  <c r="K81" i="2"/>
  <c r="I82" i="2"/>
  <c r="K82" i="2"/>
  <c r="I83" i="2"/>
  <c r="K83" i="2"/>
  <c r="K84" i="2"/>
  <c r="I85" i="2"/>
  <c r="K85" i="2"/>
  <c r="I86" i="2"/>
  <c r="K86" i="2"/>
  <c r="I87" i="2"/>
  <c r="K87" i="2"/>
  <c r="I88" i="2"/>
  <c r="K88" i="2"/>
  <c r="I89" i="2"/>
  <c r="K89" i="2"/>
  <c r="I90" i="2"/>
  <c r="K90" i="2"/>
  <c r="K91" i="2"/>
  <c r="K92" i="2"/>
  <c r="I2" i="1"/>
  <c r="K2" i="1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K121" i="1"/>
  <c r="K122" i="1"/>
</calcChain>
</file>

<file path=xl/sharedStrings.xml><?xml version="1.0" encoding="utf-8"?>
<sst xmlns="http://schemas.openxmlformats.org/spreadsheetml/2006/main" count="4903" uniqueCount="591">
  <si>
    <t>Line Number</t>
  </si>
  <si>
    <t>Item Name</t>
  </si>
  <si>
    <t>Description</t>
  </si>
  <si>
    <t>Service Duration</t>
  </si>
  <si>
    <t>Lead Time</t>
  </si>
  <si>
    <t>Included Item</t>
  </si>
  <si>
    <t>Quantity</t>
  </si>
  <si>
    <t>ListPrice</t>
  </si>
  <si>
    <t>Extended ListPrice</t>
  </si>
  <si>
    <t>Discount %</t>
  </si>
  <si>
    <t>Selling Price</t>
  </si>
  <si>
    <t>Service Type</t>
  </si>
  <si>
    <t>1.0</t>
  </si>
  <si>
    <t>UCSB-B200-M4-U</t>
  </si>
  <si>
    <t>UCS B200 M4 w/o CPU, mem, drive bays, HDD, mezz (UPG)</t>
  </si>
  <si>
    <t>N/A</t>
  </si>
  <si>
    <t>10 days</t>
  </si>
  <si>
    <t>No</t>
  </si>
  <si>
    <t>60</t>
  </si>
  <si>
    <t>1.1</t>
  </si>
  <si>
    <t>UCS-CPU-E52670D</t>
  </si>
  <si>
    <t>2.30 GHz E5-2670 v3/120W 12C/30MB Cache/DDR4 2133MHz</t>
  </si>
  <si>
    <t>120</t>
  </si>
  <si>
    <t>1.2</t>
  </si>
  <si>
    <t>UCS-MR-1X162RU-A</t>
  </si>
  <si>
    <t>16GB DDR4-2133-MHz RDIMM/PC4-17000/dual rank/x4/1.2v</t>
  </si>
  <si>
    <t>960</t>
  </si>
  <si>
    <t>1.3</t>
  </si>
  <si>
    <t>UCSB-MLOM-40G-03</t>
  </si>
  <si>
    <t>Cisco UCS VIC 1340 modular LOM for blade servers</t>
  </si>
  <si>
    <t>1.4</t>
  </si>
  <si>
    <t>UCSB-LSTOR-BK</t>
  </si>
  <si>
    <t>FlexStorage blanking panels w/o controller, w/o drive bays</t>
  </si>
  <si>
    <t>Yes</t>
  </si>
  <si>
    <t>1.5</t>
  </si>
  <si>
    <t>UCSB-HS-EP-M4-F</t>
  </si>
  <si>
    <t>CPU Heat Sink for UCS B200 M4/B420 M4 (Front)</t>
  </si>
  <si>
    <t>1.6</t>
  </si>
  <si>
    <t>UCSB-HS-EP-M4-R</t>
  </si>
  <si>
    <t>CPU Heat Sink for UCS B200 M4/B420 M4 (Rear)</t>
  </si>
  <si>
    <t>1.7</t>
  </si>
  <si>
    <t>C1UCS-OPT-OUT</t>
  </si>
  <si>
    <t>Cisco ONE Data Center Compute Opt Out Option</t>
  </si>
  <si>
    <t>1.8</t>
  </si>
  <si>
    <t>VMW-VS5-STD-2A</t>
  </si>
  <si>
    <t>VMware vSphere 5 Standard (1 CPU), 2yr, Support Required</t>
  </si>
  <si>
    <t>1.8.0.1</t>
  </si>
  <si>
    <t>CON-ISV1-VS5STD2A</t>
  </si>
  <si>
    <t>ISV 24X7 VMware vSphere Standard, List Price is ANNUAL</t>
  </si>
  <si>
    <t>24.0 month(s)</t>
  </si>
  <si>
    <t>PRIMARYSERVICE</t>
  </si>
  <si>
    <t>1.0.1</t>
  </si>
  <si>
    <t>CON-3SNT-B200M4U</t>
  </si>
  <si>
    <t>3YR SMARTNET 8X5XNBDUCS B200 M4 w/o CPU,m,dr b, HDD,m (UPG)</t>
  </si>
  <si>
    <t>36.0 month(s)</t>
  </si>
  <si>
    <t/>
  </si>
  <si>
    <t>SubTotal</t>
  </si>
  <si>
    <t>2.0</t>
  </si>
  <si>
    <t>80</t>
  </si>
  <si>
    <t>2.1</t>
  </si>
  <si>
    <t>160</t>
  </si>
  <si>
    <t>2.2</t>
  </si>
  <si>
    <t>640</t>
  </si>
  <si>
    <t>2.3</t>
  </si>
  <si>
    <t>2.4</t>
  </si>
  <si>
    <t>2.5</t>
  </si>
  <si>
    <t>2.6</t>
  </si>
  <si>
    <t>2.7</t>
  </si>
  <si>
    <t>2.0.1</t>
  </si>
  <si>
    <t>3.0</t>
  </si>
  <si>
    <t>UCSB-5108-AC2=</t>
  </si>
  <si>
    <t>UCS 5108 Blade Server AC2 Chassis/0 PSU/8 fans/0 FEX</t>
  </si>
  <si>
    <t>18</t>
  </si>
  <si>
    <t>3.1</t>
  </si>
  <si>
    <t>N01-UAC1</t>
  </si>
  <si>
    <t>Single phase AC power module for UCS 5108</t>
  </si>
  <si>
    <t>3.2</t>
  </si>
  <si>
    <t>UCSB-5108-PKG-HW</t>
  </si>
  <si>
    <t>UCS 5108 Packaging for chassis with half width blades.</t>
  </si>
  <si>
    <t>3.3</t>
  </si>
  <si>
    <t>N20-CAK</t>
  </si>
  <si>
    <t>Accessory kit for UCS 5108 Blade Server Chassis</t>
  </si>
  <si>
    <t>3.4</t>
  </si>
  <si>
    <t>N20-CBLKB1</t>
  </si>
  <si>
    <t>Blade slot blanking panel for UCS 5108/single slot</t>
  </si>
  <si>
    <t>144</t>
  </si>
  <si>
    <t>3.5</t>
  </si>
  <si>
    <t>N20-FAN5</t>
  </si>
  <si>
    <t>Fan module for UCS 5108</t>
  </si>
  <si>
    <t>3.6</t>
  </si>
  <si>
    <t>UCSB-PSU-2500ACDV</t>
  </si>
  <si>
    <t>2500W Platinum AC Hot Plug Power Supply - DV</t>
  </si>
  <si>
    <t>72</t>
  </si>
  <si>
    <t>3.7</t>
  </si>
  <si>
    <t>CAB-C19-CBN</t>
  </si>
  <si>
    <t>Cabinet Jumper Power Cord, 250 VAC 16A, C20-C19 Connectors</t>
  </si>
  <si>
    <t>8 days</t>
  </si>
  <si>
    <t>3.8</t>
  </si>
  <si>
    <t>N20-FW013</t>
  </si>
  <si>
    <t>UCS Blade Server Chassis FW Package 3.0</t>
  </si>
  <si>
    <t>3.9</t>
  </si>
  <si>
    <t>UCS-IOM2204-8FET</t>
  </si>
  <si>
    <t>UCS 2204XP I/O Module with 8 FET Optics</t>
  </si>
  <si>
    <t>36</t>
  </si>
  <si>
    <t>3.10</t>
  </si>
  <si>
    <t>FET-10G</t>
  </si>
  <si>
    <t>10G Line Extender for FEX</t>
  </si>
  <si>
    <t>14 days</t>
  </si>
  <si>
    <t>288</t>
  </si>
  <si>
    <t>3.0.1</t>
  </si>
  <si>
    <t>CON-3SNT-6508AC2</t>
  </si>
  <si>
    <t>3YR SNTC 8X5XNBD UCS 5108 AC Chassis, updated backplane</t>
  </si>
  <si>
    <t>4.0</t>
  </si>
  <si>
    <t>UCS-FI-6296UP-UPG</t>
  </si>
  <si>
    <t>UCS 6296UP 2RU Fabric Int/No PSU/48 UP/ 18p LIC</t>
  </si>
  <si>
    <t>2</t>
  </si>
  <si>
    <t>4.1</t>
  </si>
  <si>
    <t>UCS-ACC-6296UP</t>
  </si>
  <si>
    <t>UCS 6296UP Chassis Accessory Kit</t>
  </si>
  <si>
    <t>4.2</t>
  </si>
  <si>
    <t>UCS-PSU-6296UP-AC</t>
  </si>
  <si>
    <t>UCS 6296UP Power Supply/100-240VAC</t>
  </si>
  <si>
    <t>4</t>
  </si>
  <si>
    <t>4.3</t>
  </si>
  <si>
    <t>UCS-FI-E16UP</t>
  </si>
  <si>
    <t>UCS 6200 16-port Expansion module/16 UP/ 8p LIC</t>
  </si>
  <si>
    <t>4.3.0.1</t>
  </si>
  <si>
    <t>CON-3SNT-FIE16UP</t>
  </si>
  <si>
    <t>3YR SMARTNET 8X5XNBD 16prt 10Gb UnifPrt/Expnsn mod UCS6200</t>
  </si>
  <si>
    <t>4.4</t>
  </si>
  <si>
    <t>N10-MGT012</t>
  </si>
  <si>
    <t>UCS Manager v2.2</t>
  </si>
  <si>
    <t>4.5</t>
  </si>
  <si>
    <t>UCS-FAN-6296UP</t>
  </si>
  <si>
    <t>UCS 6296UP Fan Module</t>
  </si>
  <si>
    <t>8</t>
  </si>
  <si>
    <t>4.6</t>
  </si>
  <si>
    <t>CAB-C13-CBN</t>
  </si>
  <si>
    <t>Cabinet Jumper Power Cord, 250 VAC 10A, C14-C13 Connectors</t>
  </si>
  <si>
    <t>4.7</t>
  </si>
  <si>
    <t>4.7.0.1</t>
  </si>
  <si>
    <t>4.8</t>
  </si>
  <si>
    <t>4.8.0.1</t>
  </si>
  <si>
    <t>4.9</t>
  </si>
  <si>
    <t>UCS-LIC-10GE</t>
  </si>
  <si>
    <t>UCS 6200 Series ONLY Fabric Int 1PORT 1/10GE/FC-port license</t>
  </si>
  <si>
    <t>76</t>
  </si>
  <si>
    <t>4.10</t>
  </si>
  <si>
    <t>SFP-10G-SR</t>
  </si>
  <si>
    <t>10GBASE-SR SFP Module</t>
  </si>
  <si>
    <t>4.11</t>
  </si>
  <si>
    <t>DS-SFP-FC8G-SW</t>
  </si>
  <si>
    <t>8 Gbps Fibre Channel SW SFP+, LC</t>
  </si>
  <si>
    <t>4.0.1</t>
  </si>
  <si>
    <t>CON-3SNT-FI6296UP</t>
  </si>
  <si>
    <t>3YR SMARTNET 8X5XNBD UCS 6296UP 2RU Fabrc Int/2 PSU/4 Fans</t>
  </si>
  <si>
    <t>5.0</t>
  </si>
  <si>
    <t>N9K-C9336PQ</t>
  </si>
  <si>
    <t>Nexus 9K ACI Spine, 36p 40G QSFP+</t>
  </si>
  <si>
    <t>5.1</t>
  </si>
  <si>
    <t>ACI-N9KDK9-11.1</t>
  </si>
  <si>
    <t>Nexus 9K ACI Base Software NX-OS Rel 11.1</t>
  </si>
  <si>
    <t>5.2</t>
  </si>
  <si>
    <t>N9K-C9300-ACK</t>
  </si>
  <si>
    <t>Nexus 9300 Accessory Kit</t>
  </si>
  <si>
    <t>5.3</t>
  </si>
  <si>
    <t>N9K-C9300-FAN3-B</t>
  </si>
  <si>
    <t>Nexus 9300 Fan 3, Port-side Exhaust</t>
  </si>
  <si>
    <t>5.4</t>
  </si>
  <si>
    <t>5.5</t>
  </si>
  <si>
    <t>N9K-PAC-1200W-B</t>
  </si>
  <si>
    <t>Nexus 9300 1200W AC PS, Port-side Exhaust</t>
  </si>
  <si>
    <t>5.6</t>
  </si>
  <si>
    <t>N9K-C9300-RMK</t>
  </si>
  <si>
    <t>Nexus 9300 Rack Mount Kit</t>
  </si>
  <si>
    <t>5.7</t>
  </si>
  <si>
    <t>QSFP-40G-SR-BD</t>
  </si>
  <si>
    <t>QSFP40G BiDi Short-reach Transceiver</t>
  </si>
  <si>
    <t>5.0.1</t>
  </si>
  <si>
    <t>CON-3SNT-9336PQ</t>
  </si>
  <si>
    <t>3YR SNTC 8X5XNBD Nexus 9336 ACI Spine switchw/36p 40G QS</t>
  </si>
  <si>
    <t>6.0</t>
  </si>
  <si>
    <t>N9K-C9396PX</t>
  </si>
  <si>
    <t>Nexus 9300 48p 1/10G SFP+ &amp; additional uplink module req.</t>
  </si>
  <si>
    <t>6.0.1</t>
  </si>
  <si>
    <t>CON-3SNT-9396PX</t>
  </si>
  <si>
    <t>3YR SNTC 8X5XNBD Nexus 9300 with 48p</t>
  </si>
  <si>
    <t>6.1</t>
  </si>
  <si>
    <t>6.2</t>
  </si>
  <si>
    <t>6.3</t>
  </si>
  <si>
    <t>N9K-C9300-FAN2-B</t>
  </si>
  <si>
    <t>Nexus 9300 Fan 2, Port-side Exhaust</t>
  </si>
  <si>
    <t>6</t>
  </si>
  <si>
    <t>6.4</t>
  </si>
  <si>
    <t>6.5</t>
  </si>
  <si>
    <t>N9K-PAC-650W-B</t>
  </si>
  <si>
    <t>Nexus 9300 650W AC PS, Port-side Exhaust</t>
  </si>
  <si>
    <t>6.6</t>
  </si>
  <si>
    <t>6.7</t>
  </si>
  <si>
    <t>N9K-M6PQ</t>
  </si>
  <si>
    <t>ACI capable Uplink Module for Nexus 9300, 6p 40G QSFP</t>
  </si>
  <si>
    <t>6.8</t>
  </si>
  <si>
    <t>6.9</t>
  </si>
  <si>
    <t>28</t>
  </si>
  <si>
    <t>6.10</t>
  </si>
  <si>
    <t>ACI-LIC-PAK</t>
  </si>
  <si>
    <t>ACI Software License PAK Expansion</t>
  </si>
  <si>
    <t>6.11</t>
  </si>
  <si>
    <t>ACI-N9K-48X</t>
  </si>
  <si>
    <t>ACI SW license for a 48p 1/10G Nexus 9K</t>
  </si>
  <si>
    <t>7.0</t>
  </si>
  <si>
    <t>APIC-M1</t>
  </si>
  <si>
    <t>APIC Appliance  - Medium Configuration(Upto 1000 EdgePorts)</t>
  </si>
  <si>
    <t>3</t>
  </si>
  <si>
    <t>7.0.1</t>
  </si>
  <si>
    <t>CON-SSPNB-APICM1</t>
  </si>
  <si>
    <t>SSPT PLUS2 8X5XNBD APIC Appliance-Medium Configuration(Up</t>
  </si>
  <si>
    <t>12.0 month(s)</t>
  </si>
  <si>
    <t>7.1</t>
  </si>
  <si>
    <t>APIC-SERVER-M1</t>
  </si>
  <si>
    <t>APIC Appliance - Medium Configuration (Upto 1000 Edge Ports)</t>
  </si>
  <si>
    <t>7.2</t>
  </si>
  <si>
    <t>APIC-A03-D500GC3</t>
  </si>
  <si>
    <t>500GB 6Gb SATA 7.2K RPM SFF hot plug/drive sled mounted</t>
  </si>
  <si>
    <t>7.3</t>
  </si>
  <si>
    <t>APIC-CPU-E52620B</t>
  </si>
  <si>
    <t>2.10 GHz E5-2620 v2/80W 6C/15MB Cache/DDR3 1600MHz</t>
  </si>
  <si>
    <t>7.4</t>
  </si>
  <si>
    <t>APIC-MR-1X162RZ-A</t>
  </si>
  <si>
    <t>16GB DDR3-1866-MHz RDIMM/PC3-14900/dual rank/x4/1.5v</t>
  </si>
  <si>
    <t>12</t>
  </si>
  <si>
    <t>7.5</t>
  </si>
  <si>
    <t>APIC-PSU-650W</t>
  </si>
  <si>
    <t>650W power supply for C-series rack servers</t>
  </si>
  <si>
    <t>7.6</t>
  </si>
  <si>
    <t>APIC-TPM1-001</t>
  </si>
  <si>
    <t>Trusted Platform Module</t>
  </si>
  <si>
    <t>7.7</t>
  </si>
  <si>
    <t>APIC-USBFLSH-S-4GB</t>
  </si>
  <si>
    <t>4G USB small form factor</t>
  </si>
  <si>
    <t>7.8</t>
  </si>
  <si>
    <t>APIC-RAID-11-C220</t>
  </si>
  <si>
    <t>Cisco UCS RAID SAS 2008M-8i Mezz Card for C220 (0/1/10/5/50)</t>
  </si>
  <si>
    <t>7.9</t>
  </si>
  <si>
    <t>APIC-SD120G0KS2-EV</t>
  </si>
  <si>
    <t>120 GB 2.5 inch Enterprise Value 6G SATA SSD</t>
  </si>
  <si>
    <t>7.10</t>
  </si>
  <si>
    <t>R2XX-RAID0</t>
  </si>
  <si>
    <t>Enable RAID 0 Setting</t>
  </si>
  <si>
    <t>7.11</t>
  </si>
  <si>
    <t>7.12</t>
  </si>
  <si>
    <t>APIC-PCIE-CSC-02</t>
  </si>
  <si>
    <t>Cisco VIC 1225 Dual Port 10Gb SFP+ CNA</t>
  </si>
  <si>
    <t>7.13</t>
  </si>
  <si>
    <t>CAB-C13-C14-AC</t>
  </si>
  <si>
    <t>Power cord, C13 to C14 (recessed receptacle), 10A</t>
  </si>
  <si>
    <t>21 days</t>
  </si>
  <si>
    <t>7.14</t>
  </si>
  <si>
    <t>APIC-DK9-1.1</t>
  </si>
  <si>
    <t>APIC Base Software Release 1.1</t>
  </si>
  <si>
    <t>8.0</t>
  </si>
  <si>
    <t>DS-C9148S-D12P8K9</t>
  </si>
  <si>
    <t>MDS 9148S 16G FC switch, w/ 12 active ports + 8G SW SFPs</t>
  </si>
  <si>
    <t>8.1</t>
  </si>
  <si>
    <t>24</t>
  </si>
  <si>
    <t>8.2</t>
  </si>
  <si>
    <t>DS-9148S-KIT-CSCO</t>
  </si>
  <si>
    <t>MDS 9148S Accessory Kit for Cisco</t>
  </si>
  <si>
    <t>8.0.1</t>
  </si>
  <si>
    <t>CON-SCN-C48S</t>
  </si>
  <si>
    <t>SC CORE 8X5XNBD MDS 9148S 16G FC switch, w/ 12 active ports</t>
  </si>
  <si>
    <t>8.3</t>
  </si>
  <si>
    <t>CAB-C15-CBN</t>
  </si>
  <si>
    <t>Cabinet Jumper Power Cord, 250 VAC 13A, C14-C15 Connectors</t>
  </si>
  <si>
    <t>8.4</t>
  </si>
  <si>
    <t>M91S5K9-NPE-6.2.9</t>
  </si>
  <si>
    <t>MDS 9100 Supervisor/Fabric-5, NX-OS NPE SW Release 6.2(9)</t>
  </si>
  <si>
    <t>9.0</t>
  </si>
  <si>
    <t>ASR1002-X</t>
  </si>
  <si>
    <t>Cisco ASR1002-X Chassis, 6 built-in GE, Dual P/S, 4GB DRAM</t>
  </si>
  <si>
    <t>9.0.1</t>
  </si>
  <si>
    <t>CON-3SNT-ASR1002X</t>
  </si>
  <si>
    <t>3YR SMARTNET 8X5XNBD Csc ASR1002-xChs 6 blt-in GE Dual P/S 4</t>
  </si>
  <si>
    <t>9.1</t>
  </si>
  <si>
    <t>ASR1K-WAN-AGGR</t>
  </si>
  <si>
    <t>ASR1k-WAN Aggregation with or without Crypto - tracking only</t>
  </si>
  <si>
    <t>9.2</t>
  </si>
  <si>
    <t>FLSA1-2X-5-20G</t>
  </si>
  <si>
    <t>Upgrade from 5 Gbps to 20Gbps License for ASR 1002-X</t>
  </si>
  <si>
    <t>9.2.0.1</t>
  </si>
  <si>
    <t>CON-3SNT-FLSA520G</t>
  </si>
  <si>
    <t>3YR SMARTNET 8X5XNBD Upgrade from 5 Gbps</t>
  </si>
  <si>
    <t>9.3</t>
  </si>
  <si>
    <t>SLASR1-AIS</t>
  </si>
  <si>
    <t>Cisco ASR 1000 Advanced IP Services License</t>
  </si>
  <si>
    <t>9.3.0.1</t>
  </si>
  <si>
    <t>CON-3SNT-SLASR1AK</t>
  </si>
  <si>
    <t>3YR SMARTNET 8X5XNBD Cisco ASR 1000 Advanced IP Services</t>
  </si>
  <si>
    <t>9.4</t>
  </si>
  <si>
    <t>SFP-GE-T</t>
  </si>
  <si>
    <t>1000BASE-T SFP (NEBS 3 ESD)</t>
  </si>
  <si>
    <t>9.5</t>
  </si>
  <si>
    <t>GLC-SX-MMD</t>
  </si>
  <si>
    <t>1000BASE-SX SFP transceiver module, MMF, 850nm, DOM</t>
  </si>
  <si>
    <t>9.6</t>
  </si>
  <si>
    <t>GLC-LH-SMD</t>
  </si>
  <si>
    <t>1000BASE-LX/LH SFP transceiver module, MMF/SMF, 1310nm, DOM</t>
  </si>
  <si>
    <t>9.7</t>
  </si>
  <si>
    <t>M-ASR1002X-8GB</t>
  </si>
  <si>
    <t>Cisco ASR1002-X 8GB DRAM</t>
  </si>
  <si>
    <t>9.8</t>
  </si>
  <si>
    <t>ASR1002X-HD-BLANK</t>
  </si>
  <si>
    <t>Blank Cover for ASR1002-X HDD</t>
  </si>
  <si>
    <t>9.9</t>
  </si>
  <si>
    <t>SASR1K2XU-316S</t>
  </si>
  <si>
    <t>Cisco ASR 1002-X IOS XE UNIVERSAL - NO ENCRYPTION</t>
  </si>
  <si>
    <t>9.10</t>
  </si>
  <si>
    <t>SPA-1X10GE-L-V2</t>
  </si>
  <si>
    <t>Cisco 1-Port  10GE LAN-PHY Shared Port Adapter</t>
  </si>
  <si>
    <t>35 days</t>
  </si>
  <si>
    <t>9.10.0.1</t>
  </si>
  <si>
    <t>CON-3SNT-1X10GEV2</t>
  </si>
  <si>
    <t>3YR SNTC 8X5XNBD 1-Pt 10GE LAN-PHY Shared PT Adptr</t>
  </si>
  <si>
    <t>9.11</t>
  </si>
  <si>
    <t>XFP-10G-MM-SR</t>
  </si>
  <si>
    <t>10GBASE-SR XFP Module</t>
  </si>
  <si>
    <t>9.12</t>
  </si>
  <si>
    <t>ASR1000-SPA</t>
  </si>
  <si>
    <t>SPA for ASR1000; No Physical Part; For Tracking Only</t>
  </si>
  <si>
    <t>9.13</t>
  </si>
  <si>
    <t>ASR1002-PWR-AC</t>
  </si>
  <si>
    <t>Cisco ASR1002 AC Power Supply</t>
  </si>
  <si>
    <t>9.14</t>
  </si>
  <si>
    <t>CAB-ACE-RA</t>
  </si>
  <si>
    <t>Power Cord Europe, Right Angle</t>
  </si>
  <si>
    <t>Estimate Total</t>
  </si>
  <si>
    <t>11.4</t>
  </si>
  <si>
    <t>11.3</t>
  </si>
  <si>
    <t>11.0.1</t>
  </si>
  <si>
    <t>11.2</t>
  </si>
  <si>
    <t>11.1</t>
  </si>
  <si>
    <t>11.0</t>
  </si>
  <si>
    <t>PRTNR SS 8X5XNBD Standard airflow pack: N2K-C2232PP-10GE</t>
  </si>
  <si>
    <t>CON-PSRT-2232PFA</t>
  </si>
  <si>
    <t>10.5.0.1</t>
  </si>
  <si>
    <t>Standard airflow pack: N2K-C2232PP-10GE, 2AC PS, 1Fan</t>
  </si>
  <si>
    <t>N2232PP-FA-BUN</t>
  </si>
  <si>
    <t>10.5</t>
  </si>
  <si>
    <t>32</t>
  </si>
  <si>
    <t>10.4</t>
  </si>
  <si>
    <t>10.3</t>
  </si>
  <si>
    <t>10GBASE-CU SFP+ Cable 3 Meter</t>
  </si>
  <si>
    <t>SFP-H10GB-CU3M</t>
  </si>
  <si>
    <t>10.2</t>
  </si>
  <si>
    <t>N2K Uplink option FET-10G to FET-10G</t>
  </si>
  <si>
    <t>N2K-F10G-F10G</t>
  </si>
  <si>
    <t>10.1</t>
  </si>
  <si>
    <t>PRTNR SS 8X5XNBD Nexus 2232PP with 16 FET</t>
  </si>
  <si>
    <t>CON-PSRT-C2232PF</t>
  </si>
  <si>
    <t>10.0.1</t>
  </si>
  <si>
    <t>Nexus 2232PP with 16 FET, choice of airflow/power</t>
  </si>
  <si>
    <t>N2K-C2232PF</t>
  </si>
  <si>
    <t>10.0</t>
  </si>
  <si>
    <t>2TB SAS 7.2K RPM 3.5 inch HDD/hot plug/drive sled mounted</t>
  </si>
  <si>
    <t>UCS-HDD2TI2F213=</t>
  </si>
  <si>
    <t>1.8 TB 12G SAS 10K RPM SFF HDD (4K)</t>
  </si>
  <si>
    <t>UCS-HD18TB10KS4K=</t>
  </si>
  <si>
    <t>800GB 2.5 inch Enterprise Performance SAS SSD</t>
  </si>
  <si>
    <t>UCS-SD800G0KS2-EP=</t>
  </si>
  <si>
    <t>50</t>
  </si>
  <si>
    <t>1.2 TB 6G SAS 10K rpm SFF  HDD</t>
  </si>
  <si>
    <t>UCS-HD12T10KS2-E=</t>
  </si>
  <si>
    <t>3YR SMARTNET 8X5XNBD UCS C240 M4 SFF 24 HD w/o CPU,mem</t>
  </si>
  <si>
    <t>CON-3SNT-C240M4SX</t>
  </si>
  <si>
    <t>5.13</t>
  </si>
  <si>
    <t>Cisco 12Gbps SAS 2GB FBWC Cache module (Raid 0/1/5/6)</t>
  </si>
  <si>
    <t>UCSC-MRAID12G-2GB</t>
  </si>
  <si>
    <t>5.12</t>
  </si>
  <si>
    <t>Cisco 12G SAS Modular Raid Controller</t>
  </si>
  <si>
    <t>UCSC-MRAID12G</t>
  </si>
  <si>
    <t>5.11</t>
  </si>
  <si>
    <t>UCS 2.5 inch HDD blanking panel</t>
  </si>
  <si>
    <t>N20-BBLKD</t>
  </si>
  <si>
    <t>5.10</t>
  </si>
  <si>
    <t>Heat sink for UCS C240 M4 rack servers</t>
  </si>
  <si>
    <t>UCSC-HS-C240M4</t>
  </si>
  <si>
    <t>5.9</t>
  </si>
  <si>
    <t>Supercap cable 250mm</t>
  </si>
  <si>
    <t>UCSC-SCCBL240</t>
  </si>
  <si>
    <t>5.8</t>
  </si>
  <si>
    <t>Reversible CMA for C240 M4 ball bearing rail kit</t>
  </si>
  <si>
    <t>UCSC-CMA-M4</t>
  </si>
  <si>
    <t>Ball Bearing Rail Kit for C220 M4 and C240 M4 rack servers</t>
  </si>
  <si>
    <t>UCSC-RAILB-M4</t>
  </si>
  <si>
    <t>650W V2 AC Power Supply for 2U C-Series Servers</t>
  </si>
  <si>
    <t>UCSC-PSU2V2-650W</t>
  </si>
  <si>
    <t>Cisco UCS VIC1227 VIC MLOM - Dual Port 10Gb SFP+</t>
  </si>
  <si>
    <t>UCSC-MLOM-CSC-02</t>
  </si>
  <si>
    <t>96</t>
  </si>
  <si>
    <t>2.50 GHz E5-2680 v3/120W 12C/30MB Cache/DDR4 2133MHz</t>
  </si>
  <si>
    <t>UCS-CPU-E52680D</t>
  </si>
  <si>
    <t>UCS C240 M4 SFF 24 HD w/o CPU,mem,HD,PCIe,PS,railkt w/expndr</t>
  </si>
  <si>
    <t>UCSC-C240-M4SX</t>
  </si>
  <si>
    <t>48</t>
  </si>
  <si>
    <t>16</t>
  </si>
  <si>
    <t>CON-ISV1-VS5STD3A</t>
  </si>
  <si>
    <t>2.8.0.1</t>
  </si>
  <si>
    <t>VMware vSphere 6 Standard (1 CPU), 3yr, Support Required</t>
  </si>
  <si>
    <t>VMW-VS5-STD-3A</t>
  </si>
  <si>
    <t>2.8</t>
  </si>
  <si>
    <t>128</t>
  </si>
  <si>
    <t>4.13</t>
  </si>
  <si>
    <t>4.12</t>
  </si>
  <si>
    <t>No power cord option</t>
  </si>
  <si>
    <t>R2XX-DMYMPWRCORD</t>
  </si>
  <si>
    <t>2.60 GHz E5-2660 v3/105W 10C/25MB Cache/DDR4 2133MHz</t>
  </si>
  <si>
    <t>UCS-CPU-E52660D</t>
  </si>
  <si>
    <t>3.13</t>
  </si>
  <si>
    <t>3.12</t>
  </si>
  <si>
    <t>3.11</t>
  </si>
  <si>
    <t>2.13</t>
  </si>
  <si>
    <t>2.12</t>
  </si>
  <si>
    <t>2.11</t>
  </si>
  <si>
    <t>2.10</t>
  </si>
  <si>
    <t>2.9</t>
  </si>
  <si>
    <t>2.60 GHz E5-2640 v3/90W 8C/20MB Cache/DDR4 1866MHz</t>
  </si>
  <si>
    <t>UCS-CPU-E52640D</t>
  </si>
  <si>
    <t>106</t>
  </si>
  <si>
    <t>UCS-MR-1X162RU-A=</t>
  </si>
  <si>
    <t>SFP-H10GB-CU3M=</t>
  </si>
  <si>
    <t>UCS 6200 Series Fabric Int 1port 1/10GE/FC-port E-license</t>
  </si>
  <si>
    <t>UCS-LIC-10GE=</t>
  </si>
  <si>
    <t>6.13</t>
  </si>
  <si>
    <t>6.12</t>
  </si>
  <si>
    <t>64</t>
  </si>
  <si>
    <t>14</t>
  </si>
  <si>
    <t>224</t>
  </si>
  <si>
    <t>256</t>
  </si>
  <si>
    <t>192</t>
  </si>
  <si>
    <t>DC-BASE</t>
  </si>
  <si>
    <t>1HY16</t>
  </si>
  <si>
    <t>2HY16</t>
  </si>
  <si>
    <t>1HY17</t>
  </si>
  <si>
    <t>2HY17</t>
  </si>
  <si>
    <t>1HY18</t>
  </si>
  <si>
    <t>2HY18</t>
  </si>
  <si>
    <t>Total GPL</t>
  </si>
  <si>
    <t>GPL</t>
  </si>
  <si>
    <t>Stage</t>
  </si>
  <si>
    <t>Чел./час</t>
  </si>
  <si>
    <t>Выделение Эксперта</t>
  </si>
  <si>
    <t xml:space="preserve">Выделение Инженера </t>
  </si>
  <si>
    <t>Выделение Монтажника</t>
  </si>
  <si>
    <t xml:space="preserve">Выделение Техника </t>
  </si>
  <si>
    <t>Раздел 8. Услуги специалистов</t>
  </si>
  <si>
    <t>шт</t>
  </si>
  <si>
    <t>ПАК VipNet IDS 2000</t>
  </si>
  <si>
    <t>ПАК VipNet IDS 1000</t>
  </si>
  <si>
    <t>ПАК VipNet Coordinator HW5000</t>
  </si>
  <si>
    <t>ПАК VipNet Coordinator HW2000</t>
  </si>
  <si>
    <t>ПАК VipNet Coordinator HW1000</t>
  </si>
  <si>
    <t>Раздел 7. Предоставление оборудования</t>
  </si>
  <si>
    <t>Шт.</t>
  </si>
  <si>
    <t>Стойка потребление электричества:  16кВт</t>
  </si>
  <si>
    <t>Стойка потребление электричества:  12кВт</t>
  </si>
  <si>
    <t>Стойка потребление электричества:  8кВт</t>
  </si>
  <si>
    <t>Стойка потребление электричества:  4кВт</t>
  </si>
  <si>
    <t>Раздел 6. Услуги по размещению стоек</t>
  </si>
  <si>
    <t>Предоставление внешнего IP-адреса IPv4</t>
  </si>
  <si>
    <t>5.15</t>
  </si>
  <si>
    <t>Предоставление MPLS L2 канала (100 Мбит/с)</t>
  </si>
  <si>
    <t>5.14</t>
  </si>
  <si>
    <t>Предоставление MPLS L2 канала (20 Мбит/с)</t>
  </si>
  <si>
    <t>Предоставление MPLS L2 канала (10 Мбит/с)</t>
  </si>
  <si>
    <t>Предоставление канала связи на скорости 10 Гбит\с
маршрут: Интернет-ЦОД Исполнителя</t>
  </si>
  <si>
    <t>Предоставление канала связи на скорости 4 Гбит\с
маршрут: Интернет-ЦОД Исполнителя</t>
  </si>
  <si>
    <t>Предоставление канала связи на скорости 2 Гбит\с
маршрут: Интернет-ЦОД Исполнителя</t>
  </si>
  <si>
    <t>Предоставление канала связи на скорости 1 Гбит\с
маршрут: Интернет-ЦОД Исполнителя</t>
  </si>
  <si>
    <t>Предоставление канала связи на скорости 10 Гбит\с
маршрут: КСПД-ЦОД Исполнителя</t>
  </si>
  <si>
    <t>Предоставление канала связи на скорости 2 Гбит\с
маршрут: КСПД-ЦОД Исполнителя</t>
  </si>
  <si>
    <t>Предоставление канала связи на скорости 1 Гбит\с
маршрут: КСПД-ЦОД Исполнителя</t>
  </si>
  <si>
    <t>Предоставление канала связи на скорости 10 Гбит\с
маршрут: ГИВЦ-ЦОД Исполнителя</t>
  </si>
  <si>
    <t>Предоставление канала связи на скорости 2 Гбит\с
маршрут: ГИВЦ-ЦОД Исполнителя</t>
  </si>
  <si>
    <t>Предоставление канала связи на скорости 1 Гбит\с
маршрут: ГИВЦ-ЦОД Исполнителя</t>
  </si>
  <si>
    <t>Предоставление оптического канала
маршрут: ГИВЦ-ЦОД Исполнителя</t>
  </si>
  <si>
    <r>
      <t xml:space="preserve">Раздел 5. Услуги </t>
    </r>
    <r>
      <rPr>
        <b/>
        <i/>
        <sz val="8"/>
        <color rgb="FF000000"/>
        <rFont val="Calibri"/>
        <family val="2"/>
        <charset val="204"/>
      </rPr>
      <t>связи</t>
    </r>
  </si>
  <si>
    <t>Предоставление VPN каналов на скорости 100 mb</t>
  </si>
  <si>
    <t>Предоставление VPN доступа clients</t>
  </si>
  <si>
    <t>порт</t>
  </si>
  <si>
    <t xml:space="preserve">Предоставление сетевой инфраструктуры со скоростью передачи данных 1Гбит\с </t>
  </si>
  <si>
    <t xml:space="preserve">Предоставление сетевой инфраструктуры со скоростью передачи данных 10Гбит\с в отказоустойчивой конфигурации </t>
  </si>
  <si>
    <t>Предоставление сетевой инфраструктуры со скоростью передачи данных 10Гбит\с на консолидирующих коммутаторах</t>
  </si>
  <si>
    <t xml:space="preserve">Предоставление сетевой инфраструктуры со скоростью передачи данных 40Гбит\с на оборудовании ядра сети </t>
  </si>
  <si>
    <t xml:space="preserve">Предоставление сетевой инфраструктуры со скоростью передачи данных 20Гбит\с на оборудовании ядра сети </t>
  </si>
  <si>
    <t xml:space="preserve">Предоставление сетевой инфраструктуры со скоростью передачи данных 10Гбит\с на оборудовании ядра сети </t>
  </si>
  <si>
    <t>Раздел 4. Сетевое окружение</t>
  </si>
  <si>
    <t>ТБ</t>
  </si>
  <si>
    <t>Предоставление сервиса резервного копирования</t>
  </si>
  <si>
    <t>Предоставление дискового пространства, тип 3, не менее 6500 IOPS/ТБ</t>
  </si>
  <si>
    <t>Предоставление дискового пространства, тип 2, не менее 200 IOPS/ТБ</t>
  </si>
  <si>
    <t>Предоставление дискового пространства, тип 1, не менее 20 IOPS/ТБ</t>
  </si>
  <si>
    <t>Раздел 3. Предоставление дискового пространства в сети хранения данных</t>
  </si>
  <si>
    <t>Шасси для размещения 2 (двух) и более вычислительных платформ</t>
  </si>
  <si>
    <t>2.22</t>
  </si>
  <si>
    <t xml:space="preserve">Шасси для размещения 1 (одной) вычислительной платформы </t>
  </si>
  <si>
    <t>2.21</t>
  </si>
  <si>
    <t>Жесткий диск вычислительных платформ (SSD), обем 800Гб</t>
  </si>
  <si>
    <t>2.20</t>
  </si>
  <si>
    <t>Жесткий диск вычислительных платформ (SSD), обем 600Гб</t>
  </si>
  <si>
    <t>2.19</t>
  </si>
  <si>
    <t>Жесткий диск вычислительных платформ (SSD), обем 400Гб</t>
  </si>
  <si>
    <t>2.18</t>
  </si>
  <si>
    <t>Жесткий диск вычислительных платформ (SSD), обем 200Гб</t>
  </si>
  <si>
    <t>2.17</t>
  </si>
  <si>
    <t>Жесткий диск вычислительных платформ (SSD), обем 120Гб</t>
  </si>
  <si>
    <t>2.16</t>
  </si>
  <si>
    <t>Жесткий диск вычислительных платформ (SAS), объем 1200 Гб</t>
  </si>
  <si>
    <t>2.15</t>
  </si>
  <si>
    <t>Жесткий диск вычислительных платформ (SAS), объем 600 Гб</t>
  </si>
  <si>
    <t>2.14</t>
  </si>
  <si>
    <t>Жесткий диск вычислительных платформ (SAS), объем 300 Гб</t>
  </si>
  <si>
    <t>Жесткий диск вычислительных платформ (SATA), объем 6Тб</t>
  </si>
  <si>
    <t>Жесткий диск вычислительных платформ (SATA), объем 4Тб</t>
  </si>
  <si>
    <t>Жесткий диск вычислительных платформ (SATA), объем 2Тб</t>
  </si>
  <si>
    <t>ГБ</t>
  </si>
  <si>
    <t>Оперативная память вычислительных платформ</t>
  </si>
  <si>
    <t>Высокопроизводительная вычислительная платформа: ядер на процессор - 18</t>
  </si>
  <si>
    <t>Высокопроизводительная вычислительная платформа: ядер на процессор - 16</t>
  </si>
  <si>
    <t>Высокопроизводительная вычислительная платформа: ядер на процессор - 14</t>
  </si>
  <si>
    <t>Вычислительная платформа: ядер на процессор - 12</t>
  </si>
  <si>
    <t>Вычислительная платформа: ядер на процессор - 10</t>
  </si>
  <si>
    <t>Вычислительная платформа: ядер на процессор - 8</t>
  </si>
  <si>
    <t>Оперативная память платформы SD</t>
  </si>
  <si>
    <t>Вычислительная платформа Superdome</t>
  </si>
  <si>
    <t>Раздел 2. Предоставление физических мощностей</t>
  </si>
  <si>
    <t>Оперативная память для ВМ</t>
  </si>
  <si>
    <t>ядро</t>
  </si>
  <si>
    <t>Виртуальный процессор</t>
  </si>
  <si>
    <t>Раздел 1. Предоставление виртуальных мощностей</t>
  </si>
  <si>
    <t>2018. Второе полугодие</t>
  </si>
  <si>
    <t>2018. Первое полугодие</t>
  </si>
  <si>
    <t>2017. Второе полугодие</t>
  </si>
  <si>
    <t>2017. Первое полугодие</t>
  </si>
  <si>
    <t>2016. Второе полугодие</t>
  </si>
  <si>
    <t>2016. Первое полугодие</t>
  </si>
  <si>
    <t>Базовый заказ</t>
  </si>
  <si>
    <t>Ед.изм.</t>
  </si>
  <si>
    <t>Наименование</t>
  </si>
  <si>
    <t>№</t>
  </si>
  <si>
    <t>Прогноз увеличения, по полугодиям на 2016-2018гг.</t>
  </si>
  <si>
    <t>Блейд-сервер</t>
  </si>
  <si>
    <t>Шасси для блейд-сервера</t>
  </si>
  <si>
    <t>Fabric Interconnect</t>
  </si>
  <si>
    <t>ACI Spine - ядро ACI</t>
  </si>
  <si>
    <t>ACI Leaf - комм-ры ядра</t>
  </si>
  <si>
    <t>Контроллер ACI</t>
  </si>
  <si>
    <t>Коммутаторы SAN</t>
  </si>
  <si>
    <t>Маршрутизаторы (VPN, MPLS, Каналы)</t>
  </si>
  <si>
    <t>Рэковые серверы</t>
  </si>
  <si>
    <t>Part Number</t>
  </si>
  <si>
    <t>Unit List Price</t>
  </si>
  <si>
    <t>Qty</t>
  </si>
  <si>
    <t>Unit Net Price</t>
  </si>
  <si>
    <t>Disc(%)</t>
  </si>
  <si>
    <t>Extended Net Price</t>
  </si>
  <si>
    <t>---</t>
  </si>
  <si>
    <t>CON-PSJ1-C240M4SX</t>
  </si>
  <si>
    <t>UCS SUPP PSS 8X5XNBD UCS C240 M4 SFF 24 HD w/o CPU,mem</t>
  </si>
  <si>
    <t>UCS-HD12T10KS2-E</t>
  </si>
  <si>
    <t>UCS-HD600G10KS4K</t>
  </si>
  <si>
    <t>600GB 12G SAS 10K RPM SFF HDD (4K)</t>
  </si>
  <si>
    <t>A03-D300GA2</t>
  </si>
  <si>
    <t>300GB 6Gb SAS 10K RPM SFF HDD/hot plug/drive sled mounted</t>
  </si>
  <si>
    <t>UCS-SD200G0KS2-EP</t>
  </si>
  <si>
    <t>200GB 2.5 inch Enterprise Performance SAS SSD</t>
  </si>
  <si>
    <t>UCS-SD800G0KS2-EP</t>
  </si>
  <si>
    <t>UCS-SD400G0KS2-EP</t>
  </si>
  <si>
    <t>400GB 2.5 inch Enterprise Performance SAS SSD</t>
  </si>
  <si>
    <t>UCS-SD120G0KS2-EV</t>
  </si>
  <si>
    <t>UCS-SD480G0KS2-EV</t>
  </si>
  <si>
    <t>480 GB 2.5 inch Enterprise Value  6G SATA SSD</t>
  </si>
  <si>
    <t>UCS-SD960G0KS2-EV</t>
  </si>
  <si>
    <t>960 GB 2.5 inch Enterprise Value  6G SATA SSD</t>
  </si>
  <si>
    <t>UCS-SD240G0KS2-EV</t>
  </si>
  <si>
    <t>240GB 2.5 inch Enterprise Value 6G SATA SSD</t>
  </si>
  <si>
    <t>UCSC-MLOM-BLK</t>
  </si>
  <si>
    <t>MLOM Blanking Panel</t>
  </si>
  <si>
    <t>Диски</t>
  </si>
  <si>
    <t>SAS</t>
  </si>
  <si>
    <t>SSD Enterprise</t>
  </si>
  <si>
    <t>SSD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</si>
</sst>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.0"/>
  </numFmts>
  <fonts count="16" x14ac:knownFonts="1">
    <font>
      <sz val="10"/>
      <name val="Arial"/>
    </font>
    <font>
      <sz val="10"/>
      <name val="Arial"/>
    </font>
    <font>
      <b/>
      <sz val="9"/>
      <name val="Helvetica"/>
    </font>
    <font>
      <b/>
      <sz val="9"/>
      <name val="Helvetica"/>
    </font>
    <font>
      <sz val="9"/>
      <name val="Helvetica"/>
    </font>
    <font>
      <b/>
      <sz val="9"/>
      <name val="Helvetica"/>
    </font>
    <font>
      <b/>
      <sz val="9"/>
      <color indexed="12"/>
      <name val="Helvetica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b/>
      <i/>
      <sz val="8"/>
      <color rgb="FF000000"/>
      <name val="Calibri"/>
      <family val="2"/>
      <charset val="204"/>
    </font>
    <font>
      <b/>
      <sz val="10"/>
      <name val="Calibri"/>
      <family val="2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22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144">
    <xf numFmtId="0" fontId="0" fillId="0" borderId="0" xfId="0"/>
    <xf numFmtId="0" fontId="0" fillId="0" borderId="2" xfId="0" applyBorder="1"/>
    <xf numFmtId="0" fontId="3" fillId="2" borderId="1" xfId="0" applyFont="1" applyFill="1" applyBorder="1" applyAlignment="1">
      <alignment horizontal="center" vertical="center" wrapText="1"/>
    </xf>
    <xf numFmtId="4" fontId="6" fillId="0" borderId="3" xfId="0" applyNumberFormat="1" applyFont="1" applyBorder="1" applyAlignment="1">
      <alignment horizontal="right" vertical="center" wrapText="1"/>
    </xf>
    <xf numFmtId="0" fontId="7" fillId="0" borderId="0" xfId="2"/>
    <xf numFmtId="4" fontId="6" fillId="0" borderId="3" xfId="2" applyNumberFormat="1" applyFont="1" applyBorder="1" applyAlignment="1">
      <alignment horizontal="right" vertical="center" wrapText="1"/>
    </xf>
    <xf numFmtId="0" fontId="7" fillId="0" borderId="2" xfId="2" applyBorder="1"/>
    <xf numFmtId="0" fontId="2" fillId="2" borderId="1" xfId="2" applyFont="1" applyFill="1" applyBorder="1" applyAlignment="1">
      <alignment horizontal="center" vertical="center" wrapText="1"/>
    </xf>
    <xf numFmtId="0" fontId="8" fillId="0" borderId="4" xfId="0" applyFont="1" applyBorder="1"/>
    <xf numFmtId="0" fontId="7" fillId="0" borderId="4" xfId="0" applyFont="1" applyBorder="1"/>
    <xf numFmtId="164" fontId="0" fillId="0" borderId="4" xfId="1" applyFont="1" applyBorder="1"/>
    <xf numFmtId="0" fontId="0" fillId="0" borderId="4" xfId="0" applyBorder="1"/>
    <xf numFmtId="164" fontId="9" fillId="3" borderId="4" xfId="1" applyFont="1" applyFill="1" applyBorder="1"/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49" fontId="11" fillId="0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/>
    <xf numFmtId="0" fontId="12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 wrapText="1"/>
    </xf>
    <xf numFmtId="0" fontId="10" fillId="0" borderId="4" xfId="0" applyFont="1" applyBorder="1"/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vertical="center" wrapText="1"/>
    </xf>
    <xf numFmtId="0" fontId="0" fillId="0" borderId="4" xfId="0" applyFill="1" applyBorder="1"/>
    <xf numFmtId="0" fontId="12" fillId="4" borderId="4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0" fontId="15" fillId="0" borderId="0" xfId="0" applyFont="1" applyFill="1"/>
    <xf numFmtId="49" fontId="15" fillId="0" borderId="0" xfId="0" applyNumberFormat="1" applyFont="1" applyFill="1"/>
    <xf numFmtId="49" fontId="11" fillId="6" borderId="4" xfId="0" applyNumberFormat="1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0" fillId="6" borderId="0" xfId="0" applyFill="1"/>
    <xf numFmtId="165" fontId="5" fillId="6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4" fontId="4" fillId="6" borderId="1" xfId="0" applyNumberFormat="1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2"/>
    </xf>
    <xf numFmtId="0" fontId="0" fillId="6" borderId="2" xfId="0" applyFill="1" applyBorder="1"/>
    <xf numFmtId="4" fontId="6" fillId="6" borderId="3" xfId="0" applyNumberFormat="1" applyFont="1" applyFill="1" applyBorder="1" applyAlignment="1">
      <alignment horizontal="right" vertical="center" wrapText="1"/>
    </xf>
    <xf numFmtId="49" fontId="11" fillId="7" borderId="4" xfId="0" applyNumberFormat="1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0" fillId="7" borderId="4" xfId="0" applyFill="1" applyBorder="1"/>
    <xf numFmtId="0" fontId="0" fillId="7" borderId="0" xfId="0" applyFill="1"/>
    <xf numFmtId="49" fontId="11" fillId="8" borderId="4" xfId="0" applyNumberFormat="1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0" fillId="8" borderId="4" xfId="0" applyFill="1" applyBorder="1"/>
    <xf numFmtId="0" fontId="0" fillId="8" borderId="0" xfId="0" applyFill="1"/>
    <xf numFmtId="49" fontId="11" fillId="9" borderId="4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0" fillId="9" borderId="4" xfId="0" applyFill="1" applyBorder="1"/>
    <xf numFmtId="0" fontId="0" fillId="9" borderId="0" xfId="0" applyFill="1"/>
    <xf numFmtId="165" fontId="5" fillId="9" borderId="1" xfId="0" applyNumberFormat="1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 wrapText="1"/>
    </xf>
    <xf numFmtId="4" fontId="4" fillId="9" borderId="1" xfId="0" applyNumberFormat="1" applyFont="1" applyFill="1" applyBorder="1" applyAlignment="1">
      <alignment horizontal="right" vertical="center" wrapText="1"/>
    </xf>
    <xf numFmtId="0" fontId="4" fillId="9" borderId="1" xfId="0" applyFont="1" applyFill="1" applyBorder="1" applyAlignment="1">
      <alignment horizontal="left" vertical="center" wrapText="1" indent="1"/>
    </xf>
    <xf numFmtId="0" fontId="0" fillId="9" borderId="2" xfId="0" applyFill="1" applyBorder="1"/>
    <xf numFmtId="4" fontId="6" fillId="9" borderId="3" xfId="0" applyNumberFormat="1" applyFont="1" applyFill="1" applyBorder="1" applyAlignment="1">
      <alignment horizontal="right" vertical="center" wrapText="1"/>
    </xf>
    <xf numFmtId="0" fontId="10" fillId="8" borderId="4" xfId="0" applyFont="1" applyFill="1" applyBorder="1"/>
    <xf numFmtId="49" fontId="11" fillId="10" borderId="4" xfId="0" applyNumberFormat="1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0" fillId="10" borderId="4" xfId="0" applyFill="1" applyBorder="1"/>
    <xf numFmtId="0" fontId="0" fillId="10" borderId="0" xfId="0" applyFill="1"/>
    <xf numFmtId="0" fontId="10" fillId="10" borderId="4" xfId="0" applyFont="1" applyFill="1" applyBorder="1"/>
    <xf numFmtId="0" fontId="0" fillId="10" borderId="4" xfId="0" applyFont="1" applyFill="1" applyBorder="1"/>
    <xf numFmtId="0" fontId="10" fillId="0" borderId="4" xfId="0" applyFont="1" applyFill="1" applyBorder="1"/>
    <xf numFmtId="0" fontId="0" fillId="0" borderId="0" xfId="0" applyFill="1"/>
    <xf numFmtId="165" fontId="5" fillId="8" borderId="1" xfId="0" applyNumberFormat="1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4" fontId="4" fillId="8" borderId="1" xfId="0" applyNumberFormat="1" applyFont="1" applyFill="1" applyBorder="1" applyAlignment="1">
      <alignment horizontal="right" vertical="center" wrapText="1"/>
    </xf>
    <xf numFmtId="0" fontId="4" fillId="8" borderId="1" xfId="0" applyFont="1" applyFill="1" applyBorder="1" applyAlignment="1">
      <alignment horizontal="left" vertical="center" wrapText="1" indent="1"/>
    </xf>
    <xf numFmtId="165" fontId="5" fillId="11" borderId="1" xfId="0" applyNumberFormat="1" applyFont="1" applyFill="1" applyBorder="1" applyAlignment="1">
      <alignment horizontal="righ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 wrapText="1"/>
    </xf>
    <xf numFmtId="4" fontId="4" fillId="11" borderId="1" xfId="0" applyNumberFormat="1" applyFont="1" applyFill="1" applyBorder="1" applyAlignment="1">
      <alignment horizontal="right" vertical="center" wrapText="1"/>
    </xf>
    <xf numFmtId="0" fontId="0" fillId="11" borderId="0" xfId="0" applyFill="1"/>
    <xf numFmtId="0" fontId="4" fillId="11" borderId="1" xfId="0" applyFont="1" applyFill="1" applyBorder="1" applyAlignment="1">
      <alignment horizontal="left" vertical="center" wrapText="1" indent="1"/>
    </xf>
    <xf numFmtId="0" fontId="4" fillId="11" borderId="1" xfId="0" applyFont="1" applyFill="1" applyBorder="1" applyAlignment="1">
      <alignment horizontal="left" vertical="center" wrapText="1" indent="2"/>
    </xf>
    <xf numFmtId="165" fontId="2" fillId="9" borderId="1" xfId="2" applyNumberFormat="1" applyFont="1" applyFill="1" applyBorder="1" applyAlignment="1">
      <alignment horizontal="right" vertical="center" wrapText="1"/>
    </xf>
    <xf numFmtId="0" fontId="2" fillId="9" borderId="1" xfId="2" applyFont="1" applyFill="1" applyBorder="1" applyAlignment="1">
      <alignment horizontal="left" vertical="center" wrapText="1"/>
    </xf>
    <xf numFmtId="0" fontId="4" fillId="9" borderId="1" xfId="2" applyFont="1" applyFill="1" applyBorder="1" applyAlignment="1">
      <alignment horizontal="left" vertical="center"/>
    </xf>
    <xf numFmtId="0" fontId="4" fillId="9" borderId="1" xfId="2" applyFont="1" applyFill="1" applyBorder="1" applyAlignment="1">
      <alignment horizontal="left" vertical="center" wrapText="1"/>
    </xf>
    <xf numFmtId="4" fontId="4" fillId="9" borderId="1" xfId="2" applyNumberFormat="1" applyFont="1" applyFill="1" applyBorder="1" applyAlignment="1">
      <alignment horizontal="right" vertical="center" wrapText="1"/>
    </xf>
    <xf numFmtId="0" fontId="7" fillId="9" borderId="0" xfId="2" applyFill="1"/>
    <xf numFmtId="0" fontId="4" fillId="9" borderId="1" xfId="2" applyFont="1" applyFill="1" applyBorder="1" applyAlignment="1">
      <alignment horizontal="left" vertical="center" wrapText="1" indent="1"/>
    </xf>
    <xf numFmtId="0" fontId="4" fillId="9" borderId="1" xfId="2" applyFont="1" applyFill="1" applyBorder="1" applyAlignment="1">
      <alignment horizontal="left" vertical="center" wrapText="1" indent="2"/>
    </xf>
    <xf numFmtId="165" fontId="2" fillId="6" borderId="1" xfId="2" applyNumberFormat="1" applyFont="1" applyFill="1" applyBorder="1" applyAlignment="1">
      <alignment horizontal="right" vertical="center" wrapText="1"/>
    </xf>
    <xf numFmtId="0" fontId="2" fillId="6" borderId="1" xfId="2" applyFont="1" applyFill="1" applyBorder="1" applyAlignment="1">
      <alignment horizontal="left" vertical="center" wrapText="1"/>
    </xf>
    <xf numFmtId="0" fontId="4" fillId="6" borderId="1" xfId="2" applyFont="1" applyFill="1" applyBorder="1" applyAlignment="1">
      <alignment horizontal="left" vertical="center"/>
    </xf>
    <xf numFmtId="0" fontId="4" fillId="6" borderId="1" xfId="2" applyFont="1" applyFill="1" applyBorder="1" applyAlignment="1">
      <alignment horizontal="left" vertical="center" wrapText="1"/>
    </xf>
    <xf numFmtId="4" fontId="4" fillId="6" borderId="1" xfId="2" applyNumberFormat="1" applyFont="1" applyFill="1" applyBorder="1" applyAlignment="1">
      <alignment horizontal="right" vertical="center" wrapText="1"/>
    </xf>
    <xf numFmtId="0" fontId="7" fillId="6" borderId="0" xfId="2" applyFill="1"/>
    <xf numFmtId="0" fontId="4" fillId="6" borderId="1" xfId="2" applyFont="1" applyFill="1" applyBorder="1" applyAlignment="1">
      <alignment horizontal="left" vertical="center" wrapText="1" indent="1"/>
    </xf>
    <xf numFmtId="0" fontId="4" fillId="6" borderId="1" xfId="2" applyFont="1" applyFill="1" applyBorder="1" applyAlignment="1">
      <alignment horizontal="left" vertical="center" wrapText="1" indent="2"/>
    </xf>
    <xf numFmtId="0" fontId="7" fillId="6" borderId="2" xfId="2" applyFill="1" applyBorder="1"/>
    <xf numFmtId="4" fontId="6" fillId="6" borderId="3" xfId="2" applyNumberFormat="1" applyFont="1" applyFill="1" applyBorder="1" applyAlignment="1">
      <alignment horizontal="right" vertical="center" wrapText="1"/>
    </xf>
    <xf numFmtId="165" fontId="2" fillId="8" borderId="1" xfId="2" applyNumberFormat="1" applyFont="1" applyFill="1" applyBorder="1" applyAlignment="1">
      <alignment horizontal="right" vertical="center" wrapText="1"/>
    </xf>
    <xf numFmtId="0" fontId="2" fillId="8" borderId="1" xfId="2" applyFont="1" applyFill="1" applyBorder="1" applyAlignment="1">
      <alignment horizontal="left" vertical="center" wrapText="1"/>
    </xf>
    <xf numFmtId="0" fontId="4" fillId="8" borderId="1" xfId="2" applyFont="1" applyFill="1" applyBorder="1" applyAlignment="1">
      <alignment horizontal="left" vertical="center"/>
    </xf>
    <xf numFmtId="0" fontId="4" fillId="8" borderId="1" xfId="2" applyFont="1" applyFill="1" applyBorder="1" applyAlignment="1">
      <alignment horizontal="left" vertical="center" wrapText="1"/>
    </xf>
    <xf numFmtId="4" fontId="4" fillId="8" borderId="1" xfId="2" applyNumberFormat="1" applyFont="1" applyFill="1" applyBorder="1" applyAlignment="1">
      <alignment horizontal="right" vertical="center" wrapText="1"/>
    </xf>
    <xf numFmtId="0" fontId="7" fillId="8" borderId="0" xfId="2" applyFill="1"/>
    <xf numFmtId="0" fontId="4" fillId="8" borderId="1" xfId="2" applyFont="1" applyFill="1" applyBorder="1" applyAlignment="1">
      <alignment horizontal="left" vertical="center" wrapText="1" indent="1"/>
    </xf>
    <xf numFmtId="165" fontId="2" fillId="7" borderId="1" xfId="2" applyNumberFormat="1" applyFont="1" applyFill="1" applyBorder="1" applyAlignment="1">
      <alignment horizontal="right" vertical="center" wrapText="1"/>
    </xf>
    <xf numFmtId="0" fontId="2" fillId="7" borderId="1" xfId="2" applyFont="1" applyFill="1" applyBorder="1" applyAlignment="1">
      <alignment horizontal="left" vertical="center" wrapText="1"/>
    </xf>
    <xf numFmtId="0" fontId="4" fillId="7" borderId="1" xfId="2" applyFont="1" applyFill="1" applyBorder="1" applyAlignment="1">
      <alignment horizontal="left" vertical="center"/>
    </xf>
    <xf numFmtId="0" fontId="4" fillId="7" borderId="1" xfId="2" applyFont="1" applyFill="1" applyBorder="1" applyAlignment="1">
      <alignment horizontal="left" vertical="center" wrapText="1"/>
    </xf>
    <xf numFmtId="4" fontId="4" fillId="7" borderId="1" xfId="2" applyNumberFormat="1" applyFont="1" applyFill="1" applyBorder="1" applyAlignment="1">
      <alignment horizontal="right" vertical="center" wrapText="1"/>
    </xf>
    <xf numFmtId="0" fontId="7" fillId="7" borderId="0" xfId="2" applyFill="1"/>
    <xf numFmtId="0" fontId="4" fillId="7" borderId="1" xfId="2" applyFont="1" applyFill="1" applyBorder="1" applyAlignment="1">
      <alignment horizontal="left" vertical="center" wrapText="1" indent="1"/>
    </xf>
    <xf numFmtId="0" fontId="7" fillId="7" borderId="2" xfId="2" applyFill="1" applyBorder="1"/>
    <xf numFmtId="4" fontId="6" fillId="7" borderId="3" xfId="2" applyNumberFormat="1" applyFont="1" applyFill="1" applyBorder="1" applyAlignment="1">
      <alignment horizontal="right" vertical="center" wrapText="1"/>
    </xf>
    <xf numFmtId="0" fontId="8" fillId="0" borderId="0" xfId="0" applyFont="1"/>
    <xf numFmtId="0" fontId="0" fillId="0" borderId="0" xfId="0"/>
    <xf numFmtId="0" fontId="0" fillId="0" borderId="5" xfId="0" applyBorder="1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showGridLines="0" workbookViewId="0">
      <selection activeCell="M103" sqref="M103"/>
    </sheetView>
  </sheetViews>
  <sheetFormatPr defaultColWidth="17.140625" defaultRowHeight="12.75" customHeight="1" outlineLevelCol="1" x14ac:dyDescent="0.2"/>
  <cols>
    <col min="1" max="1" width="13.7109375" customWidth="1"/>
    <col min="2" max="2" width="31.28515625" customWidth="1"/>
    <col min="3" max="3" width="46.85546875" customWidth="1"/>
    <col min="4" max="4" width="13.7109375" hidden="1" customWidth="1" outlineLevel="1"/>
    <col min="5" max="5" width="9.7109375" hidden="1" customWidth="1" outlineLevel="1"/>
    <col min="6" max="6" width="13.7109375" hidden="1" customWidth="1" outlineLevel="1"/>
    <col min="7" max="7" width="9.7109375" customWidth="1" collapsed="1"/>
    <col min="8" max="11" width="13.7109375" customWidth="1"/>
    <col min="12" max="12" width="19.5703125" customWidth="1"/>
  </cols>
  <sheetData>
    <row r="1" spans="1:13" ht="24.9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s="39" customFormat="1" ht="12.75" customHeight="1" x14ac:dyDescent="0.2">
      <c r="A2" s="40" t="s">
        <v>12</v>
      </c>
      <c r="B2" s="41" t="s">
        <v>13</v>
      </c>
      <c r="C2" s="42" t="s">
        <v>14</v>
      </c>
      <c r="D2" s="43" t="s">
        <v>15</v>
      </c>
      <c r="E2" s="43" t="s">
        <v>16</v>
      </c>
      <c r="F2" s="43" t="s">
        <v>17</v>
      </c>
      <c r="G2" s="44" t="s">
        <v>18</v>
      </c>
      <c r="H2" s="44">
        <v>2995</v>
      </c>
      <c r="I2" s="44">
        <f t="shared" ref="I2:I12" si="0">(H2*G2)</f>
        <v>179700</v>
      </c>
      <c r="J2" s="44">
        <v>0</v>
      </c>
      <c r="K2" s="44">
        <f t="shared" ref="K2:K12" si="1">ROUND(I2-((I2*J2)/100),2)</f>
        <v>179700</v>
      </c>
      <c r="L2" s="42"/>
      <c r="M2" s="39" t="s">
        <v>550</v>
      </c>
    </row>
    <row r="3" spans="1:13" s="39" customFormat="1" ht="12.75" customHeight="1" x14ac:dyDescent="0.2">
      <c r="A3" s="44" t="s">
        <v>19</v>
      </c>
      <c r="B3" s="45" t="s">
        <v>20</v>
      </c>
      <c r="C3" s="42" t="s">
        <v>21</v>
      </c>
      <c r="D3" s="43" t="s">
        <v>15</v>
      </c>
      <c r="E3" s="43" t="s">
        <v>16</v>
      </c>
      <c r="F3" s="43" t="s">
        <v>17</v>
      </c>
      <c r="G3" s="44" t="s">
        <v>22</v>
      </c>
      <c r="H3" s="44">
        <v>4767</v>
      </c>
      <c r="I3" s="44">
        <f t="shared" si="0"/>
        <v>572040</v>
      </c>
      <c r="J3" s="44">
        <v>0</v>
      </c>
      <c r="K3" s="44">
        <f t="shared" si="1"/>
        <v>572040</v>
      </c>
      <c r="L3" s="42"/>
    </row>
    <row r="4" spans="1:13" s="39" customFormat="1" ht="12.75" customHeight="1" x14ac:dyDescent="0.2">
      <c r="A4" s="44" t="s">
        <v>23</v>
      </c>
      <c r="B4" s="45" t="s">
        <v>24</v>
      </c>
      <c r="C4" s="42" t="s">
        <v>25</v>
      </c>
      <c r="D4" s="43" t="s">
        <v>15</v>
      </c>
      <c r="E4" s="43" t="s">
        <v>16</v>
      </c>
      <c r="F4" s="43" t="s">
        <v>17</v>
      </c>
      <c r="G4" s="44" t="s">
        <v>26</v>
      </c>
      <c r="H4" s="44">
        <v>725</v>
      </c>
      <c r="I4" s="44">
        <f t="shared" si="0"/>
        <v>696000</v>
      </c>
      <c r="J4" s="44">
        <v>0</v>
      </c>
      <c r="K4" s="44">
        <f t="shared" si="1"/>
        <v>696000</v>
      </c>
      <c r="L4" s="42"/>
    </row>
    <row r="5" spans="1:13" s="39" customFormat="1" ht="12.75" customHeight="1" x14ac:dyDescent="0.2">
      <c r="A5" s="44" t="s">
        <v>27</v>
      </c>
      <c r="B5" s="45" t="s">
        <v>28</v>
      </c>
      <c r="C5" s="42" t="s">
        <v>29</v>
      </c>
      <c r="D5" s="43" t="s">
        <v>15</v>
      </c>
      <c r="E5" s="43" t="s">
        <v>16</v>
      </c>
      <c r="F5" s="43" t="s">
        <v>17</v>
      </c>
      <c r="G5" s="44" t="s">
        <v>18</v>
      </c>
      <c r="H5" s="44">
        <v>1499</v>
      </c>
      <c r="I5" s="44">
        <f t="shared" si="0"/>
        <v>89940</v>
      </c>
      <c r="J5" s="44">
        <v>0</v>
      </c>
      <c r="K5" s="44">
        <f t="shared" si="1"/>
        <v>89940</v>
      </c>
      <c r="L5" s="42"/>
    </row>
    <row r="6" spans="1:13" s="39" customFormat="1" ht="12.75" customHeight="1" x14ac:dyDescent="0.2">
      <c r="A6" s="44" t="s">
        <v>30</v>
      </c>
      <c r="B6" s="45" t="s">
        <v>31</v>
      </c>
      <c r="C6" s="42" t="s">
        <v>32</v>
      </c>
      <c r="D6" s="43" t="s">
        <v>15</v>
      </c>
      <c r="E6" s="43" t="s">
        <v>16</v>
      </c>
      <c r="F6" s="43" t="s">
        <v>33</v>
      </c>
      <c r="G6" s="44" t="s">
        <v>22</v>
      </c>
      <c r="H6" s="44">
        <v>0</v>
      </c>
      <c r="I6" s="44">
        <f t="shared" si="0"/>
        <v>0</v>
      </c>
      <c r="J6" s="44">
        <v>0</v>
      </c>
      <c r="K6" s="44">
        <f t="shared" si="1"/>
        <v>0</v>
      </c>
      <c r="L6" s="42"/>
    </row>
    <row r="7" spans="1:13" s="39" customFormat="1" ht="12.75" customHeight="1" x14ac:dyDescent="0.2">
      <c r="A7" s="44" t="s">
        <v>34</v>
      </c>
      <c r="B7" s="45" t="s">
        <v>35</v>
      </c>
      <c r="C7" s="42" t="s">
        <v>36</v>
      </c>
      <c r="D7" s="43" t="s">
        <v>15</v>
      </c>
      <c r="E7" s="43" t="s">
        <v>16</v>
      </c>
      <c r="F7" s="43" t="s">
        <v>33</v>
      </c>
      <c r="G7" s="44" t="s">
        <v>18</v>
      </c>
      <c r="H7" s="44">
        <v>0</v>
      </c>
      <c r="I7" s="44">
        <f t="shared" si="0"/>
        <v>0</v>
      </c>
      <c r="J7" s="44">
        <v>0</v>
      </c>
      <c r="K7" s="44">
        <f t="shared" si="1"/>
        <v>0</v>
      </c>
      <c r="L7" s="42"/>
    </row>
    <row r="8" spans="1:13" s="39" customFormat="1" ht="12.75" customHeight="1" x14ac:dyDescent="0.2">
      <c r="A8" s="44" t="s">
        <v>37</v>
      </c>
      <c r="B8" s="45" t="s">
        <v>38</v>
      </c>
      <c r="C8" s="42" t="s">
        <v>39</v>
      </c>
      <c r="D8" s="43" t="s">
        <v>15</v>
      </c>
      <c r="E8" s="43" t="s">
        <v>16</v>
      </c>
      <c r="F8" s="43" t="s">
        <v>33</v>
      </c>
      <c r="G8" s="44" t="s">
        <v>18</v>
      </c>
      <c r="H8" s="44">
        <v>0</v>
      </c>
      <c r="I8" s="44">
        <f t="shared" si="0"/>
        <v>0</v>
      </c>
      <c r="J8" s="44">
        <v>0</v>
      </c>
      <c r="K8" s="44">
        <f t="shared" si="1"/>
        <v>0</v>
      </c>
      <c r="L8" s="42"/>
    </row>
    <row r="9" spans="1:13" s="39" customFormat="1" ht="12.75" customHeight="1" x14ac:dyDescent="0.2">
      <c r="A9" s="44" t="s">
        <v>40</v>
      </c>
      <c r="B9" s="45" t="s">
        <v>41</v>
      </c>
      <c r="C9" s="42" t="s">
        <v>42</v>
      </c>
      <c r="D9" s="43" t="s">
        <v>15</v>
      </c>
      <c r="E9" s="43" t="s">
        <v>16</v>
      </c>
      <c r="F9" s="43" t="s">
        <v>17</v>
      </c>
      <c r="G9" s="44" t="s">
        <v>18</v>
      </c>
      <c r="H9" s="44">
        <v>0</v>
      </c>
      <c r="I9" s="44">
        <f t="shared" si="0"/>
        <v>0</v>
      </c>
      <c r="J9" s="44">
        <v>0</v>
      </c>
      <c r="K9" s="44">
        <f t="shared" si="1"/>
        <v>0</v>
      </c>
      <c r="L9" s="42"/>
    </row>
    <row r="10" spans="1:13" s="39" customFormat="1" ht="12.75" customHeight="1" x14ac:dyDescent="0.2">
      <c r="A10" s="44" t="s">
        <v>43</v>
      </c>
      <c r="B10" s="45" t="s">
        <v>44</v>
      </c>
      <c r="C10" s="42" t="s">
        <v>45</v>
      </c>
      <c r="D10" s="43" t="s">
        <v>15</v>
      </c>
      <c r="E10" s="43" t="s">
        <v>16</v>
      </c>
      <c r="F10" s="43" t="s">
        <v>17</v>
      </c>
      <c r="G10" s="44" t="s">
        <v>22</v>
      </c>
      <c r="H10" s="44">
        <v>1855.36</v>
      </c>
      <c r="I10" s="44">
        <f t="shared" si="0"/>
        <v>222643.19999999998</v>
      </c>
      <c r="J10" s="44">
        <v>0</v>
      </c>
      <c r="K10" s="44">
        <f t="shared" si="1"/>
        <v>222643.20000000001</v>
      </c>
      <c r="L10" s="42"/>
    </row>
    <row r="11" spans="1:13" s="39" customFormat="1" ht="12.75" customHeight="1" x14ac:dyDescent="0.2">
      <c r="A11" s="44" t="s">
        <v>46</v>
      </c>
      <c r="B11" s="46" t="s">
        <v>47</v>
      </c>
      <c r="C11" s="42" t="s">
        <v>48</v>
      </c>
      <c r="D11" s="43" t="s">
        <v>49</v>
      </c>
      <c r="E11" s="43" t="s">
        <v>15</v>
      </c>
      <c r="F11" s="43" t="s">
        <v>17</v>
      </c>
      <c r="G11" s="44" t="s">
        <v>22</v>
      </c>
      <c r="H11" s="44">
        <v>1345.94</v>
      </c>
      <c r="I11" s="44">
        <f t="shared" si="0"/>
        <v>161512.80000000002</v>
      </c>
      <c r="J11" s="44">
        <v>0</v>
      </c>
      <c r="K11" s="44">
        <f t="shared" si="1"/>
        <v>161512.79999999999</v>
      </c>
      <c r="L11" s="42" t="s">
        <v>50</v>
      </c>
    </row>
    <row r="12" spans="1:13" s="39" customFormat="1" ht="12.75" customHeight="1" x14ac:dyDescent="0.2">
      <c r="A12" s="44" t="s">
        <v>51</v>
      </c>
      <c r="B12" s="45" t="s">
        <v>52</v>
      </c>
      <c r="C12" s="42" t="s">
        <v>53</v>
      </c>
      <c r="D12" s="43" t="s">
        <v>54</v>
      </c>
      <c r="E12" s="43" t="s">
        <v>15</v>
      </c>
      <c r="F12" s="43" t="s">
        <v>17</v>
      </c>
      <c r="G12" s="44" t="s">
        <v>18</v>
      </c>
      <c r="H12" s="44">
        <v>952.2</v>
      </c>
      <c r="I12" s="44">
        <f t="shared" si="0"/>
        <v>57132</v>
      </c>
      <c r="J12" s="44">
        <v>0</v>
      </c>
      <c r="K12" s="44">
        <f t="shared" si="1"/>
        <v>57132</v>
      </c>
      <c r="L12" s="42" t="s">
        <v>50</v>
      </c>
    </row>
    <row r="13" spans="1:13" s="39" customFormat="1" ht="12.75" customHeight="1" x14ac:dyDescent="0.2">
      <c r="A13" s="47" t="s">
        <v>55</v>
      </c>
      <c r="B13" s="47" t="s">
        <v>55</v>
      </c>
      <c r="C13" s="47" t="s">
        <v>55</v>
      </c>
      <c r="D13" s="47" t="s">
        <v>55</v>
      </c>
      <c r="E13" s="47" t="s">
        <v>55</v>
      </c>
      <c r="F13" s="47" t="s">
        <v>55</v>
      </c>
      <c r="G13" s="47" t="s">
        <v>55</v>
      </c>
      <c r="H13" s="47" t="s">
        <v>55</v>
      </c>
      <c r="I13" s="47" t="s">
        <v>55</v>
      </c>
      <c r="J13" s="48" t="s">
        <v>56</v>
      </c>
      <c r="K13" s="48">
        <f>(K2+K3+K4+K5+K6+K7+K8+K9+K10+K11+K12)</f>
        <v>1978968</v>
      </c>
      <c r="L13" s="48" t="s">
        <v>55</v>
      </c>
    </row>
    <row r="14" spans="1:13" s="39" customFormat="1" ht="12.75" customHeight="1" x14ac:dyDescent="0.2">
      <c r="A14" s="40" t="s">
        <v>57</v>
      </c>
      <c r="B14" s="41" t="s">
        <v>13</v>
      </c>
      <c r="C14" s="42" t="s">
        <v>14</v>
      </c>
      <c r="D14" s="43" t="s">
        <v>15</v>
      </c>
      <c r="E14" s="43" t="s">
        <v>16</v>
      </c>
      <c r="F14" s="43" t="s">
        <v>17</v>
      </c>
      <c r="G14" s="44" t="s">
        <v>58</v>
      </c>
      <c r="H14" s="44">
        <v>2995</v>
      </c>
      <c r="I14" s="44">
        <f t="shared" ref="I14:I22" si="2">(H14*G14)</f>
        <v>239600</v>
      </c>
      <c r="J14" s="44">
        <v>0</v>
      </c>
      <c r="K14" s="44">
        <f t="shared" ref="K14:K22" si="3">ROUND(I14-((I14*J14)/100),2)</f>
        <v>239600</v>
      </c>
      <c r="L14" s="42"/>
    </row>
    <row r="15" spans="1:13" s="39" customFormat="1" ht="12.75" customHeight="1" x14ac:dyDescent="0.2">
      <c r="A15" s="44" t="s">
        <v>59</v>
      </c>
      <c r="B15" s="45" t="s">
        <v>20</v>
      </c>
      <c r="C15" s="42" t="s">
        <v>21</v>
      </c>
      <c r="D15" s="43" t="s">
        <v>15</v>
      </c>
      <c r="E15" s="43" t="s">
        <v>16</v>
      </c>
      <c r="F15" s="43" t="s">
        <v>17</v>
      </c>
      <c r="G15" s="44" t="s">
        <v>60</v>
      </c>
      <c r="H15" s="44">
        <v>4767</v>
      </c>
      <c r="I15" s="44">
        <f t="shared" si="2"/>
        <v>762720</v>
      </c>
      <c r="J15" s="44">
        <v>0</v>
      </c>
      <c r="K15" s="44">
        <f t="shared" si="3"/>
        <v>762720</v>
      </c>
      <c r="L15" s="42"/>
    </row>
    <row r="16" spans="1:13" s="39" customFormat="1" ht="12.75" customHeight="1" x14ac:dyDescent="0.2">
      <c r="A16" s="44" t="s">
        <v>61</v>
      </c>
      <c r="B16" s="45" t="s">
        <v>24</v>
      </c>
      <c r="C16" s="42" t="s">
        <v>25</v>
      </c>
      <c r="D16" s="43" t="s">
        <v>15</v>
      </c>
      <c r="E16" s="43" t="s">
        <v>16</v>
      </c>
      <c r="F16" s="43" t="s">
        <v>17</v>
      </c>
      <c r="G16" s="44" t="s">
        <v>62</v>
      </c>
      <c r="H16" s="44">
        <v>725</v>
      </c>
      <c r="I16" s="44">
        <f t="shared" si="2"/>
        <v>464000</v>
      </c>
      <c r="J16" s="44">
        <v>0</v>
      </c>
      <c r="K16" s="44">
        <f t="shared" si="3"/>
        <v>464000</v>
      </c>
      <c r="L16" s="42"/>
    </row>
    <row r="17" spans="1:13" s="39" customFormat="1" ht="12.75" customHeight="1" x14ac:dyDescent="0.2">
      <c r="A17" s="44" t="s">
        <v>63</v>
      </c>
      <c r="B17" s="45" t="s">
        <v>28</v>
      </c>
      <c r="C17" s="42" t="s">
        <v>29</v>
      </c>
      <c r="D17" s="43" t="s">
        <v>15</v>
      </c>
      <c r="E17" s="43" t="s">
        <v>16</v>
      </c>
      <c r="F17" s="43" t="s">
        <v>17</v>
      </c>
      <c r="G17" s="44" t="s">
        <v>58</v>
      </c>
      <c r="H17" s="44">
        <v>1499</v>
      </c>
      <c r="I17" s="44">
        <f t="shared" si="2"/>
        <v>119920</v>
      </c>
      <c r="J17" s="44">
        <v>0</v>
      </c>
      <c r="K17" s="44">
        <f t="shared" si="3"/>
        <v>119920</v>
      </c>
      <c r="L17" s="42"/>
    </row>
    <row r="18" spans="1:13" s="39" customFormat="1" ht="12.75" customHeight="1" x14ac:dyDescent="0.2">
      <c r="A18" s="44" t="s">
        <v>64</v>
      </c>
      <c r="B18" s="45" t="s">
        <v>31</v>
      </c>
      <c r="C18" s="42" t="s">
        <v>32</v>
      </c>
      <c r="D18" s="43" t="s">
        <v>15</v>
      </c>
      <c r="E18" s="43" t="s">
        <v>16</v>
      </c>
      <c r="F18" s="43" t="s">
        <v>33</v>
      </c>
      <c r="G18" s="44" t="s">
        <v>60</v>
      </c>
      <c r="H18" s="44">
        <v>0</v>
      </c>
      <c r="I18" s="44">
        <f t="shared" si="2"/>
        <v>0</v>
      </c>
      <c r="J18" s="44">
        <v>0</v>
      </c>
      <c r="K18" s="44">
        <f t="shared" si="3"/>
        <v>0</v>
      </c>
      <c r="L18" s="42"/>
    </row>
    <row r="19" spans="1:13" s="39" customFormat="1" ht="12.75" customHeight="1" x14ac:dyDescent="0.2">
      <c r="A19" s="44" t="s">
        <v>65</v>
      </c>
      <c r="B19" s="45" t="s">
        <v>35</v>
      </c>
      <c r="C19" s="42" t="s">
        <v>36</v>
      </c>
      <c r="D19" s="43" t="s">
        <v>15</v>
      </c>
      <c r="E19" s="43" t="s">
        <v>16</v>
      </c>
      <c r="F19" s="43" t="s">
        <v>33</v>
      </c>
      <c r="G19" s="44" t="s">
        <v>58</v>
      </c>
      <c r="H19" s="44">
        <v>0</v>
      </c>
      <c r="I19" s="44">
        <f t="shared" si="2"/>
        <v>0</v>
      </c>
      <c r="J19" s="44">
        <v>0</v>
      </c>
      <c r="K19" s="44">
        <f t="shared" si="3"/>
        <v>0</v>
      </c>
      <c r="L19" s="42"/>
    </row>
    <row r="20" spans="1:13" s="39" customFormat="1" ht="12.75" customHeight="1" x14ac:dyDescent="0.2">
      <c r="A20" s="44" t="s">
        <v>66</v>
      </c>
      <c r="B20" s="45" t="s">
        <v>38</v>
      </c>
      <c r="C20" s="42" t="s">
        <v>39</v>
      </c>
      <c r="D20" s="43" t="s">
        <v>15</v>
      </c>
      <c r="E20" s="43" t="s">
        <v>16</v>
      </c>
      <c r="F20" s="43" t="s">
        <v>33</v>
      </c>
      <c r="G20" s="44" t="s">
        <v>58</v>
      </c>
      <c r="H20" s="44">
        <v>0</v>
      </c>
      <c r="I20" s="44">
        <f t="shared" si="2"/>
        <v>0</v>
      </c>
      <c r="J20" s="44">
        <v>0</v>
      </c>
      <c r="K20" s="44">
        <f t="shared" si="3"/>
        <v>0</v>
      </c>
      <c r="L20" s="42"/>
    </row>
    <row r="21" spans="1:13" s="39" customFormat="1" ht="12.75" customHeight="1" x14ac:dyDescent="0.2">
      <c r="A21" s="44" t="s">
        <v>67</v>
      </c>
      <c r="B21" s="45" t="s">
        <v>41</v>
      </c>
      <c r="C21" s="42" t="s">
        <v>42</v>
      </c>
      <c r="D21" s="43" t="s">
        <v>15</v>
      </c>
      <c r="E21" s="43" t="s">
        <v>16</v>
      </c>
      <c r="F21" s="43" t="s">
        <v>17</v>
      </c>
      <c r="G21" s="44" t="s">
        <v>58</v>
      </c>
      <c r="H21" s="44">
        <v>0</v>
      </c>
      <c r="I21" s="44">
        <f t="shared" si="2"/>
        <v>0</v>
      </c>
      <c r="J21" s="44">
        <v>0</v>
      </c>
      <c r="K21" s="44">
        <f t="shared" si="3"/>
        <v>0</v>
      </c>
      <c r="L21" s="42"/>
    </row>
    <row r="22" spans="1:13" s="39" customFormat="1" ht="12.75" customHeight="1" x14ac:dyDescent="0.2">
      <c r="A22" s="44" t="s">
        <v>68</v>
      </c>
      <c r="B22" s="45" t="s">
        <v>52</v>
      </c>
      <c r="C22" s="42" t="s">
        <v>53</v>
      </c>
      <c r="D22" s="43" t="s">
        <v>54</v>
      </c>
      <c r="E22" s="43" t="s">
        <v>15</v>
      </c>
      <c r="F22" s="43" t="s">
        <v>17</v>
      </c>
      <c r="G22" s="44" t="s">
        <v>58</v>
      </c>
      <c r="H22" s="44">
        <v>952.2</v>
      </c>
      <c r="I22" s="44">
        <f t="shared" si="2"/>
        <v>76176</v>
      </c>
      <c r="J22" s="44">
        <v>0</v>
      </c>
      <c r="K22" s="44">
        <f t="shared" si="3"/>
        <v>76176</v>
      </c>
      <c r="L22" s="42" t="s">
        <v>50</v>
      </c>
    </row>
    <row r="23" spans="1:13" s="39" customFormat="1" ht="12.75" customHeight="1" x14ac:dyDescent="0.2">
      <c r="A23" s="47" t="s">
        <v>55</v>
      </c>
      <c r="B23" s="47" t="s">
        <v>55</v>
      </c>
      <c r="C23" s="47" t="s">
        <v>55</v>
      </c>
      <c r="D23" s="47" t="s">
        <v>55</v>
      </c>
      <c r="E23" s="47" t="s">
        <v>55</v>
      </c>
      <c r="F23" s="47" t="s">
        <v>55</v>
      </c>
      <c r="G23" s="47" t="s">
        <v>55</v>
      </c>
      <c r="H23" s="47" t="s">
        <v>55</v>
      </c>
      <c r="I23" s="47" t="s">
        <v>55</v>
      </c>
      <c r="J23" s="48" t="s">
        <v>56</v>
      </c>
      <c r="K23" s="48">
        <f>(K14+K15+K16+K17+K18+K19+K20+K21+K22)</f>
        <v>1662416</v>
      </c>
      <c r="L23" s="48" t="s">
        <v>55</v>
      </c>
    </row>
    <row r="24" spans="1:13" s="39" customFormat="1" ht="12.75" customHeight="1" x14ac:dyDescent="0.2">
      <c r="A24" s="40" t="s">
        <v>69</v>
      </c>
      <c r="B24" s="41" t="s">
        <v>70</v>
      </c>
      <c r="C24" s="42" t="s">
        <v>71</v>
      </c>
      <c r="D24" s="43" t="s">
        <v>15</v>
      </c>
      <c r="E24" s="43" t="s">
        <v>16</v>
      </c>
      <c r="F24" s="43" t="s">
        <v>17</v>
      </c>
      <c r="G24" s="44" t="s">
        <v>72</v>
      </c>
      <c r="H24" s="44">
        <v>5999</v>
      </c>
      <c r="I24" s="44">
        <f t="shared" ref="I24:I35" si="4">(H24*G24)</f>
        <v>107982</v>
      </c>
      <c r="J24" s="44">
        <v>0</v>
      </c>
      <c r="K24" s="44">
        <f t="shared" ref="K24:K35" si="5">ROUND(I24-((I24*J24)/100),2)</f>
        <v>107982</v>
      </c>
      <c r="L24" s="42"/>
      <c r="M24" s="39" t="s">
        <v>551</v>
      </c>
    </row>
    <row r="25" spans="1:13" s="39" customFormat="1" ht="12.75" customHeight="1" x14ac:dyDescent="0.2">
      <c r="A25" s="44" t="s">
        <v>73</v>
      </c>
      <c r="B25" s="45" t="s">
        <v>74</v>
      </c>
      <c r="C25" s="42" t="s">
        <v>75</v>
      </c>
      <c r="D25" s="43" t="s">
        <v>15</v>
      </c>
      <c r="E25" s="43" t="s">
        <v>16</v>
      </c>
      <c r="F25" s="43" t="s">
        <v>33</v>
      </c>
      <c r="G25" s="44" t="s">
        <v>72</v>
      </c>
      <c r="H25" s="44">
        <v>0</v>
      </c>
      <c r="I25" s="44">
        <f t="shared" si="4"/>
        <v>0</v>
      </c>
      <c r="J25" s="44">
        <v>0</v>
      </c>
      <c r="K25" s="44">
        <f t="shared" si="5"/>
        <v>0</v>
      </c>
      <c r="L25" s="42"/>
    </row>
    <row r="26" spans="1:13" s="39" customFormat="1" ht="12.75" customHeight="1" x14ac:dyDescent="0.2">
      <c r="A26" s="44" t="s">
        <v>76</v>
      </c>
      <c r="B26" s="45" t="s">
        <v>77</v>
      </c>
      <c r="C26" s="42" t="s">
        <v>78</v>
      </c>
      <c r="D26" s="43" t="s">
        <v>15</v>
      </c>
      <c r="E26" s="43" t="s">
        <v>16</v>
      </c>
      <c r="F26" s="43" t="s">
        <v>33</v>
      </c>
      <c r="G26" s="44" t="s">
        <v>72</v>
      </c>
      <c r="H26" s="44">
        <v>0</v>
      </c>
      <c r="I26" s="44">
        <f t="shared" si="4"/>
        <v>0</v>
      </c>
      <c r="J26" s="44">
        <v>0</v>
      </c>
      <c r="K26" s="44">
        <f t="shared" si="5"/>
        <v>0</v>
      </c>
      <c r="L26" s="42"/>
    </row>
    <row r="27" spans="1:13" s="39" customFormat="1" ht="12.75" customHeight="1" x14ac:dyDescent="0.2">
      <c r="A27" s="44" t="s">
        <v>79</v>
      </c>
      <c r="B27" s="45" t="s">
        <v>80</v>
      </c>
      <c r="C27" s="42" t="s">
        <v>81</v>
      </c>
      <c r="D27" s="43" t="s">
        <v>15</v>
      </c>
      <c r="E27" s="43" t="s">
        <v>16</v>
      </c>
      <c r="F27" s="43" t="s">
        <v>33</v>
      </c>
      <c r="G27" s="44" t="s">
        <v>72</v>
      </c>
      <c r="H27" s="44">
        <v>0</v>
      </c>
      <c r="I27" s="44">
        <f t="shared" si="4"/>
        <v>0</v>
      </c>
      <c r="J27" s="44">
        <v>0</v>
      </c>
      <c r="K27" s="44">
        <f t="shared" si="5"/>
        <v>0</v>
      </c>
      <c r="L27" s="42"/>
    </row>
    <row r="28" spans="1:13" s="39" customFormat="1" ht="12.75" customHeight="1" x14ac:dyDescent="0.2">
      <c r="A28" s="44" t="s">
        <v>82</v>
      </c>
      <c r="B28" s="45" t="s">
        <v>83</v>
      </c>
      <c r="C28" s="42" t="s">
        <v>84</v>
      </c>
      <c r="D28" s="43" t="s">
        <v>15</v>
      </c>
      <c r="E28" s="43" t="s">
        <v>16</v>
      </c>
      <c r="F28" s="43" t="s">
        <v>33</v>
      </c>
      <c r="G28" s="44" t="s">
        <v>85</v>
      </c>
      <c r="H28" s="44">
        <v>0</v>
      </c>
      <c r="I28" s="44">
        <f t="shared" si="4"/>
        <v>0</v>
      </c>
      <c r="J28" s="44">
        <v>0</v>
      </c>
      <c r="K28" s="44">
        <f t="shared" si="5"/>
        <v>0</v>
      </c>
      <c r="L28" s="42"/>
    </row>
    <row r="29" spans="1:13" s="39" customFormat="1" ht="12.75" customHeight="1" x14ac:dyDescent="0.2">
      <c r="A29" s="44" t="s">
        <v>86</v>
      </c>
      <c r="B29" s="45" t="s">
        <v>87</v>
      </c>
      <c r="C29" s="42" t="s">
        <v>88</v>
      </c>
      <c r="D29" s="43" t="s">
        <v>15</v>
      </c>
      <c r="E29" s="43" t="s">
        <v>16</v>
      </c>
      <c r="F29" s="43" t="s">
        <v>33</v>
      </c>
      <c r="G29" s="44" t="s">
        <v>85</v>
      </c>
      <c r="H29" s="44">
        <v>0</v>
      </c>
      <c r="I29" s="44">
        <f t="shared" si="4"/>
        <v>0</v>
      </c>
      <c r="J29" s="44">
        <v>0</v>
      </c>
      <c r="K29" s="44">
        <f t="shared" si="5"/>
        <v>0</v>
      </c>
      <c r="L29" s="42"/>
    </row>
    <row r="30" spans="1:13" s="39" customFormat="1" ht="12.75" customHeight="1" x14ac:dyDescent="0.2">
      <c r="A30" s="44" t="s">
        <v>89</v>
      </c>
      <c r="B30" s="45" t="s">
        <v>90</v>
      </c>
      <c r="C30" s="42" t="s">
        <v>91</v>
      </c>
      <c r="D30" s="43" t="s">
        <v>15</v>
      </c>
      <c r="E30" s="43" t="s">
        <v>16</v>
      </c>
      <c r="F30" s="43" t="s">
        <v>17</v>
      </c>
      <c r="G30" s="44" t="s">
        <v>92</v>
      </c>
      <c r="H30" s="44">
        <v>936</v>
      </c>
      <c r="I30" s="44">
        <f t="shared" si="4"/>
        <v>67392</v>
      </c>
      <c r="J30" s="44">
        <v>0</v>
      </c>
      <c r="K30" s="44">
        <f t="shared" si="5"/>
        <v>67392</v>
      </c>
      <c r="L30" s="42"/>
    </row>
    <row r="31" spans="1:13" s="39" customFormat="1" ht="12.75" customHeight="1" x14ac:dyDescent="0.2">
      <c r="A31" s="44" t="s">
        <v>93</v>
      </c>
      <c r="B31" s="45" t="s">
        <v>94</v>
      </c>
      <c r="C31" s="42" t="s">
        <v>95</v>
      </c>
      <c r="D31" s="43" t="s">
        <v>15</v>
      </c>
      <c r="E31" s="43" t="s">
        <v>96</v>
      </c>
      <c r="F31" s="43" t="s">
        <v>17</v>
      </c>
      <c r="G31" s="44" t="s">
        <v>92</v>
      </c>
      <c r="H31" s="44">
        <v>0</v>
      </c>
      <c r="I31" s="44">
        <f t="shared" si="4"/>
        <v>0</v>
      </c>
      <c r="J31" s="44">
        <v>0</v>
      </c>
      <c r="K31" s="44">
        <f t="shared" si="5"/>
        <v>0</v>
      </c>
      <c r="L31" s="42"/>
    </row>
    <row r="32" spans="1:13" s="39" customFormat="1" ht="12.75" customHeight="1" x14ac:dyDescent="0.2">
      <c r="A32" s="44" t="s">
        <v>97</v>
      </c>
      <c r="B32" s="45" t="s">
        <v>98</v>
      </c>
      <c r="C32" s="42" t="s">
        <v>99</v>
      </c>
      <c r="D32" s="43" t="s">
        <v>15</v>
      </c>
      <c r="E32" s="43" t="s">
        <v>16</v>
      </c>
      <c r="F32" s="43" t="s">
        <v>17</v>
      </c>
      <c r="G32" s="44" t="s">
        <v>72</v>
      </c>
      <c r="H32" s="44">
        <v>0</v>
      </c>
      <c r="I32" s="44">
        <f t="shared" si="4"/>
        <v>0</v>
      </c>
      <c r="J32" s="44">
        <v>0</v>
      </c>
      <c r="K32" s="44">
        <f t="shared" si="5"/>
        <v>0</v>
      </c>
      <c r="L32" s="42"/>
    </row>
    <row r="33" spans="1:13" s="39" customFormat="1" ht="12.75" customHeight="1" x14ac:dyDescent="0.2">
      <c r="A33" s="44" t="s">
        <v>100</v>
      </c>
      <c r="B33" s="45" t="s">
        <v>101</v>
      </c>
      <c r="C33" s="42" t="s">
        <v>102</v>
      </c>
      <c r="D33" s="43" t="s">
        <v>15</v>
      </c>
      <c r="E33" s="43" t="s">
        <v>16</v>
      </c>
      <c r="F33" s="43" t="s">
        <v>17</v>
      </c>
      <c r="G33" s="44" t="s">
        <v>103</v>
      </c>
      <c r="H33" s="44">
        <v>7800</v>
      </c>
      <c r="I33" s="44">
        <f t="shared" si="4"/>
        <v>280800</v>
      </c>
      <c r="J33" s="44">
        <v>0</v>
      </c>
      <c r="K33" s="44">
        <f t="shared" si="5"/>
        <v>280800</v>
      </c>
      <c r="L33" s="42"/>
    </row>
    <row r="34" spans="1:13" s="39" customFormat="1" ht="12.75" customHeight="1" x14ac:dyDescent="0.2">
      <c r="A34" s="44" t="s">
        <v>104</v>
      </c>
      <c r="B34" s="45" t="s">
        <v>105</v>
      </c>
      <c r="C34" s="42" t="s">
        <v>106</v>
      </c>
      <c r="D34" s="43" t="s">
        <v>15</v>
      </c>
      <c r="E34" s="43" t="s">
        <v>107</v>
      </c>
      <c r="F34" s="43" t="s">
        <v>33</v>
      </c>
      <c r="G34" s="44" t="s">
        <v>108</v>
      </c>
      <c r="H34" s="44">
        <v>0</v>
      </c>
      <c r="I34" s="44">
        <f t="shared" si="4"/>
        <v>0</v>
      </c>
      <c r="J34" s="44">
        <v>0</v>
      </c>
      <c r="K34" s="44">
        <f t="shared" si="5"/>
        <v>0</v>
      </c>
      <c r="L34" s="42"/>
    </row>
    <row r="35" spans="1:13" s="39" customFormat="1" ht="12.75" customHeight="1" x14ac:dyDescent="0.2">
      <c r="A35" s="44" t="s">
        <v>109</v>
      </c>
      <c r="B35" s="45" t="s">
        <v>110</v>
      </c>
      <c r="C35" s="42" t="s">
        <v>111</v>
      </c>
      <c r="D35" s="43" t="s">
        <v>54</v>
      </c>
      <c r="E35" s="43" t="s">
        <v>15</v>
      </c>
      <c r="F35" s="43" t="s">
        <v>17</v>
      </c>
      <c r="G35" s="44" t="s">
        <v>72</v>
      </c>
      <c r="H35" s="44">
        <v>296.7</v>
      </c>
      <c r="I35" s="44">
        <f t="shared" si="4"/>
        <v>5340.5999999999995</v>
      </c>
      <c r="J35" s="44">
        <v>0</v>
      </c>
      <c r="K35" s="44">
        <f t="shared" si="5"/>
        <v>5340.6</v>
      </c>
      <c r="L35" s="42" t="s">
        <v>50</v>
      </c>
    </row>
    <row r="36" spans="1:13" s="39" customFormat="1" ht="12.75" customHeight="1" x14ac:dyDescent="0.2">
      <c r="A36" s="47" t="s">
        <v>55</v>
      </c>
      <c r="B36" s="47" t="s">
        <v>55</v>
      </c>
      <c r="C36" s="47" t="s">
        <v>55</v>
      </c>
      <c r="D36" s="47" t="s">
        <v>55</v>
      </c>
      <c r="E36" s="47" t="s">
        <v>55</v>
      </c>
      <c r="F36" s="47" t="s">
        <v>55</v>
      </c>
      <c r="G36" s="47" t="s">
        <v>55</v>
      </c>
      <c r="H36" s="47" t="s">
        <v>55</v>
      </c>
      <c r="I36" s="47" t="s">
        <v>55</v>
      </c>
      <c r="J36" s="48" t="s">
        <v>56</v>
      </c>
      <c r="K36" s="48">
        <f>(K24+K25+K26+K27+K28+K29+K30+K31+K32+K33+K34+K35)</f>
        <v>461514.6</v>
      </c>
      <c r="L36" s="48" t="s">
        <v>55</v>
      </c>
    </row>
    <row r="37" spans="1:13" s="39" customFormat="1" ht="12.75" customHeight="1" x14ac:dyDescent="0.2">
      <c r="A37" s="40" t="s">
        <v>112</v>
      </c>
      <c r="B37" s="41" t="s">
        <v>113</v>
      </c>
      <c r="C37" s="42" t="s">
        <v>114</v>
      </c>
      <c r="D37" s="43" t="s">
        <v>15</v>
      </c>
      <c r="E37" s="43" t="s">
        <v>16</v>
      </c>
      <c r="F37" s="43" t="s">
        <v>17</v>
      </c>
      <c r="G37" s="44" t="s">
        <v>115</v>
      </c>
      <c r="H37" s="44">
        <v>48000</v>
      </c>
      <c r="I37" s="44">
        <f t="shared" ref="I37:I52" si="6">(H37*G37)</f>
        <v>96000</v>
      </c>
      <c r="J37" s="44">
        <v>0</v>
      </c>
      <c r="K37" s="44">
        <f t="shared" ref="K37:K52" si="7">ROUND(I37-((I37*J37)/100),2)</f>
        <v>96000</v>
      </c>
      <c r="L37" s="42"/>
      <c r="M37" s="39" t="s">
        <v>552</v>
      </c>
    </row>
    <row r="38" spans="1:13" s="39" customFormat="1" ht="12.75" customHeight="1" x14ac:dyDescent="0.2">
      <c r="A38" s="44" t="s">
        <v>116</v>
      </c>
      <c r="B38" s="45" t="s">
        <v>117</v>
      </c>
      <c r="C38" s="42" t="s">
        <v>118</v>
      </c>
      <c r="D38" s="43" t="s">
        <v>15</v>
      </c>
      <c r="E38" s="43" t="s">
        <v>16</v>
      </c>
      <c r="F38" s="43" t="s">
        <v>33</v>
      </c>
      <c r="G38" s="44" t="s">
        <v>115</v>
      </c>
      <c r="H38" s="44">
        <v>0</v>
      </c>
      <c r="I38" s="44">
        <f t="shared" si="6"/>
        <v>0</v>
      </c>
      <c r="J38" s="44">
        <v>0</v>
      </c>
      <c r="K38" s="44">
        <f t="shared" si="7"/>
        <v>0</v>
      </c>
      <c r="L38" s="42"/>
    </row>
    <row r="39" spans="1:13" s="39" customFormat="1" ht="12.75" customHeight="1" x14ac:dyDescent="0.2">
      <c r="A39" s="44" t="s">
        <v>119</v>
      </c>
      <c r="B39" s="45" t="s">
        <v>120</v>
      </c>
      <c r="C39" s="42" t="s">
        <v>121</v>
      </c>
      <c r="D39" s="43" t="s">
        <v>15</v>
      </c>
      <c r="E39" s="43" t="s">
        <v>16</v>
      </c>
      <c r="F39" s="43" t="s">
        <v>17</v>
      </c>
      <c r="G39" s="44" t="s">
        <v>122</v>
      </c>
      <c r="H39" s="44">
        <v>2000</v>
      </c>
      <c r="I39" s="44">
        <f t="shared" si="6"/>
        <v>8000</v>
      </c>
      <c r="J39" s="44">
        <v>0</v>
      </c>
      <c r="K39" s="44">
        <f t="shared" si="7"/>
        <v>8000</v>
      </c>
      <c r="L39" s="42"/>
    </row>
    <row r="40" spans="1:13" s="39" customFormat="1" ht="12.75" customHeight="1" x14ac:dyDescent="0.2">
      <c r="A40" s="44" t="s">
        <v>123</v>
      </c>
      <c r="B40" s="45" t="s">
        <v>124</v>
      </c>
      <c r="C40" s="42" t="s">
        <v>125</v>
      </c>
      <c r="D40" s="43" t="s">
        <v>15</v>
      </c>
      <c r="E40" s="43" t="s">
        <v>16</v>
      </c>
      <c r="F40" s="43" t="s">
        <v>17</v>
      </c>
      <c r="G40" s="44" t="s">
        <v>115</v>
      </c>
      <c r="H40" s="44">
        <v>16000</v>
      </c>
      <c r="I40" s="44">
        <f t="shared" si="6"/>
        <v>32000</v>
      </c>
      <c r="J40" s="44">
        <v>0</v>
      </c>
      <c r="K40" s="44">
        <f t="shared" si="7"/>
        <v>32000</v>
      </c>
      <c r="L40" s="42"/>
    </row>
    <row r="41" spans="1:13" s="39" customFormat="1" ht="12.75" customHeight="1" x14ac:dyDescent="0.2">
      <c r="A41" s="44" t="s">
        <v>126</v>
      </c>
      <c r="B41" s="46" t="s">
        <v>127</v>
      </c>
      <c r="C41" s="42" t="s">
        <v>128</v>
      </c>
      <c r="D41" s="43" t="s">
        <v>54</v>
      </c>
      <c r="E41" s="43" t="s">
        <v>15</v>
      </c>
      <c r="F41" s="43" t="s">
        <v>17</v>
      </c>
      <c r="G41" s="44" t="s">
        <v>115</v>
      </c>
      <c r="H41" s="44">
        <v>1000.5</v>
      </c>
      <c r="I41" s="44">
        <f t="shared" si="6"/>
        <v>2001</v>
      </c>
      <c r="J41" s="44">
        <v>0</v>
      </c>
      <c r="K41" s="44">
        <f t="shared" si="7"/>
        <v>2001</v>
      </c>
      <c r="L41" s="42" t="s">
        <v>50</v>
      </c>
    </row>
    <row r="42" spans="1:13" s="39" customFormat="1" ht="12.75" customHeight="1" x14ac:dyDescent="0.2">
      <c r="A42" s="44" t="s">
        <v>129</v>
      </c>
      <c r="B42" s="45" t="s">
        <v>130</v>
      </c>
      <c r="C42" s="42" t="s">
        <v>131</v>
      </c>
      <c r="D42" s="43" t="s">
        <v>15</v>
      </c>
      <c r="E42" s="43" t="s">
        <v>16</v>
      </c>
      <c r="F42" s="43" t="s">
        <v>17</v>
      </c>
      <c r="G42" s="44" t="s">
        <v>115</v>
      </c>
      <c r="H42" s="44">
        <v>0</v>
      </c>
      <c r="I42" s="44">
        <f t="shared" si="6"/>
        <v>0</v>
      </c>
      <c r="J42" s="44">
        <v>0</v>
      </c>
      <c r="K42" s="44">
        <f t="shared" si="7"/>
        <v>0</v>
      </c>
      <c r="L42" s="42"/>
    </row>
    <row r="43" spans="1:13" s="39" customFormat="1" ht="12.75" customHeight="1" x14ac:dyDescent="0.2">
      <c r="A43" s="44" t="s">
        <v>132</v>
      </c>
      <c r="B43" s="45" t="s">
        <v>133</v>
      </c>
      <c r="C43" s="42" t="s">
        <v>134</v>
      </c>
      <c r="D43" s="43" t="s">
        <v>15</v>
      </c>
      <c r="E43" s="43" t="s">
        <v>16</v>
      </c>
      <c r="F43" s="43" t="s">
        <v>33</v>
      </c>
      <c r="G43" s="44" t="s">
        <v>135</v>
      </c>
      <c r="H43" s="44">
        <v>0</v>
      </c>
      <c r="I43" s="44">
        <f t="shared" si="6"/>
        <v>0</v>
      </c>
      <c r="J43" s="44">
        <v>0</v>
      </c>
      <c r="K43" s="44">
        <f t="shared" si="7"/>
        <v>0</v>
      </c>
      <c r="L43" s="42"/>
    </row>
    <row r="44" spans="1:13" s="39" customFormat="1" ht="12.75" customHeight="1" x14ac:dyDescent="0.2">
      <c r="A44" s="44" t="s">
        <v>136</v>
      </c>
      <c r="B44" s="45" t="s">
        <v>137</v>
      </c>
      <c r="C44" s="42" t="s">
        <v>138</v>
      </c>
      <c r="D44" s="43" t="s">
        <v>15</v>
      </c>
      <c r="E44" s="43" t="s">
        <v>96</v>
      </c>
      <c r="F44" s="43" t="s">
        <v>17</v>
      </c>
      <c r="G44" s="44" t="s">
        <v>122</v>
      </c>
      <c r="H44" s="44">
        <v>0</v>
      </c>
      <c r="I44" s="44">
        <f t="shared" si="6"/>
        <v>0</v>
      </c>
      <c r="J44" s="44">
        <v>0</v>
      </c>
      <c r="K44" s="44">
        <f t="shared" si="7"/>
        <v>0</v>
      </c>
      <c r="L44" s="42"/>
    </row>
    <row r="45" spans="1:13" s="39" customFormat="1" ht="12.75" customHeight="1" x14ac:dyDescent="0.2">
      <c r="A45" s="44" t="s">
        <v>139</v>
      </c>
      <c r="B45" s="45" t="s">
        <v>124</v>
      </c>
      <c r="C45" s="42" t="s">
        <v>125</v>
      </c>
      <c r="D45" s="43" t="s">
        <v>15</v>
      </c>
      <c r="E45" s="43" t="s">
        <v>16</v>
      </c>
      <c r="F45" s="43" t="s">
        <v>17</v>
      </c>
      <c r="G45" s="44" t="s">
        <v>115</v>
      </c>
      <c r="H45" s="44">
        <v>16000</v>
      </c>
      <c r="I45" s="44">
        <f t="shared" si="6"/>
        <v>32000</v>
      </c>
      <c r="J45" s="44">
        <v>0</v>
      </c>
      <c r="K45" s="44">
        <f t="shared" si="7"/>
        <v>32000</v>
      </c>
      <c r="L45" s="42"/>
    </row>
    <row r="46" spans="1:13" s="39" customFormat="1" ht="12.75" customHeight="1" x14ac:dyDescent="0.2">
      <c r="A46" s="44" t="s">
        <v>140</v>
      </c>
      <c r="B46" s="46" t="s">
        <v>127</v>
      </c>
      <c r="C46" s="42" t="s">
        <v>128</v>
      </c>
      <c r="D46" s="43" t="s">
        <v>54</v>
      </c>
      <c r="E46" s="43" t="s">
        <v>15</v>
      </c>
      <c r="F46" s="43" t="s">
        <v>17</v>
      </c>
      <c r="G46" s="44" t="s">
        <v>115</v>
      </c>
      <c r="H46" s="44">
        <v>1000.5</v>
      </c>
      <c r="I46" s="44">
        <f t="shared" si="6"/>
        <v>2001</v>
      </c>
      <c r="J46" s="44">
        <v>0</v>
      </c>
      <c r="K46" s="44">
        <f t="shared" si="7"/>
        <v>2001</v>
      </c>
      <c r="L46" s="42" t="s">
        <v>50</v>
      </c>
    </row>
    <row r="47" spans="1:13" s="39" customFormat="1" ht="12.75" customHeight="1" x14ac:dyDescent="0.2">
      <c r="A47" s="44" t="s">
        <v>141</v>
      </c>
      <c r="B47" s="45" t="s">
        <v>124</v>
      </c>
      <c r="C47" s="42" t="s">
        <v>125</v>
      </c>
      <c r="D47" s="43" t="s">
        <v>15</v>
      </c>
      <c r="E47" s="43" t="s">
        <v>16</v>
      </c>
      <c r="F47" s="43" t="s">
        <v>17</v>
      </c>
      <c r="G47" s="44" t="s">
        <v>115</v>
      </c>
      <c r="H47" s="44">
        <v>16000</v>
      </c>
      <c r="I47" s="44">
        <f t="shared" si="6"/>
        <v>32000</v>
      </c>
      <c r="J47" s="44">
        <v>0</v>
      </c>
      <c r="K47" s="44">
        <f t="shared" si="7"/>
        <v>32000</v>
      </c>
      <c r="L47" s="42"/>
    </row>
    <row r="48" spans="1:13" s="39" customFormat="1" ht="12.75" customHeight="1" x14ac:dyDescent="0.2">
      <c r="A48" s="44" t="s">
        <v>142</v>
      </c>
      <c r="B48" s="46" t="s">
        <v>127</v>
      </c>
      <c r="C48" s="42" t="s">
        <v>128</v>
      </c>
      <c r="D48" s="43" t="s">
        <v>54</v>
      </c>
      <c r="E48" s="43" t="s">
        <v>15</v>
      </c>
      <c r="F48" s="43" t="s">
        <v>17</v>
      </c>
      <c r="G48" s="44" t="s">
        <v>115</v>
      </c>
      <c r="H48" s="44">
        <v>1000.5</v>
      </c>
      <c r="I48" s="44">
        <f t="shared" si="6"/>
        <v>2001</v>
      </c>
      <c r="J48" s="44">
        <v>0</v>
      </c>
      <c r="K48" s="44">
        <f t="shared" si="7"/>
        <v>2001</v>
      </c>
      <c r="L48" s="42" t="s">
        <v>50</v>
      </c>
    </row>
    <row r="49" spans="1:13" s="39" customFormat="1" ht="12.75" customHeight="1" x14ac:dyDescent="0.2">
      <c r="A49" s="44" t="s">
        <v>143</v>
      </c>
      <c r="B49" s="45" t="s">
        <v>144</v>
      </c>
      <c r="C49" s="42" t="s">
        <v>145</v>
      </c>
      <c r="D49" s="43" t="s">
        <v>15</v>
      </c>
      <c r="E49" s="43" t="s">
        <v>16</v>
      </c>
      <c r="F49" s="43" t="s">
        <v>17</v>
      </c>
      <c r="G49" s="44" t="s">
        <v>146</v>
      </c>
      <c r="H49" s="44">
        <v>2774</v>
      </c>
      <c r="I49" s="44">
        <f t="shared" si="6"/>
        <v>210824</v>
      </c>
      <c r="J49" s="44">
        <v>0</v>
      </c>
      <c r="K49" s="44">
        <f t="shared" si="7"/>
        <v>210824</v>
      </c>
      <c r="L49" s="42"/>
    </row>
    <row r="50" spans="1:13" s="39" customFormat="1" ht="12.75" customHeight="1" x14ac:dyDescent="0.2">
      <c r="A50" s="44" t="s">
        <v>147</v>
      </c>
      <c r="B50" s="45" t="s">
        <v>148</v>
      </c>
      <c r="C50" s="42" t="s">
        <v>149</v>
      </c>
      <c r="D50" s="43" t="s">
        <v>15</v>
      </c>
      <c r="E50" s="43" t="s">
        <v>107</v>
      </c>
      <c r="F50" s="43" t="s">
        <v>17</v>
      </c>
      <c r="G50" s="44" t="s">
        <v>135</v>
      </c>
      <c r="H50" s="44">
        <v>995</v>
      </c>
      <c r="I50" s="44">
        <f t="shared" si="6"/>
        <v>7960</v>
      </c>
      <c r="J50" s="44">
        <v>0</v>
      </c>
      <c r="K50" s="44">
        <f t="shared" si="7"/>
        <v>7960</v>
      </c>
      <c r="L50" s="42"/>
    </row>
    <row r="51" spans="1:13" s="39" customFormat="1" ht="12.75" customHeight="1" x14ac:dyDescent="0.2">
      <c r="A51" s="44" t="s">
        <v>150</v>
      </c>
      <c r="B51" s="45" t="s">
        <v>151</v>
      </c>
      <c r="C51" s="42" t="s">
        <v>152</v>
      </c>
      <c r="D51" s="43" t="s">
        <v>15</v>
      </c>
      <c r="E51" s="43" t="s">
        <v>96</v>
      </c>
      <c r="F51" s="43" t="s">
        <v>17</v>
      </c>
      <c r="G51" s="44" t="s">
        <v>135</v>
      </c>
      <c r="H51" s="44">
        <v>260</v>
      </c>
      <c r="I51" s="44">
        <f t="shared" si="6"/>
        <v>2080</v>
      </c>
      <c r="J51" s="44">
        <v>0</v>
      </c>
      <c r="K51" s="44">
        <f t="shared" si="7"/>
        <v>2080</v>
      </c>
      <c r="L51" s="42"/>
    </row>
    <row r="52" spans="1:13" s="39" customFormat="1" ht="12.75" customHeight="1" x14ac:dyDescent="0.2">
      <c r="A52" s="44" t="s">
        <v>153</v>
      </c>
      <c r="B52" s="45" t="s">
        <v>154</v>
      </c>
      <c r="C52" s="42" t="s">
        <v>155</v>
      </c>
      <c r="D52" s="43" t="s">
        <v>54</v>
      </c>
      <c r="E52" s="43" t="s">
        <v>15</v>
      </c>
      <c r="F52" s="43" t="s">
        <v>17</v>
      </c>
      <c r="G52" s="44" t="s">
        <v>115</v>
      </c>
      <c r="H52" s="44">
        <v>4957.6499999999996</v>
      </c>
      <c r="I52" s="44">
        <f t="shared" si="6"/>
        <v>9915.2999999999993</v>
      </c>
      <c r="J52" s="44">
        <v>0</v>
      </c>
      <c r="K52" s="44">
        <f t="shared" si="7"/>
        <v>9915.2999999999993</v>
      </c>
      <c r="L52" s="42" t="s">
        <v>50</v>
      </c>
    </row>
    <row r="53" spans="1:13" ht="12.75" customHeight="1" x14ac:dyDescent="0.2">
      <c r="A53" s="1" t="s">
        <v>55</v>
      </c>
      <c r="B53" s="1" t="s">
        <v>55</v>
      </c>
      <c r="C53" s="1" t="s">
        <v>55</v>
      </c>
      <c r="D53" s="1" t="s">
        <v>55</v>
      </c>
      <c r="E53" s="1" t="s">
        <v>55</v>
      </c>
      <c r="F53" s="1" t="s">
        <v>55</v>
      </c>
      <c r="G53" s="1" t="s">
        <v>55</v>
      </c>
      <c r="H53" s="1" t="s">
        <v>55</v>
      </c>
      <c r="I53" s="1" t="s">
        <v>55</v>
      </c>
      <c r="J53" s="3" t="s">
        <v>56</v>
      </c>
      <c r="K53" s="3">
        <f>(K37+K38+K39+K40+K41+K42+K43+K44+K45+K46+K47+K48+K49+K50+K51+K52)</f>
        <v>436782.3</v>
      </c>
      <c r="L53" s="3" t="s">
        <v>55</v>
      </c>
    </row>
    <row r="54" spans="1:13" s="63" customFormat="1" ht="12.75" customHeight="1" x14ac:dyDescent="0.2">
      <c r="A54" s="64" t="s">
        <v>156</v>
      </c>
      <c r="B54" s="65" t="s">
        <v>157</v>
      </c>
      <c r="C54" s="66" t="s">
        <v>158</v>
      </c>
      <c r="D54" s="67" t="s">
        <v>15</v>
      </c>
      <c r="E54" s="67" t="s">
        <v>107</v>
      </c>
      <c r="F54" s="67" t="s">
        <v>17</v>
      </c>
      <c r="G54" s="68" t="s">
        <v>115</v>
      </c>
      <c r="H54" s="68">
        <v>36000</v>
      </c>
      <c r="I54" s="68">
        <f t="shared" ref="I54:I62" si="8">(H54*G54)</f>
        <v>72000</v>
      </c>
      <c r="J54" s="68">
        <v>0</v>
      </c>
      <c r="K54" s="68">
        <f t="shared" ref="K54:K62" si="9">ROUND(I54-((I54*J54)/100),2)</f>
        <v>72000</v>
      </c>
      <c r="L54" s="66"/>
      <c r="M54" s="63" t="s">
        <v>553</v>
      </c>
    </row>
    <row r="55" spans="1:13" s="63" customFormat="1" ht="12.75" customHeight="1" x14ac:dyDescent="0.2">
      <c r="A55" s="68" t="s">
        <v>159</v>
      </c>
      <c r="B55" s="69" t="s">
        <v>160</v>
      </c>
      <c r="C55" s="66" t="s">
        <v>161</v>
      </c>
      <c r="D55" s="67" t="s">
        <v>15</v>
      </c>
      <c r="E55" s="67" t="s">
        <v>107</v>
      </c>
      <c r="F55" s="67" t="s">
        <v>17</v>
      </c>
      <c r="G55" s="68" t="s">
        <v>115</v>
      </c>
      <c r="H55" s="68">
        <v>0</v>
      </c>
      <c r="I55" s="68">
        <f t="shared" si="8"/>
        <v>0</v>
      </c>
      <c r="J55" s="68">
        <v>0</v>
      </c>
      <c r="K55" s="68">
        <f t="shared" si="9"/>
        <v>0</v>
      </c>
      <c r="L55" s="66"/>
    </row>
    <row r="56" spans="1:13" s="63" customFormat="1" ht="12.75" customHeight="1" x14ac:dyDescent="0.2">
      <c r="A56" s="68" t="s">
        <v>162</v>
      </c>
      <c r="B56" s="69" t="s">
        <v>163</v>
      </c>
      <c r="C56" s="66" t="s">
        <v>164</v>
      </c>
      <c r="D56" s="67" t="s">
        <v>15</v>
      </c>
      <c r="E56" s="67" t="s">
        <v>107</v>
      </c>
      <c r="F56" s="67" t="s">
        <v>33</v>
      </c>
      <c r="G56" s="68" t="s">
        <v>115</v>
      </c>
      <c r="H56" s="68">
        <v>0</v>
      </c>
      <c r="I56" s="68">
        <f t="shared" si="8"/>
        <v>0</v>
      </c>
      <c r="J56" s="68">
        <v>0</v>
      </c>
      <c r="K56" s="68">
        <f t="shared" si="9"/>
        <v>0</v>
      </c>
      <c r="L56" s="66"/>
    </row>
    <row r="57" spans="1:13" s="63" customFormat="1" ht="12.75" customHeight="1" x14ac:dyDescent="0.2">
      <c r="A57" s="68" t="s">
        <v>165</v>
      </c>
      <c r="B57" s="69" t="s">
        <v>166</v>
      </c>
      <c r="C57" s="66" t="s">
        <v>167</v>
      </c>
      <c r="D57" s="67" t="s">
        <v>15</v>
      </c>
      <c r="E57" s="67" t="s">
        <v>107</v>
      </c>
      <c r="F57" s="67" t="s">
        <v>17</v>
      </c>
      <c r="G57" s="68" t="s">
        <v>122</v>
      </c>
      <c r="H57" s="68">
        <v>0</v>
      </c>
      <c r="I57" s="68">
        <f t="shared" si="8"/>
        <v>0</v>
      </c>
      <c r="J57" s="68">
        <v>0</v>
      </c>
      <c r="K57" s="68">
        <f t="shared" si="9"/>
        <v>0</v>
      </c>
      <c r="L57" s="66"/>
    </row>
    <row r="58" spans="1:13" s="63" customFormat="1" ht="12.75" customHeight="1" x14ac:dyDescent="0.2">
      <c r="A58" s="68" t="s">
        <v>168</v>
      </c>
      <c r="B58" s="69" t="s">
        <v>137</v>
      </c>
      <c r="C58" s="66" t="s">
        <v>138</v>
      </c>
      <c r="D58" s="67" t="s">
        <v>15</v>
      </c>
      <c r="E58" s="67" t="s">
        <v>96</v>
      </c>
      <c r="F58" s="67" t="s">
        <v>17</v>
      </c>
      <c r="G58" s="68" t="s">
        <v>122</v>
      </c>
      <c r="H58" s="68">
        <v>0</v>
      </c>
      <c r="I58" s="68">
        <f t="shared" si="8"/>
        <v>0</v>
      </c>
      <c r="J58" s="68">
        <v>0</v>
      </c>
      <c r="K58" s="68">
        <f t="shared" si="9"/>
        <v>0</v>
      </c>
      <c r="L58" s="66"/>
    </row>
    <row r="59" spans="1:13" s="63" customFormat="1" ht="12.75" customHeight="1" x14ac:dyDescent="0.2">
      <c r="A59" s="68" t="s">
        <v>169</v>
      </c>
      <c r="B59" s="69" t="s">
        <v>170</v>
      </c>
      <c r="C59" s="66" t="s">
        <v>171</v>
      </c>
      <c r="D59" s="67" t="s">
        <v>15</v>
      </c>
      <c r="E59" s="67" t="s">
        <v>107</v>
      </c>
      <c r="F59" s="67" t="s">
        <v>17</v>
      </c>
      <c r="G59" s="68" t="s">
        <v>122</v>
      </c>
      <c r="H59" s="68">
        <v>0</v>
      </c>
      <c r="I59" s="68">
        <f t="shared" si="8"/>
        <v>0</v>
      </c>
      <c r="J59" s="68">
        <v>0</v>
      </c>
      <c r="K59" s="68">
        <f t="shared" si="9"/>
        <v>0</v>
      </c>
      <c r="L59" s="66"/>
    </row>
    <row r="60" spans="1:13" s="63" customFormat="1" ht="12.75" customHeight="1" x14ac:dyDescent="0.2">
      <c r="A60" s="68" t="s">
        <v>172</v>
      </c>
      <c r="B60" s="69" t="s">
        <v>173</v>
      </c>
      <c r="C60" s="66" t="s">
        <v>174</v>
      </c>
      <c r="D60" s="67" t="s">
        <v>15</v>
      </c>
      <c r="E60" s="67" t="s">
        <v>107</v>
      </c>
      <c r="F60" s="67" t="s">
        <v>33</v>
      </c>
      <c r="G60" s="68" t="s">
        <v>115</v>
      </c>
      <c r="H60" s="68">
        <v>0</v>
      </c>
      <c r="I60" s="68">
        <f t="shared" si="8"/>
        <v>0</v>
      </c>
      <c r="J60" s="68">
        <v>0</v>
      </c>
      <c r="K60" s="68">
        <f t="shared" si="9"/>
        <v>0</v>
      </c>
      <c r="L60" s="66"/>
    </row>
    <row r="61" spans="1:13" s="63" customFormat="1" ht="12.75" customHeight="1" x14ac:dyDescent="0.2">
      <c r="A61" s="68" t="s">
        <v>175</v>
      </c>
      <c r="B61" s="69" t="s">
        <v>176</v>
      </c>
      <c r="C61" s="66" t="s">
        <v>177</v>
      </c>
      <c r="D61" s="67" t="s">
        <v>15</v>
      </c>
      <c r="E61" s="67" t="s">
        <v>107</v>
      </c>
      <c r="F61" s="67" t="s">
        <v>17</v>
      </c>
      <c r="G61" s="68" t="s">
        <v>122</v>
      </c>
      <c r="H61" s="68">
        <v>1095</v>
      </c>
      <c r="I61" s="68">
        <f t="shared" si="8"/>
        <v>4380</v>
      </c>
      <c r="J61" s="68">
        <v>0</v>
      </c>
      <c r="K61" s="68">
        <f t="shared" si="9"/>
        <v>4380</v>
      </c>
      <c r="L61" s="66"/>
    </row>
    <row r="62" spans="1:13" s="63" customFormat="1" ht="12.75" customHeight="1" x14ac:dyDescent="0.2">
      <c r="A62" s="68" t="s">
        <v>178</v>
      </c>
      <c r="B62" s="69" t="s">
        <v>179</v>
      </c>
      <c r="C62" s="66" t="s">
        <v>180</v>
      </c>
      <c r="D62" s="67" t="s">
        <v>54</v>
      </c>
      <c r="E62" s="67" t="s">
        <v>15</v>
      </c>
      <c r="F62" s="67" t="s">
        <v>17</v>
      </c>
      <c r="G62" s="68" t="s">
        <v>115</v>
      </c>
      <c r="H62" s="68">
        <v>5837.4</v>
      </c>
      <c r="I62" s="68">
        <f t="shared" si="8"/>
        <v>11674.8</v>
      </c>
      <c r="J62" s="68">
        <v>0</v>
      </c>
      <c r="K62" s="68">
        <f t="shared" si="9"/>
        <v>11674.8</v>
      </c>
      <c r="L62" s="66" t="s">
        <v>50</v>
      </c>
    </row>
    <row r="63" spans="1:13" s="63" customFormat="1" ht="12.75" customHeight="1" x14ac:dyDescent="0.2">
      <c r="A63" s="70" t="s">
        <v>55</v>
      </c>
      <c r="B63" s="70" t="s">
        <v>55</v>
      </c>
      <c r="C63" s="70" t="s">
        <v>55</v>
      </c>
      <c r="D63" s="70" t="s">
        <v>55</v>
      </c>
      <c r="E63" s="70" t="s">
        <v>55</v>
      </c>
      <c r="F63" s="70" t="s">
        <v>55</v>
      </c>
      <c r="G63" s="70" t="s">
        <v>55</v>
      </c>
      <c r="H63" s="70" t="s">
        <v>55</v>
      </c>
      <c r="I63" s="70" t="s">
        <v>55</v>
      </c>
      <c r="J63" s="71" t="s">
        <v>56</v>
      </c>
      <c r="K63" s="71">
        <f>(K54+K55+K56+K57+K58+K59+K60+K61+K62)</f>
        <v>88054.8</v>
      </c>
      <c r="L63" s="71" t="s">
        <v>55</v>
      </c>
    </row>
    <row r="64" spans="1:13" s="63" customFormat="1" ht="12.75" customHeight="1" x14ac:dyDescent="0.2">
      <c r="A64" s="64" t="s">
        <v>181</v>
      </c>
      <c r="B64" s="65" t="s">
        <v>182</v>
      </c>
      <c r="C64" s="66" t="s">
        <v>183</v>
      </c>
      <c r="D64" s="67" t="s">
        <v>15</v>
      </c>
      <c r="E64" s="67" t="s">
        <v>107</v>
      </c>
      <c r="F64" s="67" t="s">
        <v>17</v>
      </c>
      <c r="G64" s="68" t="s">
        <v>115</v>
      </c>
      <c r="H64" s="68">
        <v>28000</v>
      </c>
      <c r="I64" s="68">
        <f t="shared" ref="I64:I76" si="10">(H64*G64)</f>
        <v>56000</v>
      </c>
      <c r="J64" s="68">
        <v>0</v>
      </c>
      <c r="K64" s="68">
        <f t="shared" ref="K64:K76" si="11">ROUND(I64-((I64*J64)/100),2)</f>
        <v>56000</v>
      </c>
      <c r="L64" s="66"/>
      <c r="M64" s="63" t="s">
        <v>554</v>
      </c>
    </row>
    <row r="65" spans="1:13" s="63" customFormat="1" ht="12.75" customHeight="1" x14ac:dyDescent="0.2">
      <c r="A65" s="68" t="s">
        <v>184</v>
      </c>
      <c r="B65" s="69" t="s">
        <v>185</v>
      </c>
      <c r="C65" s="66" t="s">
        <v>186</v>
      </c>
      <c r="D65" s="67" t="s">
        <v>54</v>
      </c>
      <c r="E65" s="67" t="s">
        <v>15</v>
      </c>
      <c r="F65" s="67" t="s">
        <v>17</v>
      </c>
      <c r="G65" s="68" t="s">
        <v>115</v>
      </c>
      <c r="H65" s="68">
        <v>5319.9</v>
      </c>
      <c r="I65" s="68">
        <f t="shared" si="10"/>
        <v>10639.8</v>
      </c>
      <c r="J65" s="68">
        <v>0</v>
      </c>
      <c r="K65" s="68">
        <f t="shared" si="11"/>
        <v>10639.8</v>
      </c>
      <c r="L65" s="66" t="s">
        <v>50</v>
      </c>
    </row>
    <row r="66" spans="1:13" s="63" customFormat="1" ht="12.75" customHeight="1" x14ac:dyDescent="0.2">
      <c r="A66" s="68" t="s">
        <v>187</v>
      </c>
      <c r="B66" s="69" t="s">
        <v>160</v>
      </c>
      <c r="C66" s="66" t="s">
        <v>161</v>
      </c>
      <c r="D66" s="67" t="s">
        <v>15</v>
      </c>
      <c r="E66" s="67" t="s">
        <v>107</v>
      </c>
      <c r="F66" s="67" t="s">
        <v>17</v>
      </c>
      <c r="G66" s="68" t="s">
        <v>115</v>
      </c>
      <c r="H66" s="68">
        <v>0</v>
      </c>
      <c r="I66" s="68">
        <f t="shared" si="10"/>
        <v>0</v>
      </c>
      <c r="J66" s="68">
        <v>0</v>
      </c>
      <c r="K66" s="68">
        <f t="shared" si="11"/>
        <v>0</v>
      </c>
      <c r="L66" s="66"/>
    </row>
    <row r="67" spans="1:13" s="63" customFormat="1" ht="12.75" customHeight="1" x14ac:dyDescent="0.2">
      <c r="A67" s="68" t="s">
        <v>188</v>
      </c>
      <c r="B67" s="69" t="s">
        <v>163</v>
      </c>
      <c r="C67" s="66" t="s">
        <v>164</v>
      </c>
      <c r="D67" s="67" t="s">
        <v>15</v>
      </c>
      <c r="E67" s="67" t="s">
        <v>107</v>
      </c>
      <c r="F67" s="67" t="s">
        <v>33</v>
      </c>
      <c r="G67" s="68" t="s">
        <v>115</v>
      </c>
      <c r="H67" s="68">
        <v>0</v>
      </c>
      <c r="I67" s="68">
        <f t="shared" si="10"/>
        <v>0</v>
      </c>
      <c r="J67" s="68">
        <v>0</v>
      </c>
      <c r="K67" s="68">
        <f t="shared" si="11"/>
        <v>0</v>
      </c>
      <c r="L67" s="66"/>
    </row>
    <row r="68" spans="1:13" s="63" customFormat="1" ht="12.75" customHeight="1" x14ac:dyDescent="0.2">
      <c r="A68" s="68" t="s">
        <v>189</v>
      </c>
      <c r="B68" s="69" t="s">
        <v>190</v>
      </c>
      <c r="C68" s="66" t="s">
        <v>191</v>
      </c>
      <c r="D68" s="67" t="s">
        <v>15</v>
      </c>
      <c r="E68" s="67" t="s">
        <v>107</v>
      </c>
      <c r="F68" s="67" t="s">
        <v>17</v>
      </c>
      <c r="G68" s="68" t="s">
        <v>192</v>
      </c>
      <c r="H68" s="68">
        <v>0</v>
      </c>
      <c r="I68" s="68">
        <f t="shared" si="10"/>
        <v>0</v>
      </c>
      <c r="J68" s="68">
        <v>0</v>
      </c>
      <c r="K68" s="68">
        <f t="shared" si="11"/>
        <v>0</v>
      </c>
      <c r="L68" s="66"/>
    </row>
    <row r="69" spans="1:13" s="63" customFormat="1" ht="12.75" customHeight="1" x14ac:dyDescent="0.2">
      <c r="A69" s="68" t="s">
        <v>193</v>
      </c>
      <c r="B69" s="69" t="s">
        <v>137</v>
      </c>
      <c r="C69" s="66" t="s">
        <v>138</v>
      </c>
      <c r="D69" s="67" t="s">
        <v>15</v>
      </c>
      <c r="E69" s="67" t="s">
        <v>96</v>
      </c>
      <c r="F69" s="67" t="s">
        <v>17</v>
      </c>
      <c r="G69" s="68" t="s">
        <v>122</v>
      </c>
      <c r="H69" s="68">
        <v>0</v>
      </c>
      <c r="I69" s="68">
        <f t="shared" si="10"/>
        <v>0</v>
      </c>
      <c r="J69" s="68">
        <v>0</v>
      </c>
      <c r="K69" s="68">
        <f t="shared" si="11"/>
        <v>0</v>
      </c>
      <c r="L69" s="66"/>
    </row>
    <row r="70" spans="1:13" s="63" customFormat="1" ht="12.75" customHeight="1" x14ac:dyDescent="0.2">
      <c r="A70" s="68" t="s">
        <v>194</v>
      </c>
      <c r="B70" s="69" t="s">
        <v>195</v>
      </c>
      <c r="C70" s="66" t="s">
        <v>196</v>
      </c>
      <c r="D70" s="67" t="s">
        <v>15</v>
      </c>
      <c r="E70" s="67" t="s">
        <v>107</v>
      </c>
      <c r="F70" s="67" t="s">
        <v>17</v>
      </c>
      <c r="G70" s="68" t="s">
        <v>122</v>
      </c>
      <c r="H70" s="68">
        <v>0</v>
      </c>
      <c r="I70" s="68">
        <f t="shared" si="10"/>
        <v>0</v>
      </c>
      <c r="J70" s="68">
        <v>0</v>
      </c>
      <c r="K70" s="68">
        <f t="shared" si="11"/>
        <v>0</v>
      </c>
      <c r="L70" s="66"/>
    </row>
    <row r="71" spans="1:13" s="63" customFormat="1" ht="12.75" customHeight="1" x14ac:dyDescent="0.2">
      <c r="A71" s="68" t="s">
        <v>197</v>
      </c>
      <c r="B71" s="69" t="s">
        <v>173</v>
      </c>
      <c r="C71" s="66" t="s">
        <v>174</v>
      </c>
      <c r="D71" s="67" t="s">
        <v>15</v>
      </c>
      <c r="E71" s="67" t="s">
        <v>107</v>
      </c>
      <c r="F71" s="67" t="s">
        <v>33</v>
      </c>
      <c r="G71" s="68" t="s">
        <v>115</v>
      </c>
      <c r="H71" s="68">
        <v>0</v>
      </c>
      <c r="I71" s="68">
        <f t="shared" si="10"/>
        <v>0</v>
      </c>
      <c r="J71" s="68">
        <v>0</v>
      </c>
      <c r="K71" s="68">
        <f t="shared" si="11"/>
        <v>0</v>
      </c>
      <c r="L71" s="66"/>
    </row>
    <row r="72" spans="1:13" s="63" customFormat="1" ht="12.75" customHeight="1" x14ac:dyDescent="0.2">
      <c r="A72" s="68" t="s">
        <v>198</v>
      </c>
      <c r="B72" s="69" t="s">
        <v>199</v>
      </c>
      <c r="C72" s="66" t="s">
        <v>200</v>
      </c>
      <c r="D72" s="67" t="s">
        <v>15</v>
      </c>
      <c r="E72" s="67" t="s">
        <v>107</v>
      </c>
      <c r="F72" s="67" t="s">
        <v>17</v>
      </c>
      <c r="G72" s="68" t="s">
        <v>115</v>
      </c>
      <c r="H72" s="68">
        <v>2000</v>
      </c>
      <c r="I72" s="68">
        <f t="shared" si="10"/>
        <v>4000</v>
      </c>
      <c r="J72" s="68">
        <v>0</v>
      </c>
      <c r="K72" s="68">
        <f t="shared" si="11"/>
        <v>4000</v>
      </c>
      <c r="L72" s="66"/>
    </row>
    <row r="73" spans="1:13" s="63" customFormat="1" ht="12.75" customHeight="1" x14ac:dyDescent="0.2">
      <c r="A73" s="68" t="s">
        <v>201</v>
      </c>
      <c r="B73" s="69" t="s">
        <v>176</v>
      </c>
      <c r="C73" s="66" t="s">
        <v>177</v>
      </c>
      <c r="D73" s="67" t="s">
        <v>15</v>
      </c>
      <c r="E73" s="67" t="s">
        <v>107</v>
      </c>
      <c r="F73" s="67" t="s">
        <v>17</v>
      </c>
      <c r="G73" s="68" t="s">
        <v>122</v>
      </c>
      <c r="H73" s="68">
        <v>1095</v>
      </c>
      <c r="I73" s="68">
        <f t="shared" si="10"/>
        <v>4380</v>
      </c>
      <c r="J73" s="68">
        <v>0</v>
      </c>
      <c r="K73" s="68">
        <f t="shared" si="11"/>
        <v>4380</v>
      </c>
      <c r="L73" s="66"/>
    </row>
    <row r="74" spans="1:13" s="63" customFormat="1" ht="12.75" customHeight="1" x14ac:dyDescent="0.2">
      <c r="A74" s="68" t="s">
        <v>202</v>
      </c>
      <c r="B74" s="69" t="s">
        <v>148</v>
      </c>
      <c r="C74" s="66" t="s">
        <v>149</v>
      </c>
      <c r="D74" s="67" t="s">
        <v>15</v>
      </c>
      <c r="E74" s="67" t="s">
        <v>107</v>
      </c>
      <c r="F74" s="67" t="s">
        <v>17</v>
      </c>
      <c r="G74" s="68" t="s">
        <v>203</v>
      </c>
      <c r="H74" s="68">
        <v>995</v>
      </c>
      <c r="I74" s="68">
        <f t="shared" si="10"/>
        <v>27860</v>
      </c>
      <c r="J74" s="68">
        <v>0</v>
      </c>
      <c r="K74" s="68">
        <f t="shared" si="11"/>
        <v>27860</v>
      </c>
      <c r="L74" s="66"/>
    </row>
    <row r="75" spans="1:13" s="63" customFormat="1" ht="12.75" customHeight="1" x14ac:dyDescent="0.2">
      <c r="A75" s="68" t="s">
        <v>204</v>
      </c>
      <c r="B75" s="69" t="s">
        <v>205</v>
      </c>
      <c r="C75" s="66" t="s">
        <v>206</v>
      </c>
      <c r="D75" s="67" t="s">
        <v>15</v>
      </c>
      <c r="E75" s="67" t="s">
        <v>107</v>
      </c>
      <c r="F75" s="67" t="s">
        <v>17</v>
      </c>
      <c r="G75" s="68" t="s">
        <v>115</v>
      </c>
      <c r="H75" s="68">
        <v>0</v>
      </c>
      <c r="I75" s="68">
        <f t="shared" si="10"/>
        <v>0</v>
      </c>
      <c r="J75" s="68">
        <v>0</v>
      </c>
      <c r="K75" s="68">
        <f t="shared" si="11"/>
        <v>0</v>
      </c>
      <c r="L75" s="66"/>
    </row>
    <row r="76" spans="1:13" s="63" customFormat="1" ht="12.75" customHeight="1" x14ac:dyDescent="0.2">
      <c r="A76" s="68" t="s">
        <v>207</v>
      </c>
      <c r="B76" s="69" t="s">
        <v>208</v>
      </c>
      <c r="C76" s="66" t="s">
        <v>209</v>
      </c>
      <c r="D76" s="67" t="s">
        <v>15</v>
      </c>
      <c r="E76" s="67" t="s">
        <v>107</v>
      </c>
      <c r="F76" s="67" t="s">
        <v>17</v>
      </c>
      <c r="G76" s="68" t="s">
        <v>115</v>
      </c>
      <c r="H76" s="68">
        <v>13000</v>
      </c>
      <c r="I76" s="68">
        <f t="shared" si="10"/>
        <v>26000</v>
      </c>
      <c r="J76" s="68">
        <v>0</v>
      </c>
      <c r="K76" s="68">
        <f t="shared" si="11"/>
        <v>26000</v>
      </c>
      <c r="L76" s="66"/>
    </row>
    <row r="77" spans="1:13" s="63" customFormat="1" ht="12.75" customHeight="1" x14ac:dyDescent="0.2">
      <c r="A77" s="70" t="s">
        <v>55</v>
      </c>
      <c r="B77" s="70" t="s">
        <v>55</v>
      </c>
      <c r="C77" s="70" t="s">
        <v>55</v>
      </c>
      <c r="D77" s="70" t="s">
        <v>55</v>
      </c>
      <c r="E77" s="70" t="s">
        <v>55</v>
      </c>
      <c r="F77" s="70" t="s">
        <v>55</v>
      </c>
      <c r="G77" s="70" t="s">
        <v>55</v>
      </c>
      <c r="H77" s="70" t="s">
        <v>55</v>
      </c>
      <c r="I77" s="70" t="s">
        <v>55</v>
      </c>
      <c r="J77" s="71" t="s">
        <v>56</v>
      </c>
      <c r="K77" s="71">
        <f>(K64+K65+K66+K67+K68+K69+K70+K71+K72+K73+K74+K75+K76)</f>
        <v>128879.8</v>
      </c>
      <c r="L77" s="71" t="s">
        <v>55</v>
      </c>
    </row>
    <row r="78" spans="1:13" s="63" customFormat="1" ht="12.75" customHeight="1" x14ac:dyDescent="0.2">
      <c r="A78" s="64" t="s">
        <v>210</v>
      </c>
      <c r="B78" s="65" t="s">
        <v>211</v>
      </c>
      <c r="C78" s="66" t="s">
        <v>212</v>
      </c>
      <c r="D78" s="67" t="s">
        <v>15</v>
      </c>
      <c r="E78" s="67" t="s">
        <v>107</v>
      </c>
      <c r="F78" s="67" t="s">
        <v>17</v>
      </c>
      <c r="G78" s="68" t="s">
        <v>213</v>
      </c>
      <c r="H78" s="68">
        <v>11980</v>
      </c>
      <c r="I78" s="68">
        <f t="shared" ref="I78:I93" si="12">(H78*G78)</f>
        <v>35940</v>
      </c>
      <c r="J78" s="68">
        <v>0</v>
      </c>
      <c r="K78" s="68">
        <f t="shared" ref="K78:K93" si="13">ROUND(I78-((I78*J78)/100),2)</f>
        <v>35940</v>
      </c>
      <c r="L78" s="66"/>
      <c r="M78" s="63" t="s">
        <v>555</v>
      </c>
    </row>
    <row r="79" spans="1:13" s="63" customFormat="1" ht="12.75" customHeight="1" x14ac:dyDescent="0.2">
      <c r="A79" s="68" t="s">
        <v>214</v>
      </c>
      <c r="B79" s="69" t="s">
        <v>215</v>
      </c>
      <c r="C79" s="66" t="s">
        <v>216</v>
      </c>
      <c r="D79" s="67" t="s">
        <v>217</v>
      </c>
      <c r="E79" s="67" t="s">
        <v>15</v>
      </c>
      <c r="F79" s="67" t="s">
        <v>17</v>
      </c>
      <c r="G79" s="68" t="s">
        <v>213</v>
      </c>
      <c r="H79" s="68">
        <v>1935.45</v>
      </c>
      <c r="I79" s="68">
        <f t="shared" si="12"/>
        <v>5806.35</v>
      </c>
      <c r="J79" s="68">
        <v>0</v>
      </c>
      <c r="K79" s="68">
        <f t="shared" si="13"/>
        <v>5806.35</v>
      </c>
      <c r="L79" s="66" t="s">
        <v>50</v>
      </c>
    </row>
    <row r="80" spans="1:13" s="63" customFormat="1" ht="12.75" customHeight="1" x14ac:dyDescent="0.2">
      <c r="A80" s="68" t="s">
        <v>218</v>
      </c>
      <c r="B80" s="69" t="s">
        <v>219</v>
      </c>
      <c r="C80" s="66" t="s">
        <v>220</v>
      </c>
      <c r="D80" s="67" t="s">
        <v>15</v>
      </c>
      <c r="E80" s="67" t="s">
        <v>107</v>
      </c>
      <c r="F80" s="67" t="s">
        <v>33</v>
      </c>
      <c r="G80" s="68" t="s">
        <v>213</v>
      </c>
      <c r="H80" s="68">
        <v>0</v>
      </c>
      <c r="I80" s="68">
        <f t="shared" si="12"/>
        <v>0</v>
      </c>
      <c r="J80" s="68">
        <v>0</v>
      </c>
      <c r="K80" s="68">
        <f t="shared" si="13"/>
        <v>0</v>
      </c>
      <c r="L80" s="66"/>
    </row>
    <row r="81" spans="1:13" s="63" customFormat="1" ht="12.75" customHeight="1" x14ac:dyDescent="0.2">
      <c r="A81" s="68" t="s">
        <v>221</v>
      </c>
      <c r="B81" s="69" t="s">
        <v>222</v>
      </c>
      <c r="C81" s="66" t="s">
        <v>223</v>
      </c>
      <c r="D81" s="67" t="s">
        <v>15</v>
      </c>
      <c r="E81" s="67" t="s">
        <v>107</v>
      </c>
      <c r="F81" s="67" t="s">
        <v>33</v>
      </c>
      <c r="G81" s="68" t="s">
        <v>192</v>
      </c>
      <c r="H81" s="68">
        <v>0</v>
      </c>
      <c r="I81" s="68">
        <f t="shared" si="12"/>
        <v>0</v>
      </c>
      <c r="J81" s="68">
        <v>0</v>
      </c>
      <c r="K81" s="68">
        <f t="shared" si="13"/>
        <v>0</v>
      </c>
      <c r="L81" s="66"/>
    </row>
    <row r="82" spans="1:13" s="63" customFormat="1" ht="12.75" customHeight="1" x14ac:dyDescent="0.2">
      <c r="A82" s="68" t="s">
        <v>224</v>
      </c>
      <c r="B82" s="69" t="s">
        <v>225</v>
      </c>
      <c r="C82" s="66" t="s">
        <v>226</v>
      </c>
      <c r="D82" s="67" t="s">
        <v>15</v>
      </c>
      <c r="E82" s="67" t="s">
        <v>107</v>
      </c>
      <c r="F82" s="67" t="s">
        <v>33</v>
      </c>
      <c r="G82" s="68" t="s">
        <v>192</v>
      </c>
      <c r="H82" s="68">
        <v>0</v>
      </c>
      <c r="I82" s="68">
        <f t="shared" si="12"/>
        <v>0</v>
      </c>
      <c r="J82" s="68">
        <v>0</v>
      </c>
      <c r="K82" s="68">
        <f t="shared" si="13"/>
        <v>0</v>
      </c>
      <c r="L82" s="66"/>
    </row>
    <row r="83" spans="1:13" s="63" customFormat="1" ht="12.75" customHeight="1" x14ac:dyDescent="0.2">
      <c r="A83" s="68" t="s">
        <v>227</v>
      </c>
      <c r="B83" s="69" t="s">
        <v>228</v>
      </c>
      <c r="C83" s="66" t="s">
        <v>229</v>
      </c>
      <c r="D83" s="67" t="s">
        <v>15</v>
      </c>
      <c r="E83" s="67" t="s">
        <v>107</v>
      </c>
      <c r="F83" s="67" t="s">
        <v>33</v>
      </c>
      <c r="G83" s="68" t="s">
        <v>230</v>
      </c>
      <c r="H83" s="68">
        <v>0</v>
      </c>
      <c r="I83" s="68">
        <f t="shared" si="12"/>
        <v>0</v>
      </c>
      <c r="J83" s="68">
        <v>0</v>
      </c>
      <c r="K83" s="68">
        <f t="shared" si="13"/>
        <v>0</v>
      </c>
      <c r="L83" s="66"/>
    </row>
    <row r="84" spans="1:13" s="63" customFormat="1" ht="12.75" customHeight="1" x14ac:dyDescent="0.2">
      <c r="A84" s="68" t="s">
        <v>231</v>
      </c>
      <c r="B84" s="69" t="s">
        <v>232</v>
      </c>
      <c r="C84" s="66" t="s">
        <v>233</v>
      </c>
      <c r="D84" s="67" t="s">
        <v>15</v>
      </c>
      <c r="E84" s="67" t="s">
        <v>107</v>
      </c>
      <c r="F84" s="67" t="s">
        <v>33</v>
      </c>
      <c r="G84" s="68" t="s">
        <v>213</v>
      </c>
      <c r="H84" s="68">
        <v>0</v>
      </c>
      <c r="I84" s="68">
        <f t="shared" si="12"/>
        <v>0</v>
      </c>
      <c r="J84" s="68">
        <v>0</v>
      </c>
      <c r="K84" s="68">
        <f t="shared" si="13"/>
        <v>0</v>
      </c>
      <c r="L84" s="66"/>
    </row>
    <row r="85" spans="1:13" s="63" customFormat="1" ht="12.75" customHeight="1" x14ac:dyDescent="0.2">
      <c r="A85" s="68" t="s">
        <v>234</v>
      </c>
      <c r="B85" s="69" t="s">
        <v>235</v>
      </c>
      <c r="C85" s="66" t="s">
        <v>236</v>
      </c>
      <c r="D85" s="67" t="s">
        <v>15</v>
      </c>
      <c r="E85" s="67" t="s">
        <v>107</v>
      </c>
      <c r="F85" s="67" t="s">
        <v>33</v>
      </c>
      <c r="G85" s="68" t="s">
        <v>213</v>
      </c>
      <c r="H85" s="68">
        <v>0</v>
      </c>
      <c r="I85" s="68">
        <f t="shared" si="12"/>
        <v>0</v>
      </c>
      <c r="J85" s="68">
        <v>0</v>
      </c>
      <c r="K85" s="68">
        <f t="shared" si="13"/>
        <v>0</v>
      </c>
      <c r="L85" s="66"/>
    </row>
    <row r="86" spans="1:13" s="63" customFormat="1" ht="12.75" customHeight="1" x14ac:dyDescent="0.2">
      <c r="A86" s="68" t="s">
        <v>237</v>
      </c>
      <c r="B86" s="69" t="s">
        <v>238</v>
      </c>
      <c r="C86" s="66" t="s">
        <v>239</v>
      </c>
      <c r="D86" s="67" t="s">
        <v>15</v>
      </c>
      <c r="E86" s="67" t="s">
        <v>107</v>
      </c>
      <c r="F86" s="67" t="s">
        <v>33</v>
      </c>
      <c r="G86" s="68" t="s">
        <v>213</v>
      </c>
      <c r="H86" s="68">
        <v>0</v>
      </c>
      <c r="I86" s="68">
        <f t="shared" si="12"/>
        <v>0</v>
      </c>
      <c r="J86" s="68">
        <v>0</v>
      </c>
      <c r="K86" s="68">
        <f t="shared" si="13"/>
        <v>0</v>
      </c>
      <c r="L86" s="66"/>
    </row>
    <row r="87" spans="1:13" s="63" customFormat="1" ht="12.75" customHeight="1" x14ac:dyDescent="0.2">
      <c r="A87" s="68" t="s">
        <v>240</v>
      </c>
      <c r="B87" s="69" t="s">
        <v>241</v>
      </c>
      <c r="C87" s="66" t="s">
        <v>242</v>
      </c>
      <c r="D87" s="67" t="s">
        <v>15</v>
      </c>
      <c r="E87" s="67" t="s">
        <v>107</v>
      </c>
      <c r="F87" s="67" t="s">
        <v>33</v>
      </c>
      <c r="G87" s="68" t="s">
        <v>213</v>
      </c>
      <c r="H87" s="68">
        <v>0</v>
      </c>
      <c r="I87" s="68">
        <f t="shared" si="12"/>
        <v>0</v>
      </c>
      <c r="J87" s="68">
        <v>0</v>
      </c>
      <c r="K87" s="68">
        <f t="shared" si="13"/>
        <v>0</v>
      </c>
      <c r="L87" s="66"/>
    </row>
    <row r="88" spans="1:13" s="63" customFormat="1" ht="12.75" customHeight="1" x14ac:dyDescent="0.2">
      <c r="A88" s="68" t="s">
        <v>243</v>
      </c>
      <c r="B88" s="69" t="s">
        <v>244</v>
      </c>
      <c r="C88" s="66" t="s">
        <v>245</v>
      </c>
      <c r="D88" s="67" t="s">
        <v>15</v>
      </c>
      <c r="E88" s="67" t="s">
        <v>107</v>
      </c>
      <c r="F88" s="67" t="s">
        <v>33</v>
      </c>
      <c r="G88" s="68" t="s">
        <v>213</v>
      </c>
      <c r="H88" s="68">
        <v>0</v>
      </c>
      <c r="I88" s="68">
        <f t="shared" si="12"/>
        <v>0</v>
      </c>
      <c r="J88" s="68">
        <v>0</v>
      </c>
      <c r="K88" s="68">
        <f t="shared" si="13"/>
        <v>0</v>
      </c>
      <c r="L88" s="66"/>
    </row>
    <row r="89" spans="1:13" s="63" customFormat="1" ht="12.75" customHeight="1" x14ac:dyDescent="0.2">
      <c r="A89" s="68" t="s">
        <v>246</v>
      </c>
      <c r="B89" s="69" t="s">
        <v>247</v>
      </c>
      <c r="C89" s="66" t="s">
        <v>248</v>
      </c>
      <c r="D89" s="67" t="s">
        <v>15</v>
      </c>
      <c r="E89" s="67" t="s">
        <v>16</v>
      </c>
      <c r="F89" s="67" t="s">
        <v>33</v>
      </c>
      <c r="G89" s="68" t="s">
        <v>213</v>
      </c>
      <c r="H89" s="68">
        <v>0</v>
      </c>
      <c r="I89" s="68">
        <f t="shared" si="12"/>
        <v>0</v>
      </c>
      <c r="J89" s="68">
        <v>0</v>
      </c>
      <c r="K89" s="68">
        <f t="shared" si="13"/>
        <v>0</v>
      </c>
      <c r="L89" s="66"/>
    </row>
    <row r="90" spans="1:13" s="63" customFormat="1" ht="12.75" customHeight="1" x14ac:dyDescent="0.2">
      <c r="A90" s="68" t="s">
        <v>249</v>
      </c>
      <c r="B90" s="69" t="s">
        <v>232</v>
      </c>
      <c r="C90" s="66" t="s">
        <v>233</v>
      </c>
      <c r="D90" s="67" t="s">
        <v>15</v>
      </c>
      <c r="E90" s="67" t="s">
        <v>107</v>
      </c>
      <c r="F90" s="67" t="s">
        <v>17</v>
      </c>
      <c r="G90" s="68" t="s">
        <v>213</v>
      </c>
      <c r="H90" s="68">
        <v>630</v>
      </c>
      <c r="I90" s="68">
        <f t="shared" si="12"/>
        <v>1890</v>
      </c>
      <c r="J90" s="68">
        <v>0</v>
      </c>
      <c r="K90" s="68">
        <f t="shared" si="13"/>
        <v>1890</v>
      </c>
      <c r="L90" s="66"/>
    </row>
    <row r="91" spans="1:13" s="63" customFormat="1" ht="12.75" customHeight="1" x14ac:dyDescent="0.2">
      <c r="A91" s="68" t="s">
        <v>250</v>
      </c>
      <c r="B91" s="69" t="s">
        <v>251</v>
      </c>
      <c r="C91" s="66" t="s">
        <v>252</v>
      </c>
      <c r="D91" s="67" t="s">
        <v>15</v>
      </c>
      <c r="E91" s="67" t="s">
        <v>107</v>
      </c>
      <c r="F91" s="67" t="s">
        <v>17</v>
      </c>
      <c r="G91" s="68" t="s">
        <v>213</v>
      </c>
      <c r="H91" s="68">
        <v>1594</v>
      </c>
      <c r="I91" s="68">
        <f t="shared" si="12"/>
        <v>4782</v>
      </c>
      <c r="J91" s="68">
        <v>0</v>
      </c>
      <c r="K91" s="68">
        <f t="shared" si="13"/>
        <v>4782</v>
      </c>
      <c r="L91" s="66"/>
    </row>
    <row r="92" spans="1:13" s="63" customFormat="1" ht="12.75" customHeight="1" x14ac:dyDescent="0.2">
      <c r="A92" s="68" t="s">
        <v>253</v>
      </c>
      <c r="B92" s="69" t="s">
        <v>254</v>
      </c>
      <c r="C92" s="66" t="s">
        <v>255</v>
      </c>
      <c r="D92" s="67" t="s">
        <v>15</v>
      </c>
      <c r="E92" s="67" t="s">
        <v>256</v>
      </c>
      <c r="F92" s="67" t="s">
        <v>17</v>
      </c>
      <c r="G92" s="68" t="s">
        <v>192</v>
      </c>
      <c r="H92" s="68">
        <v>0</v>
      </c>
      <c r="I92" s="68">
        <f t="shared" si="12"/>
        <v>0</v>
      </c>
      <c r="J92" s="68">
        <v>0</v>
      </c>
      <c r="K92" s="68">
        <f t="shared" si="13"/>
        <v>0</v>
      </c>
      <c r="L92" s="66"/>
    </row>
    <row r="93" spans="1:13" s="63" customFormat="1" ht="12.75" customHeight="1" x14ac:dyDescent="0.2">
      <c r="A93" s="68" t="s">
        <v>257</v>
      </c>
      <c r="B93" s="69" t="s">
        <v>258</v>
      </c>
      <c r="C93" s="66" t="s">
        <v>259</v>
      </c>
      <c r="D93" s="67" t="s">
        <v>15</v>
      </c>
      <c r="E93" s="67" t="s">
        <v>107</v>
      </c>
      <c r="F93" s="67" t="s">
        <v>17</v>
      </c>
      <c r="G93" s="68" t="s">
        <v>213</v>
      </c>
      <c r="H93" s="68">
        <v>0</v>
      </c>
      <c r="I93" s="68">
        <f t="shared" si="12"/>
        <v>0</v>
      </c>
      <c r="J93" s="68">
        <v>0</v>
      </c>
      <c r="K93" s="68">
        <f t="shared" si="13"/>
        <v>0</v>
      </c>
      <c r="L93" s="66"/>
    </row>
    <row r="94" spans="1:13" ht="12.75" customHeight="1" x14ac:dyDescent="0.2">
      <c r="A94" s="1" t="s">
        <v>55</v>
      </c>
      <c r="B94" s="1" t="s">
        <v>55</v>
      </c>
      <c r="C94" s="1" t="s">
        <v>55</v>
      </c>
      <c r="D94" s="1" t="s">
        <v>55</v>
      </c>
      <c r="E94" s="1" t="s">
        <v>55</v>
      </c>
      <c r="F94" s="1" t="s">
        <v>55</v>
      </c>
      <c r="G94" s="1" t="s">
        <v>55</v>
      </c>
      <c r="H94" s="1" t="s">
        <v>55</v>
      </c>
      <c r="I94" s="1" t="s">
        <v>55</v>
      </c>
      <c r="J94" s="3" t="s">
        <v>56</v>
      </c>
      <c r="K94" s="3">
        <f>(K78+K79+K80+K81+K82+K83+K84+K85+K86+K87+K88+K89+K90+K91+K92+K93)</f>
        <v>48418.35</v>
      </c>
      <c r="L94" s="3" t="s">
        <v>55</v>
      </c>
    </row>
    <row r="95" spans="1:13" s="58" customFormat="1" ht="12.75" customHeight="1" x14ac:dyDescent="0.2">
      <c r="A95" s="82" t="s">
        <v>260</v>
      </c>
      <c r="B95" s="83" t="s">
        <v>261</v>
      </c>
      <c r="C95" s="84" t="s">
        <v>262</v>
      </c>
      <c r="D95" s="85" t="s">
        <v>15</v>
      </c>
      <c r="E95" s="85" t="s">
        <v>96</v>
      </c>
      <c r="F95" s="85" t="s">
        <v>17</v>
      </c>
      <c r="G95" s="86" t="s">
        <v>115</v>
      </c>
      <c r="H95" s="86">
        <v>8820</v>
      </c>
      <c r="I95" s="86">
        <f t="shared" ref="I95:I100" si="14">(H95*G95)</f>
        <v>17640</v>
      </c>
      <c r="J95" s="86">
        <v>0</v>
      </c>
      <c r="K95" s="86">
        <f t="shared" ref="K95:K100" si="15">ROUND(I95-((I95*J95)/100),2)</f>
        <v>17640</v>
      </c>
      <c r="L95" s="84"/>
      <c r="M95" s="58" t="s">
        <v>556</v>
      </c>
    </row>
    <row r="96" spans="1:13" s="58" customFormat="1" ht="12.75" customHeight="1" x14ac:dyDescent="0.2">
      <c r="A96" s="86" t="s">
        <v>263</v>
      </c>
      <c r="B96" s="87" t="s">
        <v>151</v>
      </c>
      <c r="C96" s="84" t="s">
        <v>152</v>
      </c>
      <c r="D96" s="85" t="s">
        <v>15</v>
      </c>
      <c r="E96" s="85" t="s">
        <v>96</v>
      </c>
      <c r="F96" s="85" t="s">
        <v>33</v>
      </c>
      <c r="G96" s="86" t="s">
        <v>264</v>
      </c>
      <c r="H96" s="86">
        <v>0</v>
      </c>
      <c r="I96" s="86">
        <f t="shared" si="14"/>
        <v>0</v>
      </c>
      <c r="J96" s="86">
        <v>0</v>
      </c>
      <c r="K96" s="86">
        <f t="shared" si="15"/>
        <v>0</v>
      </c>
      <c r="L96" s="84"/>
    </row>
    <row r="97" spans="1:13" s="58" customFormat="1" ht="12.75" customHeight="1" x14ac:dyDescent="0.2">
      <c r="A97" s="86" t="s">
        <v>265</v>
      </c>
      <c r="B97" s="87" t="s">
        <v>266</v>
      </c>
      <c r="C97" s="84" t="s">
        <v>267</v>
      </c>
      <c r="D97" s="85" t="s">
        <v>15</v>
      </c>
      <c r="E97" s="85" t="s">
        <v>96</v>
      </c>
      <c r="F97" s="85" t="s">
        <v>33</v>
      </c>
      <c r="G97" s="86" t="s">
        <v>115</v>
      </c>
      <c r="H97" s="86">
        <v>0</v>
      </c>
      <c r="I97" s="86">
        <f t="shared" si="14"/>
        <v>0</v>
      </c>
      <c r="J97" s="86">
        <v>0</v>
      </c>
      <c r="K97" s="86">
        <f t="shared" si="15"/>
        <v>0</v>
      </c>
      <c r="L97" s="84"/>
    </row>
    <row r="98" spans="1:13" s="58" customFormat="1" ht="12.75" customHeight="1" x14ac:dyDescent="0.2">
      <c r="A98" s="86" t="s">
        <v>268</v>
      </c>
      <c r="B98" s="87" t="s">
        <v>269</v>
      </c>
      <c r="C98" s="84" t="s">
        <v>270</v>
      </c>
      <c r="D98" s="85" t="s">
        <v>217</v>
      </c>
      <c r="E98" s="85" t="s">
        <v>15</v>
      </c>
      <c r="F98" s="85" t="s">
        <v>17</v>
      </c>
      <c r="G98" s="86" t="s">
        <v>115</v>
      </c>
      <c r="H98" s="86">
        <v>385.25</v>
      </c>
      <c r="I98" s="86">
        <f t="shared" si="14"/>
        <v>770.5</v>
      </c>
      <c r="J98" s="86">
        <v>0</v>
      </c>
      <c r="K98" s="86">
        <f t="shared" si="15"/>
        <v>770.5</v>
      </c>
      <c r="L98" s="84" t="s">
        <v>50</v>
      </c>
    </row>
    <row r="99" spans="1:13" s="58" customFormat="1" ht="12.75" customHeight="1" x14ac:dyDescent="0.2">
      <c r="A99" s="86" t="s">
        <v>271</v>
      </c>
      <c r="B99" s="87" t="s">
        <v>272</v>
      </c>
      <c r="C99" s="84" t="s">
        <v>273</v>
      </c>
      <c r="D99" s="85" t="s">
        <v>15</v>
      </c>
      <c r="E99" s="85" t="s">
        <v>96</v>
      </c>
      <c r="F99" s="85" t="s">
        <v>17</v>
      </c>
      <c r="G99" s="86" t="s">
        <v>122</v>
      </c>
      <c r="H99" s="86">
        <v>0</v>
      </c>
      <c r="I99" s="86">
        <f t="shared" si="14"/>
        <v>0</v>
      </c>
      <c r="J99" s="86">
        <v>0</v>
      </c>
      <c r="K99" s="86">
        <f t="shared" si="15"/>
        <v>0</v>
      </c>
      <c r="L99" s="84"/>
    </row>
    <row r="100" spans="1:13" s="58" customFormat="1" ht="12.75" customHeight="1" x14ac:dyDescent="0.2">
      <c r="A100" s="86" t="s">
        <v>274</v>
      </c>
      <c r="B100" s="87" t="s">
        <v>275</v>
      </c>
      <c r="C100" s="84" t="s">
        <v>276</v>
      </c>
      <c r="D100" s="85" t="s">
        <v>15</v>
      </c>
      <c r="E100" s="85" t="s">
        <v>96</v>
      </c>
      <c r="F100" s="85" t="s">
        <v>17</v>
      </c>
      <c r="G100" s="86" t="s">
        <v>115</v>
      </c>
      <c r="H100" s="86">
        <v>0</v>
      </c>
      <c r="I100" s="86">
        <f t="shared" si="14"/>
        <v>0</v>
      </c>
      <c r="J100" s="86">
        <v>0</v>
      </c>
      <c r="K100" s="86">
        <f t="shared" si="15"/>
        <v>0</v>
      </c>
      <c r="L100" s="84"/>
    </row>
    <row r="101" spans="1:13" ht="12.75" customHeight="1" x14ac:dyDescent="0.2">
      <c r="A101" s="1" t="s">
        <v>55</v>
      </c>
      <c r="B101" s="1" t="s">
        <v>55</v>
      </c>
      <c r="C101" s="1" t="s">
        <v>55</v>
      </c>
      <c r="D101" s="1" t="s">
        <v>55</v>
      </c>
      <c r="E101" s="1" t="s">
        <v>55</v>
      </c>
      <c r="F101" s="1" t="s">
        <v>55</v>
      </c>
      <c r="G101" s="1" t="s">
        <v>55</v>
      </c>
      <c r="H101" s="1" t="s">
        <v>55</v>
      </c>
      <c r="I101" s="1" t="s">
        <v>55</v>
      </c>
      <c r="J101" s="3" t="s">
        <v>56</v>
      </c>
      <c r="K101" s="3">
        <f>(K95+K96+K97+K98+K99+K100)</f>
        <v>18410.5</v>
      </c>
      <c r="L101" s="3" t="s">
        <v>55</v>
      </c>
    </row>
    <row r="102" spans="1:13" s="93" customFormat="1" ht="12.75" customHeight="1" x14ac:dyDescent="0.2">
      <c r="A102" s="88" t="s">
        <v>277</v>
      </c>
      <c r="B102" s="89" t="s">
        <v>278</v>
      </c>
      <c r="C102" s="90" t="s">
        <v>279</v>
      </c>
      <c r="D102" s="91" t="s">
        <v>15</v>
      </c>
      <c r="E102" s="91" t="s">
        <v>256</v>
      </c>
      <c r="F102" s="91" t="s">
        <v>17</v>
      </c>
      <c r="G102" s="92" t="s">
        <v>115</v>
      </c>
      <c r="H102" s="92">
        <v>33000</v>
      </c>
      <c r="I102" s="92">
        <f t="shared" ref="I102:I120" si="16">(H102*G102)</f>
        <v>66000</v>
      </c>
      <c r="J102" s="92">
        <v>0</v>
      </c>
      <c r="K102" s="92">
        <f t="shared" ref="K102:K120" si="17">ROUND(I102-((I102*J102)/100),2)</f>
        <v>66000</v>
      </c>
      <c r="L102" s="90"/>
      <c r="M102" s="93" t="s">
        <v>557</v>
      </c>
    </row>
    <row r="103" spans="1:13" s="93" customFormat="1" ht="12.75" customHeight="1" x14ac:dyDescent="0.2">
      <c r="A103" s="92" t="s">
        <v>280</v>
      </c>
      <c r="B103" s="94" t="s">
        <v>281</v>
      </c>
      <c r="C103" s="90" t="s">
        <v>282</v>
      </c>
      <c r="D103" s="91" t="s">
        <v>54</v>
      </c>
      <c r="E103" s="91" t="s">
        <v>15</v>
      </c>
      <c r="F103" s="91" t="s">
        <v>17</v>
      </c>
      <c r="G103" s="92" t="s">
        <v>115</v>
      </c>
      <c r="H103" s="92">
        <v>7514.1</v>
      </c>
      <c r="I103" s="92">
        <f t="shared" si="16"/>
        <v>15028.2</v>
      </c>
      <c r="J103" s="92">
        <v>0</v>
      </c>
      <c r="K103" s="92">
        <f t="shared" si="17"/>
        <v>15028.2</v>
      </c>
      <c r="L103" s="90" t="s">
        <v>50</v>
      </c>
    </row>
    <row r="104" spans="1:13" s="93" customFormat="1" ht="12.75" customHeight="1" x14ac:dyDescent="0.2">
      <c r="A104" s="92" t="s">
        <v>283</v>
      </c>
      <c r="B104" s="94" t="s">
        <v>284</v>
      </c>
      <c r="C104" s="90" t="s">
        <v>285</v>
      </c>
      <c r="D104" s="91" t="s">
        <v>15</v>
      </c>
      <c r="E104" s="91" t="s">
        <v>256</v>
      </c>
      <c r="F104" s="91" t="s">
        <v>17</v>
      </c>
      <c r="G104" s="92" t="s">
        <v>115</v>
      </c>
      <c r="H104" s="92">
        <v>0</v>
      </c>
      <c r="I104" s="92">
        <f t="shared" si="16"/>
        <v>0</v>
      </c>
      <c r="J104" s="92">
        <v>0</v>
      </c>
      <c r="K104" s="92">
        <f t="shared" si="17"/>
        <v>0</v>
      </c>
      <c r="L104" s="90"/>
    </row>
    <row r="105" spans="1:13" s="93" customFormat="1" ht="12.75" customHeight="1" x14ac:dyDescent="0.2">
      <c r="A105" s="92" t="s">
        <v>286</v>
      </c>
      <c r="B105" s="94" t="s">
        <v>287</v>
      </c>
      <c r="C105" s="90" t="s">
        <v>288</v>
      </c>
      <c r="D105" s="91" t="s">
        <v>15</v>
      </c>
      <c r="E105" s="91" t="s">
        <v>256</v>
      </c>
      <c r="F105" s="91" t="s">
        <v>17</v>
      </c>
      <c r="G105" s="92" t="s">
        <v>115</v>
      </c>
      <c r="H105" s="92">
        <v>32000</v>
      </c>
      <c r="I105" s="92">
        <f t="shared" si="16"/>
        <v>64000</v>
      </c>
      <c r="J105" s="92">
        <v>0</v>
      </c>
      <c r="K105" s="92">
        <f t="shared" si="17"/>
        <v>64000</v>
      </c>
      <c r="L105" s="90"/>
    </row>
    <row r="106" spans="1:13" s="93" customFormat="1" ht="12.75" customHeight="1" x14ac:dyDescent="0.2">
      <c r="A106" s="92" t="s">
        <v>289</v>
      </c>
      <c r="B106" s="95" t="s">
        <v>290</v>
      </c>
      <c r="C106" s="90" t="s">
        <v>291</v>
      </c>
      <c r="D106" s="91" t="s">
        <v>54</v>
      </c>
      <c r="E106" s="91" t="s">
        <v>15</v>
      </c>
      <c r="F106" s="91" t="s">
        <v>17</v>
      </c>
      <c r="G106" s="92" t="s">
        <v>115</v>
      </c>
      <c r="H106" s="92">
        <v>7286.4</v>
      </c>
      <c r="I106" s="92">
        <f t="shared" si="16"/>
        <v>14572.8</v>
      </c>
      <c r="J106" s="92">
        <v>0</v>
      </c>
      <c r="K106" s="92">
        <f t="shared" si="17"/>
        <v>14572.8</v>
      </c>
      <c r="L106" s="90" t="s">
        <v>50</v>
      </c>
    </row>
    <row r="107" spans="1:13" s="93" customFormat="1" ht="12.75" customHeight="1" x14ac:dyDescent="0.2">
      <c r="A107" s="92" t="s">
        <v>292</v>
      </c>
      <c r="B107" s="94" t="s">
        <v>293</v>
      </c>
      <c r="C107" s="90" t="s">
        <v>294</v>
      </c>
      <c r="D107" s="91" t="s">
        <v>15</v>
      </c>
      <c r="E107" s="91" t="s">
        <v>256</v>
      </c>
      <c r="F107" s="91" t="s">
        <v>17</v>
      </c>
      <c r="G107" s="92" t="s">
        <v>115</v>
      </c>
      <c r="H107" s="92">
        <v>10000</v>
      </c>
      <c r="I107" s="92">
        <f t="shared" si="16"/>
        <v>20000</v>
      </c>
      <c r="J107" s="92">
        <v>0</v>
      </c>
      <c r="K107" s="92">
        <f t="shared" si="17"/>
        <v>20000</v>
      </c>
      <c r="L107" s="90"/>
    </row>
    <row r="108" spans="1:13" s="93" customFormat="1" ht="12.75" customHeight="1" x14ac:dyDescent="0.2">
      <c r="A108" s="92" t="s">
        <v>295</v>
      </c>
      <c r="B108" s="95" t="s">
        <v>296</v>
      </c>
      <c r="C108" s="90" t="s">
        <v>297</v>
      </c>
      <c r="D108" s="91" t="s">
        <v>54</v>
      </c>
      <c r="E108" s="91" t="s">
        <v>15</v>
      </c>
      <c r="F108" s="91" t="s">
        <v>17</v>
      </c>
      <c r="G108" s="92" t="s">
        <v>115</v>
      </c>
      <c r="H108" s="92">
        <v>2277</v>
      </c>
      <c r="I108" s="92">
        <f t="shared" si="16"/>
        <v>4554</v>
      </c>
      <c r="J108" s="92">
        <v>0</v>
      </c>
      <c r="K108" s="92">
        <f t="shared" si="17"/>
        <v>4554</v>
      </c>
      <c r="L108" s="90" t="s">
        <v>50</v>
      </c>
    </row>
    <row r="109" spans="1:13" s="93" customFormat="1" ht="12.75" customHeight="1" x14ac:dyDescent="0.2">
      <c r="A109" s="92" t="s">
        <v>298</v>
      </c>
      <c r="B109" s="94" t="s">
        <v>299</v>
      </c>
      <c r="C109" s="90" t="s">
        <v>300</v>
      </c>
      <c r="D109" s="91" t="s">
        <v>15</v>
      </c>
      <c r="E109" s="91" t="s">
        <v>107</v>
      </c>
      <c r="F109" s="91" t="s">
        <v>17</v>
      </c>
      <c r="G109" s="92" t="s">
        <v>122</v>
      </c>
      <c r="H109" s="92">
        <v>440</v>
      </c>
      <c r="I109" s="92">
        <f t="shared" si="16"/>
        <v>1760</v>
      </c>
      <c r="J109" s="92">
        <v>0</v>
      </c>
      <c r="K109" s="92">
        <f t="shared" si="17"/>
        <v>1760</v>
      </c>
      <c r="L109" s="90"/>
    </row>
    <row r="110" spans="1:13" s="93" customFormat="1" ht="12.75" customHeight="1" x14ac:dyDescent="0.2">
      <c r="A110" s="92" t="s">
        <v>301</v>
      </c>
      <c r="B110" s="94" t="s">
        <v>302</v>
      </c>
      <c r="C110" s="90" t="s">
        <v>303</v>
      </c>
      <c r="D110" s="91" t="s">
        <v>15</v>
      </c>
      <c r="E110" s="91" t="s">
        <v>107</v>
      </c>
      <c r="F110" s="91" t="s">
        <v>17</v>
      </c>
      <c r="G110" s="92" t="s">
        <v>122</v>
      </c>
      <c r="H110" s="92">
        <v>500</v>
      </c>
      <c r="I110" s="92">
        <f t="shared" si="16"/>
        <v>2000</v>
      </c>
      <c r="J110" s="92">
        <v>0</v>
      </c>
      <c r="K110" s="92">
        <f t="shared" si="17"/>
        <v>2000</v>
      </c>
      <c r="L110" s="90"/>
    </row>
    <row r="111" spans="1:13" s="93" customFormat="1" ht="12.75" customHeight="1" x14ac:dyDescent="0.2">
      <c r="A111" s="92" t="s">
        <v>304</v>
      </c>
      <c r="B111" s="94" t="s">
        <v>305</v>
      </c>
      <c r="C111" s="90" t="s">
        <v>306</v>
      </c>
      <c r="D111" s="91" t="s">
        <v>15</v>
      </c>
      <c r="E111" s="91" t="s">
        <v>107</v>
      </c>
      <c r="F111" s="91" t="s">
        <v>17</v>
      </c>
      <c r="G111" s="92" t="s">
        <v>122</v>
      </c>
      <c r="H111" s="92">
        <v>995</v>
      </c>
      <c r="I111" s="92">
        <f t="shared" si="16"/>
        <v>3980</v>
      </c>
      <c r="J111" s="92">
        <v>0</v>
      </c>
      <c r="K111" s="92">
        <f t="shared" si="17"/>
        <v>3980</v>
      </c>
      <c r="L111" s="90"/>
    </row>
    <row r="112" spans="1:13" s="93" customFormat="1" ht="12.75" customHeight="1" x14ac:dyDescent="0.2">
      <c r="A112" s="92" t="s">
        <v>307</v>
      </c>
      <c r="B112" s="94" t="s">
        <v>308</v>
      </c>
      <c r="C112" s="90" t="s">
        <v>309</v>
      </c>
      <c r="D112" s="91" t="s">
        <v>15</v>
      </c>
      <c r="E112" s="91" t="s">
        <v>256</v>
      </c>
      <c r="F112" s="91" t="s">
        <v>17</v>
      </c>
      <c r="G112" s="92" t="s">
        <v>115</v>
      </c>
      <c r="H112" s="92">
        <v>5500</v>
      </c>
      <c r="I112" s="92">
        <f t="shared" si="16"/>
        <v>11000</v>
      </c>
      <c r="J112" s="92">
        <v>0</v>
      </c>
      <c r="K112" s="92">
        <f t="shared" si="17"/>
        <v>11000</v>
      </c>
      <c r="L112" s="90"/>
    </row>
    <row r="113" spans="1:12" s="93" customFormat="1" ht="12.75" customHeight="1" x14ac:dyDescent="0.2">
      <c r="A113" s="92" t="s">
        <v>310</v>
      </c>
      <c r="B113" s="94" t="s">
        <v>311</v>
      </c>
      <c r="C113" s="90" t="s">
        <v>312</v>
      </c>
      <c r="D113" s="91" t="s">
        <v>15</v>
      </c>
      <c r="E113" s="91" t="s">
        <v>256</v>
      </c>
      <c r="F113" s="91" t="s">
        <v>33</v>
      </c>
      <c r="G113" s="92" t="s">
        <v>115</v>
      </c>
      <c r="H113" s="92">
        <v>0</v>
      </c>
      <c r="I113" s="92">
        <f t="shared" si="16"/>
        <v>0</v>
      </c>
      <c r="J113" s="92">
        <v>0</v>
      </c>
      <c r="K113" s="92">
        <f t="shared" si="17"/>
        <v>0</v>
      </c>
      <c r="L113" s="90"/>
    </row>
    <row r="114" spans="1:12" s="93" customFormat="1" ht="12.75" customHeight="1" x14ac:dyDescent="0.2">
      <c r="A114" s="92" t="s">
        <v>313</v>
      </c>
      <c r="B114" s="94" t="s">
        <v>314</v>
      </c>
      <c r="C114" s="90" t="s">
        <v>315</v>
      </c>
      <c r="D114" s="91" t="s">
        <v>15</v>
      </c>
      <c r="E114" s="91" t="s">
        <v>256</v>
      </c>
      <c r="F114" s="91" t="s">
        <v>17</v>
      </c>
      <c r="G114" s="92" t="s">
        <v>115</v>
      </c>
      <c r="H114" s="92">
        <v>0</v>
      </c>
      <c r="I114" s="92">
        <f t="shared" si="16"/>
        <v>0</v>
      </c>
      <c r="J114" s="92">
        <v>0</v>
      </c>
      <c r="K114" s="92">
        <f t="shared" si="17"/>
        <v>0</v>
      </c>
      <c r="L114" s="90"/>
    </row>
    <row r="115" spans="1:12" s="93" customFormat="1" ht="12.75" customHeight="1" x14ac:dyDescent="0.2">
      <c r="A115" s="92" t="s">
        <v>316</v>
      </c>
      <c r="B115" s="94" t="s">
        <v>317</v>
      </c>
      <c r="C115" s="90" t="s">
        <v>318</v>
      </c>
      <c r="D115" s="91" t="s">
        <v>15</v>
      </c>
      <c r="E115" s="91" t="s">
        <v>319</v>
      </c>
      <c r="F115" s="91" t="s">
        <v>17</v>
      </c>
      <c r="G115" s="92" t="s">
        <v>192</v>
      </c>
      <c r="H115" s="92">
        <v>10000</v>
      </c>
      <c r="I115" s="92">
        <f t="shared" si="16"/>
        <v>60000</v>
      </c>
      <c r="J115" s="92">
        <v>0</v>
      </c>
      <c r="K115" s="92">
        <f t="shared" si="17"/>
        <v>60000</v>
      </c>
      <c r="L115" s="90"/>
    </row>
    <row r="116" spans="1:12" s="93" customFormat="1" ht="12.75" customHeight="1" x14ac:dyDescent="0.2">
      <c r="A116" s="92" t="s">
        <v>320</v>
      </c>
      <c r="B116" s="95" t="s">
        <v>321</v>
      </c>
      <c r="C116" s="90" t="s">
        <v>322</v>
      </c>
      <c r="D116" s="91" t="s">
        <v>54</v>
      </c>
      <c r="E116" s="91" t="s">
        <v>15</v>
      </c>
      <c r="F116" s="91" t="s">
        <v>17</v>
      </c>
      <c r="G116" s="92" t="s">
        <v>192</v>
      </c>
      <c r="H116" s="92">
        <v>2208</v>
      </c>
      <c r="I116" s="92">
        <f t="shared" si="16"/>
        <v>13248</v>
      </c>
      <c r="J116" s="92">
        <v>0</v>
      </c>
      <c r="K116" s="92">
        <f t="shared" si="17"/>
        <v>13248</v>
      </c>
      <c r="L116" s="90" t="s">
        <v>50</v>
      </c>
    </row>
    <row r="117" spans="1:12" s="93" customFormat="1" ht="12.75" customHeight="1" x14ac:dyDescent="0.2">
      <c r="A117" s="92" t="s">
        <v>323</v>
      </c>
      <c r="B117" s="94" t="s">
        <v>324</v>
      </c>
      <c r="C117" s="90" t="s">
        <v>325</v>
      </c>
      <c r="D117" s="91" t="s">
        <v>15</v>
      </c>
      <c r="E117" s="91" t="s">
        <v>107</v>
      </c>
      <c r="F117" s="91" t="s">
        <v>17</v>
      </c>
      <c r="G117" s="92" t="s">
        <v>192</v>
      </c>
      <c r="H117" s="92">
        <v>1995</v>
      </c>
      <c r="I117" s="92">
        <f t="shared" si="16"/>
        <v>11970</v>
      </c>
      <c r="J117" s="92">
        <v>0</v>
      </c>
      <c r="K117" s="92">
        <f t="shared" si="17"/>
        <v>11970</v>
      </c>
      <c r="L117" s="90"/>
    </row>
    <row r="118" spans="1:12" s="93" customFormat="1" ht="12.75" customHeight="1" x14ac:dyDescent="0.2">
      <c r="A118" s="92" t="s">
        <v>326</v>
      </c>
      <c r="B118" s="94" t="s">
        <v>327</v>
      </c>
      <c r="C118" s="90" t="s">
        <v>328</v>
      </c>
      <c r="D118" s="91" t="s">
        <v>15</v>
      </c>
      <c r="E118" s="91" t="s">
        <v>256</v>
      </c>
      <c r="F118" s="91" t="s">
        <v>33</v>
      </c>
      <c r="G118" s="92" t="s">
        <v>192</v>
      </c>
      <c r="H118" s="92">
        <v>0</v>
      </c>
      <c r="I118" s="92">
        <f t="shared" si="16"/>
        <v>0</v>
      </c>
      <c r="J118" s="92">
        <v>0</v>
      </c>
      <c r="K118" s="92">
        <f t="shared" si="17"/>
        <v>0</v>
      </c>
      <c r="L118" s="90"/>
    </row>
    <row r="119" spans="1:12" s="93" customFormat="1" ht="12.75" customHeight="1" x14ac:dyDescent="0.2">
      <c r="A119" s="92" t="s">
        <v>329</v>
      </c>
      <c r="B119" s="94" t="s">
        <v>330</v>
      </c>
      <c r="C119" s="90" t="s">
        <v>331</v>
      </c>
      <c r="D119" s="91" t="s">
        <v>15</v>
      </c>
      <c r="E119" s="91" t="s">
        <v>256</v>
      </c>
      <c r="F119" s="91" t="s">
        <v>17</v>
      </c>
      <c r="G119" s="92" t="s">
        <v>122</v>
      </c>
      <c r="H119" s="92">
        <v>0</v>
      </c>
      <c r="I119" s="92">
        <f t="shared" si="16"/>
        <v>0</v>
      </c>
      <c r="J119" s="92">
        <v>0</v>
      </c>
      <c r="K119" s="92">
        <f t="shared" si="17"/>
        <v>0</v>
      </c>
      <c r="L119" s="90"/>
    </row>
    <row r="120" spans="1:12" s="93" customFormat="1" ht="12.75" customHeight="1" x14ac:dyDescent="0.2">
      <c r="A120" s="92" t="s">
        <v>332</v>
      </c>
      <c r="B120" s="94" t="s">
        <v>333</v>
      </c>
      <c r="C120" s="90" t="s">
        <v>334</v>
      </c>
      <c r="D120" s="91" t="s">
        <v>15</v>
      </c>
      <c r="E120" s="91" t="s">
        <v>107</v>
      </c>
      <c r="F120" s="91" t="s">
        <v>17</v>
      </c>
      <c r="G120" s="92" t="s">
        <v>122</v>
      </c>
      <c r="H120" s="92">
        <v>0</v>
      </c>
      <c r="I120" s="92">
        <f t="shared" si="16"/>
        <v>0</v>
      </c>
      <c r="J120" s="92">
        <v>0</v>
      </c>
      <c r="K120" s="92">
        <f t="shared" si="17"/>
        <v>0</v>
      </c>
      <c r="L120" s="90"/>
    </row>
    <row r="121" spans="1:12" ht="12.75" customHeight="1" x14ac:dyDescent="0.2">
      <c r="A121" s="1" t="s">
        <v>55</v>
      </c>
      <c r="B121" s="1" t="s">
        <v>55</v>
      </c>
      <c r="C121" s="1" t="s">
        <v>55</v>
      </c>
      <c r="D121" s="1" t="s">
        <v>55</v>
      </c>
      <c r="E121" s="1" t="s">
        <v>55</v>
      </c>
      <c r="F121" s="1" t="s">
        <v>55</v>
      </c>
      <c r="G121" s="1" t="s">
        <v>55</v>
      </c>
      <c r="H121" s="1" t="s">
        <v>55</v>
      </c>
      <c r="I121" s="1" t="s">
        <v>55</v>
      </c>
      <c r="J121" s="3" t="s">
        <v>56</v>
      </c>
      <c r="K121" s="3">
        <f>(K102+K103+K104+K105+K106+K107+K108+K109+K110+K111+K112+K113+K114+K115+K116+K117+K118+K119+K120)</f>
        <v>288113</v>
      </c>
      <c r="L121" s="3" t="s">
        <v>55</v>
      </c>
    </row>
    <row r="122" spans="1:12" ht="12.75" customHeight="1" x14ac:dyDescent="0.2">
      <c r="A122" s="1" t="s">
        <v>55</v>
      </c>
      <c r="B122" s="1" t="s">
        <v>55</v>
      </c>
      <c r="C122" s="1" t="s">
        <v>55</v>
      </c>
      <c r="D122" s="1" t="s">
        <v>55</v>
      </c>
      <c r="E122" s="1" t="s">
        <v>55</v>
      </c>
      <c r="F122" s="1" t="s">
        <v>55</v>
      </c>
      <c r="G122" s="1" t="s">
        <v>55</v>
      </c>
      <c r="H122" s="1" t="s">
        <v>55</v>
      </c>
      <c r="I122" s="1" t="s">
        <v>55</v>
      </c>
      <c r="J122" s="3" t="s">
        <v>335</v>
      </c>
      <c r="K122" s="3">
        <f>(K13+K23+K36+K53+K63+K77+K94+K101+K121)</f>
        <v>5111557.3499999996</v>
      </c>
      <c r="L122" s="3" t="s">
        <v>55</v>
      </c>
    </row>
  </sheetData>
  <printOptions horizontalCentered="1"/>
  <pageMargins left="0.75" right="0.75" top="1" bottom="1" header="0.5" footer="0.5"/>
  <pageSetup paperSize="9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A6" sqref="A6:K6"/>
    </sheetView>
  </sheetViews>
  <sheetFormatPr defaultRowHeight="12.75" x14ac:dyDescent="0.2"/>
  <cols>
    <col min="2" max="2" width="14.7109375" customWidth="1"/>
    <col min="4" max="4" width="46.85546875" customWidth="1"/>
    <col min="7" max="7" width="16" customWidth="1"/>
  </cols>
  <sheetData>
    <row r="1" spans="1:11" ht="24" x14ac:dyDescent="0.2">
      <c r="A1" s="138" t="s">
        <v>559</v>
      </c>
      <c r="B1" s="139"/>
      <c r="C1" s="138" t="s">
        <v>2</v>
      </c>
      <c r="D1" s="139"/>
      <c r="E1" s="133" t="s">
        <v>3</v>
      </c>
      <c r="F1" s="134" t="s">
        <v>4</v>
      </c>
      <c r="G1" s="133" t="s">
        <v>560</v>
      </c>
      <c r="H1" s="134" t="s">
        <v>561</v>
      </c>
      <c r="I1" s="133" t="s">
        <v>562</v>
      </c>
      <c r="J1" s="133" t="s">
        <v>563</v>
      </c>
      <c r="K1" s="133" t="s">
        <v>564</v>
      </c>
    </row>
    <row r="2" spans="1:11" x14ac:dyDescent="0.2">
      <c r="A2" s="140" t="s">
        <v>402</v>
      </c>
      <c r="B2" s="141" t="s">
        <v>55</v>
      </c>
      <c r="C2" s="141" t="s">
        <v>401</v>
      </c>
      <c r="D2" s="141" t="s">
        <v>55</v>
      </c>
      <c r="E2" s="136" t="s">
        <v>565</v>
      </c>
      <c r="F2" s="136">
        <v>10</v>
      </c>
      <c r="G2" s="135">
        <v>3995</v>
      </c>
      <c r="H2" s="136">
        <v>1</v>
      </c>
      <c r="I2" s="135">
        <v>0</v>
      </c>
      <c r="J2" s="135">
        <v>0</v>
      </c>
      <c r="K2" s="135">
        <v>0</v>
      </c>
    </row>
    <row r="3" spans="1:11" x14ac:dyDescent="0.2">
      <c r="A3" s="141" t="s">
        <v>566</v>
      </c>
      <c r="B3" s="141" t="s">
        <v>55</v>
      </c>
      <c r="C3" s="141" t="s">
        <v>567</v>
      </c>
      <c r="D3" s="141" t="s">
        <v>55</v>
      </c>
      <c r="E3" s="136">
        <v>12</v>
      </c>
      <c r="F3" s="136" t="s">
        <v>15</v>
      </c>
      <c r="G3" s="135">
        <v>687.94</v>
      </c>
      <c r="H3" s="136">
        <v>1</v>
      </c>
      <c r="I3" s="135">
        <v>0</v>
      </c>
      <c r="J3" s="135">
        <v>0</v>
      </c>
      <c r="K3" s="135">
        <v>0</v>
      </c>
    </row>
    <row r="4" spans="1:11" x14ac:dyDescent="0.2">
      <c r="A4" s="141" t="s">
        <v>400</v>
      </c>
      <c r="B4" s="141" t="s">
        <v>55</v>
      </c>
      <c r="C4" s="141" t="s">
        <v>399</v>
      </c>
      <c r="D4" s="141" t="s">
        <v>55</v>
      </c>
      <c r="E4" s="136" t="s">
        <v>565</v>
      </c>
      <c r="F4" s="136">
        <v>10</v>
      </c>
      <c r="G4" s="135">
        <v>5259</v>
      </c>
      <c r="H4" s="136">
        <v>2</v>
      </c>
      <c r="I4" s="135">
        <v>0</v>
      </c>
      <c r="J4" s="135">
        <v>0</v>
      </c>
      <c r="K4" s="135">
        <v>0</v>
      </c>
    </row>
    <row r="5" spans="1:11" x14ac:dyDescent="0.2">
      <c r="A5" s="141" t="s">
        <v>24</v>
      </c>
      <c r="B5" s="141" t="s">
        <v>55</v>
      </c>
      <c r="C5" s="141" t="s">
        <v>25</v>
      </c>
      <c r="D5" s="141" t="s">
        <v>55</v>
      </c>
      <c r="E5" s="136" t="s">
        <v>565</v>
      </c>
      <c r="F5" s="136">
        <v>10</v>
      </c>
      <c r="G5" s="135">
        <v>725</v>
      </c>
      <c r="H5" s="136">
        <v>16</v>
      </c>
      <c r="I5" s="135">
        <v>0</v>
      </c>
      <c r="J5" s="135">
        <v>0</v>
      </c>
      <c r="K5" s="135">
        <v>0</v>
      </c>
    </row>
    <row r="6" spans="1:11" x14ac:dyDescent="0.2">
      <c r="A6" s="141" t="s">
        <v>397</v>
      </c>
      <c r="B6" s="141" t="s">
        <v>55</v>
      </c>
      <c r="C6" s="141" t="s">
        <v>396</v>
      </c>
      <c r="D6" s="141" t="s">
        <v>55</v>
      </c>
      <c r="E6" s="143" t="s">
        <v>565</v>
      </c>
      <c r="F6" s="143">
        <v>10</v>
      </c>
      <c r="G6" s="142">
        <v>1499</v>
      </c>
      <c r="H6" s="143">
        <v>1</v>
      </c>
      <c r="I6" s="142">
        <v>0</v>
      </c>
      <c r="J6" s="142">
        <v>0</v>
      </c>
      <c r="K6" s="142">
        <v>0</v>
      </c>
    </row>
    <row r="7" spans="1:11" x14ac:dyDescent="0.2">
      <c r="A7" s="141" t="s">
        <v>395</v>
      </c>
      <c r="B7" s="141" t="s">
        <v>55</v>
      </c>
      <c r="C7" s="141" t="s">
        <v>394</v>
      </c>
      <c r="D7" s="141" t="s">
        <v>55</v>
      </c>
      <c r="E7" s="136" t="s">
        <v>565</v>
      </c>
      <c r="F7" s="136">
        <v>10</v>
      </c>
      <c r="G7" s="135">
        <v>632</v>
      </c>
      <c r="H7" s="136">
        <v>2</v>
      </c>
      <c r="I7" s="135">
        <v>0</v>
      </c>
      <c r="J7" s="135">
        <v>0</v>
      </c>
      <c r="K7" s="135">
        <v>0</v>
      </c>
    </row>
    <row r="8" spans="1:11" x14ac:dyDescent="0.2">
      <c r="A8" s="141" t="s">
        <v>137</v>
      </c>
      <c r="B8" s="141" t="s">
        <v>55</v>
      </c>
      <c r="C8" s="141" t="s">
        <v>138</v>
      </c>
      <c r="D8" s="141" t="s">
        <v>55</v>
      </c>
      <c r="E8" s="136" t="s">
        <v>565</v>
      </c>
      <c r="F8" s="136">
        <v>8</v>
      </c>
      <c r="G8" s="135">
        <v>0</v>
      </c>
      <c r="H8" s="136">
        <v>2</v>
      </c>
      <c r="I8" s="135">
        <v>0</v>
      </c>
      <c r="J8" s="135">
        <v>0</v>
      </c>
      <c r="K8" s="135">
        <v>0</v>
      </c>
    </row>
    <row r="9" spans="1:11" x14ac:dyDescent="0.2">
      <c r="A9" s="141" t="s">
        <v>393</v>
      </c>
      <c r="B9" s="141" t="s">
        <v>55</v>
      </c>
      <c r="C9" s="141" t="s">
        <v>392</v>
      </c>
      <c r="D9" s="141" t="s">
        <v>55</v>
      </c>
      <c r="E9" s="136" t="s">
        <v>565</v>
      </c>
      <c r="F9" s="136">
        <v>10</v>
      </c>
      <c r="G9" s="135">
        <v>220</v>
      </c>
      <c r="H9" s="136">
        <v>1</v>
      </c>
      <c r="I9" s="135">
        <v>0</v>
      </c>
      <c r="J9" s="135">
        <v>0</v>
      </c>
      <c r="K9" s="135">
        <v>0</v>
      </c>
    </row>
    <row r="10" spans="1:11" x14ac:dyDescent="0.2">
      <c r="A10" s="141" t="s">
        <v>388</v>
      </c>
      <c r="B10" s="141" t="s">
        <v>55</v>
      </c>
      <c r="C10" s="141" t="s">
        <v>387</v>
      </c>
      <c r="D10" s="141" t="s">
        <v>55</v>
      </c>
      <c r="E10" s="136" t="s">
        <v>565</v>
      </c>
      <c r="F10" s="136">
        <v>10</v>
      </c>
      <c r="G10" s="135">
        <v>0</v>
      </c>
      <c r="H10" s="136">
        <v>1</v>
      </c>
      <c r="I10" s="135">
        <v>0</v>
      </c>
      <c r="J10" s="135">
        <v>0</v>
      </c>
      <c r="K10" s="135">
        <v>0</v>
      </c>
    </row>
    <row r="11" spans="1:11" x14ac:dyDescent="0.2">
      <c r="A11" s="141" t="s">
        <v>385</v>
      </c>
      <c r="B11" s="141" t="s">
        <v>55</v>
      </c>
      <c r="C11" s="141" t="s">
        <v>384</v>
      </c>
      <c r="D11" s="141" t="s">
        <v>55</v>
      </c>
      <c r="E11" s="136" t="s">
        <v>565</v>
      </c>
      <c r="F11" s="136">
        <v>10</v>
      </c>
      <c r="G11" s="135">
        <v>0</v>
      </c>
      <c r="H11" s="136">
        <v>2</v>
      </c>
      <c r="I11" s="135">
        <v>0</v>
      </c>
      <c r="J11" s="135">
        <v>0</v>
      </c>
      <c r="K11" s="135">
        <v>0</v>
      </c>
    </row>
    <row r="12" spans="1:11" x14ac:dyDescent="0.2">
      <c r="A12" s="141" t="s">
        <v>585</v>
      </c>
      <c r="B12" s="141" t="s">
        <v>55</v>
      </c>
      <c r="C12" s="141" t="s">
        <v>586</v>
      </c>
      <c r="D12" s="141" t="s">
        <v>55</v>
      </c>
      <c r="E12" s="136" t="s">
        <v>565</v>
      </c>
      <c r="F12" s="136">
        <v>10</v>
      </c>
      <c r="G12" s="135">
        <v>0</v>
      </c>
      <c r="H12" s="136">
        <v>1</v>
      </c>
      <c r="I12" s="135">
        <v>0</v>
      </c>
      <c r="J12" s="135">
        <v>0</v>
      </c>
      <c r="K12" s="135">
        <v>0</v>
      </c>
    </row>
    <row r="13" spans="1:11" x14ac:dyDescent="0.2">
      <c r="A13" s="141" t="s">
        <v>382</v>
      </c>
      <c r="B13" s="141" t="s">
        <v>55</v>
      </c>
      <c r="C13" s="141" t="s">
        <v>381</v>
      </c>
      <c r="D13" s="141" t="s">
        <v>55</v>
      </c>
      <c r="E13" s="136" t="s">
        <v>565</v>
      </c>
      <c r="F13" s="136">
        <v>10</v>
      </c>
      <c r="G13" s="135">
        <v>0</v>
      </c>
      <c r="H13" s="136">
        <v>14</v>
      </c>
      <c r="I13" s="135">
        <v>0</v>
      </c>
      <c r="J13" s="135">
        <v>0</v>
      </c>
      <c r="K13" s="135">
        <v>0</v>
      </c>
    </row>
    <row r="14" spans="1:11" x14ac:dyDescent="0.2">
      <c r="A14" s="141" t="s">
        <v>379</v>
      </c>
      <c r="B14" s="141" t="s">
        <v>55</v>
      </c>
      <c r="C14" s="141" t="s">
        <v>378</v>
      </c>
      <c r="D14" s="141" t="s">
        <v>55</v>
      </c>
      <c r="E14" s="136" t="s">
        <v>565</v>
      </c>
      <c r="F14" s="136">
        <v>10</v>
      </c>
      <c r="G14" s="135">
        <v>656</v>
      </c>
      <c r="H14" s="136">
        <v>1</v>
      </c>
      <c r="I14" s="135">
        <v>0</v>
      </c>
      <c r="J14" s="135">
        <v>0</v>
      </c>
      <c r="K14" s="135">
        <v>0</v>
      </c>
    </row>
    <row r="15" spans="1:11" x14ac:dyDescent="0.2">
      <c r="A15" s="141" t="s">
        <v>376</v>
      </c>
      <c r="B15" s="141" t="s">
        <v>55</v>
      </c>
      <c r="C15" s="141" t="s">
        <v>375</v>
      </c>
      <c r="D15" s="141" t="s">
        <v>55</v>
      </c>
      <c r="E15" s="136" t="s">
        <v>565</v>
      </c>
      <c r="F15" s="136">
        <v>10</v>
      </c>
      <c r="G15" s="135">
        <v>1405</v>
      </c>
      <c r="H15" s="136">
        <v>1</v>
      </c>
      <c r="I15" s="135">
        <v>0</v>
      </c>
      <c r="J15" s="135">
        <v>0</v>
      </c>
      <c r="K15" s="135">
        <v>0</v>
      </c>
    </row>
    <row r="16" spans="1:11" x14ac:dyDescent="0.2">
      <c r="A16" s="141" t="s">
        <v>41</v>
      </c>
      <c r="B16" s="141" t="s">
        <v>55</v>
      </c>
      <c r="C16" s="141" t="s">
        <v>42</v>
      </c>
      <c r="D16" s="141" t="s">
        <v>55</v>
      </c>
      <c r="E16" s="136" t="s">
        <v>565</v>
      </c>
      <c r="F16" s="136">
        <v>10</v>
      </c>
      <c r="G16" s="135">
        <v>0</v>
      </c>
      <c r="H16" s="136">
        <v>1</v>
      </c>
      <c r="I16" s="135">
        <v>0</v>
      </c>
      <c r="J16" s="135">
        <v>0</v>
      </c>
      <c r="K16" s="135">
        <v>0</v>
      </c>
    </row>
    <row r="17" spans="1:11" ht="13.5" thickBot="1" x14ac:dyDescent="0.25">
      <c r="A17" s="132" t="s">
        <v>55</v>
      </c>
      <c r="B17" s="132" t="s">
        <v>55</v>
      </c>
      <c r="C17" s="132" t="s">
        <v>55</v>
      </c>
      <c r="D17" s="132" t="s">
        <v>55</v>
      </c>
      <c r="E17" s="132" t="s">
        <v>55</v>
      </c>
      <c r="F17" s="132" t="s">
        <v>55</v>
      </c>
      <c r="G17" s="132" t="s">
        <v>55</v>
      </c>
      <c r="H17" s="132" t="s">
        <v>55</v>
      </c>
      <c r="I17" s="132" t="s">
        <v>55</v>
      </c>
      <c r="J17" s="132" t="s">
        <v>55</v>
      </c>
      <c r="K17" s="132" t="s">
        <v>55</v>
      </c>
    </row>
    <row r="19" spans="1:11" x14ac:dyDescent="0.2">
      <c r="B19" s="130" t="s">
        <v>587</v>
      </c>
    </row>
    <row r="20" spans="1:11" x14ac:dyDescent="0.2">
      <c r="B20" s="130" t="s">
        <v>588</v>
      </c>
    </row>
    <row r="21" spans="1:11" x14ac:dyDescent="0.2">
      <c r="A21" s="141" t="s">
        <v>571</v>
      </c>
      <c r="B21" s="141" t="s">
        <v>55</v>
      </c>
      <c r="C21" s="141" t="s">
        <v>572</v>
      </c>
      <c r="D21" s="141" t="s">
        <v>55</v>
      </c>
      <c r="E21" s="136" t="s">
        <v>565</v>
      </c>
      <c r="F21" s="136">
        <v>10</v>
      </c>
      <c r="G21" s="135">
        <v>589</v>
      </c>
      <c r="H21" s="136">
        <v>1</v>
      </c>
      <c r="I21" s="135">
        <v>0</v>
      </c>
      <c r="J21" s="135">
        <v>0</v>
      </c>
      <c r="K21" s="135">
        <v>0</v>
      </c>
    </row>
    <row r="22" spans="1:11" x14ac:dyDescent="0.2">
      <c r="A22" s="141" t="s">
        <v>569</v>
      </c>
      <c r="B22" s="141" t="s">
        <v>55</v>
      </c>
      <c r="C22" s="141" t="s">
        <v>570</v>
      </c>
      <c r="D22" s="141" t="s">
        <v>55</v>
      </c>
      <c r="E22" s="136" t="s">
        <v>565</v>
      </c>
      <c r="F22" s="136">
        <v>10</v>
      </c>
      <c r="G22" s="135">
        <v>1021.88</v>
      </c>
      <c r="H22" s="136">
        <v>1</v>
      </c>
      <c r="I22" s="135">
        <v>0</v>
      </c>
      <c r="J22" s="135">
        <v>0</v>
      </c>
      <c r="K22" s="135">
        <v>0</v>
      </c>
    </row>
    <row r="23" spans="1:11" x14ac:dyDescent="0.2">
      <c r="A23" s="141" t="s">
        <v>568</v>
      </c>
      <c r="B23" s="141" t="s">
        <v>55</v>
      </c>
      <c r="C23" s="141" t="s">
        <v>370</v>
      </c>
      <c r="D23" s="141" t="s">
        <v>55</v>
      </c>
      <c r="E23" s="136" t="s">
        <v>565</v>
      </c>
      <c r="F23" s="136">
        <v>10</v>
      </c>
      <c r="G23" s="135">
        <v>1460.63</v>
      </c>
      <c r="H23" s="136">
        <v>1</v>
      </c>
      <c r="I23" s="135">
        <v>0</v>
      </c>
      <c r="J23" s="135">
        <v>0</v>
      </c>
      <c r="K23" s="135">
        <v>0</v>
      </c>
    </row>
    <row r="25" spans="1:11" x14ac:dyDescent="0.2">
      <c r="B25" s="130" t="s">
        <v>590</v>
      </c>
    </row>
    <row r="26" spans="1:11" x14ac:dyDescent="0.2">
      <c r="A26" s="141" t="s">
        <v>578</v>
      </c>
      <c r="B26" s="141" t="s">
        <v>55</v>
      </c>
      <c r="C26" s="141" t="s">
        <v>245</v>
      </c>
      <c r="D26" s="141" t="s">
        <v>55</v>
      </c>
      <c r="E26" s="136" t="s">
        <v>565</v>
      </c>
      <c r="F26" s="136">
        <v>10</v>
      </c>
      <c r="G26" s="135">
        <v>748</v>
      </c>
      <c r="H26" s="136">
        <v>1</v>
      </c>
      <c r="I26" s="135">
        <v>0</v>
      </c>
      <c r="J26" s="135">
        <v>0</v>
      </c>
      <c r="K26" s="135">
        <v>0</v>
      </c>
    </row>
    <row r="27" spans="1:11" x14ac:dyDescent="0.2">
      <c r="A27" s="141" t="s">
        <v>583</v>
      </c>
      <c r="B27" s="141" t="s">
        <v>55</v>
      </c>
      <c r="C27" s="141" t="s">
        <v>584</v>
      </c>
      <c r="D27" s="141" t="s">
        <v>55</v>
      </c>
      <c r="E27" s="136" t="s">
        <v>565</v>
      </c>
      <c r="F27" s="136">
        <v>10</v>
      </c>
      <c r="G27" s="135">
        <v>1574</v>
      </c>
      <c r="H27" s="136">
        <v>1</v>
      </c>
      <c r="I27" s="135">
        <v>0</v>
      </c>
      <c r="J27" s="135">
        <v>0</v>
      </c>
      <c r="K27" s="135">
        <v>0</v>
      </c>
    </row>
    <row r="28" spans="1:11" x14ac:dyDescent="0.2">
      <c r="A28" s="141" t="s">
        <v>579</v>
      </c>
      <c r="B28" s="141" t="s">
        <v>55</v>
      </c>
      <c r="C28" s="141" t="s">
        <v>580</v>
      </c>
      <c r="D28" s="141" t="s">
        <v>55</v>
      </c>
      <c r="E28" s="136" t="s">
        <v>565</v>
      </c>
      <c r="F28" s="136">
        <v>10</v>
      </c>
      <c r="G28" s="135">
        <v>3150</v>
      </c>
      <c r="H28" s="136">
        <v>1</v>
      </c>
      <c r="I28" s="135">
        <v>0</v>
      </c>
      <c r="J28" s="135">
        <v>0</v>
      </c>
      <c r="K28" s="135">
        <v>0</v>
      </c>
    </row>
    <row r="29" spans="1:11" x14ac:dyDescent="0.2">
      <c r="A29" s="141" t="s">
        <v>581</v>
      </c>
      <c r="B29" s="141" t="s">
        <v>55</v>
      </c>
      <c r="C29" s="141" t="s">
        <v>582</v>
      </c>
      <c r="D29" s="141" t="s">
        <v>55</v>
      </c>
      <c r="E29" s="136" t="s">
        <v>565</v>
      </c>
      <c r="F29" s="136">
        <v>10</v>
      </c>
      <c r="G29" s="135">
        <v>6168</v>
      </c>
      <c r="H29" s="136">
        <v>1</v>
      </c>
      <c r="I29" s="135">
        <v>0</v>
      </c>
      <c r="J29" s="135">
        <v>0</v>
      </c>
      <c r="K29" s="135">
        <v>0</v>
      </c>
    </row>
    <row r="30" spans="1:11" s="131" customFormat="1" x14ac:dyDescent="0.2"/>
    <row r="31" spans="1:11" x14ac:dyDescent="0.2">
      <c r="B31" s="130" t="s">
        <v>589</v>
      </c>
    </row>
    <row r="32" spans="1:11" x14ac:dyDescent="0.2">
      <c r="A32" s="141" t="s">
        <v>573</v>
      </c>
      <c r="B32" s="141" t="s">
        <v>55</v>
      </c>
      <c r="C32" s="141" t="s">
        <v>574</v>
      </c>
      <c r="D32" s="141" t="s">
        <v>55</v>
      </c>
      <c r="E32" s="136" t="s">
        <v>565</v>
      </c>
      <c r="F32" s="136">
        <v>10</v>
      </c>
      <c r="G32" s="135">
        <v>3373</v>
      </c>
      <c r="H32" s="136">
        <v>1</v>
      </c>
      <c r="I32" s="135">
        <v>0</v>
      </c>
      <c r="J32" s="135">
        <v>0</v>
      </c>
      <c r="K32" s="135">
        <v>0</v>
      </c>
    </row>
    <row r="33" spans="1:11" x14ac:dyDescent="0.2">
      <c r="A33" s="141" t="s">
        <v>576</v>
      </c>
      <c r="B33" s="141" t="s">
        <v>55</v>
      </c>
      <c r="C33" s="141" t="s">
        <v>577</v>
      </c>
      <c r="D33" s="141" t="s">
        <v>55</v>
      </c>
      <c r="E33" s="136" t="s">
        <v>565</v>
      </c>
      <c r="F33" s="136">
        <v>10</v>
      </c>
      <c r="G33" s="135">
        <v>5623</v>
      </c>
      <c r="H33" s="136">
        <v>1</v>
      </c>
      <c r="I33" s="135">
        <v>0</v>
      </c>
      <c r="J33" s="135">
        <v>0</v>
      </c>
      <c r="K33" s="135">
        <v>0</v>
      </c>
    </row>
    <row r="34" spans="1:11" x14ac:dyDescent="0.2">
      <c r="A34" s="141" t="s">
        <v>575</v>
      </c>
      <c r="B34" s="141" t="s">
        <v>55</v>
      </c>
      <c r="C34" s="141" t="s">
        <v>367</v>
      </c>
      <c r="D34" s="141" t="s">
        <v>55</v>
      </c>
      <c r="E34" s="136" t="s">
        <v>565</v>
      </c>
      <c r="F34" s="136">
        <v>10</v>
      </c>
      <c r="G34" s="135">
        <v>12188</v>
      </c>
      <c r="H34" s="136">
        <v>1</v>
      </c>
      <c r="I34" s="135">
        <v>0</v>
      </c>
      <c r="J34" s="135">
        <v>0</v>
      </c>
      <c r="K34" s="135">
        <v>0</v>
      </c>
    </row>
  </sheetData>
  <mergeCells count="52">
    <mergeCell ref="A16:B16"/>
    <mergeCell ref="C16:D16"/>
    <mergeCell ref="A6:B6"/>
    <mergeCell ref="C6:D6"/>
    <mergeCell ref="A7:B7"/>
    <mergeCell ref="C7:D7"/>
    <mergeCell ref="A33:B33"/>
    <mergeCell ref="C33:D33"/>
    <mergeCell ref="A23:B23"/>
    <mergeCell ref="C23:D23"/>
    <mergeCell ref="A22:B22"/>
    <mergeCell ref="C22:D22"/>
    <mergeCell ref="A26:B26"/>
    <mergeCell ref="C26:D26"/>
    <mergeCell ref="A28:B28"/>
    <mergeCell ref="C28:D28"/>
    <mergeCell ref="A10:B10"/>
    <mergeCell ref="C10:D10"/>
    <mergeCell ref="A15:B15"/>
    <mergeCell ref="C15:D15"/>
    <mergeCell ref="A21:B21"/>
    <mergeCell ref="C21:D21"/>
    <mergeCell ref="A32:B32"/>
    <mergeCell ref="C32:D32"/>
    <mergeCell ref="A34:B34"/>
    <mergeCell ref="C34:D34"/>
    <mergeCell ref="A29:B29"/>
    <mergeCell ref="C29:D29"/>
    <mergeCell ref="A27:B27"/>
    <mergeCell ref="C27:D27"/>
    <mergeCell ref="A4:B4"/>
    <mergeCell ref="C4:D4"/>
    <mergeCell ref="A14:B14"/>
    <mergeCell ref="C14:D14"/>
    <mergeCell ref="A11:B11"/>
    <mergeCell ref="C11:D11"/>
    <mergeCell ref="A12:B12"/>
    <mergeCell ref="C12:D12"/>
    <mergeCell ref="A13:B13"/>
    <mergeCell ref="C13:D13"/>
    <mergeCell ref="A8:B8"/>
    <mergeCell ref="C8:D8"/>
    <mergeCell ref="A9:B9"/>
    <mergeCell ref="C9:D9"/>
    <mergeCell ref="A5:B5"/>
    <mergeCell ref="C5:D5"/>
    <mergeCell ref="A1:B1"/>
    <mergeCell ref="C1:D1"/>
    <mergeCell ref="A2:B2"/>
    <mergeCell ref="C2:D2"/>
    <mergeCell ref="A3:B3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showGridLines="0" topLeftCell="A49" workbookViewId="0">
      <selection activeCell="B55" sqref="B55"/>
    </sheetView>
  </sheetViews>
  <sheetFormatPr defaultColWidth="17.140625" defaultRowHeight="12.75" customHeight="1" outlineLevelCol="1" x14ac:dyDescent="0.2"/>
  <cols>
    <col min="1" max="1" width="13.7109375" style="4" customWidth="1"/>
    <col min="2" max="2" width="31.28515625" style="4" customWidth="1"/>
    <col min="3" max="3" width="46.85546875" style="4" customWidth="1"/>
    <col min="4" max="4" width="13.7109375" style="4" hidden="1" customWidth="1" outlineLevel="1"/>
    <col min="5" max="5" width="9.7109375" style="4" hidden="1" customWidth="1" outlineLevel="1"/>
    <col min="6" max="6" width="13.7109375" style="4" hidden="1" customWidth="1" outlineLevel="1"/>
    <col min="7" max="7" width="9.7109375" style="4" customWidth="1" collapsed="1"/>
    <col min="8" max="11" width="13.7109375" style="4" customWidth="1"/>
    <col min="12" max="12" width="19.5703125" style="4" customWidth="1"/>
    <col min="13" max="16384" width="17.140625" style="4"/>
  </cols>
  <sheetData>
    <row r="1" spans="1:12" ht="24.9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s="109" customFormat="1" ht="12.75" customHeight="1" x14ac:dyDescent="0.2">
      <c r="A2" s="104" t="s">
        <v>12</v>
      </c>
      <c r="B2" s="105" t="s">
        <v>13</v>
      </c>
      <c r="C2" s="106" t="s">
        <v>14</v>
      </c>
      <c r="D2" s="107" t="s">
        <v>15</v>
      </c>
      <c r="E2" s="107" t="s">
        <v>16</v>
      </c>
      <c r="F2" s="107" t="s">
        <v>17</v>
      </c>
      <c r="G2" s="108" t="s">
        <v>135</v>
      </c>
      <c r="H2" s="108">
        <v>2995</v>
      </c>
      <c r="I2" s="108">
        <f t="shared" ref="I2:I12" si="0">(H2*G2)</f>
        <v>23960</v>
      </c>
      <c r="J2" s="108">
        <v>0</v>
      </c>
      <c r="K2" s="108">
        <f t="shared" ref="K2:K12" si="1">ROUND(I2-((I2*J2)/100),2)</f>
        <v>23960</v>
      </c>
      <c r="L2" s="106"/>
    </row>
    <row r="3" spans="1:12" s="109" customFormat="1" ht="12.75" customHeight="1" x14ac:dyDescent="0.2">
      <c r="A3" s="108" t="s">
        <v>19</v>
      </c>
      <c r="B3" s="110" t="s">
        <v>20</v>
      </c>
      <c r="C3" s="106" t="s">
        <v>21</v>
      </c>
      <c r="D3" s="107" t="s">
        <v>15</v>
      </c>
      <c r="E3" s="107" t="s">
        <v>16</v>
      </c>
      <c r="F3" s="107" t="s">
        <v>17</v>
      </c>
      <c r="G3" s="108" t="s">
        <v>404</v>
      </c>
      <c r="H3" s="108">
        <v>4767</v>
      </c>
      <c r="I3" s="108">
        <f t="shared" si="0"/>
        <v>76272</v>
      </c>
      <c r="J3" s="108">
        <v>0</v>
      </c>
      <c r="K3" s="108">
        <f t="shared" si="1"/>
        <v>76272</v>
      </c>
      <c r="L3" s="106"/>
    </row>
    <row r="4" spans="1:12" s="109" customFormat="1" ht="12.75" customHeight="1" x14ac:dyDescent="0.2">
      <c r="A4" s="108" t="s">
        <v>23</v>
      </c>
      <c r="B4" s="110" t="s">
        <v>24</v>
      </c>
      <c r="C4" s="106" t="s">
        <v>25</v>
      </c>
      <c r="D4" s="107" t="s">
        <v>15</v>
      </c>
      <c r="E4" s="107" t="s">
        <v>16</v>
      </c>
      <c r="F4" s="107" t="s">
        <v>17</v>
      </c>
      <c r="G4" s="108" t="s">
        <v>410</v>
      </c>
      <c r="H4" s="108">
        <v>725</v>
      </c>
      <c r="I4" s="108">
        <f t="shared" si="0"/>
        <v>92800</v>
      </c>
      <c r="J4" s="108">
        <v>0</v>
      </c>
      <c r="K4" s="108">
        <f t="shared" si="1"/>
        <v>92800</v>
      </c>
      <c r="L4" s="106"/>
    </row>
    <row r="5" spans="1:12" s="109" customFormat="1" ht="12.75" customHeight="1" x14ac:dyDescent="0.2">
      <c r="A5" s="108" t="s">
        <v>27</v>
      </c>
      <c r="B5" s="110" t="s">
        <v>28</v>
      </c>
      <c r="C5" s="106" t="s">
        <v>29</v>
      </c>
      <c r="D5" s="107" t="s">
        <v>15</v>
      </c>
      <c r="E5" s="107" t="s">
        <v>16</v>
      </c>
      <c r="F5" s="107" t="s">
        <v>17</v>
      </c>
      <c r="G5" s="108" t="s">
        <v>135</v>
      </c>
      <c r="H5" s="108">
        <v>1499</v>
      </c>
      <c r="I5" s="108">
        <f t="shared" si="0"/>
        <v>11992</v>
      </c>
      <c r="J5" s="108">
        <v>0</v>
      </c>
      <c r="K5" s="108">
        <f t="shared" si="1"/>
        <v>11992</v>
      </c>
      <c r="L5" s="106"/>
    </row>
    <row r="6" spans="1:12" s="109" customFormat="1" ht="12.75" customHeight="1" x14ac:dyDescent="0.2">
      <c r="A6" s="108" t="s">
        <v>30</v>
      </c>
      <c r="B6" s="110" t="s">
        <v>31</v>
      </c>
      <c r="C6" s="106" t="s">
        <v>32</v>
      </c>
      <c r="D6" s="107" t="s">
        <v>15</v>
      </c>
      <c r="E6" s="107" t="s">
        <v>16</v>
      </c>
      <c r="F6" s="107" t="s">
        <v>33</v>
      </c>
      <c r="G6" s="108" t="s">
        <v>404</v>
      </c>
      <c r="H6" s="108">
        <v>0</v>
      </c>
      <c r="I6" s="108">
        <f t="shared" si="0"/>
        <v>0</v>
      </c>
      <c r="J6" s="108">
        <v>0</v>
      </c>
      <c r="K6" s="108">
        <f t="shared" si="1"/>
        <v>0</v>
      </c>
      <c r="L6" s="106"/>
    </row>
    <row r="7" spans="1:12" s="109" customFormat="1" ht="12.75" customHeight="1" x14ac:dyDescent="0.2">
      <c r="A7" s="108" t="s">
        <v>34</v>
      </c>
      <c r="B7" s="110" t="s">
        <v>35</v>
      </c>
      <c r="C7" s="106" t="s">
        <v>36</v>
      </c>
      <c r="D7" s="107" t="s">
        <v>15</v>
      </c>
      <c r="E7" s="107" t="s">
        <v>16</v>
      </c>
      <c r="F7" s="107" t="s">
        <v>33</v>
      </c>
      <c r="G7" s="108" t="s">
        <v>135</v>
      </c>
      <c r="H7" s="108">
        <v>0</v>
      </c>
      <c r="I7" s="108">
        <f t="shared" si="0"/>
        <v>0</v>
      </c>
      <c r="J7" s="108">
        <v>0</v>
      </c>
      <c r="K7" s="108">
        <f t="shared" si="1"/>
        <v>0</v>
      </c>
      <c r="L7" s="106"/>
    </row>
    <row r="8" spans="1:12" s="109" customFormat="1" ht="12.75" customHeight="1" x14ac:dyDescent="0.2">
      <c r="A8" s="108" t="s">
        <v>37</v>
      </c>
      <c r="B8" s="110" t="s">
        <v>38</v>
      </c>
      <c r="C8" s="106" t="s">
        <v>39</v>
      </c>
      <c r="D8" s="107" t="s">
        <v>15</v>
      </c>
      <c r="E8" s="107" t="s">
        <v>16</v>
      </c>
      <c r="F8" s="107" t="s">
        <v>33</v>
      </c>
      <c r="G8" s="108" t="s">
        <v>135</v>
      </c>
      <c r="H8" s="108">
        <v>0</v>
      </c>
      <c r="I8" s="108">
        <f t="shared" si="0"/>
        <v>0</v>
      </c>
      <c r="J8" s="108">
        <v>0</v>
      </c>
      <c r="K8" s="108">
        <f t="shared" si="1"/>
        <v>0</v>
      </c>
      <c r="L8" s="106"/>
    </row>
    <row r="9" spans="1:12" s="109" customFormat="1" ht="12.75" customHeight="1" x14ac:dyDescent="0.2">
      <c r="A9" s="108" t="s">
        <v>40</v>
      </c>
      <c r="B9" s="110" t="s">
        <v>41</v>
      </c>
      <c r="C9" s="106" t="s">
        <v>42</v>
      </c>
      <c r="D9" s="107" t="s">
        <v>15</v>
      </c>
      <c r="E9" s="107" t="s">
        <v>16</v>
      </c>
      <c r="F9" s="107" t="s">
        <v>17</v>
      </c>
      <c r="G9" s="108" t="s">
        <v>135</v>
      </c>
      <c r="H9" s="108">
        <v>0</v>
      </c>
      <c r="I9" s="108">
        <f t="shared" si="0"/>
        <v>0</v>
      </c>
      <c r="J9" s="108">
        <v>0</v>
      </c>
      <c r="K9" s="108">
        <f t="shared" si="1"/>
        <v>0</v>
      </c>
      <c r="L9" s="106"/>
    </row>
    <row r="10" spans="1:12" s="109" customFormat="1" ht="12.75" customHeight="1" x14ac:dyDescent="0.2">
      <c r="A10" s="108" t="s">
        <v>43</v>
      </c>
      <c r="B10" s="110" t="s">
        <v>408</v>
      </c>
      <c r="C10" s="106" t="s">
        <v>407</v>
      </c>
      <c r="D10" s="107" t="s">
        <v>15</v>
      </c>
      <c r="E10" s="107" t="s">
        <v>16</v>
      </c>
      <c r="F10" s="107" t="s">
        <v>17</v>
      </c>
      <c r="G10" s="108" t="s">
        <v>404</v>
      </c>
      <c r="H10" s="108">
        <v>1855.36</v>
      </c>
      <c r="I10" s="108">
        <f t="shared" si="0"/>
        <v>29685.759999999998</v>
      </c>
      <c r="J10" s="108">
        <v>0</v>
      </c>
      <c r="K10" s="108">
        <f t="shared" si="1"/>
        <v>29685.759999999998</v>
      </c>
      <c r="L10" s="106"/>
    </row>
    <row r="11" spans="1:12" s="109" customFormat="1" ht="12.75" customHeight="1" x14ac:dyDescent="0.2">
      <c r="A11" s="108" t="s">
        <v>46</v>
      </c>
      <c r="B11" s="111" t="s">
        <v>405</v>
      </c>
      <c r="C11" s="106" t="s">
        <v>48</v>
      </c>
      <c r="D11" s="107" t="s">
        <v>54</v>
      </c>
      <c r="E11" s="107" t="s">
        <v>15</v>
      </c>
      <c r="F11" s="107" t="s">
        <v>17</v>
      </c>
      <c r="G11" s="108" t="s">
        <v>404</v>
      </c>
      <c r="H11" s="108">
        <v>1724.76</v>
      </c>
      <c r="I11" s="108">
        <f t="shared" si="0"/>
        <v>27596.16</v>
      </c>
      <c r="J11" s="108">
        <v>0</v>
      </c>
      <c r="K11" s="108">
        <f t="shared" si="1"/>
        <v>27596.16</v>
      </c>
      <c r="L11" s="106" t="s">
        <v>50</v>
      </c>
    </row>
    <row r="12" spans="1:12" s="109" customFormat="1" ht="12.75" customHeight="1" x14ac:dyDescent="0.2">
      <c r="A12" s="108" t="s">
        <v>51</v>
      </c>
      <c r="B12" s="110" t="s">
        <v>52</v>
      </c>
      <c r="C12" s="106" t="s">
        <v>53</v>
      </c>
      <c r="D12" s="107" t="s">
        <v>54</v>
      </c>
      <c r="E12" s="107" t="s">
        <v>15</v>
      </c>
      <c r="F12" s="107" t="s">
        <v>17</v>
      </c>
      <c r="G12" s="108" t="s">
        <v>135</v>
      </c>
      <c r="H12" s="108">
        <v>952.2</v>
      </c>
      <c r="I12" s="108">
        <f t="shared" si="0"/>
        <v>7617.6</v>
      </c>
      <c r="J12" s="108">
        <v>0</v>
      </c>
      <c r="K12" s="108">
        <f t="shared" si="1"/>
        <v>7617.6</v>
      </c>
      <c r="L12" s="106" t="s">
        <v>50</v>
      </c>
    </row>
    <row r="13" spans="1:12" s="109" customFormat="1" ht="12.75" customHeight="1" x14ac:dyDescent="0.2">
      <c r="A13" s="112" t="s">
        <v>55</v>
      </c>
      <c r="B13" s="112" t="s">
        <v>55</v>
      </c>
      <c r="C13" s="112" t="s">
        <v>55</v>
      </c>
      <c r="D13" s="112" t="s">
        <v>55</v>
      </c>
      <c r="E13" s="112" t="s">
        <v>55</v>
      </c>
      <c r="F13" s="112" t="s">
        <v>55</v>
      </c>
      <c r="G13" s="112" t="s">
        <v>55</v>
      </c>
      <c r="H13" s="112" t="s">
        <v>55</v>
      </c>
      <c r="I13" s="112" t="s">
        <v>55</v>
      </c>
      <c r="J13" s="113" t="s">
        <v>56</v>
      </c>
      <c r="K13" s="113">
        <f>(K2+K3+K4+K5+K6+K7+K8+K9+K10+K11+K12)</f>
        <v>269923.51999999996</v>
      </c>
      <c r="L13" s="113" t="s">
        <v>55</v>
      </c>
    </row>
    <row r="14" spans="1:12" s="109" customFormat="1" ht="12.75" customHeight="1" x14ac:dyDescent="0.2">
      <c r="A14" s="104" t="s">
        <v>57</v>
      </c>
      <c r="B14" s="105" t="s">
        <v>13</v>
      </c>
      <c r="C14" s="106" t="s">
        <v>14</v>
      </c>
      <c r="D14" s="107" t="s">
        <v>15</v>
      </c>
      <c r="E14" s="107" t="s">
        <v>16</v>
      </c>
      <c r="F14" s="107" t="s">
        <v>17</v>
      </c>
      <c r="G14" s="108" t="s">
        <v>404</v>
      </c>
      <c r="H14" s="108">
        <v>2995</v>
      </c>
      <c r="I14" s="108">
        <f t="shared" ref="I14:I24" si="2">(H14*G14)</f>
        <v>47920</v>
      </c>
      <c r="J14" s="108">
        <v>0</v>
      </c>
      <c r="K14" s="108">
        <f t="shared" ref="K14:K24" si="3">ROUND(I14-((I14*J14)/100),2)</f>
        <v>47920</v>
      </c>
      <c r="L14" s="106"/>
    </row>
    <row r="15" spans="1:12" s="109" customFormat="1" ht="12.75" customHeight="1" x14ac:dyDescent="0.2">
      <c r="A15" s="108" t="s">
        <v>59</v>
      </c>
      <c r="B15" s="110" t="s">
        <v>20</v>
      </c>
      <c r="C15" s="106" t="s">
        <v>21</v>
      </c>
      <c r="D15" s="107" t="s">
        <v>15</v>
      </c>
      <c r="E15" s="107" t="s">
        <v>16</v>
      </c>
      <c r="F15" s="107" t="s">
        <v>17</v>
      </c>
      <c r="G15" s="108" t="s">
        <v>348</v>
      </c>
      <c r="H15" s="108">
        <v>4767</v>
      </c>
      <c r="I15" s="108">
        <f t="shared" si="2"/>
        <v>152544</v>
      </c>
      <c r="J15" s="108">
        <v>0</v>
      </c>
      <c r="K15" s="108">
        <f t="shared" si="3"/>
        <v>152544</v>
      </c>
      <c r="L15" s="106"/>
    </row>
    <row r="16" spans="1:12" s="109" customFormat="1" ht="12.75" customHeight="1" x14ac:dyDescent="0.2">
      <c r="A16" s="108" t="s">
        <v>61</v>
      </c>
      <c r="B16" s="110" t="s">
        <v>24</v>
      </c>
      <c r="C16" s="106" t="s">
        <v>25</v>
      </c>
      <c r="D16" s="107" t="s">
        <v>15</v>
      </c>
      <c r="E16" s="107" t="s">
        <v>16</v>
      </c>
      <c r="F16" s="107" t="s">
        <v>17</v>
      </c>
      <c r="G16" s="108" t="s">
        <v>410</v>
      </c>
      <c r="H16" s="108">
        <v>725</v>
      </c>
      <c r="I16" s="108">
        <f t="shared" si="2"/>
        <v>92800</v>
      </c>
      <c r="J16" s="108">
        <v>0</v>
      </c>
      <c r="K16" s="108">
        <f t="shared" si="3"/>
        <v>92800</v>
      </c>
      <c r="L16" s="106"/>
    </row>
    <row r="17" spans="1:12" s="109" customFormat="1" ht="12.75" customHeight="1" x14ac:dyDescent="0.2">
      <c r="A17" s="108" t="s">
        <v>63</v>
      </c>
      <c r="B17" s="110" t="s">
        <v>28</v>
      </c>
      <c r="C17" s="106" t="s">
        <v>29</v>
      </c>
      <c r="D17" s="107" t="s">
        <v>15</v>
      </c>
      <c r="E17" s="107" t="s">
        <v>16</v>
      </c>
      <c r="F17" s="107" t="s">
        <v>17</v>
      </c>
      <c r="G17" s="108" t="s">
        <v>404</v>
      </c>
      <c r="H17" s="108">
        <v>1499</v>
      </c>
      <c r="I17" s="108">
        <f t="shared" si="2"/>
        <v>23984</v>
      </c>
      <c r="J17" s="108">
        <v>0</v>
      </c>
      <c r="K17" s="108">
        <f t="shared" si="3"/>
        <v>23984</v>
      </c>
      <c r="L17" s="106"/>
    </row>
    <row r="18" spans="1:12" s="109" customFormat="1" ht="12.75" customHeight="1" x14ac:dyDescent="0.2">
      <c r="A18" s="108" t="s">
        <v>64</v>
      </c>
      <c r="B18" s="110" t="s">
        <v>31</v>
      </c>
      <c r="C18" s="106" t="s">
        <v>32</v>
      </c>
      <c r="D18" s="107" t="s">
        <v>15</v>
      </c>
      <c r="E18" s="107" t="s">
        <v>16</v>
      </c>
      <c r="F18" s="107" t="s">
        <v>33</v>
      </c>
      <c r="G18" s="108" t="s">
        <v>348</v>
      </c>
      <c r="H18" s="108">
        <v>0</v>
      </c>
      <c r="I18" s="108">
        <f t="shared" si="2"/>
        <v>0</v>
      </c>
      <c r="J18" s="108">
        <v>0</v>
      </c>
      <c r="K18" s="108">
        <f t="shared" si="3"/>
        <v>0</v>
      </c>
      <c r="L18" s="106"/>
    </row>
    <row r="19" spans="1:12" s="109" customFormat="1" ht="12.75" customHeight="1" x14ac:dyDescent="0.2">
      <c r="A19" s="108" t="s">
        <v>65</v>
      </c>
      <c r="B19" s="110" t="s">
        <v>35</v>
      </c>
      <c r="C19" s="106" t="s">
        <v>36</v>
      </c>
      <c r="D19" s="107" t="s">
        <v>15</v>
      </c>
      <c r="E19" s="107" t="s">
        <v>16</v>
      </c>
      <c r="F19" s="107" t="s">
        <v>33</v>
      </c>
      <c r="G19" s="108" t="s">
        <v>404</v>
      </c>
      <c r="H19" s="108">
        <v>0</v>
      </c>
      <c r="I19" s="108">
        <f t="shared" si="2"/>
        <v>0</v>
      </c>
      <c r="J19" s="108">
        <v>0</v>
      </c>
      <c r="K19" s="108">
        <f t="shared" si="3"/>
        <v>0</v>
      </c>
      <c r="L19" s="106"/>
    </row>
    <row r="20" spans="1:12" s="109" customFormat="1" ht="12.75" customHeight="1" x14ac:dyDescent="0.2">
      <c r="A20" s="108" t="s">
        <v>66</v>
      </c>
      <c r="B20" s="110" t="s">
        <v>38</v>
      </c>
      <c r="C20" s="106" t="s">
        <v>39</v>
      </c>
      <c r="D20" s="107" t="s">
        <v>15</v>
      </c>
      <c r="E20" s="107" t="s">
        <v>16</v>
      </c>
      <c r="F20" s="107" t="s">
        <v>33</v>
      </c>
      <c r="G20" s="108" t="s">
        <v>404</v>
      </c>
      <c r="H20" s="108">
        <v>0</v>
      </c>
      <c r="I20" s="108">
        <f t="shared" si="2"/>
        <v>0</v>
      </c>
      <c r="J20" s="108">
        <v>0</v>
      </c>
      <c r="K20" s="108">
        <f t="shared" si="3"/>
        <v>0</v>
      </c>
      <c r="L20" s="106"/>
    </row>
    <row r="21" spans="1:12" s="109" customFormat="1" ht="12.75" customHeight="1" x14ac:dyDescent="0.2">
      <c r="A21" s="108" t="s">
        <v>67</v>
      </c>
      <c r="B21" s="110" t="s">
        <v>41</v>
      </c>
      <c r="C21" s="106" t="s">
        <v>42</v>
      </c>
      <c r="D21" s="107" t="s">
        <v>15</v>
      </c>
      <c r="E21" s="107" t="s">
        <v>16</v>
      </c>
      <c r="F21" s="107" t="s">
        <v>17</v>
      </c>
      <c r="G21" s="108" t="s">
        <v>404</v>
      </c>
      <c r="H21" s="108">
        <v>0</v>
      </c>
      <c r="I21" s="108">
        <f t="shared" si="2"/>
        <v>0</v>
      </c>
      <c r="J21" s="108">
        <v>0</v>
      </c>
      <c r="K21" s="108">
        <f t="shared" si="3"/>
        <v>0</v>
      </c>
      <c r="L21" s="106"/>
    </row>
    <row r="22" spans="1:12" s="109" customFormat="1" ht="12.75" customHeight="1" x14ac:dyDescent="0.2">
      <c r="A22" s="108" t="s">
        <v>409</v>
      </c>
      <c r="B22" s="110" t="s">
        <v>408</v>
      </c>
      <c r="C22" s="106" t="s">
        <v>407</v>
      </c>
      <c r="D22" s="107" t="s">
        <v>15</v>
      </c>
      <c r="E22" s="107" t="s">
        <v>16</v>
      </c>
      <c r="F22" s="107" t="s">
        <v>17</v>
      </c>
      <c r="G22" s="108" t="s">
        <v>348</v>
      </c>
      <c r="H22" s="108">
        <v>1855.36</v>
      </c>
      <c r="I22" s="108">
        <f t="shared" si="2"/>
        <v>59371.519999999997</v>
      </c>
      <c r="J22" s="108">
        <v>0</v>
      </c>
      <c r="K22" s="108">
        <f t="shared" si="3"/>
        <v>59371.519999999997</v>
      </c>
      <c r="L22" s="106"/>
    </row>
    <row r="23" spans="1:12" s="109" customFormat="1" ht="12.75" customHeight="1" x14ac:dyDescent="0.2">
      <c r="A23" s="108" t="s">
        <v>406</v>
      </c>
      <c r="B23" s="111" t="s">
        <v>405</v>
      </c>
      <c r="C23" s="106" t="s">
        <v>48</v>
      </c>
      <c r="D23" s="107" t="s">
        <v>54</v>
      </c>
      <c r="E23" s="107" t="s">
        <v>15</v>
      </c>
      <c r="F23" s="107" t="s">
        <v>17</v>
      </c>
      <c r="G23" s="108" t="s">
        <v>348</v>
      </c>
      <c r="H23" s="108">
        <v>1724.76</v>
      </c>
      <c r="I23" s="108">
        <f t="shared" si="2"/>
        <v>55192.32</v>
      </c>
      <c r="J23" s="108">
        <v>0</v>
      </c>
      <c r="K23" s="108">
        <f t="shared" si="3"/>
        <v>55192.32</v>
      </c>
      <c r="L23" s="106" t="s">
        <v>50</v>
      </c>
    </row>
    <row r="24" spans="1:12" s="109" customFormat="1" ht="12.75" customHeight="1" x14ac:dyDescent="0.2">
      <c r="A24" s="108" t="s">
        <v>68</v>
      </c>
      <c r="B24" s="110" t="s">
        <v>52</v>
      </c>
      <c r="C24" s="106" t="s">
        <v>53</v>
      </c>
      <c r="D24" s="107" t="s">
        <v>54</v>
      </c>
      <c r="E24" s="107" t="s">
        <v>15</v>
      </c>
      <c r="F24" s="107" t="s">
        <v>17</v>
      </c>
      <c r="G24" s="108" t="s">
        <v>404</v>
      </c>
      <c r="H24" s="108">
        <v>952.2</v>
      </c>
      <c r="I24" s="108">
        <f t="shared" si="2"/>
        <v>15235.2</v>
      </c>
      <c r="J24" s="108">
        <v>0</v>
      </c>
      <c r="K24" s="108">
        <f t="shared" si="3"/>
        <v>15235.2</v>
      </c>
      <c r="L24" s="106" t="s">
        <v>50</v>
      </c>
    </row>
    <row r="25" spans="1:12" s="109" customFormat="1" ht="12.75" customHeight="1" x14ac:dyDescent="0.2">
      <c r="A25" s="112" t="s">
        <v>55</v>
      </c>
      <c r="B25" s="112" t="s">
        <v>55</v>
      </c>
      <c r="C25" s="112" t="s">
        <v>55</v>
      </c>
      <c r="D25" s="112" t="s">
        <v>55</v>
      </c>
      <c r="E25" s="112" t="s">
        <v>55</v>
      </c>
      <c r="F25" s="112" t="s">
        <v>55</v>
      </c>
      <c r="G25" s="112" t="s">
        <v>55</v>
      </c>
      <c r="H25" s="112" t="s">
        <v>55</v>
      </c>
      <c r="I25" s="112" t="s">
        <v>55</v>
      </c>
      <c r="J25" s="113" t="s">
        <v>56</v>
      </c>
      <c r="K25" s="113">
        <f>(K14+K15+K16+K17+K18+K19+K20+K21+K22+K23+K24)</f>
        <v>447047.04000000004</v>
      </c>
      <c r="L25" s="113" t="s">
        <v>55</v>
      </c>
    </row>
    <row r="26" spans="1:12" s="109" customFormat="1" ht="12.75" customHeight="1" x14ac:dyDescent="0.2">
      <c r="A26" s="104" t="s">
        <v>69</v>
      </c>
      <c r="B26" s="105" t="s">
        <v>70</v>
      </c>
      <c r="C26" s="106" t="s">
        <v>71</v>
      </c>
      <c r="D26" s="107" t="s">
        <v>15</v>
      </c>
      <c r="E26" s="107" t="s">
        <v>16</v>
      </c>
      <c r="F26" s="107" t="s">
        <v>17</v>
      </c>
      <c r="G26" s="108" t="s">
        <v>213</v>
      </c>
      <c r="H26" s="108">
        <v>5999</v>
      </c>
      <c r="I26" s="108">
        <f t="shared" ref="I26:I37" si="4">(H26*G26)</f>
        <v>17997</v>
      </c>
      <c r="J26" s="108">
        <v>0</v>
      </c>
      <c r="K26" s="108">
        <f t="shared" ref="K26:K37" si="5">ROUND(I26-((I26*J26)/100),2)</f>
        <v>17997</v>
      </c>
      <c r="L26" s="106"/>
    </row>
    <row r="27" spans="1:12" s="109" customFormat="1" ht="12.75" customHeight="1" x14ac:dyDescent="0.2">
      <c r="A27" s="108" t="s">
        <v>73</v>
      </c>
      <c r="B27" s="110" t="s">
        <v>74</v>
      </c>
      <c r="C27" s="106" t="s">
        <v>75</v>
      </c>
      <c r="D27" s="107" t="s">
        <v>15</v>
      </c>
      <c r="E27" s="107" t="s">
        <v>16</v>
      </c>
      <c r="F27" s="107" t="s">
        <v>33</v>
      </c>
      <c r="G27" s="108" t="s">
        <v>213</v>
      </c>
      <c r="H27" s="108">
        <v>0</v>
      </c>
      <c r="I27" s="108">
        <f t="shared" si="4"/>
        <v>0</v>
      </c>
      <c r="J27" s="108">
        <v>0</v>
      </c>
      <c r="K27" s="108">
        <f t="shared" si="5"/>
        <v>0</v>
      </c>
      <c r="L27" s="106"/>
    </row>
    <row r="28" spans="1:12" s="109" customFormat="1" ht="12.75" customHeight="1" x14ac:dyDescent="0.2">
      <c r="A28" s="108" t="s">
        <v>76</v>
      </c>
      <c r="B28" s="110" t="s">
        <v>77</v>
      </c>
      <c r="C28" s="106" t="s">
        <v>78</v>
      </c>
      <c r="D28" s="107" t="s">
        <v>15</v>
      </c>
      <c r="E28" s="107" t="s">
        <v>16</v>
      </c>
      <c r="F28" s="107" t="s">
        <v>33</v>
      </c>
      <c r="G28" s="108" t="s">
        <v>213</v>
      </c>
      <c r="H28" s="108">
        <v>0</v>
      </c>
      <c r="I28" s="108">
        <f t="shared" si="4"/>
        <v>0</v>
      </c>
      <c r="J28" s="108">
        <v>0</v>
      </c>
      <c r="K28" s="108">
        <f t="shared" si="5"/>
        <v>0</v>
      </c>
      <c r="L28" s="106"/>
    </row>
    <row r="29" spans="1:12" s="109" customFormat="1" ht="12.75" customHeight="1" x14ac:dyDescent="0.2">
      <c r="A29" s="108" t="s">
        <v>79</v>
      </c>
      <c r="B29" s="110" t="s">
        <v>80</v>
      </c>
      <c r="C29" s="106" t="s">
        <v>81</v>
      </c>
      <c r="D29" s="107" t="s">
        <v>15</v>
      </c>
      <c r="E29" s="107" t="s">
        <v>16</v>
      </c>
      <c r="F29" s="107" t="s">
        <v>33</v>
      </c>
      <c r="G29" s="108" t="s">
        <v>213</v>
      </c>
      <c r="H29" s="108">
        <v>0</v>
      </c>
      <c r="I29" s="108">
        <f t="shared" si="4"/>
        <v>0</v>
      </c>
      <c r="J29" s="108">
        <v>0</v>
      </c>
      <c r="K29" s="108">
        <f t="shared" si="5"/>
        <v>0</v>
      </c>
      <c r="L29" s="106"/>
    </row>
    <row r="30" spans="1:12" s="109" customFormat="1" ht="12.75" customHeight="1" x14ac:dyDescent="0.2">
      <c r="A30" s="108" t="s">
        <v>82</v>
      </c>
      <c r="B30" s="110" t="s">
        <v>83</v>
      </c>
      <c r="C30" s="106" t="s">
        <v>84</v>
      </c>
      <c r="D30" s="107" t="s">
        <v>15</v>
      </c>
      <c r="E30" s="107" t="s">
        <v>16</v>
      </c>
      <c r="F30" s="107" t="s">
        <v>33</v>
      </c>
      <c r="G30" s="108" t="s">
        <v>264</v>
      </c>
      <c r="H30" s="108">
        <v>0</v>
      </c>
      <c r="I30" s="108">
        <f t="shared" si="4"/>
        <v>0</v>
      </c>
      <c r="J30" s="108">
        <v>0</v>
      </c>
      <c r="K30" s="108">
        <f t="shared" si="5"/>
        <v>0</v>
      </c>
      <c r="L30" s="106"/>
    </row>
    <row r="31" spans="1:12" s="109" customFormat="1" ht="12.75" customHeight="1" x14ac:dyDescent="0.2">
      <c r="A31" s="108" t="s">
        <v>86</v>
      </c>
      <c r="B31" s="110" t="s">
        <v>87</v>
      </c>
      <c r="C31" s="106" t="s">
        <v>88</v>
      </c>
      <c r="D31" s="107" t="s">
        <v>15</v>
      </c>
      <c r="E31" s="107" t="s">
        <v>16</v>
      </c>
      <c r="F31" s="107" t="s">
        <v>33</v>
      </c>
      <c r="G31" s="108" t="s">
        <v>264</v>
      </c>
      <c r="H31" s="108">
        <v>0</v>
      </c>
      <c r="I31" s="108">
        <f t="shared" si="4"/>
        <v>0</v>
      </c>
      <c r="J31" s="108">
        <v>0</v>
      </c>
      <c r="K31" s="108">
        <f t="shared" si="5"/>
        <v>0</v>
      </c>
      <c r="L31" s="106"/>
    </row>
    <row r="32" spans="1:12" s="109" customFormat="1" ht="12.75" customHeight="1" x14ac:dyDescent="0.2">
      <c r="A32" s="108" t="s">
        <v>89</v>
      </c>
      <c r="B32" s="110" t="s">
        <v>90</v>
      </c>
      <c r="C32" s="106" t="s">
        <v>91</v>
      </c>
      <c r="D32" s="107" t="s">
        <v>15</v>
      </c>
      <c r="E32" s="107" t="s">
        <v>16</v>
      </c>
      <c r="F32" s="107" t="s">
        <v>17</v>
      </c>
      <c r="G32" s="108" t="s">
        <v>230</v>
      </c>
      <c r="H32" s="108">
        <v>936</v>
      </c>
      <c r="I32" s="108">
        <f t="shared" si="4"/>
        <v>11232</v>
      </c>
      <c r="J32" s="108">
        <v>0</v>
      </c>
      <c r="K32" s="108">
        <f t="shared" si="5"/>
        <v>11232</v>
      </c>
      <c r="L32" s="106"/>
    </row>
    <row r="33" spans="1:12" s="109" customFormat="1" ht="12.75" customHeight="1" x14ac:dyDescent="0.2">
      <c r="A33" s="108" t="s">
        <v>93</v>
      </c>
      <c r="B33" s="110" t="s">
        <v>94</v>
      </c>
      <c r="C33" s="106" t="s">
        <v>95</v>
      </c>
      <c r="D33" s="107" t="s">
        <v>15</v>
      </c>
      <c r="E33" s="107" t="s">
        <v>96</v>
      </c>
      <c r="F33" s="107" t="s">
        <v>17</v>
      </c>
      <c r="G33" s="108" t="s">
        <v>230</v>
      </c>
      <c r="H33" s="108">
        <v>0</v>
      </c>
      <c r="I33" s="108">
        <f t="shared" si="4"/>
        <v>0</v>
      </c>
      <c r="J33" s="108">
        <v>0</v>
      </c>
      <c r="K33" s="108">
        <f t="shared" si="5"/>
        <v>0</v>
      </c>
      <c r="L33" s="106"/>
    </row>
    <row r="34" spans="1:12" s="109" customFormat="1" ht="12.75" customHeight="1" x14ac:dyDescent="0.2">
      <c r="A34" s="108" t="s">
        <v>97</v>
      </c>
      <c r="B34" s="110" t="s">
        <v>98</v>
      </c>
      <c r="C34" s="106" t="s">
        <v>99</v>
      </c>
      <c r="D34" s="107" t="s">
        <v>15</v>
      </c>
      <c r="E34" s="107" t="s">
        <v>16</v>
      </c>
      <c r="F34" s="107" t="s">
        <v>17</v>
      </c>
      <c r="G34" s="108" t="s">
        <v>213</v>
      </c>
      <c r="H34" s="108">
        <v>0</v>
      </c>
      <c r="I34" s="108">
        <f t="shared" si="4"/>
        <v>0</v>
      </c>
      <c r="J34" s="108">
        <v>0</v>
      </c>
      <c r="K34" s="108">
        <f t="shared" si="5"/>
        <v>0</v>
      </c>
      <c r="L34" s="106"/>
    </row>
    <row r="35" spans="1:12" s="109" customFormat="1" ht="12.75" customHeight="1" x14ac:dyDescent="0.2">
      <c r="A35" s="108" t="s">
        <v>100</v>
      </c>
      <c r="B35" s="110" t="s">
        <v>101</v>
      </c>
      <c r="C35" s="106" t="s">
        <v>102</v>
      </c>
      <c r="D35" s="107" t="s">
        <v>15</v>
      </c>
      <c r="E35" s="107" t="s">
        <v>16</v>
      </c>
      <c r="F35" s="107" t="s">
        <v>17</v>
      </c>
      <c r="G35" s="108" t="s">
        <v>192</v>
      </c>
      <c r="H35" s="108">
        <v>7800</v>
      </c>
      <c r="I35" s="108">
        <f t="shared" si="4"/>
        <v>46800</v>
      </c>
      <c r="J35" s="108">
        <v>0</v>
      </c>
      <c r="K35" s="108">
        <f t="shared" si="5"/>
        <v>46800</v>
      </c>
      <c r="L35" s="106"/>
    </row>
    <row r="36" spans="1:12" s="109" customFormat="1" ht="12.75" customHeight="1" x14ac:dyDescent="0.2">
      <c r="A36" s="108" t="s">
        <v>104</v>
      </c>
      <c r="B36" s="110" t="s">
        <v>105</v>
      </c>
      <c r="C36" s="106" t="s">
        <v>106</v>
      </c>
      <c r="D36" s="107" t="s">
        <v>15</v>
      </c>
      <c r="E36" s="107" t="s">
        <v>107</v>
      </c>
      <c r="F36" s="107" t="s">
        <v>33</v>
      </c>
      <c r="G36" s="108" t="s">
        <v>403</v>
      </c>
      <c r="H36" s="108">
        <v>0</v>
      </c>
      <c r="I36" s="108">
        <f t="shared" si="4"/>
        <v>0</v>
      </c>
      <c r="J36" s="108">
        <v>0</v>
      </c>
      <c r="K36" s="108">
        <f t="shared" si="5"/>
        <v>0</v>
      </c>
      <c r="L36" s="106"/>
    </row>
    <row r="37" spans="1:12" s="109" customFormat="1" ht="12.75" customHeight="1" x14ac:dyDescent="0.2">
      <c r="A37" s="108" t="s">
        <v>109</v>
      </c>
      <c r="B37" s="110" t="s">
        <v>110</v>
      </c>
      <c r="C37" s="106" t="s">
        <v>111</v>
      </c>
      <c r="D37" s="107" t="s">
        <v>54</v>
      </c>
      <c r="E37" s="107" t="s">
        <v>15</v>
      </c>
      <c r="F37" s="107" t="s">
        <v>17</v>
      </c>
      <c r="G37" s="108" t="s">
        <v>213</v>
      </c>
      <c r="H37" s="108">
        <v>296.7</v>
      </c>
      <c r="I37" s="108">
        <f t="shared" si="4"/>
        <v>890.09999999999991</v>
      </c>
      <c r="J37" s="108">
        <v>0</v>
      </c>
      <c r="K37" s="108">
        <f t="shared" si="5"/>
        <v>890.1</v>
      </c>
      <c r="L37" s="106" t="s">
        <v>50</v>
      </c>
    </row>
    <row r="38" spans="1:12" s="109" customFormat="1" ht="12.75" customHeight="1" x14ac:dyDescent="0.2">
      <c r="A38" s="112" t="s">
        <v>55</v>
      </c>
      <c r="B38" s="112" t="s">
        <v>55</v>
      </c>
      <c r="C38" s="112" t="s">
        <v>55</v>
      </c>
      <c r="D38" s="112" t="s">
        <v>55</v>
      </c>
      <c r="E38" s="112" t="s">
        <v>55</v>
      </c>
      <c r="F38" s="112" t="s">
        <v>55</v>
      </c>
      <c r="G38" s="112" t="s">
        <v>55</v>
      </c>
      <c r="H38" s="112" t="s">
        <v>55</v>
      </c>
      <c r="I38" s="112" t="s">
        <v>55</v>
      </c>
      <c r="J38" s="113" t="s">
        <v>56</v>
      </c>
      <c r="K38" s="113">
        <f>(K26+K27+K28+K29+K30+K31+K32+K33+K34+K35+K36+K37)</f>
        <v>76919.100000000006</v>
      </c>
      <c r="L38" s="113" t="s">
        <v>55</v>
      </c>
    </row>
    <row r="39" spans="1:12" s="109" customFormat="1" ht="12.75" customHeight="1" x14ac:dyDescent="0.2">
      <c r="A39" s="104" t="s">
        <v>112</v>
      </c>
      <c r="B39" s="105" t="s">
        <v>113</v>
      </c>
      <c r="C39" s="106" t="s">
        <v>114</v>
      </c>
      <c r="D39" s="107" t="s">
        <v>15</v>
      </c>
      <c r="E39" s="107" t="s">
        <v>16</v>
      </c>
      <c r="F39" s="107" t="s">
        <v>17</v>
      </c>
      <c r="G39" s="108" t="s">
        <v>115</v>
      </c>
      <c r="H39" s="108">
        <v>48000</v>
      </c>
      <c r="I39" s="108">
        <f t="shared" ref="I39:I50" si="6">(H39*G39)</f>
        <v>96000</v>
      </c>
      <c r="J39" s="108">
        <v>0</v>
      </c>
      <c r="K39" s="108">
        <f t="shared" ref="K39:K50" si="7">ROUND(I39-((I39*J39)/100),2)</f>
        <v>96000</v>
      </c>
      <c r="L39" s="106"/>
    </row>
    <row r="40" spans="1:12" s="109" customFormat="1" ht="12.75" customHeight="1" x14ac:dyDescent="0.2">
      <c r="A40" s="108" t="s">
        <v>116</v>
      </c>
      <c r="B40" s="110" t="s">
        <v>148</v>
      </c>
      <c r="C40" s="106" t="s">
        <v>149</v>
      </c>
      <c r="D40" s="107" t="s">
        <v>15</v>
      </c>
      <c r="E40" s="107" t="s">
        <v>107</v>
      </c>
      <c r="F40" s="107" t="s">
        <v>17</v>
      </c>
      <c r="G40" s="108" t="s">
        <v>135</v>
      </c>
      <c r="H40" s="108">
        <v>995</v>
      </c>
      <c r="I40" s="108">
        <f t="shared" si="6"/>
        <v>7960</v>
      </c>
      <c r="J40" s="108">
        <v>0</v>
      </c>
      <c r="K40" s="108">
        <f t="shared" si="7"/>
        <v>7960</v>
      </c>
      <c r="L40" s="106"/>
    </row>
    <row r="41" spans="1:12" s="109" customFormat="1" ht="12.75" customHeight="1" x14ac:dyDescent="0.2">
      <c r="A41" s="108" t="s">
        <v>119</v>
      </c>
      <c r="B41" s="110" t="s">
        <v>151</v>
      </c>
      <c r="C41" s="106" t="s">
        <v>152</v>
      </c>
      <c r="D41" s="107" t="s">
        <v>15</v>
      </c>
      <c r="E41" s="107" t="s">
        <v>96</v>
      </c>
      <c r="F41" s="107" t="s">
        <v>17</v>
      </c>
      <c r="G41" s="108" t="s">
        <v>135</v>
      </c>
      <c r="H41" s="108">
        <v>260</v>
      </c>
      <c r="I41" s="108">
        <f t="shared" si="6"/>
        <v>2080</v>
      </c>
      <c r="J41" s="108">
        <v>0</v>
      </c>
      <c r="K41" s="108">
        <f t="shared" si="7"/>
        <v>2080</v>
      </c>
      <c r="L41" s="106"/>
    </row>
    <row r="42" spans="1:12" s="109" customFormat="1" ht="12.75" customHeight="1" x14ac:dyDescent="0.2">
      <c r="A42" s="108" t="s">
        <v>123</v>
      </c>
      <c r="B42" s="110" t="s">
        <v>117</v>
      </c>
      <c r="C42" s="106" t="s">
        <v>118</v>
      </c>
      <c r="D42" s="107" t="s">
        <v>15</v>
      </c>
      <c r="E42" s="107" t="s">
        <v>16</v>
      </c>
      <c r="F42" s="107" t="s">
        <v>33</v>
      </c>
      <c r="G42" s="108" t="s">
        <v>115</v>
      </c>
      <c r="H42" s="108">
        <v>0</v>
      </c>
      <c r="I42" s="108">
        <f t="shared" si="6"/>
        <v>0</v>
      </c>
      <c r="J42" s="108">
        <v>0</v>
      </c>
      <c r="K42" s="108">
        <f t="shared" si="7"/>
        <v>0</v>
      </c>
      <c r="L42" s="106"/>
    </row>
    <row r="43" spans="1:12" s="109" customFormat="1" ht="12.75" customHeight="1" x14ac:dyDescent="0.2">
      <c r="A43" s="108" t="s">
        <v>129</v>
      </c>
      <c r="B43" s="110" t="s">
        <v>120</v>
      </c>
      <c r="C43" s="106" t="s">
        <v>121</v>
      </c>
      <c r="D43" s="107" t="s">
        <v>15</v>
      </c>
      <c r="E43" s="107" t="s">
        <v>16</v>
      </c>
      <c r="F43" s="107" t="s">
        <v>17</v>
      </c>
      <c r="G43" s="108" t="s">
        <v>122</v>
      </c>
      <c r="H43" s="108">
        <v>2000</v>
      </c>
      <c r="I43" s="108">
        <f t="shared" si="6"/>
        <v>8000</v>
      </c>
      <c r="J43" s="108">
        <v>0</v>
      </c>
      <c r="K43" s="108">
        <f t="shared" si="7"/>
        <v>8000</v>
      </c>
      <c r="L43" s="106"/>
    </row>
    <row r="44" spans="1:12" s="109" customFormat="1" ht="12.75" customHeight="1" x14ac:dyDescent="0.2">
      <c r="A44" s="108" t="s">
        <v>132</v>
      </c>
      <c r="B44" s="110" t="s">
        <v>130</v>
      </c>
      <c r="C44" s="106" t="s">
        <v>131</v>
      </c>
      <c r="D44" s="107" t="s">
        <v>15</v>
      </c>
      <c r="E44" s="107" t="s">
        <v>16</v>
      </c>
      <c r="F44" s="107" t="s">
        <v>17</v>
      </c>
      <c r="G44" s="108" t="s">
        <v>115</v>
      </c>
      <c r="H44" s="108">
        <v>0</v>
      </c>
      <c r="I44" s="108">
        <f t="shared" si="6"/>
        <v>0</v>
      </c>
      <c r="J44" s="108">
        <v>0</v>
      </c>
      <c r="K44" s="108">
        <f t="shared" si="7"/>
        <v>0</v>
      </c>
      <c r="L44" s="106"/>
    </row>
    <row r="45" spans="1:12" s="109" customFormat="1" ht="12.75" customHeight="1" x14ac:dyDescent="0.2">
      <c r="A45" s="108" t="s">
        <v>136</v>
      </c>
      <c r="B45" s="110" t="s">
        <v>133</v>
      </c>
      <c r="C45" s="106" t="s">
        <v>134</v>
      </c>
      <c r="D45" s="107" t="s">
        <v>15</v>
      </c>
      <c r="E45" s="107" t="s">
        <v>16</v>
      </c>
      <c r="F45" s="107" t="s">
        <v>33</v>
      </c>
      <c r="G45" s="108" t="s">
        <v>135</v>
      </c>
      <c r="H45" s="108">
        <v>0</v>
      </c>
      <c r="I45" s="108">
        <f t="shared" si="6"/>
        <v>0</v>
      </c>
      <c r="J45" s="108">
        <v>0</v>
      </c>
      <c r="K45" s="108">
        <f t="shared" si="7"/>
        <v>0</v>
      </c>
      <c r="L45" s="106"/>
    </row>
    <row r="46" spans="1:12" s="109" customFormat="1" ht="12.75" customHeight="1" x14ac:dyDescent="0.2">
      <c r="A46" s="108" t="s">
        <v>139</v>
      </c>
      <c r="B46" s="110" t="s">
        <v>137</v>
      </c>
      <c r="C46" s="106" t="s">
        <v>138</v>
      </c>
      <c r="D46" s="107" t="s">
        <v>15</v>
      </c>
      <c r="E46" s="107" t="s">
        <v>96</v>
      </c>
      <c r="F46" s="107" t="s">
        <v>17</v>
      </c>
      <c r="G46" s="108" t="s">
        <v>122</v>
      </c>
      <c r="H46" s="108">
        <v>0</v>
      </c>
      <c r="I46" s="108">
        <f t="shared" si="6"/>
        <v>0</v>
      </c>
      <c r="J46" s="108">
        <v>0</v>
      </c>
      <c r="K46" s="108">
        <f t="shared" si="7"/>
        <v>0</v>
      </c>
      <c r="L46" s="106"/>
    </row>
    <row r="47" spans="1:12" s="109" customFormat="1" ht="12.75" customHeight="1" x14ac:dyDescent="0.2">
      <c r="A47" s="108" t="s">
        <v>153</v>
      </c>
      <c r="B47" s="110" t="s">
        <v>154</v>
      </c>
      <c r="C47" s="106" t="s">
        <v>155</v>
      </c>
      <c r="D47" s="107" t="s">
        <v>54</v>
      </c>
      <c r="E47" s="107" t="s">
        <v>15</v>
      </c>
      <c r="F47" s="107" t="s">
        <v>17</v>
      </c>
      <c r="G47" s="108" t="s">
        <v>115</v>
      </c>
      <c r="H47" s="108">
        <v>4957.6499999999996</v>
      </c>
      <c r="I47" s="108">
        <f t="shared" si="6"/>
        <v>9915.2999999999993</v>
      </c>
      <c r="J47" s="108">
        <v>0</v>
      </c>
      <c r="K47" s="108">
        <f t="shared" si="7"/>
        <v>9915.2999999999993</v>
      </c>
      <c r="L47" s="106" t="s">
        <v>50</v>
      </c>
    </row>
    <row r="48" spans="1:12" s="109" customFormat="1" ht="12.75" customHeight="1" x14ac:dyDescent="0.2">
      <c r="A48" s="108" t="s">
        <v>141</v>
      </c>
      <c r="B48" s="110" t="s">
        <v>124</v>
      </c>
      <c r="C48" s="106" t="s">
        <v>125</v>
      </c>
      <c r="D48" s="107" t="s">
        <v>15</v>
      </c>
      <c r="E48" s="107" t="s">
        <v>16</v>
      </c>
      <c r="F48" s="107" t="s">
        <v>17</v>
      </c>
      <c r="G48" s="108" t="s">
        <v>115</v>
      </c>
      <c r="H48" s="108">
        <v>16000</v>
      </c>
      <c r="I48" s="108">
        <f t="shared" si="6"/>
        <v>32000</v>
      </c>
      <c r="J48" s="108">
        <v>0</v>
      </c>
      <c r="K48" s="108">
        <f t="shared" si="7"/>
        <v>32000</v>
      </c>
      <c r="L48" s="106"/>
    </row>
    <row r="49" spans="1:13" s="109" customFormat="1" ht="12.75" customHeight="1" x14ac:dyDescent="0.2">
      <c r="A49" s="108" t="s">
        <v>143</v>
      </c>
      <c r="B49" s="110" t="s">
        <v>124</v>
      </c>
      <c r="C49" s="106" t="s">
        <v>125</v>
      </c>
      <c r="D49" s="107" t="s">
        <v>15</v>
      </c>
      <c r="E49" s="107" t="s">
        <v>16</v>
      </c>
      <c r="F49" s="107" t="s">
        <v>17</v>
      </c>
      <c r="G49" s="108" t="s">
        <v>115</v>
      </c>
      <c r="H49" s="108">
        <v>16000</v>
      </c>
      <c r="I49" s="108">
        <f t="shared" si="6"/>
        <v>32000</v>
      </c>
      <c r="J49" s="108">
        <v>0</v>
      </c>
      <c r="K49" s="108">
        <f t="shared" si="7"/>
        <v>32000</v>
      </c>
      <c r="L49" s="106"/>
    </row>
    <row r="50" spans="1:13" s="109" customFormat="1" ht="12.75" customHeight="1" x14ac:dyDescent="0.2">
      <c r="A50" s="108" t="s">
        <v>147</v>
      </c>
      <c r="B50" s="110" t="s">
        <v>124</v>
      </c>
      <c r="C50" s="106" t="s">
        <v>125</v>
      </c>
      <c r="D50" s="107" t="s">
        <v>15</v>
      </c>
      <c r="E50" s="107" t="s">
        <v>16</v>
      </c>
      <c r="F50" s="107" t="s">
        <v>17</v>
      </c>
      <c r="G50" s="108" t="s">
        <v>115</v>
      </c>
      <c r="H50" s="108">
        <v>16000</v>
      </c>
      <c r="I50" s="108">
        <f t="shared" si="6"/>
        <v>32000</v>
      </c>
      <c r="J50" s="108">
        <v>0</v>
      </c>
      <c r="K50" s="108">
        <f t="shared" si="7"/>
        <v>32000</v>
      </c>
      <c r="L50" s="106"/>
    </row>
    <row r="51" spans="1:13" ht="12.75" customHeight="1" x14ac:dyDescent="0.2">
      <c r="A51" s="6" t="s">
        <v>55</v>
      </c>
      <c r="B51" s="6" t="s">
        <v>55</v>
      </c>
      <c r="C51" s="6" t="s">
        <v>55</v>
      </c>
      <c r="D51" s="6" t="s">
        <v>55</v>
      </c>
      <c r="E51" s="6" t="s">
        <v>55</v>
      </c>
      <c r="F51" s="6" t="s">
        <v>55</v>
      </c>
      <c r="G51" s="6" t="s">
        <v>55</v>
      </c>
      <c r="H51" s="6" t="s">
        <v>55</v>
      </c>
      <c r="I51" s="6" t="s">
        <v>55</v>
      </c>
      <c r="J51" s="5" t="s">
        <v>56</v>
      </c>
      <c r="K51" s="5">
        <f>(K39+K40+K41+K42+K43+K44+K45+K46+K47+K48+K49+K50)</f>
        <v>219955.3</v>
      </c>
      <c r="L51" s="5" t="s">
        <v>55</v>
      </c>
    </row>
    <row r="52" spans="1:13" s="126" customFormat="1" ht="12.75" customHeight="1" x14ac:dyDescent="0.2">
      <c r="A52" s="121" t="s">
        <v>156</v>
      </c>
      <c r="B52" s="122" t="s">
        <v>402</v>
      </c>
      <c r="C52" s="123" t="s">
        <v>401</v>
      </c>
      <c r="D52" s="124" t="s">
        <v>15</v>
      </c>
      <c r="E52" s="124" t="s">
        <v>16</v>
      </c>
      <c r="F52" s="124" t="s">
        <v>17</v>
      </c>
      <c r="G52" s="125" t="s">
        <v>192</v>
      </c>
      <c r="H52" s="125">
        <v>3995</v>
      </c>
      <c r="I52" s="125">
        <f t="shared" ref="I52:I66" si="8">(H52*G52)</f>
        <v>23970</v>
      </c>
      <c r="J52" s="125">
        <v>0</v>
      </c>
      <c r="K52" s="125">
        <f t="shared" ref="K52:K66" si="9">ROUND(I52-((I52*J52)/100),2)</f>
        <v>23970</v>
      </c>
      <c r="L52" s="123"/>
      <c r="M52" s="126" t="s">
        <v>558</v>
      </c>
    </row>
    <row r="53" spans="1:13" s="126" customFormat="1" ht="12.75" customHeight="1" x14ac:dyDescent="0.2">
      <c r="A53" s="125" t="s">
        <v>159</v>
      </c>
      <c r="B53" s="127" t="s">
        <v>400</v>
      </c>
      <c r="C53" s="123" t="s">
        <v>399</v>
      </c>
      <c r="D53" s="124" t="s">
        <v>15</v>
      </c>
      <c r="E53" s="124" t="s">
        <v>16</v>
      </c>
      <c r="F53" s="124" t="s">
        <v>17</v>
      </c>
      <c r="G53" s="125" t="s">
        <v>230</v>
      </c>
      <c r="H53" s="125">
        <v>5259</v>
      </c>
      <c r="I53" s="125">
        <f t="shared" si="8"/>
        <v>63108</v>
      </c>
      <c r="J53" s="125">
        <v>0</v>
      </c>
      <c r="K53" s="125">
        <f t="shared" si="9"/>
        <v>63108</v>
      </c>
      <c r="L53" s="123"/>
    </row>
    <row r="54" spans="1:13" s="126" customFormat="1" ht="12.75" customHeight="1" x14ac:dyDescent="0.2">
      <c r="A54" s="125" t="s">
        <v>162</v>
      </c>
      <c r="B54" s="127" t="s">
        <v>24</v>
      </c>
      <c r="C54" s="123" t="s">
        <v>25</v>
      </c>
      <c r="D54" s="124" t="s">
        <v>15</v>
      </c>
      <c r="E54" s="124" t="s">
        <v>16</v>
      </c>
      <c r="F54" s="124" t="s">
        <v>17</v>
      </c>
      <c r="G54" s="125" t="s">
        <v>398</v>
      </c>
      <c r="H54" s="125">
        <v>725</v>
      </c>
      <c r="I54" s="125">
        <f t="shared" si="8"/>
        <v>69600</v>
      </c>
      <c r="J54" s="125">
        <v>0</v>
      </c>
      <c r="K54" s="125">
        <f t="shared" si="9"/>
        <v>69600</v>
      </c>
      <c r="L54" s="123"/>
    </row>
    <row r="55" spans="1:13" s="126" customFormat="1" ht="12.75" customHeight="1" x14ac:dyDescent="0.2">
      <c r="A55" s="125" t="s">
        <v>165</v>
      </c>
      <c r="B55" s="127" t="s">
        <v>397</v>
      </c>
      <c r="C55" s="123" t="s">
        <v>396</v>
      </c>
      <c r="D55" s="124" t="s">
        <v>15</v>
      </c>
      <c r="E55" s="124" t="s">
        <v>16</v>
      </c>
      <c r="F55" s="124" t="s">
        <v>17</v>
      </c>
      <c r="G55" s="125" t="s">
        <v>192</v>
      </c>
      <c r="H55" s="125">
        <v>1499</v>
      </c>
      <c r="I55" s="125">
        <f t="shared" si="8"/>
        <v>8994</v>
      </c>
      <c r="J55" s="125">
        <v>0</v>
      </c>
      <c r="K55" s="125">
        <f t="shared" si="9"/>
        <v>8994</v>
      </c>
      <c r="L55" s="123"/>
    </row>
    <row r="56" spans="1:13" s="126" customFormat="1" ht="12.75" customHeight="1" x14ac:dyDescent="0.2">
      <c r="A56" s="125" t="s">
        <v>168</v>
      </c>
      <c r="B56" s="127" t="s">
        <v>395</v>
      </c>
      <c r="C56" s="123" t="s">
        <v>394</v>
      </c>
      <c r="D56" s="124" t="s">
        <v>15</v>
      </c>
      <c r="E56" s="124" t="s">
        <v>16</v>
      </c>
      <c r="F56" s="124" t="s">
        <v>17</v>
      </c>
      <c r="G56" s="125" t="s">
        <v>230</v>
      </c>
      <c r="H56" s="125">
        <v>632</v>
      </c>
      <c r="I56" s="125">
        <f t="shared" si="8"/>
        <v>7584</v>
      </c>
      <c r="J56" s="125">
        <v>0</v>
      </c>
      <c r="K56" s="125">
        <f t="shared" si="9"/>
        <v>7584</v>
      </c>
      <c r="L56" s="123"/>
    </row>
    <row r="57" spans="1:13" s="126" customFormat="1" ht="12.75" customHeight="1" x14ac:dyDescent="0.2">
      <c r="A57" s="125" t="s">
        <v>169</v>
      </c>
      <c r="B57" s="127" t="s">
        <v>137</v>
      </c>
      <c r="C57" s="123" t="s">
        <v>138</v>
      </c>
      <c r="D57" s="124" t="s">
        <v>15</v>
      </c>
      <c r="E57" s="124" t="s">
        <v>96</v>
      </c>
      <c r="F57" s="124" t="s">
        <v>17</v>
      </c>
      <c r="G57" s="125" t="s">
        <v>230</v>
      </c>
      <c r="H57" s="125">
        <v>0</v>
      </c>
      <c r="I57" s="125">
        <f t="shared" si="8"/>
        <v>0</v>
      </c>
      <c r="J57" s="125">
        <v>0</v>
      </c>
      <c r="K57" s="125">
        <f t="shared" si="9"/>
        <v>0</v>
      </c>
      <c r="L57" s="123"/>
    </row>
    <row r="58" spans="1:13" s="126" customFormat="1" ht="12.75" customHeight="1" x14ac:dyDescent="0.2">
      <c r="A58" s="125" t="s">
        <v>172</v>
      </c>
      <c r="B58" s="127" t="s">
        <v>393</v>
      </c>
      <c r="C58" s="123" t="s">
        <v>392</v>
      </c>
      <c r="D58" s="124" t="s">
        <v>15</v>
      </c>
      <c r="E58" s="124" t="s">
        <v>16</v>
      </c>
      <c r="F58" s="124" t="s">
        <v>17</v>
      </c>
      <c r="G58" s="125" t="s">
        <v>192</v>
      </c>
      <c r="H58" s="125">
        <v>220</v>
      </c>
      <c r="I58" s="125">
        <f t="shared" si="8"/>
        <v>1320</v>
      </c>
      <c r="J58" s="125">
        <v>0</v>
      </c>
      <c r="K58" s="125">
        <f t="shared" si="9"/>
        <v>1320</v>
      </c>
      <c r="L58" s="123"/>
    </row>
    <row r="59" spans="1:13" s="126" customFormat="1" ht="12.75" customHeight="1" x14ac:dyDescent="0.2">
      <c r="A59" s="125" t="s">
        <v>175</v>
      </c>
      <c r="B59" s="127" t="s">
        <v>391</v>
      </c>
      <c r="C59" s="123" t="s">
        <v>390</v>
      </c>
      <c r="D59" s="124" t="s">
        <v>15</v>
      </c>
      <c r="E59" s="124" t="s">
        <v>16</v>
      </c>
      <c r="F59" s="124" t="s">
        <v>17</v>
      </c>
      <c r="G59" s="125" t="s">
        <v>192</v>
      </c>
      <c r="H59" s="125">
        <v>85</v>
      </c>
      <c r="I59" s="125">
        <f t="shared" si="8"/>
        <v>510</v>
      </c>
      <c r="J59" s="125">
        <v>0</v>
      </c>
      <c r="K59" s="125">
        <f t="shared" si="9"/>
        <v>510</v>
      </c>
      <c r="L59" s="123"/>
    </row>
    <row r="60" spans="1:13" s="126" customFormat="1" ht="12.75" customHeight="1" x14ac:dyDescent="0.2">
      <c r="A60" s="125" t="s">
        <v>389</v>
      </c>
      <c r="B60" s="127" t="s">
        <v>388</v>
      </c>
      <c r="C60" s="123" t="s">
        <v>387</v>
      </c>
      <c r="D60" s="124" t="s">
        <v>15</v>
      </c>
      <c r="E60" s="124" t="s">
        <v>16</v>
      </c>
      <c r="F60" s="124" t="s">
        <v>33</v>
      </c>
      <c r="G60" s="125" t="s">
        <v>192</v>
      </c>
      <c r="H60" s="125">
        <v>0</v>
      </c>
      <c r="I60" s="125">
        <f t="shared" si="8"/>
        <v>0</v>
      </c>
      <c r="J60" s="125">
        <v>0</v>
      </c>
      <c r="K60" s="125">
        <f t="shared" si="9"/>
        <v>0</v>
      </c>
      <c r="L60" s="123"/>
    </row>
    <row r="61" spans="1:13" s="126" customFormat="1" ht="12.75" customHeight="1" x14ac:dyDescent="0.2">
      <c r="A61" s="125" t="s">
        <v>386</v>
      </c>
      <c r="B61" s="127" t="s">
        <v>385</v>
      </c>
      <c r="C61" s="123" t="s">
        <v>384</v>
      </c>
      <c r="D61" s="124" t="s">
        <v>15</v>
      </c>
      <c r="E61" s="124" t="s">
        <v>16</v>
      </c>
      <c r="F61" s="124" t="s">
        <v>33</v>
      </c>
      <c r="G61" s="125" t="s">
        <v>230</v>
      </c>
      <c r="H61" s="125">
        <v>0</v>
      </c>
      <c r="I61" s="125">
        <f t="shared" si="8"/>
        <v>0</v>
      </c>
      <c r="J61" s="125">
        <v>0</v>
      </c>
      <c r="K61" s="125">
        <f t="shared" si="9"/>
        <v>0</v>
      </c>
      <c r="L61" s="123"/>
    </row>
    <row r="62" spans="1:13" s="126" customFormat="1" ht="12.75" customHeight="1" x14ac:dyDescent="0.2">
      <c r="A62" s="125" t="s">
        <v>383</v>
      </c>
      <c r="B62" s="127" t="s">
        <v>382</v>
      </c>
      <c r="C62" s="123" t="s">
        <v>381</v>
      </c>
      <c r="D62" s="124" t="s">
        <v>15</v>
      </c>
      <c r="E62" s="124" t="s">
        <v>16</v>
      </c>
      <c r="F62" s="124" t="s">
        <v>33</v>
      </c>
      <c r="G62" s="125" t="s">
        <v>85</v>
      </c>
      <c r="H62" s="125">
        <v>0</v>
      </c>
      <c r="I62" s="125">
        <f t="shared" si="8"/>
        <v>0</v>
      </c>
      <c r="J62" s="125">
        <v>0</v>
      </c>
      <c r="K62" s="125">
        <f t="shared" si="9"/>
        <v>0</v>
      </c>
      <c r="L62" s="123"/>
    </row>
    <row r="63" spans="1:13" s="126" customFormat="1" ht="12.75" customHeight="1" x14ac:dyDescent="0.2">
      <c r="A63" s="125" t="s">
        <v>380</v>
      </c>
      <c r="B63" s="127" t="s">
        <v>379</v>
      </c>
      <c r="C63" s="123" t="s">
        <v>378</v>
      </c>
      <c r="D63" s="124" t="s">
        <v>15</v>
      </c>
      <c r="E63" s="124" t="s">
        <v>16</v>
      </c>
      <c r="F63" s="124" t="s">
        <v>17</v>
      </c>
      <c r="G63" s="125" t="s">
        <v>192</v>
      </c>
      <c r="H63" s="125">
        <v>656</v>
      </c>
      <c r="I63" s="125">
        <f t="shared" si="8"/>
        <v>3936</v>
      </c>
      <c r="J63" s="125">
        <v>0</v>
      </c>
      <c r="K63" s="125">
        <f t="shared" si="9"/>
        <v>3936</v>
      </c>
      <c r="L63" s="123"/>
    </row>
    <row r="64" spans="1:13" s="126" customFormat="1" ht="12.75" customHeight="1" x14ac:dyDescent="0.2">
      <c r="A64" s="125" t="s">
        <v>377</v>
      </c>
      <c r="B64" s="127" t="s">
        <v>376</v>
      </c>
      <c r="C64" s="123" t="s">
        <v>375</v>
      </c>
      <c r="D64" s="124" t="s">
        <v>15</v>
      </c>
      <c r="E64" s="124" t="s">
        <v>16</v>
      </c>
      <c r="F64" s="124" t="s">
        <v>17</v>
      </c>
      <c r="G64" s="125" t="s">
        <v>192</v>
      </c>
      <c r="H64" s="125">
        <v>1405</v>
      </c>
      <c r="I64" s="125">
        <f t="shared" si="8"/>
        <v>8430</v>
      </c>
      <c r="J64" s="125">
        <v>0</v>
      </c>
      <c r="K64" s="125">
        <f t="shared" si="9"/>
        <v>8430</v>
      </c>
      <c r="L64" s="123"/>
    </row>
    <row r="65" spans="1:12" s="126" customFormat="1" ht="12.75" customHeight="1" x14ac:dyDescent="0.2">
      <c r="A65" s="125" t="s">
        <v>374</v>
      </c>
      <c r="B65" s="127" t="s">
        <v>41</v>
      </c>
      <c r="C65" s="123" t="s">
        <v>42</v>
      </c>
      <c r="D65" s="124" t="s">
        <v>15</v>
      </c>
      <c r="E65" s="124" t="s">
        <v>16</v>
      </c>
      <c r="F65" s="124" t="s">
        <v>17</v>
      </c>
      <c r="G65" s="125" t="s">
        <v>192</v>
      </c>
      <c r="H65" s="125">
        <v>0</v>
      </c>
      <c r="I65" s="125">
        <f t="shared" si="8"/>
        <v>0</v>
      </c>
      <c r="J65" s="125">
        <v>0</v>
      </c>
      <c r="K65" s="125">
        <f t="shared" si="9"/>
        <v>0</v>
      </c>
      <c r="L65" s="123"/>
    </row>
    <row r="66" spans="1:12" s="126" customFormat="1" ht="12.75" customHeight="1" x14ac:dyDescent="0.2">
      <c r="A66" s="125" t="s">
        <v>178</v>
      </c>
      <c r="B66" s="127" t="s">
        <v>373</v>
      </c>
      <c r="C66" s="123" t="s">
        <v>372</v>
      </c>
      <c r="D66" s="124" t="s">
        <v>54</v>
      </c>
      <c r="E66" s="124" t="s">
        <v>15</v>
      </c>
      <c r="F66" s="124" t="s">
        <v>17</v>
      </c>
      <c r="G66" s="125" t="s">
        <v>192</v>
      </c>
      <c r="H66" s="125">
        <v>1462.8</v>
      </c>
      <c r="I66" s="125">
        <f t="shared" si="8"/>
        <v>8776.7999999999993</v>
      </c>
      <c r="J66" s="125">
        <v>0</v>
      </c>
      <c r="K66" s="125">
        <f t="shared" si="9"/>
        <v>8776.7999999999993</v>
      </c>
      <c r="L66" s="123" t="s">
        <v>50</v>
      </c>
    </row>
    <row r="67" spans="1:12" s="126" customFormat="1" ht="12.75" customHeight="1" x14ac:dyDescent="0.2">
      <c r="A67" s="128" t="s">
        <v>55</v>
      </c>
      <c r="B67" s="128" t="s">
        <v>55</v>
      </c>
      <c r="C67" s="128" t="s">
        <v>55</v>
      </c>
      <c r="D67" s="128" t="s">
        <v>55</v>
      </c>
      <c r="E67" s="128" t="s">
        <v>55</v>
      </c>
      <c r="F67" s="128" t="s">
        <v>55</v>
      </c>
      <c r="G67" s="128" t="s">
        <v>55</v>
      </c>
      <c r="H67" s="128" t="s">
        <v>55</v>
      </c>
      <c r="I67" s="128" t="s">
        <v>55</v>
      </c>
      <c r="J67" s="129" t="s">
        <v>56</v>
      </c>
      <c r="K67" s="129">
        <f>(K52+K53+K54+K55+K56+K57+K58+K59+K60+K61+K62+K63+K64+K65+K66)</f>
        <v>196228.8</v>
      </c>
      <c r="L67" s="129" t="s">
        <v>55</v>
      </c>
    </row>
    <row r="68" spans="1:12" s="126" customFormat="1" ht="12.75" customHeight="1" x14ac:dyDescent="0.2">
      <c r="A68" s="121" t="s">
        <v>181</v>
      </c>
      <c r="B68" s="122" t="s">
        <v>371</v>
      </c>
      <c r="C68" s="123" t="s">
        <v>370</v>
      </c>
      <c r="D68" s="124" t="s">
        <v>15</v>
      </c>
      <c r="E68" s="124" t="s">
        <v>16</v>
      </c>
      <c r="F68" s="124" t="s">
        <v>17</v>
      </c>
      <c r="G68" s="125" t="s">
        <v>369</v>
      </c>
      <c r="H68" s="125">
        <v>1460.63</v>
      </c>
      <c r="I68" s="125">
        <f>(H68*G68)</f>
        <v>73031.5</v>
      </c>
      <c r="J68" s="125">
        <v>0</v>
      </c>
      <c r="K68" s="125">
        <f>ROUND(I68-((I68*J68)/100),2)</f>
        <v>73031.5</v>
      </c>
      <c r="L68" s="123"/>
    </row>
    <row r="69" spans="1:12" s="126" customFormat="1" ht="12.75" customHeight="1" x14ac:dyDescent="0.2">
      <c r="A69" s="128" t="s">
        <v>55</v>
      </c>
      <c r="B69" s="128" t="s">
        <v>55</v>
      </c>
      <c r="C69" s="128" t="s">
        <v>55</v>
      </c>
      <c r="D69" s="128" t="s">
        <v>55</v>
      </c>
      <c r="E69" s="128" t="s">
        <v>55</v>
      </c>
      <c r="F69" s="128" t="s">
        <v>55</v>
      </c>
      <c r="G69" s="128" t="s">
        <v>55</v>
      </c>
      <c r="H69" s="128" t="s">
        <v>55</v>
      </c>
      <c r="I69" s="128" t="s">
        <v>55</v>
      </c>
      <c r="J69" s="129" t="s">
        <v>56</v>
      </c>
      <c r="K69" s="129">
        <f>(K68)</f>
        <v>73031.5</v>
      </c>
      <c r="L69" s="129" t="s">
        <v>55</v>
      </c>
    </row>
    <row r="70" spans="1:12" s="126" customFormat="1" ht="12.75" customHeight="1" x14ac:dyDescent="0.2">
      <c r="A70" s="121" t="s">
        <v>210</v>
      </c>
      <c r="B70" s="122" t="s">
        <v>368</v>
      </c>
      <c r="C70" s="123" t="s">
        <v>367</v>
      </c>
      <c r="D70" s="124" t="s">
        <v>15</v>
      </c>
      <c r="E70" s="124" t="s">
        <v>16</v>
      </c>
      <c r="F70" s="124" t="s">
        <v>17</v>
      </c>
      <c r="G70" s="125" t="s">
        <v>264</v>
      </c>
      <c r="H70" s="125">
        <v>12188</v>
      </c>
      <c r="I70" s="125">
        <f>(H70*G70)</f>
        <v>292512</v>
      </c>
      <c r="J70" s="125">
        <v>0</v>
      </c>
      <c r="K70" s="125">
        <f>ROUND(I70-((I70*J70)/100),2)</f>
        <v>292512</v>
      </c>
      <c r="L70" s="123"/>
    </row>
    <row r="71" spans="1:12" s="126" customFormat="1" ht="12.75" customHeight="1" x14ac:dyDescent="0.2">
      <c r="A71" s="128" t="s">
        <v>55</v>
      </c>
      <c r="B71" s="128" t="s">
        <v>55</v>
      </c>
      <c r="C71" s="128" t="s">
        <v>55</v>
      </c>
      <c r="D71" s="128" t="s">
        <v>55</v>
      </c>
      <c r="E71" s="128" t="s">
        <v>55</v>
      </c>
      <c r="F71" s="128" t="s">
        <v>55</v>
      </c>
      <c r="G71" s="128" t="s">
        <v>55</v>
      </c>
      <c r="H71" s="128" t="s">
        <v>55</v>
      </c>
      <c r="I71" s="128" t="s">
        <v>55</v>
      </c>
      <c r="J71" s="129" t="s">
        <v>56</v>
      </c>
      <c r="K71" s="129">
        <f>(K70)</f>
        <v>292512</v>
      </c>
      <c r="L71" s="129" t="s">
        <v>55</v>
      </c>
    </row>
    <row r="72" spans="1:12" s="126" customFormat="1" ht="12.75" customHeight="1" x14ac:dyDescent="0.2">
      <c r="A72" s="121" t="s">
        <v>260</v>
      </c>
      <c r="B72" s="122" t="s">
        <v>366</v>
      </c>
      <c r="C72" s="123" t="s">
        <v>365</v>
      </c>
      <c r="D72" s="124" t="s">
        <v>15</v>
      </c>
      <c r="E72" s="124" t="s">
        <v>16</v>
      </c>
      <c r="F72" s="124" t="s">
        <v>17</v>
      </c>
      <c r="G72" s="125" t="s">
        <v>264</v>
      </c>
      <c r="H72" s="125">
        <v>2437.5</v>
      </c>
      <c r="I72" s="125">
        <f>(H72*G72)</f>
        <v>58500</v>
      </c>
      <c r="J72" s="125">
        <v>0</v>
      </c>
      <c r="K72" s="125">
        <f>ROUND(I72-((I72*J72)/100),2)</f>
        <v>58500</v>
      </c>
      <c r="L72" s="123"/>
    </row>
    <row r="73" spans="1:12" s="126" customFormat="1" ht="12.75" customHeight="1" x14ac:dyDescent="0.2">
      <c r="A73" s="128" t="s">
        <v>55</v>
      </c>
      <c r="B73" s="128" t="s">
        <v>55</v>
      </c>
      <c r="C73" s="128" t="s">
        <v>55</v>
      </c>
      <c r="D73" s="128" t="s">
        <v>55</v>
      </c>
      <c r="E73" s="128" t="s">
        <v>55</v>
      </c>
      <c r="F73" s="128" t="s">
        <v>55</v>
      </c>
      <c r="G73" s="128" t="s">
        <v>55</v>
      </c>
      <c r="H73" s="128" t="s">
        <v>55</v>
      </c>
      <c r="I73" s="128" t="s">
        <v>55</v>
      </c>
      <c r="J73" s="129" t="s">
        <v>56</v>
      </c>
      <c r="K73" s="129">
        <f>(K72)</f>
        <v>58500</v>
      </c>
      <c r="L73" s="129" t="s">
        <v>55</v>
      </c>
    </row>
    <row r="74" spans="1:12" s="126" customFormat="1" ht="12.75" customHeight="1" x14ac:dyDescent="0.2">
      <c r="A74" s="121" t="s">
        <v>277</v>
      </c>
      <c r="B74" s="122" t="s">
        <v>364</v>
      </c>
      <c r="C74" s="123" t="s">
        <v>363</v>
      </c>
      <c r="D74" s="124" t="s">
        <v>15</v>
      </c>
      <c r="E74" s="124" t="s">
        <v>16</v>
      </c>
      <c r="F74" s="124" t="s">
        <v>17</v>
      </c>
      <c r="G74" s="125" t="s">
        <v>264</v>
      </c>
      <c r="H74" s="125">
        <v>1199</v>
      </c>
      <c r="I74" s="125">
        <f>(H74*G74)</f>
        <v>28776</v>
      </c>
      <c r="J74" s="125">
        <v>0</v>
      </c>
      <c r="K74" s="125">
        <f>ROUND(I74-((I74*J74)/100),2)</f>
        <v>28776</v>
      </c>
      <c r="L74" s="123"/>
    </row>
    <row r="75" spans="1:12" ht="12.75" customHeight="1" x14ac:dyDescent="0.2">
      <c r="A75" s="6" t="s">
        <v>55</v>
      </c>
      <c r="B75" s="6" t="s">
        <v>55</v>
      </c>
      <c r="C75" s="6" t="s">
        <v>55</v>
      </c>
      <c r="D75" s="6" t="s">
        <v>55</v>
      </c>
      <c r="E75" s="6" t="s">
        <v>55</v>
      </c>
      <c r="F75" s="6" t="s">
        <v>55</v>
      </c>
      <c r="G75" s="6" t="s">
        <v>55</v>
      </c>
      <c r="H75" s="6" t="s">
        <v>55</v>
      </c>
      <c r="I75" s="6" t="s">
        <v>55</v>
      </c>
      <c r="J75" s="5" t="s">
        <v>56</v>
      </c>
      <c r="K75" s="5">
        <f>(K74)</f>
        <v>28776</v>
      </c>
      <c r="L75" s="5" t="s">
        <v>55</v>
      </c>
    </row>
    <row r="76" spans="1:12" s="101" customFormat="1" ht="12.75" customHeight="1" x14ac:dyDescent="0.2">
      <c r="A76" s="96" t="s">
        <v>362</v>
      </c>
      <c r="B76" s="97" t="s">
        <v>361</v>
      </c>
      <c r="C76" s="98" t="s">
        <v>360</v>
      </c>
      <c r="D76" s="99" t="s">
        <v>15</v>
      </c>
      <c r="E76" s="99" t="s">
        <v>107</v>
      </c>
      <c r="F76" s="99" t="s">
        <v>17</v>
      </c>
      <c r="G76" s="100" t="s">
        <v>115</v>
      </c>
      <c r="H76" s="100">
        <v>13000</v>
      </c>
      <c r="I76" s="100">
        <f t="shared" ref="I76:I83" si="10">(H76*G76)</f>
        <v>26000</v>
      </c>
      <c r="J76" s="100">
        <v>0</v>
      </c>
      <c r="K76" s="100">
        <f t="shared" ref="K76:K83" si="11">ROUND(I76-((I76*J76)/100),2)</f>
        <v>26000</v>
      </c>
      <c r="L76" s="98"/>
    </row>
    <row r="77" spans="1:12" s="101" customFormat="1" ht="12.75" customHeight="1" x14ac:dyDescent="0.2">
      <c r="A77" s="100" t="s">
        <v>359</v>
      </c>
      <c r="B77" s="102" t="s">
        <v>358</v>
      </c>
      <c r="C77" s="98" t="s">
        <v>357</v>
      </c>
      <c r="D77" s="99" t="s">
        <v>217</v>
      </c>
      <c r="E77" s="99" t="s">
        <v>15</v>
      </c>
      <c r="F77" s="99" t="s">
        <v>17</v>
      </c>
      <c r="G77" s="100" t="s">
        <v>115</v>
      </c>
      <c r="H77" s="100">
        <v>0</v>
      </c>
      <c r="I77" s="100">
        <f t="shared" si="10"/>
        <v>0</v>
      </c>
      <c r="J77" s="100">
        <v>0</v>
      </c>
      <c r="K77" s="100">
        <f t="shared" si="11"/>
        <v>0</v>
      </c>
      <c r="L77" s="98" t="s">
        <v>50</v>
      </c>
    </row>
    <row r="78" spans="1:12" s="101" customFormat="1" ht="12.75" customHeight="1" x14ac:dyDescent="0.2">
      <c r="A78" s="100" t="s">
        <v>356</v>
      </c>
      <c r="B78" s="102" t="s">
        <v>355</v>
      </c>
      <c r="C78" s="98" t="s">
        <v>354</v>
      </c>
      <c r="D78" s="99" t="s">
        <v>15</v>
      </c>
      <c r="E78" s="99" t="s">
        <v>107</v>
      </c>
      <c r="F78" s="99" t="s">
        <v>17</v>
      </c>
      <c r="G78" s="100" t="s">
        <v>115</v>
      </c>
      <c r="H78" s="100">
        <v>0</v>
      </c>
      <c r="I78" s="100">
        <f t="shared" si="10"/>
        <v>0</v>
      </c>
      <c r="J78" s="100">
        <v>0</v>
      </c>
      <c r="K78" s="100">
        <f t="shared" si="11"/>
        <v>0</v>
      </c>
      <c r="L78" s="98"/>
    </row>
    <row r="79" spans="1:12" s="101" customFormat="1" ht="12.75" customHeight="1" x14ac:dyDescent="0.2">
      <c r="A79" s="100" t="s">
        <v>353</v>
      </c>
      <c r="B79" s="102" t="s">
        <v>352</v>
      </c>
      <c r="C79" s="98" t="s">
        <v>351</v>
      </c>
      <c r="D79" s="99" t="s">
        <v>15</v>
      </c>
      <c r="E79" s="99" t="s">
        <v>107</v>
      </c>
      <c r="F79" s="99" t="s">
        <v>17</v>
      </c>
      <c r="G79" s="100" t="s">
        <v>230</v>
      </c>
      <c r="H79" s="100">
        <v>100</v>
      </c>
      <c r="I79" s="100">
        <f t="shared" si="10"/>
        <v>1200</v>
      </c>
      <c r="J79" s="100">
        <v>0</v>
      </c>
      <c r="K79" s="100">
        <f t="shared" si="11"/>
        <v>1200</v>
      </c>
      <c r="L79" s="98"/>
    </row>
    <row r="80" spans="1:12" s="101" customFormat="1" ht="12.75" customHeight="1" x14ac:dyDescent="0.2">
      <c r="A80" s="100" t="s">
        <v>350</v>
      </c>
      <c r="B80" s="102" t="s">
        <v>137</v>
      </c>
      <c r="C80" s="98" t="s">
        <v>138</v>
      </c>
      <c r="D80" s="99" t="s">
        <v>15</v>
      </c>
      <c r="E80" s="99" t="s">
        <v>96</v>
      </c>
      <c r="F80" s="99" t="s">
        <v>17</v>
      </c>
      <c r="G80" s="100" t="s">
        <v>122</v>
      </c>
      <c r="H80" s="100">
        <v>0</v>
      </c>
      <c r="I80" s="100">
        <f t="shared" si="10"/>
        <v>0</v>
      </c>
      <c r="J80" s="100">
        <v>0</v>
      </c>
      <c r="K80" s="100">
        <f t="shared" si="11"/>
        <v>0</v>
      </c>
      <c r="L80" s="98"/>
    </row>
    <row r="81" spans="1:12" s="101" customFormat="1" ht="12.75" customHeight="1" x14ac:dyDescent="0.2">
      <c r="A81" s="100" t="s">
        <v>349</v>
      </c>
      <c r="B81" s="102" t="s">
        <v>105</v>
      </c>
      <c r="C81" s="98" t="s">
        <v>106</v>
      </c>
      <c r="D81" s="99" t="s">
        <v>15</v>
      </c>
      <c r="E81" s="99" t="s">
        <v>107</v>
      </c>
      <c r="F81" s="99" t="s">
        <v>33</v>
      </c>
      <c r="G81" s="100" t="s">
        <v>348</v>
      </c>
      <c r="H81" s="100">
        <v>0</v>
      </c>
      <c r="I81" s="100">
        <f t="shared" si="10"/>
        <v>0</v>
      </c>
      <c r="J81" s="100">
        <v>0</v>
      </c>
      <c r="K81" s="100">
        <f t="shared" si="11"/>
        <v>0</v>
      </c>
      <c r="L81" s="98"/>
    </row>
    <row r="82" spans="1:12" s="101" customFormat="1" ht="12.75" customHeight="1" x14ac:dyDescent="0.2">
      <c r="A82" s="100" t="s">
        <v>347</v>
      </c>
      <c r="B82" s="102" t="s">
        <v>346</v>
      </c>
      <c r="C82" s="98" t="s">
        <v>345</v>
      </c>
      <c r="D82" s="99" t="s">
        <v>15</v>
      </c>
      <c r="E82" s="99" t="s">
        <v>107</v>
      </c>
      <c r="F82" s="99" t="s">
        <v>33</v>
      </c>
      <c r="G82" s="100" t="s">
        <v>115</v>
      </c>
      <c r="H82" s="100">
        <v>0</v>
      </c>
      <c r="I82" s="100">
        <f t="shared" si="10"/>
        <v>0</v>
      </c>
      <c r="J82" s="100">
        <v>0</v>
      </c>
      <c r="K82" s="100">
        <f t="shared" si="11"/>
        <v>0</v>
      </c>
      <c r="L82" s="98"/>
    </row>
    <row r="83" spans="1:12" s="101" customFormat="1" ht="12.75" customHeight="1" x14ac:dyDescent="0.2">
      <c r="A83" s="100" t="s">
        <v>344</v>
      </c>
      <c r="B83" s="103" t="s">
        <v>343</v>
      </c>
      <c r="C83" s="98" t="s">
        <v>342</v>
      </c>
      <c r="D83" s="99" t="s">
        <v>217</v>
      </c>
      <c r="E83" s="99" t="s">
        <v>15</v>
      </c>
      <c r="F83" s="99" t="s">
        <v>17</v>
      </c>
      <c r="G83" s="100" t="s">
        <v>115</v>
      </c>
      <c r="H83" s="100">
        <v>257.45999999999998</v>
      </c>
      <c r="I83" s="100">
        <f t="shared" si="10"/>
        <v>514.91999999999996</v>
      </c>
      <c r="J83" s="100">
        <v>0</v>
      </c>
      <c r="K83" s="100">
        <f t="shared" si="11"/>
        <v>514.91999999999996</v>
      </c>
      <c r="L83" s="98" t="s">
        <v>50</v>
      </c>
    </row>
    <row r="84" spans="1:12" ht="12.75" customHeight="1" x14ac:dyDescent="0.2">
      <c r="A84" s="6" t="s">
        <v>55</v>
      </c>
      <c r="B84" s="6" t="s">
        <v>55</v>
      </c>
      <c r="C84" s="6" t="s">
        <v>55</v>
      </c>
      <c r="D84" s="6" t="s">
        <v>55</v>
      </c>
      <c r="E84" s="6" t="s">
        <v>55</v>
      </c>
      <c r="F84" s="6" t="s">
        <v>55</v>
      </c>
      <c r="G84" s="6" t="s">
        <v>55</v>
      </c>
      <c r="H84" s="6" t="s">
        <v>55</v>
      </c>
      <c r="I84" s="6" t="s">
        <v>55</v>
      </c>
      <c r="J84" s="5" t="s">
        <v>56</v>
      </c>
      <c r="K84" s="5">
        <f>(K76+K77+K78+K79+K80+K81+K82+K83)</f>
        <v>27714.92</v>
      </c>
      <c r="L84" s="5" t="s">
        <v>55</v>
      </c>
    </row>
    <row r="85" spans="1:12" s="119" customFormat="1" ht="12.75" customHeight="1" x14ac:dyDescent="0.2">
      <c r="A85" s="114" t="s">
        <v>341</v>
      </c>
      <c r="B85" s="115" t="s">
        <v>261</v>
      </c>
      <c r="C85" s="116" t="s">
        <v>262</v>
      </c>
      <c r="D85" s="117" t="s">
        <v>15</v>
      </c>
      <c r="E85" s="117" t="s">
        <v>96</v>
      </c>
      <c r="F85" s="117" t="s">
        <v>17</v>
      </c>
      <c r="G85" s="118" t="s">
        <v>115</v>
      </c>
      <c r="H85" s="118">
        <v>8820</v>
      </c>
      <c r="I85" s="118">
        <f t="shared" ref="I85:I90" si="12">(H85*G85)</f>
        <v>17640</v>
      </c>
      <c r="J85" s="118">
        <v>0</v>
      </c>
      <c r="K85" s="118">
        <f t="shared" ref="K85:K90" si="13">ROUND(I85-((I85*J85)/100),2)</f>
        <v>17640</v>
      </c>
      <c r="L85" s="116"/>
    </row>
    <row r="86" spans="1:12" s="119" customFormat="1" ht="12.75" customHeight="1" x14ac:dyDescent="0.2">
      <c r="A86" s="118" t="s">
        <v>340</v>
      </c>
      <c r="B86" s="120" t="s">
        <v>151</v>
      </c>
      <c r="C86" s="116" t="s">
        <v>152</v>
      </c>
      <c r="D86" s="117" t="s">
        <v>15</v>
      </c>
      <c r="E86" s="117" t="s">
        <v>96</v>
      </c>
      <c r="F86" s="117" t="s">
        <v>33</v>
      </c>
      <c r="G86" s="118" t="s">
        <v>264</v>
      </c>
      <c r="H86" s="118">
        <v>0</v>
      </c>
      <c r="I86" s="118">
        <f t="shared" si="12"/>
        <v>0</v>
      </c>
      <c r="J86" s="118">
        <v>0</v>
      </c>
      <c r="K86" s="118">
        <f t="shared" si="13"/>
        <v>0</v>
      </c>
      <c r="L86" s="116"/>
    </row>
    <row r="87" spans="1:12" s="119" customFormat="1" ht="12.75" customHeight="1" x14ac:dyDescent="0.2">
      <c r="A87" s="118" t="s">
        <v>339</v>
      </c>
      <c r="B87" s="120" t="s">
        <v>266</v>
      </c>
      <c r="C87" s="116" t="s">
        <v>267</v>
      </c>
      <c r="D87" s="117" t="s">
        <v>15</v>
      </c>
      <c r="E87" s="117" t="s">
        <v>96</v>
      </c>
      <c r="F87" s="117" t="s">
        <v>33</v>
      </c>
      <c r="G87" s="118" t="s">
        <v>115</v>
      </c>
      <c r="H87" s="118">
        <v>0</v>
      </c>
      <c r="I87" s="118">
        <f t="shared" si="12"/>
        <v>0</v>
      </c>
      <c r="J87" s="118">
        <v>0</v>
      </c>
      <c r="K87" s="118">
        <f t="shared" si="13"/>
        <v>0</v>
      </c>
      <c r="L87" s="116"/>
    </row>
    <row r="88" spans="1:12" s="119" customFormat="1" ht="12.75" customHeight="1" x14ac:dyDescent="0.2">
      <c r="A88" s="118" t="s">
        <v>338</v>
      </c>
      <c r="B88" s="120" t="s">
        <v>269</v>
      </c>
      <c r="C88" s="116" t="s">
        <v>270</v>
      </c>
      <c r="D88" s="117" t="s">
        <v>217</v>
      </c>
      <c r="E88" s="117" t="s">
        <v>15</v>
      </c>
      <c r="F88" s="117" t="s">
        <v>17</v>
      </c>
      <c r="G88" s="118" t="s">
        <v>115</v>
      </c>
      <c r="H88" s="118">
        <v>385.25</v>
      </c>
      <c r="I88" s="118">
        <f t="shared" si="12"/>
        <v>770.5</v>
      </c>
      <c r="J88" s="118">
        <v>0</v>
      </c>
      <c r="K88" s="118">
        <f t="shared" si="13"/>
        <v>770.5</v>
      </c>
      <c r="L88" s="116" t="s">
        <v>50</v>
      </c>
    </row>
    <row r="89" spans="1:12" s="119" customFormat="1" ht="12.75" customHeight="1" x14ac:dyDescent="0.2">
      <c r="A89" s="118" t="s">
        <v>337</v>
      </c>
      <c r="B89" s="120" t="s">
        <v>272</v>
      </c>
      <c r="C89" s="116" t="s">
        <v>273</v>
      </c>
      <c r="D89" s="117" t="s">
        <v>15</v>
      </c>
      <c r="E89" s="117" t="s">
        <v>96</v>
      </c>
      <c r="F89" s="117" t="s">
        <v>17</v>
      </c>
      <c r="G89" s="118" t="s">
        <v>122</v>
      </c>
      <c r="H89" s="118">
        <v>0</v>
      </c>
      <c r="I89" s="118">
        <f t="shared" si="12"/>
        <v>0</v>
      </c>
      <c r="J89" s="118">
        <v>0</v>
      </c>
      <c r="K89" s="118">
        <f t="shared" si="13"/>
        <v>0</v>
      </c>
      <c r="L89" s="116"/>
    </row>
    <row r="90" spans="1:12" s="119" customFormat="1" ht="12.75" customHeight="1" x14ac:dyDescent="0.2">
      <c r="A90" s="118" t="s">
        <v>336</v>
      </c>
      <c r="B90" s="120" t="s">
        <v>275</v>
      </c>
      <c r="C90" s="116" t="s">
        <v>276</v>
      </c>
      <c r="D90" s="117" t="s">
        <v>15</v>
      </c>
      <c r="E90" s="117" t="s">
        <v>96</v>
      </c>
      <c r="F90" s="117" t="s">
        <v>17</v>
      </c>
      <c r="G90" s="118" t="s">
        <v>115</v>
      </c>
      <c r="H90" s="118">
        <v>0</v>
      </c>
      <c r="I90" s="118">
        <f t="shared" si="12"/>
        <v>0</v>
      </c>
      <c r="J90" s="118">
        <v>0</v>
      </c>
      <c r="K90" s="118">
        <f t="shared" si="13"/>
        <v>0</v>
      </c>
      <c r="L90" s="116"/>
    </row>
    <row r="91" spans="1:12" ht="12.75" customHeight="1" x14ac:dyDescent="0.2">
      <c r="A91" s="6" t="s">
        <v>55</v>
      </c>
      <c r="B91" s="6" t="s">
        <v>55</v>
      </c>
      <c r="C91" s="6" t="s">
        <v>55</v>
      </c>
      <c r="D91" s="6" t="s">
        <v>55</v>
      </c>
      <c r="E91" s="6" t="s">
        <v>55</v>
      </c>
      <c r="F91" s="6" t="s">
        <v>55</v>
      </c>
      <c r="G91" s="6" t="s">
        <v>55</v>
      </c>
      <c r="H91" s="6" t="s">
        <v>55</v>
      </c>
      <c r="I91" s="6" t="s">
        <v>55</v>
      </c>
      <c r="J91" s="5" t="s">
        <v>56</v>
      </c>
      <c r="K91" s="5">
        <f>(K85+K86+K87+K88+K89+K90)</f>
        <v>18410.5</v>
      </c>
      <c r="L91" s="5" t="s">
        <v>55</v>
      </c>
    </row>
    <row r="92" spans="1:12" ht="12.75" customHeight="1" x14ac:dyDescent="0.2">
      <c r="A92" s="6" t="s">
        <v>55</v>
      </c>
      <c r="B92" s="6" t="s">
        <v>55</v>
      </c>
      <c r="C92" s="6" t="s">
        <v>55</v>
      </c>
      <c r="D92" s="6" t="s">
        <v>55</v>
      </c>
      <c r="E92" s="6" t="s">
        <v>55</v>
      </c>
      <c r="F92" s="6" t="s">
        <v>55</v>
      </c>
      <c r="G92" s="6" t="s">
        <v>55</v>
      </c>
      <c r="H92" s="6" t="s">
        <v>55</v>
      </c>
      <c r="I92" s="6" t="s">
        <v>55</v>
      </c>
      <c r="J92" s="5" t="s">
        <v>335</v>
      </c>
      <c r="K92" s="5">
        <f>(K13+K25+K38+K51+K67+K69+K71+K73+K75+K84+K91)</f>
        <v>1709018.68</v>
      </c>
      <c r="L92" s="5" t="s">
        <v>55</v>
      </c>
    </row>
  </sheetData>
  <printOptions horizontalCentered="1"/>
  <pageMargins left="0.75" right="0.75" top="1" bottom="1" header="0.5" footer="0.5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showGridLines="0" topLeftCell="A26" workbookViewId="0">
      <selection activeCell="C46" sqref="C46"/>
    </sheetView>
  </sheetViews>
  <sheetFormatPr defaultColWidth="17.140625" defaultRowHeight="12.75" customHeight="1" x14ac:dyDescent="0.2"/>
  <cols>
    <col min="1" max="1" width="13.7109375" style="4" customWidth="1"/>
    <col min="2" max="2" width="31.28515625" style="4" customWidth="1"/>
    <col min="3" max="3" width="46.85546875" style="4" customWidth="1"/>
    <col min="4" max="4" width="13.7109375" style="4" customWidth="1"/>
    <col min="5" max="5" width="9.7109375" style="4" customWidth="1"/>
    <col min="6" max="6" width="13.7109375" style="4" customWidth="1"/>
    <col min="7" max="7" width="9.7109375" style="4" customWidth="1"/>
    <col min="8" max="11" width="13.7109375" style="4" customWidth="1"/>
    <col min="12" max="12" width="19.5703125" style="4" customWidth="1"/>
    <col min="13" max="16384" width="17.140625" style="4"/>
  </cols>
  <sheetData>
    <row r="1" spans="1:12" ht="24.9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s="109" customFormat="1" ht="12.75" customHeight="1" x14ac:dyDescent="0.2">
      <c r="A2" s="104" t="s">
        <v>12</v>
      </c>
      <c r="B2" s="105" t="s">
        <v>428</v>
      </c>
      <c r="C2" s="106" t="s">
        <v>25</v>
      </c>
      <c r="D2" s="107" t="s">
        <v>15</v>
      </c>
      <c r="E2" s="107" t="s">
        <v>16</v>
      </c>
      <c r="F2" s="107" t="s">
        <v>17</v>
      </c>
      <c r="G2" s="108" t="s">
        <v>427</v>
      </c>
      <c r="H2" s="108">
        <v>725</v>
      </c>
      <c r="I2" s="108">
        <f>(H2*G2)</f>
        <v>76850</v>
      </c>
      <c r="J2" s="108">
        <v>0</v>
      </c>
      <c r="K2" s="108">
        <f>ROUND(I2-((I2*J2)/100),2)</f>
        <v>76850</v>
      </c>
      <c r="L2" s="106"/>
    </row>
    <row r="3" spans="1:12" ht="12.75" customHeight="1" x14ac:dyDescent="0.2">
      <c r="A3" s="6" t="s">
        <v>55</v>
      </c>
      <c r="B3" s="6" t="s">
        <v>55</v>
      </c>
      <c r="C3" s="6" t="s">
        <v>55</v>
      </c>
      <c r="D3" s="6" t="s">
        <v>55</v>
      </c>
      <c r="E3" s="6" t="s">
        <v>55</v>
      </c>
      <c r="F3" s="6" t="s">
        <v>55</v>
      </c>
      <c r="G3" s="6" t="s">
        <v>55</v>
      </c>
      <c r="H3" s="6" t="s">
        <v>55</v>
      </c>
      <c r="I3" s="6" t="s">
        <v>55</v>
      </c>
      <c r="J3" s="5" t="s">
        <v>56</v>
      </c>
      <c r="K3" s="5">
        <f>(K2)</f>
        <v>76850</v>
      </c>
      <c r="L3" s="5" t="s">
        <v>55</v>
      </c>
    </row>
    <row r="4" spans="1:12" s="126" customFormat="1" ht="12.75" customHeight="1" x14ac:dyDescent="0.2">
      <c r="A4" s="121" t="s">
        <v>57</v>
      </c>
      <c r="B4" s="122" t="s">
        <v>402</v>
      </c>
      <c r="C4" s="123" t="s">
        <v>401</v>
      </c>
      <c r="D4" s="124" t="s">
        <v>15</v>
      </c>
      <c r="E4" s="124" t="s">
        <v>16</v>
      </c>
      <c r="F4" s="124" t="s">
        <v>17</v>
      </c>
      <c r="G4" s="125" t="s">
        <v>115</v>
      </c>
      <c r="H4" s="125">
        <v>3995</v>
      </c>
      <c r="I4" s="125">
        <f t="shared" ref="I4:I18" si="0">(H4*G4)</f>
        <v>7990</v>
      </c>
      <c r="J4" s="125">
        <v>0</v>
      </c>
      <c r="K4" s="125">
        <f t="shared" ref="K4:K18" si="1">ROUND(I4-((I4*J4)/100),2)</f>
        <v>7990</v>
      </c>
      <c r="L4" s="123"/>
    </row>
    <row r="5" spans="1:12" s="126" customFormat="1" ht="12.75" customHeight="1" x14ac:dyDescent="0.2">
      <c r="A5" s="125" t="s">
        <v>68</v>
      </c>
      <c r="B5" s="127" t="s">
        <v>373</v>
      </c>
      <c r="C5" s="123" t="s">
        <v>372</v>
      </c>
      <c r="D5" s="124" t="s">
        <v>54</v>
      </c>
      <c r="E5" s="124" t="s">
        <v>15</v>
      </c>
      <c r="F5" s="124" t="s">
        <v>17</v>
      </c>
      <c r="G5" s="125" t="s">
        <v>115</v>
      </c>
      <c r="H5" s="125">
        <v>1462.8</v>
      </c>
      <c r="I5" s="125">
        <f t="shared" si="0"/>
        <v>2925.6</v>
      </c>
      <c r="J5" s="125">
        <v>0</v>
      </c>
      <c r="K5" s="125">
        <f t="shared" si="1"/>
        <v>2925.6</v>
      </c>
      <c r="L5" s="123" t="s">
        <v>50</v>
      </c>
    </row>
    <row r="6" spans="1:12" s="126" customFormat="1" ht="12.75" customHeight="1" x14ac:dyDescent="0.2">
      <c r="A6" s="125" t="s">
        <v>59</v>
      </c>
      <c r="B6" s="127" t="s">
        <v>426</v>
      </c>
      <c r="C6" s="123" t="s">
        <v>425</v>
      </c>
      <c r="D6" s="124" t="s">
        <v>15</v>
      </c>
      <c r="E6" s="124" t="s">
        <v>16</v>
      </c>
      <c r="F6" s="124" t="s">
        <v>17</v>
      </c>
      <c r="G6" s="125" t="s">
        <v>122</v>
      </c>
      <c r="H6" s="125">
        <v>2842</v>
      </c>
      <c r="I6" s="125">
        <f t="shared" si="0"/>
        <v>11368</v>
      </c>
      <c r="J6" s="125">
        <v>0</v>
      </c>
      <c r="K6" s="125">
        <f t="shared" si="1"/>
        <v>11368</v>
      </c>
      <c r="L6" s="123"/>
    </row>
    <row r="7" spans="1:12" s="126" customFormat="1" ht="12.75" customHeight="1" x14ac:dyDescent="0.2">
      <c r="A7" s="125" t="s">
        <v>61</v>
      </c>
      <c r="B7" s="127" t="s">
        <v>24</v>
      </c>
      <c r="C7" s="123" t="s">
        <v>25</v>
      </c>
      <c r="D7" s="124" t="s">
        <v>15</v>
      </c>
      <c r="E7" s="124" t="s">
        <v>16</v>
      </c>
      <c r="F7" s="124" t="s">
        <v>17</v>
      </c>
      <c r="G7" s="125" t="s">
        <v>348</v>
      </c>
      <c r="H7" s="125">
        <v>725</v>
      </c>
      <c r="I7" s="125">
        <f t="shared" si="0"/>
        <v>23200</v>
      </c>
      <c r="J7" s="125">
        <v>0</v>
      </c>
      <c r="K7" s="125">
        <f t="shared" si="1"/>
        <v>23200</v>
      </c>
      <c r="L7" s="123"/>
    </row>
    <row r="8" spans="1:12" s="126" customFormat="1" ht="12.75" customHeight="1" x14ac:dyDescent="0.2">
      <c r="A8" s="125" t="s">
        <v>63</v>
      </c>
      <c r="B8" s="127" t="s">
        <v>397</v>
      </c>
      <c r="C8" s="123" t="s">
        <v>396</v>
      </c>
      <c r="D8" s="124" t="s">
        <v>15</v>
      </c>
      <c r="E8" s="124" t="s">
        <v>16</v>
      </c>
      <c r="F8" s="124" t="s">
        <v>17</v>
      </c>
      <c r="G8" s="125" t="s">
        <v>115</v>
      </c>
      <c r="H8" s="125">
        <v>1499</v>
      </c>
      <c r="I8" s="125">
        <f t="shared" si="0"/>
        <v>2998</v>
      </c>
      <c r="J8" s="125">
        <v>0</v>
      </c>
      <c r="K8" s="125">
        <f t="shared" si="1"/>
        <v>2998</v>
      </c>
      <c r="L8" s="123"/>
    </row>
    <row r="9" spans="1:12" s="126" customFormat="1" ht="12.75" customHeight="1" x14ac:dyDescent="0.2">
      <c r="A9" s="125" t="s">
        <v>64</v>
      </c>
      <c r="B9" s="127" t="s">
        <v>395</v>
      </c>
      <c r="C9" s="123" t="s">
        <v>394</v>
      </c>
      <c r="D9" s="124" t="s">
        <v>15</v>
      </c>
      <c r="E9" s="124" t="s">
        <v>16</v>
      </c>
      <c r="F9" s="124" t="s">
        <v>17</v>
      </c>
      <c r="G9" s="125" t="s">
        <v>122</v>
      </c>
      <c r="H9" s="125">
        <v>632</v>
      </c>
      <c r="I9" s="125">
        <f t="shared" si="0"/>
        <v>2528</v>
      </c>
      <c r="J9" s="125">
        <v>0</v>
      </c>
      <c r="K9" s="125">
        <f t="shared" si="1"/>
        <v>2528</v>
      </c>
      <c r="L9" s="123"/>
    </row>
    <row r="10" spans="1:12" s="126" customFormat="1" ht="12.75" customHeight="1" x14ac:dyDescent="0.2">
      <c r="A10" s="125" t="s">
        <v>65</v>
      </c>
      <c r="B10" s="127" t="s">
        <v>414</v>
      </c>
      <c r="C10" s="123" t="s">
        <v>413</v>
      </c>
      <c r="D10" s="124" t="s">
        <v>15</v>
      </c>
      <c r="E10" s="124" t="s">
        <v>16</v>
      </c>
      <c r="F10" s="124" t="s">
        <v>17</v>
      </c>
      <c r="G10" s="125" t="s">
        <v>122</v>
      </c>
      <c r="H10" s="125">
        <v>0</v>
      </c>
      <c r="I10" s="125">
        <f t="shared" si="0"/>
        <v>0</v>
      </c>
      <c r="J10" s="125">
        <v>0</v>
      </c>
      <c r="K10" s="125">
        <f t="shared" si="1"/>
        <v>0</v>
      </c>
      <c r="L10" s="123"/>
    </row>
    <row r="11" spans="1:12" s="126" customFormat="1" ht="12.75" customHeight="1" x14ac:dyDescent="0.2">
      <c r="A11" s="125" t="s">
        <v>66</v>
      </c>
      <c r="B11" s="127" t="s">
        <v>393</v>
      </c>
      <c r="C11" s="123" t="s">
        <v>392</v>
      </c>
      <c r="D11" s="124" t="s">
        <v>15</v>
      </c>
      <c r="E11" s="124" t="s">
        <v>16</v>
      </c>
      <c r="F11" s="124" t="s">
        <v>17</v>
      </c>
      <c r="G11" s="125" t="s">
        <v>115</v>
      </c>
      <c r="H11" s="125">
        <v>220</v>
      </c>
      <c r="I11" s="125">
        <f t="shared" si="0"/>
        <v>440</v>
      </c>
      <c r="J11" s="125">
        <v>0</v>
      </c>
      <c r="K11" s="125">
        <f t="shared" si="1"/>
        <v>440</v>
      </c>
      <c r="L11" s="123"/>
    </row>
    <row r="12" spans="1:12" s="126" customFormat="1" ht="12.75" customHeight="1" x14ac:dyDescent="0.2">
      <c r="A12" s="125" t="s">
        <v>67</v>
      </c>
      <c r="B12" s="127" t="s">
        <v>391</v>
      </c>
      <c r="C12" s="123" t="s">
        <v>390</v>
      </c>
      <c r="D12" s="124" t="s">
        <v>15</v>
      </c>
      <c r="E12" s="124" t="s">
        <v>16</v>
      </c>
      <c r="F12" s="124" t="s">
        <v>17</v>
      </c>
      <c r="G12" s="125" t="s">
        <v>115</v>
      </c>
      <c r="H12" s="125">
        <v>85</v>
      </c>
      <c r="I12" s="125">
        <f t="shared" si="0"/>
        <v>170</v>
      </c>
      <c r="J12" s="125">
        <v>0</v>
      </c>
      <c r="K12" s="125">
        <f t="shared" si="1"/>
        <v>170</v>
      </c>
      <c r="L12" s="123"/>
    </row>
    <row r="13" spans="1:12" s="126" customFormat="1" ht="12.75" customHeight="1" x14ac:dyDescent="0.2">
      <c r="A13" s="125" t="s">
        <v>409</v>
      </c>
      <c r="B13" s="127" t="s">
        <v>388</v>
      </c>
      <c r="C13" s="123" t="s">
        <v>387</v>
      </c>
      <c r="D13" s="124" t="s">
        <v>15</v>
      </c>
      <c r="E13" s="124" t="s">
        <v>16</v>
      </c>
      <c r="F13" s="124" t="s">
        <v>33</v>
      </c>
      <c r="G13" s="125" t="s">
        <v>115</v>
      </c>
      <c r="H13" s="125">
        <v>0</v>
      </c>
      <c r="I13" s="125">
        <f t="shared" si="0"/>
        <v>0</v>
      </c>
      <c r="J13" s="125">
        <v>0</v>
      </c>
      <c r="K13" s="125">
        <f t="shared" si="1"/>
        <v>0</v>
      </c>
      <c r="L13" s="123"/>
    </row>
    <row r="14" spans="1:12" s="126" customFormat="1" ht="12.75" customHeight="1" x14ac:dyDescent="0.2">
      <c r="A14" s="125" t="s">
        <v>424</v>
      </c>
      <c r="B14" s="127" t="s">
        <v>385</v>
      </c>
      <c r="C14" s="123" t="s">
        <v>384</v>
      </c>
      <c r="D14" s="124" t="s">
        <v>15</v>
      </c>
      <c r="E14" s="124" t="s">
        <v>16</v>
      </c>
      <c r="F14" s="124" t="s">
        <v>33</v>
      </c>
      <c r="G14" s="125" t="s">
        <v>122</v>
      </c>
      <c r="H14" s="125">
        <v>0</v>
      </c>
      <c r="I14" s="125">
        <f t="shared" si="0"/>
        <v>0</v>
      </c>
      <c r="J14" s="125">
        <v>0</v>
      </c>
      <c r="K14" s="125">
        <f t="shared" si="1"/>
        <v>0</v>
      </c>
      <c r="L14" s="123"/>
    </row>
    <row r="15" spans="1:12" s="126" customFormat="1" ht="12.75" customHeight="1" x14ac:dyDescent="0.2">
      <c r="A15" s="125" t="s">
        <v>423</v>
      </c>
      <c r="B15" s="127" t="s">
        <v>382</v>
      </c>
      <c r="C15" s="123" t="s">
        <v>381</v>
      </c>
      <c r="D15" s="124" t="s">
        <v>15</v>
      </c>
      <c r="E15" s="124" t="s">
        <v>16</v>
      </c>
      <c r="F15" s="124" t="s">
        <v>33</v>
      </c>
      <c r="G15" s="125" t="s">
        <v>403</v>
      </c>
      <c r="H15" s="125">
        <v>0</v>
      </c>
      <c r="I15" s="125">
        <f t="shared" si="0"/>
        <v>0</v>
      </c>
      <c r="J15" s="125">
        <v>0</v>
      </c>
      <c r="K15" s="125">
        <f t="shared" si="1"/>
        <v>0</v>
      </c>
      <c r="L15" s="123"/>
    </row>
    <row r="16" spans="1:12" s="126" customFormat="1" ht="12.75" customHeight="1" x14ac:dyDescent="0.2">
      <c r="A16" s="125" t="s">
        <v>422</v>
      </c>
      <c r="B16" s="127" t="s">
        <v>379</v>
      </c>
      <c r="C16" s="123" t="s">
        <v>378</v>
      </c>
      <c r="D16" s="124" t="s">
        <v>15</v>
      </c>
      <c r="E16" s="124" t="s">
        <v>16</v>
      </c>
      <c r="F16" s="124" t="s">
        <v>17</v>
      </c>
      <c r="G16" s="125" t="s">
        <v>115</v>
      </c>
      <c r="H16" s="125">
        <v>656</v>
      </c>
      <c r="I16" s="125">
        <f t="shared" si="0"/>
        <v>1312</v>
      </c>
      <c r="J16" s="125">
        <v>0</v>
      </c>
      <c r="K16" s="125">
        <f t="shared" si="1"/>
        <v>1312</v>
      </c>
      <c r="L16" s="123"/>
    </row>
    <row r="17" spans="1:12" s="126" customFormat="1" ht="12.75" customHeight="1" x14ac:dyDescent="0.2">
      <c r="A17" s="125" t="s">
        <v>421</v>
      </c>
      <c r="B17" s="127" t="s">
        <v>376</v>
      </c>
      <c r="C17" s="123" t="s">
        <v>375</v>
      </c>
      <c r="D17" s="124" t="s">
        <v>15</v>
      </c>
      <c r="E17" s="124" t="s">
        <v>16</v>
      </c>
      <c r="F17" s="124" t="s">
        <v>17</v>
      </c>
      <c r="G17" s="125" t="s">
        <v>115</v>
      </c>
      <c r="H17" s="125">
        <v>1405</v>
      </c>
      <c r="I17" s="125">
        <f t="shared" si="0"/>
        <v>2810</v>
      </c>
      <c r="J17" s="125">
        <v>0</v>
      </c>
      <c r="K17" s="125">
        <f t="shared" si="1"/>
        <v>2810</v>
      </c>
      <c r="L17" s="123"/>
    </row>
    <row r="18" spans="1:12" s="126" customFormat="1" ht="12.75" customHeight="1" x14ac:dyDescent="0.2">
      <c r="A18" s="125" t="s">
        <v>420</v>
      </c>
      <c r="B18" s="127" t="s">
        <v>41</v>
      </c>
      <c r="C18" s="123" t="s">
        <v>42</v>
      </c>
      <c r="D18" s="124" t="s">
        <v>15</v>
      </c>
      <c r="E18" s="124" t="s">
        <v>16</v>
      </c>
      <c r="F18" s="124" t="s">
        <v>17</v>
      </c>
      <c r="G18" s="125" t="s">
        <v>115</v>
      </c>
      <c r="H18" s="125">
        <v>0</v>
      </c>
      <c r="I18" s="125">
        <f t="shared" si="0"/>
        <v>0</v>
      </c>
      <c r="J18" s="125">
        <v>0</v>
      </c>
      <c r="K18" s="125">
        <f t="shared" si="1"/>
        <v>0</v>
      </c>
      <c r="L18" s="123"/>
    </row>
    <row r="19" spans="1:12" s="126" customFormat="1" ht="12.75" customHeight="1" x14ac:dyDescent="0.2">
      <c r="A19" s="128" t="s">
        <v>55</v>
      </c>
      <c r="B19" s="128" t="s">
        <v>55</v>
      </c>
      <c r="C19" s="128" t="s">
        <v>55</v>
      </c>
      <c r="D19" s="128" t="s">
        <v>55</v>
      </c>
      <c r="E19" s="128" t="s">
        <v>55</v>
      </c>
      <c r="F19" s="128" t="s">
        <v>55</v>
      </c>
      <c r="G19" s="128" t="s">
        <v>55</v>
      </c>
      <c r="H19" s="128" t="s">
        <v>55</v>
      </c>
      <c r="I19" s="128" t="s">
        <v>55</v>
      </c>
      <c r="J19" s="129" t="s">
        <v>56</v>
      </c>
      <c r="K19" s="129">
        <f>(K4+K5+K6+K7+K8+K9+K10+K11+K12+K13+K14+K15+K16+K17+K18)</f>
        <v>55741.599999999999</v>
      </c>
      <c r="L19" s="129" t="s">
        <v>55</v>
      </c>
    </row>
    <row r="20" spans="1:12" s="126" customFormat="1" ht="12.75" customHeight="1" x14ac:dyDescent="0.2">
      <c r="A20" s="121" t="s">
        <v>69</v>
      </c>
      <c r="B20" s="122" t="s">
        <v>402</v>
      </c>
      <c r="C20" s="123" t="s">
        <v>401</v>
      </c>
      <c r="D20" s="124" t="s">
        <v>15</v>
      </c>
      <c r="E20" s="124" t="s">
        <v>16</v>
      </c>
      <c r="F20" s="124" t="s">
        <v>17</v>
      </c>
      <c r="G20" s="125" t="s">
        <v>115</v>
      </c>
      <c r="H20" s="125">
        <v>3995</v>
      </c>
      <c r="I20" s="125">
        <f t="shared" ref="I20:I34" si="2">(H20*G20)</f>
        <v>7990</v>
      </c>
      <c r="J20" s="125">
        <v>0</v>
      </c>
      <c r="K20" s="125">
        <f t="shared" ref="K20:K34" si="3">ROUND(I20-((I20*J20)/100),2)</f>
        <v>7990</v>
      </c>
      <c r="L20" s="123"/>
    </row>
    <row r="21" spans="1:12" s="126" customFormat="1" ht="12.75" customHeight="1" x14ac:dyDescent="0.2">
      <c r="A21" s="125" t="s">
        <v>109</v>
      </c>
      <c r="B21" s="127" t="s">
        <v>373</v>
      </c>
      <c r="C21" s="123" t="s">
        <v>372</v>
      </c>
      <c r="D21" s="124" t="s">
        <v>54</v>
      </c>
      <c r="E21" s="124" t="s">
        <v>15</v>
      </c>
      <c r="F21" s="124" t="s">
        <v>17</v>
      </c>
      <c r="G21" s="125" t="s">
        <v>115</v>
      </c>
      <c r="H21" s="125">
        <v>1462.8</v>
      </c>
      <c r="I21" s="125">
        <f t="shared" si="2"/>
        <v>2925.6</v>
      </c>
      <c r="J21" s="125">
        <v>0</v>
      </c>
      <c r="K21" s="125">
        <f t="shared" si="3"/>
        <v>2925.6</v>
      </c>
      <c r="L21" s="123" t="s">
        <v>50</v>
      </c>
    </row>
    <row r="22" spans="1:12" s="126" customFormat="1" ht="12.75" customHeight="1" x14ac:dyDescent="0.2">
      <c r="A22" s="125" t="s">
        <v>73</v>
      </c>
      <c r="B22" s="127" t="s">
        <v>24</v>
      </c>
      <c r="C22" s="123" t="s">
        <v>25</v>
      </c>
      <c r="D22" s="124" t="s">
        <v>15</v>
      </c>
      <c r="E22" s="124" t="s">
        <v>16</v>
      </c>
      <c r="F22" s="124" t="s">
        <v>17</v>
      </c>
      <c r="G22" s="125" t="s">
        <v>348</v>
      </c>
      <c r="H22" s="125">
        <v>725</v>
      </c>
      <c r="I22" s="125">
        <f t="shared" si="2"/>
        <v>23200</v>
      </c>
      <c r="J22" s="125">
        <v>0</v>
      </c>
      <c r="K22" s="125">
        <f t="shared" si="3"/>
        <v>23200</v>
      </c>
      <c r="L22" s="123"/>
    </row>
    <row r="23" spans="1:12" s="126" customFormat="1" ht="12.75" customHeight="1" x14ac:dyDescent="0.2">
      <c r="A23" s="125" t="s">
        <v>76</v>
      </c>
      <c r="B23" s="127" t="s">
        <v>397</v>
      </c>
      <c r="C23" s="123" t="s">
        <v>396</v>
      </c>
      <c r="D23" s="124" t="s">
        <v>15</v>
      </c>
      <c r="E23" s="124" t="s">
        <v>16</v>
      </c>
      <c r="F23" s="124" t="s">
        <v>17</v>
      </c>
      <c r="G23" s="125" t="s">
        <v>115</v>
      </c>
      <c r="H23" s="125">
        <v>1499</v>
      </c>
      <c r="I23" s="125">
        <f t="shared" si="2"/>
        <v>2998</v>
      </c>
      <c r="J23" s="125">
        <v>0</v>
      </c>
      <c r="K23" s="125">
        <f t="shared" si="3"/>
        <v>2998</v>
      </c>
      <c r="L23" s="123"/>
    </row>
    <row r="24" spans="1:12" s="126" customFormat="1" ht="12.75" customHeight="1" x14ac:dyDescent="0.2">
      <c r="A24" s="125" t="s">
        <v>79</v>
      </c>
      <c r="B24" s="127" t="s">
        <v>395</v>
      </c>
      <c r="C24" s="123" t="s">
        <v>394</v>
      </c>
      <c r="D24" s="124" t="s">
        <v>15</v>
      </c>
      <c r="E24" s="124" t="s">
        <v>16</v>
      </c>
      <c r="F24" s="124" t="s">
        <v>17</v>
      </c>
      <c r="G24" s="125" t="s">
        <v>122</v>
      </c>
      <c r="H24" s="125">
        <v>632</v>
      </c>
      <c r="I24" s="125">
        <f t="shared" si="2"/>
        <v>2528</v>
      </c>
      <c r="J24" s="125">
        <v>0</v>
      </c>
      <c r="K24" s="125">
        <f t="shared" si="3"/>
        <v>2528</v>
      </c>
      <c r="L24" s="123"/>
    </row>
    <row r="25" spans="1:12" s="126" customFormat="1" ht="12.75" customHeight="1" x14ac:dyDescent="0.2">
      <c r="A25" s="125" t="s">
        <v>82</v>
      </c>
      <c r="B25" s="127" t="s">
        <v>414</v>
      </c>
      <c r="C25" s="123" t="s">
        <v>413</v>
      </c>
      <c r="D25" s="124" t="s">
        <v>15</v>
      </c>
      <c r="E25" s="124" t="s">
        <v>16</v>
      </c>
      <c r="F25" s="124" t="s">
        <v>17</v>
      </c>
      <c r="G25" s="125" t="s">
        <v>122</v>
      </c>
      <c r="H25" s="125">
        <v>0</v>
      </c>
      <c r="I25" s="125">
        <f t="shared" si="2"/>
        <v>0</v>
      </c>
      <c r="J25" s="125">
        <v>0</v>
      </c>
      <c r="K25" s="125">
        <f t="shared" si="3"/>
        <v>0</v>
      </c>
      <c r="L25" s="123"/>
    </row>
    <row r="26" spans="1:12" s="126" customFormat="1" ht="12.75" customHeight="1" x14ac:dyDescent="0.2">
      <c r="A26" s="125" t="s">
        <v>86</v>
      </c>
      <c r="B26" s="127" t="s">
        <v>393</v>
      </c>
      <c r="C26" s="123" t="s">
        <v>392</v>
      </c>
      <c r="D26" s="124" t="s">
        <v>15</v>
      </c>
      <c r="E26" s="124" t="s">
        <v>16</v>
      </c>
      <c r="F26" s="124" t="s">
        <v>17</v>
      </c>
      <c r="G26" s="125" t="s">
        <v>115</v>
      </c>
      <c r="H26" s="125">
        <v>220</v>
      </c>
      <c r="I26" s="125">
        <f t="shared" si="2"/>
        <v>440</v>
      </c>
      <c r="J26" s="125">
        <v>0</v>
      </c>
      <c r="K26" s="125">
        <f t="shared" si="3"/>
        <v>440</v>
      </c>
      <c r="L26" s="123"/>
    </row>
    <row r="27" spans="1:12" s="126" customFormat="1" ht="12.75" customHeight="1" x14ac:dyDescent="0.2">
      <c r="A27" s="125" t="s">
        <v>89</v>
      </c>
      <c r="B27" s="127" t="s">
        <v>391</v>
      </c>
      <c r="C27" s="123" t="s">
        <v>390</v>
      </c>
      <c r="D27" s="124" t="s">
        <v>15</v>
      </c>
      <c r="E27" s="124" t="s">
        <v>16</v>
      </c>
      <c r="F27" s="124" t="s">
        <v>17</v>
      </c>
      <c r="G27" s="125" t="s">
        <v>115</v>
      </c>
      <c r="H27" s="125">
        <v>85</v>
      </c>
      <c r="I27" s="125">
        <f t="shared" si="2"/>
        <v>170</v>
      </c>
      <c r="J27" s="125">
        <v>0</v>
      </c>
      <c r="K27" s="125">
        <f t="shared" si="3"/>
        <v>170</v>
      </c>
      <c r="L27" s="123"/>
    </row>
    <row r="28" spans="1:12" s="126" customFormat="1" ht="12.75" customHeight="1" x14ac:dyDescent="0.2">
      <c r="A28" s="125" t="s">
        <v>93</v>
      </c>
      <c r="B28" s="127" t="s">
        <v>388</v>
      </c>
      <c r="C28" s="123" t="s">
        <v>387</v>
      </c>
      <c r="D28" s="124" t="s">
        <v>15</v>
      </c>
      <c r="E28" s="124" t="s">
        <v>16</v>
      </c>
      <c r="F28" s="124" t="s">
        <v>33</v>
      </c>
      <c r="G28" s="125" t="s">
        <v>115</v>
      </c>
      <c r="H28" s="125">
        <v>0</v>
      </c>
      <c r="I28" s="125">
        <f t="shared" si="2"/>
        <v>0</v>
      </c>
      <c r="J28" s="125">
        <v>0</v>
      </c>
      <c r="K28" s="125">
        <f t="shared" si="3"/>
        <v>0</v>
      </c>
      <c r="L28" s="123"/>
    </row>
    <row r="29" spans="1:12" s="126" customFormat="1" ht="12.75" customHeight="1" x14ac:dyDescent="0.2">
      <c r="A29" s="125" t="s">
        <v>97</v>
      </c>
      <c r="B29" s="127" t="s">
        <v>385</v>
      </c>
      <c r="C29" s="123" t="s">
        <v>384</v>
      </c>
      <c r="D29" s="124" t="s">
        <v>15</v>
      </c>
      <c r="E29" s="124" t="s">
        <v>16</v>
      </c>
      <c r="F29" s="124" t="s">
        <v>33</v>
      </c>
      <c r="G29" s="125" t="s">
        <v>122</v>
      </c>
      <c r="H29" s="125">
        <v>0</v>
      </c>
      <c r="I29" s="125">
        <f t="shared" si="2"/>
        <v>0</v>
      </c>
      <c r="J29" s="125">
        <v>0</v>
      </c>
      <c r="K29" s="125">
        <f t="shared" si="3"/>
        <v>0</v>
      </c>
      <c r="L29" s="123"/>
    </row>
    <row r="30" spans="1:12" s="126" customFormat="1" ht="12.75" customHeight="1" x14ac:dyDescent="0.2">
      <c r="A30" s="125" t="s">
        <v>100</v>
      </c>
      <c r="B30" s="127" t="s">
        <v>382</v>
      </c>
      <c r="C30" s="123" t="s">
        <v>381</v>
      </c>
      <c r="D30" s="124" t="s">
        <v>15</v>
      </c>
      <c r="E30" s="124" t="s">
        <v>16</v>
      </c>
      <c r="F30" s="124" t="s">
        <v>33</v>
      </c>
      <c r="G30" s="125" t="s">
        <v>403</v>
      </c>
      <c r="H30" s="125">
        <v>0</v>
      </c>
      <c r="I30" s="125">
        <f t="shared" si="2"/>
        <v>0</v>
      </c>
      <c r="J30" s="125">
        <v>0</v>
      </c>
      <c r="K30" s="125">
        <f t="shared" si="3"/>
        <v>0</v>
      </c>
      <c r="L30" s="123"/>
    </row>
    <row r="31" spans="1:12" s="126" customFormat="1" ht="12.75" customHeight="1" x14ac:dyDescent="0.2">
      <c r="A31" s="125" t="s">
        <v>104</v>
      </c>
      <c r="B31" s="127" t="s">
        <v>379</v>
      </c>
      <c r="C31" s="123" t="s">
        <v>378</v>
      </c>
      <c r="D31" s="124" t="s">
        <v>15</v>
      </c>
      <c r="E31" s="124" t="s">
        <v>16</v>
      </c>
      <c r="F31" s="124" t="s">
        <v>17</v>
      </c>
      <c r="G31" s="125" t="s">
        <v>115</v>
      </c>
      <c r="H31" s="125">
        <v>656</v>
      </c>
      <c r="I31" s="125">
        <f t="shared" si="2"/>
        <v>1312</v>
      </c>
      <c r="J31" s="125">
        <v>0</v>
      </c>
      <c r="K31" s="125">
        <f t="shared" si="3"/>
        <v>1312</v>
      </c>
      <c r="L31" s="123"/>
    </row>
    <row r="32" spans="1:12" s="126" customFormat="1" ht="12.75" customHeight="1" x14ac:dyDescent="0.2">
      <c r="A32" s="125" t="s">
        <v>419</v>
      </c>
      <c r="B32" s="127" t="s">
        <v>376</v>
      </c>
      <c r="C32" s="123" t="s">
        <v>375</v>
      </c>
      <c r="D32" s="124" t="s">
        <v>15</v>
      </c>
      <c r="E32" s="124" t="s">
        <v>16</v>
      </c>
      <c r="F32" s="124" t="s">
        <v>17</v>
      </c>
      <c r="G32" s="125" t="s">
        <v>115</v>
      </c>
      <c r="H32" s="125">
        <v>1405</v>
      </c>
      <c r="I32" s="125">
        <f t="shared" si="2"/>
        <v>2810</v>
      </c>
      <c r="J32" s="125">
        <v>0</v>
      </c>
      <c r="K32" s="125">
        <f t="shared" si="3"/>
        <v>2810</v>
      </c>
      <c r="L32" s="123"/>
    </row>
    <row r="33" spans="1:12" s="126" customFormat="1" ht="12.75" customHeight="1" x14ac:dyDescent="0.2">
      <c r="A33" s="125" t="s">
        <v>418</v>
      </c>
      <c r="B33" s="127" t="s">
        <v>41</v>
      </c>
      <c r="C33" s="123" t="s">
        <v>42</v>
      </c>
      <c r="D33" s="124" t="s">
        <v>15</v>
      </c>
      <c r="E33" s="124" t="s">
        <v>16</v>
      </c>
      <c r="F33" s="124" t="s">
        <v>17</v>
      </c>
      <c r="G33" s="125" t="s">
        <v>115</v>
      </c>
      <c r="H33" s="125">
        <v>0</v>
      </c>
      <c r="I33" s="125">
        <f t="shared" si="2"/>
        <v>0</v>
      </c>
      <c r="J33" s="125">
        <v>0</v>
      </c>
      <c r="K33" s="125">
        <f t="shared" si="3"/>
        <v>0</v>
      </c>
      <c r="L33" s="123"/>
    </row>
    <row r="34" spans="1:12" s="126" customFormat="1" ht="12.75" customHeight="1" x14ac:dyDescent="0.2">
      <c r="A34" s="125" t="s">
        <v>417</v>
      </c>
      <c r="B34" s="127" t="s">
        <v>416</v>
      </c>
      <c r="C34" s="123" t="s">
        <v>415</v>
      </c>
      <c r="D34" s="124" t="s">
        <v>15</v>
      </c>
      <c r="E34" s="124" t="s">
        <v>16</v>
      </c>
      <c r="F34" s="124" t="s">
        <v>17</v>
      </c>
      <c r="G34" s="125" t="s">
        <v>122</v>
      </c>
      <c r="H34" s="125">
        <v>4145</v>
      </c>
      <c r="I34" s="125">
        <f t="shared" si="2"/>
        <v>16580</v>
      </c>
      <c r="J34" s="125">
        <v>0</v>
      </c>
      <c r="K34" s="125">
        <f t="shared" si="3"/>
        <v>16580</v>
      </c>
      <c r="L34" s="123"/>
    </row>
    <row r="35" spans="1:12" s="126" customFormat="1" ht="12.75" customHeight="1" x14ac:dyDescent="0.2">
      <c r="A35" s="128" t="s">
        <v>55</v>
      </c>
      <c r="B35" s="128" t="s">
        <v>55</v>
      </c>
      <c r="C35" s="128" t="s">
        <v>55</v>
      </c>
      <c r="D35" s="128" t="s">
        <v>55</v>
      </c>
      <c r="E35" s="128" t="s">
        <v>55</v>
      </c>
      <c r="F35" s="128" t="s">
        <v>55</v>
      </c>
      <c r="G35" s="128" t="s">
        <v>55</v>
      </c>
      <c r="H35" s="128" t="s">
        <v>55</v>
      </c>
      <c r="I35" s="128" t="s">
        <v>55</v>
      </c>
      <c r="J35" s="129" t="s">
        <v>56</v>
      </c>
      <c r="K35" s="129">
        <f>(K20+K21+K22+K23+K24+K25+K26+K27+K28+K29+K30+K31+K32+K33+K34)</f>
        <v>60953.599999999999</v>
      </c>
      <c r="L35" s="129" t="s">
        <v>55</v>
      </c>
    </row>
    <row r="36" spans="1:12" s="126" customFormat="1" ht="12.75" customHeight="1" x14ac:dyDescent="0.2">
      <c r="A36" s="121" t="s">
        <v>112</v>
      </c>
      <c r="B36" s="122" t="s">
        <v>402</v>
      </c>
      <c r="C36" s="123" t="s">
        <v>401</v>
      </c>
      <c r="D36" s="124" t="s">
        <v>15</v>
      </c>
      <c r="E36" s="124" t="s">
        <v>16</v>
      </c>
      <c r="F36" s="124" t="s">
        <v>17</v>
      </c>
      <c r="G36" s="125" t="s">
        <v>115</v>
      </c>
      <c r="H36" s="125">
        <v>3995</v>
      </c>
      <c r="I36" s="125">
        <f t="shared" ref="I36:I50" si="4">(H36*G36)</f>
        <v>7990</v>
      </c>
      <c r="J36" s="125">
        <v>0</v>
      </c>
      <c r="K36" s="125">
        <f t="shared" ref="K36:K50" si="5">ROUND(I36-((I36*J36)/100),2)</f>
        <v>7990</v>
      </c>
      <c r="L36" s="123"/>
    </row>
    <row r="37" spans="1:12" s="126" customFormat="1" ht="12.75" customHeight="1" x14ac:dyDescent="0.2">
      <c r="A37" s="125" t="s">
        <v>153</v>
      </c>
      <c r="B37" s="127" t="s">
        <v>373</v>
      </c>
      <c r="C37" s="123" t="s">
        <v>372</v>
      </c>
      <c r="D37" s="124" t="s">
        <v>54</v>
      </c>
      <c r="E37" s="124" t="s">
        <v>15</v>
      </c>
      <c r="F37" s="124" t="s">
        <v>17</v>
      </c>
      <c r="G37" s="125" t="s">
        <v>115</v>
      </c>
      <c r="H37" s="125">
        <v>1462.8</v>
      </c>
      <c r="I37" s="125">
        <f t="shared" si="4"/>
        <v>2925.6</v>
      </c>
      <c r="J37" s="125">
        <v>0</v>
      </c>
      <c r="K37" s="125">
        <f t="shared" si="5"/>
        <v>2925.6</v>
      </c>
      <c r="L37" s="123" t="s">
        <v>50</v>
      </c>
    </row>
    <row r="38" spans="1:12" s="126" customFormat="1" ht="12.75" customHeight="1" x14ac:dyDescent="0.2">
      <c r="A38" s="125" t="s">
        <v>116</v>
      </c>
      <c r="B38" s="127" t="s">
        <v>24</v>
      </c>
      <c r="C38" s="123" t="s">
        <v>25</v>
      </c>
      <c r="D38" s="124" t="s">
        <v>15</v>
      </c>
      <c r="E38" s="124" t="s">
        <v>16</v>
      </c>
      <c r="F38" s="124" t="s">
        <v>17</v>
      </c>
      <c r="G38" s="125" t="s">
        <v>348</v>
      </c>
      <c r="H38" s="125">
        <v>725</v>
      </c>
      <c r="I38" s="125">
        <f t="shared" si="4"/>
        <v>23200</v>
      </c>
      <c r="J38" s="125">
        <v>0</v>
      </c>
      <c r="K38" s="125">
        <f t="shared" si="5"/>
        <v>23200</v>
      </c>
      <c r="L38" s="123"/>
    </row>
    <row r="39" spans="1:12" s="126" customFormat="1" ht="12.75" customHeight="1" x14ac:dyDescent="0.2">
      <c r="A39" s="125" t="s">
        <v>119</v>
      </c>
      <c r="B39" s="127" t="s">
        <v>397</v>
      </c>
      <c r="C39" s="123" t="s">
        <v>396</v>
      </c>
      <c r="D39" s="124" t="s">
        <v>15</v>
      </c>
      <c r="E39" s="124" t="s">
        <v>16</v>
      </c>
      <c r="F39" s="124" t="s">
        <v>17</v>
      </c>
      <c r="G39" s="125" t="s">
        <v>115</v>
      </c>
      <c r="H39" s="125">
        <v>1499</v>
      </c>
      <c r="I39" s="125">
        <f t="shared" si="4"/>
        <v>2998</v>
      </c>
      <c r="J39" s="125">
        <v>0</v>
      </c>
      <c r="K39" s="125">
        <f t="shared" si="5"/>
        <v>2998</v>
      </c>
      <c r="L39" s="123"/>
    </row>
    <row r="40" spans="1:12" s="126" customFormat="1" ht="12.75" customHeight="1" x14ac:dyDescent="0.2">
      <c r="A40" s="125" t="s">
        <v>123</v>
      </c>
      <c r="B40" s="127" t="s">
        <v>395</v>
      </c>
      <c r="C40" s="123" t="s">
        <v>394</v>
      </c>
      <c r="D40" s="124" t="s">
        <v>15</v>
      </c>
      <c r="E40" s="124" t="s">
        <v>16</v>
      </c>
      <c r="F40" s="124" t="s">
        <v>17</v>
      </c>
      <c r="G40" s="125" t="s">
        <v>122</v>
      </c>
      <c r="H40" s="125">
        <v>632</v>
      </c>
      <c r="I40" s="125">
        <f t="shared" si="4"/>
        <v>2528</v>
      </c>
      <c r="J40" s="125">
        <v>0</v>
      </c>
      <c r="K40" s="125">
        <f t="shared" si="5"/>
        <v>2528</v>
      </c>
      <c r="L40" s="123"/>
    </row>
    <row r="41" spans="1:12" s="126" customFormat="1" ht="12.75" customHeight="1" x14ac:dyDescent="0.2">
      <c r="A41" s="125" t="s">
        <v>129</v>
      </c>
      <c r="B41" s="127" t="s">
        <v>414</v>
      </c>
      <c r="C41" s="123" t="s">
        <v>413</v>
      </c>
      <c r="D41" s="124" t="s">
        <v>15</v>
      </c>
      <c r="E41" s="124" t="s">
        <v>16</v>
      </c>
      <c r="F41" s="124" t="s">
        <v>17</v>
      </c>
      <c r="G41" s="125" t="s">
        <v>122</v>
      </c>
      <c r="H41" s="125">
        <v>0</v>
      </c>
      <c r="I41" s="125">
        <f t="shared" si="4"/>
        <v>0</v>
      </c>
      <c r="J41" s="125">
        <v>0</v>
      </c>
      <c r="K41" s="125">
        <f t="shared" si="5"/>
        <v>0</v>
      </c>
      <c r="L41" s="123"/>
    </row>
    <row r="42" spans="1:12" s="126" customFormat="1" ht="12.75" customHeight="1" x14ac:dyDescent="0.2">
      <c r="A42" s="125" t="s">
        <v>132</v>
      </c>
      <c r="B42" s="127" t="s">
        <v>393</v>
      </c>
      <c r="C42" s="123" t="s">
        <v>392</v>
      </c>
      <c r="D42" s="124" t="s">
        <v>15</v>
      </c>
      <c r="E42" s="124" t="s">
        <v>16</v>
      </c>
      <c r="F42" s="124" t="s">
        <v>17</v>
      </c>
      <c r="G42" s="125" t="s">
        <v>115</v>
      </c>
      <c r="H42" s="125">
        <v>220</v>
      </c>
      <c r="I42" s="125">
        <f t="shared" si="4"/>
        <v>440</v>
      </c>
      <c r="J42" s="125">
        <v>0</v>
      </c>
      <c r="K42" s="125">
        <f t="shared" si="5"/>
        <v>440</v>
      </c>
      <c r="L42" s="123"/>
    </row>
    <row r="43" spans="1:12" s="126" customFormat="1" ht="12.75" customHeight="1" x14ac:dyDescent="0.2">
      <c r="A43" s="125" t="s">
        <v>136</v>
      </c>
      <c r="B43" s="127" t="s">
        <v>391</v>
      </c>
      <c r="C43" s="123" t="s">
        <v>390</v>
      </c>
      <c r="D43" s="124" t="s">
        <v>15</v>
      </c>
      <c r="E43" s="124" t="s">
        <v>16</v>
      </c>
      <c r="F43" s="124" t="s">
        <v>17</v>
      </c>
      <c r="G43" s="125" t="s">
        <v>115</v>
      </c>
      <c r="H43" s="125">
        <v>85</v>
      </c>
      <c r="I43" s="125">
        <f t="shared" si="4"/>
        <v>170</v>
      </c>
      <c r="J43" s="125">
        <v>0</v>
      </c>
      <c r="K43" s="125">
        <f t="shared" si="5"/>
        <v>170</v>
      </c>
      <c r="L43" s="123"/>
    </row>
    <row r="44" spans="1:12" s="126" customFormat="1" ht="12.75" customHeight="1" x14ac:dyDescent="0.2">
      <c r="A44" s="125" t="s">
        <v>139</v>
      </c>
      <c r="B44" s="127" t="s">
        <v>388</v>
      </c>
      <c r="C44" s="123" t="s">
        <v>387</v>
      </c>
      <c r="D44" s="124" t="s">
        <v>15</v>
      </c>
      <c r="E44" s="124" t="s">
        <v>16</v>
      </c>
      <c r="F44" s="124" t="s">
        <v>33</v>
      </c>
      <c r="G44" s="125" t="s">
        <v>115</v>
      </c>
      <c r="H44" s="125">
        <v>0</v>
      </c>
      <c r="I44" s="125">
        <f t="shared" si="4"/>
        <v>0</v>
      </c>
      <c r="J44" s="125">
        <v>0</v>
      </c>
      <c r="K44" s="125">
        <f t="shared" si="5"/>
        <v>0</v>
      </c>
      <c r="L44" s="123"/>
    </row>
    <row r="45" spans="1:12" s="126" customFormat="1" ht="12.75" customHeight="1" x14ac:dyDescent="0.2">
      <c r="A45" s="125" t="s">
        <v>141</v>
      </c>
      <c r="B45" s="127" t="s">
        <v>385</v>
      </c>
      <c r="C45" s="123" t="s">
        <v>384</v>
      </c>
      <c r="D45" s="124" t="s">
        <v>15</v>
      </c>
      <c r="E45" s="124" t="s">
        <v>16</v>
      </c>
      <c r="F45" s="124" t="s">
        <v>33</v>
      </c>
      <c r="G45" s="125" t="s">
        <v>122</v>
      </c>
      <c r="H45" s="125">
        <v>0</v>
      </c>
      <c r="I45" s="125">
        <f t="shared" si="4"/>
        <v>0</v>
      </c>
      <c r="J45" s="125">
        <v>0</v>
      </c>
      <c r="K45" s="125">
        <f t="shared" si="5"/>
        <v>0</v>
      </c>
      <c r="L45" s="123"/>
    </row>
    <row r="46" spans="1:12" s="126" customFormat="1" ht="12.75" customHeight="1" x14ac:dyDescent="0.2">
      <c r="A46" s="125" t="s">
        <v>143</v>
      </c>
      <c r="B46" s="127" t="s">
        <v>382</v>
      </c>
      <c r="C46" s="123" t="s">
        <v>381</v>
      </c>
      <c r="D46" s="124" t="s">
        <v>15</v>
      </c>
      <c r="E46" s="124" t="s">
        <v>16</v>
      </c>
      <c r="F46" s="124" t="s">
        <v>33</v>
      </c>
      <c r="G46" s="125" t="s">
        <v>403</v>
      </c>
      <c r="H46" s="125">
        <v>0</v>
      </c>
      <c r="I46" s="125">
        <f t="shared" si="4"/>
        <v>0</v>
      </c>
      <c r="J46" s="125">
        <v>0</v>
      </c>
      <c r="K46" s="125">
        <f t="shared" si="5"/>
        <v>0</v>
      </c>
      <c r="L46" s="123"/>
    </row>
    <row r="47" spans="1:12" s="126" customFormat="1" ht="12.75" customHeight="1" x14ac:dyDescent="0.2">
      <c r="A47" s="125" t="s">
        <v>147</v>
      </c>
      <c r="B47" s="127" t="s">
        <v>379</v>
      </c>
      <c r="C47" s="123" t="s">
        <v>378</v>
      </c>
      <c r="D47" s="124" t="s">
        <v>15</v>
      </c>
      <c r="E47" s="124" t="s">
        <v>16</v>
      </c>
      <c r="F47" s="124" t="s">
        <v>17</v>
      </c>
      <c r="G47" s="125" t="s">
        <v>115</v>
      </c>
      <c r="H47" s="125">
        <v>656</v>
      </c>
      <c r="I47" s="125">
        <f t="shared" si="4"/>
        <v>1312</v>
      </c>
      <c r="J47" s="125">
        <v>0</v>
      </c>
      <c r="K47" s="125">
        <f t="shared" si="5"/>
        <v>1312</v>
      </c>
      <c r="L47" s="123"/>
    </row>
    <row r="48" spans="1:12" s="126" customFormat="1" ht="12.75" customHeight="1" x14ac:dyDescent="0.2">
      <c r="A48" s="125" t="s">
        <v>150</v>
      </c>
      <c r="B48" s="127" t="s">
        <v>376</v>
      </c>
      <c r="C48" s="123" t="s">
        <v>375</v>
      </c>
      <c r="D48" s="124" t="s">
        <v>15</v>
      </c>
      <c r="E48" s="124" t="s">
        <v>16</v>
      </c>
      <c r="F48" s="124" t="s">
        <v>17</v>
      </c>
      <c r="G48" s="125" t="s">
        <v>115</v>
      </c>
      <c r="H48" s="125">
        <v>1405</v>
      </c>
      <c r="I48" s="125">
        <f t="shared" si="4"/>
        <v>2810</v>
      </c>
      <c r="J48" s="125">
        <v>0</v>
      </c>
      <c r="K48" s="125">
        <f t="shared" si="5"/>
        <v>2810</v>
      </c>
      <c r="L48" s="123"/>
    </row>
    <row r="49" spans="1:12" s="126" customFormat="1" ht="12.75" customHeight="1" x14ac:dyDescent="0.2">
      <c r="A49" s="125" t="s">
        <v>412</v>
      </c>
      <c r="B49" s="127" t="s">
        <v>41</v>
      </c>
      <c r="C49" s="123" t="s">
        <v>42</v>
      </c>
      <c r="D49" s="124" t="s">
        <v>15</v>
      </c>
      <c r="E49" s="124" t="s">
        <v>16</v>
      </c>
      <c r="F49" s="124" t="s">
        <v>17</v>
      </c>
      <c r="G49" s="125" t="s">
        <v>115</v>
      </c>
      <c r="H49" s="125">
        <v>0</v>
      </c>
      <c r="I49" s="125">
        <f t="shared" si="4"/>
        <v>0</v>
      </c>
      <c r="J49" s="125">
        <v>0</v>
      </c>
      <c r="K49" s="125">
        <f t="shared" si="5"/>
        <v>0</v>
      </c>
      <c r="L49" s="123"/>
    </row>
    <row r="50" spans="1:12" s="126" customFormat="1" ht="12.75" customHeight="1" x14ac:dyDescent="0.2">
      <c r="A50" s="125" t="s">
        <v>411</v>
      </c>
      <c r="B50" s="127" t="s">
        <v>400</v>
      </c>
      <c r="C50" s="123" t="s">
        <v>399</v>
      </c>
      <c r="D50" s="124" t="s">
        <v>15</v>
      </c>
      <c r="E50" s="124" t="s">
        <v>16</v>
      </c>
      <c r="F50" s="124" t="s">
        <v>17</v>
      </c>
      <c r="G50" s="125" t="s">
        <v>122</v>
      </c>
      <c r="H50" s="125">
        <v>5259</v>
      </c>
      <c r="I50" s="125">
        <f t="shared" si="4"/>
        <v>21036</v>
      </c>
      <c r="J50" s="125">
        <v>0</v>
      </c>
      <c r="K50" s="125">
        <f t="shared" si="5"/>
        <v>21036</v>
      </c>
      <c r="L50" s="123"/>
    </row>
    <row r="51" spans="1:12" s="126" customFormat="1" ht="12.75" customHeight="1" x14ac:dyDescent="0.2">
      <c r="A51" s="128" t="s">
        <v>55</v>
      </c>
      <c r="B51" s="128" t="s">
        <v>55</v>
      </c>
      <c r="C51" s="128" t="s">
        <v>55</v>
      </c>
      <c r="D51" s="128" t="s">
        <v>55</v>
      </c>
      <c r="E51" s="128" t="s">
        <v>55</v>
      </c>
      <c r="F51" s="128" t="s">
        <v>55</v>
      </c>
      <c r="G51" s="128" t="s">
        <v>55</v>
      </c>
      <c r="H51" s="128" t="s">
        <v>55</v>
      </c>
      <c r="I51" s="128" t="s">
        <v>55</v>
      </c>
      <c r="J51" s="129" t="s">
        <v>56</v>
      </c>
      <c r="K51" s="129">
        <f>(K36+K37+K38+K39+K40+K41+K42+K43+K44+K45+K46+K47+K48+K49+K50)</f>
        <v>65409.599999999999</v>
      </c>
      <c r="L51" s="129" t="s">
        <v>55</v>
      </c>
    </row>
    <row r="52" spans="1:12" s="126" customFormat="1" ht="12.75" customHeight="1" x14ac:dyDescent="0.2">
      <c r="A52" s="121" t="s">
        <v>156</v>
      </c>
      <c r="B52" s="122" t="s">
        <v>368</v>
      </c>
      <c r="C52" s="123" t="s">
        <v>367</v>
      </c>
      <c r="D52" s="124" t="s">
        <v>15</v>
      </c>
      <c r="E52" s="124" t="s">
        <v>16</v>
      </c>
      <c r="F52" s="124" t="s">
        <v>17</v>
      </c>
      <c r="G52" s="125" t="s">
        <v>264</v>
      </c>
      <c r="H52" s="125">
        <v>12188</v>
      </c>
      <c r="I52" s="125">
        <f>(H52*G52)</f>
        <v>292512</v>
      </c>
      <c r="J52" s="125">
        <v>0</v>
      </c>
      <c r="K52" s="125">
        <f>ROUND(I52-((I52*J52)/100),2)</f>
        <v>292512</v>
      </c>
      <c r="L52" s="123"/>
    </row>
    <row r="53" spans="1:12" s="126" customFormat="1" ht="12.75" customHeight="1" x14ac:dyDescent="0.2">
      <c r="A53" s="128" t="s">
        <v>55</v>
      </c>
      <c r="B53" s="128" t="s">
        <v>55</v>
      </c>
      <c r="C53" s="128" t="s">
        <v>55</v>
      </c>
      <c r="D53" s="128" t="s">
        <v>55</v>
      </c>
      <c r="E53" s="128" t="s">
        <v>55</v>
      </c>
      <c r="F53" s="128" t="s">
        <v>55</v>
      </c>
      <c r="G53" s="128" t="s">
        <v>55</v>
      </c>
      <c r="H53" s="128" t="s">
        <v>55</v>
      </c>
      <c r="I53" s="128" t="s">
        <v>55</v>
      </c>
      <c r="J53" s="129" t="s">
        <v>56</v>
      </c>
      <c r="K53" s="129">
        <f>(K52)</f>
        <v>292512</v>
      </c>
      <c r="L53" s="129" t="s">
        <v>55</v>
      </c>
    </row>
    <row r="54" spans="1:12" s="126" customFormat="1" ht="12.75" customHeight="1" x14ac:dyDescent="0.2">
      <c r="A54" s="121" t="s">
        <v>181</v>
      </c>
      <c r="B54" s="122" t="s">
        <v>366</v>
      </c>
      <c r="C54" s="123" t="s">
        <v>365</v>
      </c>
      <c r="D54" s="124" t="s">
        <v>15</v>
      </c>
      <c r="E54" s="124" t="s">
        <v>16</v>
      </c>
      <c r="F54" s="124" t="s">
        <v>17</v>
      </c>
      <c r="G54" s="125" t="s">
        <v>264</v>
      </c>
      <c r="H54" s="125">
        <v>2437.5</v>
      </c>
      <c r="I54" s="125">
        <f>(H54*G54)</f>
        <v>58500</v>
      </c>
      <c r="J54" s="125">
        <v>0</v>
      </c>
      <c r="K54" s="125">
        <f>ROUND(I54-((I54*J54)/100),2)</f>
        <v>58500</v>
      </c>
      <c r="L54" s="123"/>
    </row>
    <row r="55" spans="1:12" s="126" customFormat="1" ht="12.75" customHeight="1" x14ac:dyDescent="0.2">
      <c r="A55" s="128" t="s">
        <v>55</v>
      </c>
      <c r="B55" s="128" t="s">
        <v>55</v>
      </c>
      <c r="C55" s="128" t="s">
        <v>55</v>
      </c>
      <c r="D55" s="128" t="s">
        <v>55</v>
      </c>
      <c r="E55" s="128" t="s">
        <v>55</v>
      </c>
      <c r="F55" s="128" t="s">
        <v>55</v>
      </c>
      <c r="G55" s="128" t="s">
        <v>55</v>
      </c>
      <c r="H55" s="128" t="s">
        <v>55</v>
      </c>
      <c r="I55" s="128" t="s">
        <v>55</v>
      </c>
      <c r="J55" s="129" t="s">
        <v>56</v>
      </c>
      <c r="K55" s="129">
        <f>(K54)</f>
        <v>58500</v>
      </c>
      <c r="L55" s="129" t="s">
        <v>55</v>
      </c>
    </row>
    <row r="56" spans="1:12" s="126" customFormat="1" ht="12.75" customHeight="1" x14ac:dyDescent="0.2">
      <c r="A56" s="121" t="s">
        <v>210</v>
      </c>
      <c r="B56" s="122" t="s">
        <v>364</v>
      </c>
      <c r="C56" s="123" t="s">
        <v>363</v>
      </c>
      <c r="D56" s="124" t="s">
        <v>15</v>
      </c>
      <c r="E56" s="124" t="s">
        <v>16</v>
      </c>
      <c r="F56" s="124" t="s">
        <v>17</v>
      </c>
      <c r="G56" s="125" t="s">
        <v>264</v>
      </c>
      <c r="H56" s="125">
        <v>1199</v>
      </c>
      <c r="I56" s="125">
        <f>(H56*G56)</f>
        <v>28776</v>
      </c>
      <c r="J56" s="125">
        <v>0</v>
      </c>
      <c r="K56" s="125">
        <f>ROUND(I56-((I56*J56)/100),2)</f>
        <v>28776</v>
      </c>
      <c r="L56" s="123"/>
    </row>
    <row r="57" spans="1:12" ht="12.75" customHeight="1" x14ac:dyDescent="0.2">
      <c r="A57" s="6" t="s">
        <v>55</v>
      </c>
      <c r="B57" s="6" t="s">
        <v>55</v>
      </c>
      <c r="C57" s="6" t="s">
        <v>55</v>
      </c>
      <c r="D57" s="6" t="s">
        <v>55</v>
      </c>
      <c r="E57" s="6" t="s">
        <v>55</v>
      </c>
      <c r="F57" s="6" t="s">
        <v>55</v>
      </c>
      <c r="G57" s="6" t="s">
        <v>55</v>
      </c>
      <c r="H57" s="6" t="s">
        <v>55</v>
      </c>
      <c r="I57" s="6" t="s">
        <v>55</v>
      </c>
      <c r="J57" s="5" t="s">
        <v>56</v>
      </c>
      <c r="K57" s="5">
        <f>(K56)</f>
        <v>28776</v>
      </c>
      <c r="L57" s="5" t="s">
        <v>55</v>
      </c>
    </row>
    <row r="58" spans="1:12" ht="12.75" customHeight="1" x14ac:dyDescent="0.2">
      <c r="A58" s="6" t="s">
        <v>55</v>
      </c>
      <c r="B58" s="6" t="s">
        <v>55</v>
      </c>
      <c r="C58" s="6" t="s">
        <v>55</v>
      </c>
      <c r="D58" s="6" t="s">
        <v>55</v>
      </c>
      <c r="E58" s="6" t="s">
        <v>55</v>
      </c>
      <c r="F58" s="6" t="s">
        <v>55</v>
      </c>
      <c r="G58" s="6" t="s">
        <v>55</v>
      </c>
      <c r="H58" s="6" t="s">
        <v>55</v>
      </c>
      <c r="I58" s="6" t="s">
        <v>55</v>
      </c>
      <c r="J58" s="5" t="s">
        <v>335</v>
      </c>
      <c r="K58" s="5">
        <f>(K3+K19+K35+K51+K53+K55+K57)</f>
        <v>638742.80000000005</v>
      </c>
      <c r="L58" s="5" t="s">
        <v>55</v>
      </c>
    </row>
  </sheetData>
  <printOptions horizontalCentered="1"/>
  <pageMargins left="0.75" right="0.75" top="1" bottom="1" header="0.5" footer="0.5"/>
  <pageSetup paperSize="9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showGridLines="0" topLeftCell="A25" workbookViewId="0">
      <selection activeCell="B49" sqref="B49"/>
    </sheetView>
  </sheetViews>
  <sheetFormatPr defaultColWidth="17.140625" defaultRowHeight="12.75" customHeight="1" x14ac:dyDescent="0.2"/>
  <cols>
    <col min="1" max="1" width="13.7109375" style="4" customWidth="1"/>
    <col min="2" max="2" width="31.28515625" style="4" customWidth="1"/>
    <col min="3" max="3" width="46.85546875" style="4" customWidth="1"/>
    <col min="4" max="4" width="13.7109375" style="4" customWidth="1"/>
    <col min="5" max="5" width="9.7109375" style="4" customWidth="1"/>
    <col min="6" max="6" width="13.7109375" style="4" customWidth="1"/>
    <col min="7" max="7" width="9.7109375" style="4" customWidth="1"/>
    <col min="8" max="11" width="13.7109375" style="4" customWidth="1"/>
    <col min="12" max="12" width="19.5703125" style="4" customWidth="1"/>
    <col min="13" max="16384" width="17.140625" style="4"/>
  </cols>
  <sheetData>
    <row r="1" spans="1:12" ht="24.9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s="109" customFormat="1" ht="12.75" customHeight="1" x14ac:dyDescent="0.2">
      <c r="A2" s="104" t="s">
        <v>12</v>
      </c>
      <c r="B2" s="105" t="s">
        <v>13</v>
      </c>
      <c r="C2" s="106" t="s">
        <v>14</v>
      </c>
      <c r="D2" s="107" t="s">
        <v>15</v>
      </c>
      <c r="E2" s="107" t="s">
        <v>16</v>
      </c>
      <c r="F2" s="107" t="s">
        <v>17</v>
      </c>
      <c r="G2" s="108" t="s">
        <v>230</v>
      </c>
      <c r="H2" s="108">
        <v>2995</v>
      </c>
      <c r="I2" s="108">
        <f t="shared" ref="I2:I12" si="0">(H2*G2)</f>
        <v>35940</v>
      </c>
      <c r="J2" s="108">
        <v>0</v>
      </c>
      <c r="K2" s="108">
        <f t="shared" ref="K2:K12" si="1">ROUND(I2-((I2*J2)/100),2)</f>
        <v>35940</v>
      </c>
      <c r="L2" s="106"/>
    </row>
    <row r="3" spans="1:12" s="109" customFormat="1" ht="12.75" customHeight="1" x14ac:dyDescent="0.2">
      <c r="A3" s="108" t="s">
        <v>19</v>
      </c>
      <c r="B3" s="110" t="s">
        <v>20</v>
      </c>
      <c r="C3" s="106" t="s">
        <v>21</v>
      </c>
      <c r="D3" s="107" t="s">
        <v>15</v>
      </c>
      <c r="E3" s="107" t="s">
        <v>16</v>
      </c>
      <c r="F3" s="107" t="s">
        <v>17</v>
      </c>
      <c r="G3" s="108" t="s">
        <v>264</v>
      </c>
      <c r="H3" s="108">
        <v>4767</v>
      </c>
      <c r="I3" s="108">
        <f t="shared" si="0"/>
        <v>114408</v>
      </c>
      <c r="J3" s="108">
        <v>0</v>
      </c>
      <c r="K3" s="108">
        <f t="shared" si="1"/>
        <v>114408</v>
      </c>
      <c r="L3" s="106"/>
    </row>
    <row r="4" spans="1:12" s="109" customFormat="1" ht="12.75" customHeight="1" x14ac:dyDescent="0.2">
      <c r="A4" s="108" t="s">
        <v>23</v>
      </c>
      <c r="B4" s="110" t="s">
        <v>24</v>
      </c>
      <c r="C4" s="106" t="s">
        <v>25</v>
      </c>
      <c r="D4" s="107" t="s">
        <v>15</v>
      </c>
      <c r="E4" s="107" t="s">
        <v>16</v>
      </c>
      <c r="F4" s="107" t="s">
        <v>17</v>
      </c>
      <c r="G4" s="108" t="s">
        <v>438</v>
      </c>
      <c r="H4" s="108">
        <v>725</v>
      </c>
      <c r="I4" s="108">
        <f t="shared" si="0"/>
        <v>139200</v>
      </c>
      <c r="J4" s="108">
        <v>0</v>
      </c>
      <c r="K4" s="108">
        <f t="shared" si="1"/>
        <v>139200</v>
      </c>
      <c r="L4" s="106"/>
    </row>
    <row r="5" spans="1:12" s="109" customFormat="1" ht="12.75" customHeight="1" x14ac:dyDescent="0.2">
      <c r="A5" s="108" t="s">
        <v>27</v>
      </c>
      <c r="B5" s="110" t="s">
        <v>28</v>
      </c>
      <c r="C5" s="106" t="s">
        <v>29</v>
      </c>
      <c r="D5" s="107" t="s">
        <v>15</v>
      </c>
      <c r="E5" s="107" t="s">
        <v>16</v>
      </c>
      <c r="F5" s="107" t="s">
        <v>17</v>
      </c>
      <c r="G5" s="108" t="s">
        <v>230</v>
      </c>
      <c r="H5" s="108">
        <v>1499</v>
      </c>
      <c r="I5" s="108">
        <f t="shared" si="0"/>
        <v>17988</v>
      </c>
      <c r="J5" s="108">
        <v>0</v>
      </c>
      <c r="K5" s="108">
        <f t="shared" si="1"/>
        <v>17988</v>
      </c>
      <c r="L5" s="106"/>
    </row>
    <row r="6" spans="1:12" s="109" customFormat="1" ht="12.75" customHeight="1" x14ac:dyDescent="0.2">
      <c r="A6" s="108" t="s">
        <v>30</v>
      </c>
      <c r="B6" s="110" t="s">
        <v>31</v>
      </c>
      <c r="C6" s="106" t="s">
        <v>32</v>
      </c>
      <c r="D6" s="107" t="s">
        <v>15</v>
      </c>
      <c r="E6" s="107" t="s">
        <v>16</v>
      </c>
      <c r="F6" s="107" t="s">
        <v>33</v>
      </c>
      <c r="G6" s="108" t="s">
        <v>264</v>
      </c>
      <c r="H6" s="108">
        <v>0</v>
      </c>
      <c r="I6" s="108">
        <f t="shared" si="0"/>
        <v>0</v>
      </c>
      <c r="J6" s="108">
        <v>0</v>
      </c>
      <c r="K6" s="108">
        <f t="shared" si="1"/>
        <v>0</v>
      </c>
      <c r="L6" s="106"/>
    </row>
    <row r="7" spans="1:12" s="109" customFormat="1" ht="12.75" customHeight="1" x14ac:dyDescent="0.2">
      <c r="A7" s="108" t="s">
        <v>34</v>
      </c>
      <c r="B7" s="110" t="s">
        <v>35</v>
      </c>
      <c r="C7" s="106" t="s">
        <v>36</v>
      </c>
      <c r="D7" s="107" t="s">
        <v>15</v>
      </c>
      <c r="E7" s="107" t="s">
        <v>16</v>
      </c>
      <c r="F7" s="107" t="s">
        <v>33</v>
      </c>
      <c r="G7" s="108" t="s">
        <v>230</v>
      </c>
      <c r="H7" s="108">
        <v>0</v>
      </c>
      <c r="I7" s="108">
        <f t="shared" si="0"/>
        <v>0</v>
      </c>
      <c r="J7" s="108">
        <v>0</v>
      </c>
      <c r="K7" s="108">
        <f t="shared" si="1"/>
        <v>0</v>
      </c>
      <c r="L7" s="106"/>
    </row>
    <row r="8" spans="1:12" s="109" customFormat="1" ht="12.75" customHeight="1" x14ac:dyDescent="0.2">
      <c r="A8" s="108" t="s">
        <v>37</v>
      </c>
      <c r="B8" s="110" t="s">
        <v>38</v>
      </c>
      <c r="C8" s="106" t="s">
        <v>39</v>
      </c>
      <c r="D8" s="107" t="s">
        <v>15</v>
      </c>
      <c r="E8" s="107" t="s">
        <v>16</v>
      </c>
      <c r="F8" s="107" t="s">
        <v>33</v>
      </c>
      <c r="G8" s="108" t="s">
        <v>230</v>
      </c>
      <c r="H8" s="108">
        <v>0</v>
      </c>
      <c r="I8" s="108">
        <f t="shared" si="0"/>
        <v>0</v>
      </c>
      <c r="J8" s="108">
        <v>0</v>
      </c>
      <c r="K8" s="108">
        <f t="shared" si="1"/>
        <v>0</v>
      </c>
      <c r="L8" s="106"/>
    </row>
    <row r="9" spans="1:12" s="109" customFormat="1" ht="12.75" customHeight="1" x14ac:dyDescent="0.2">
      <c r="A9" s="108" t="s">
        <v>40</v>
      </c>
      <c r="B9" s="110" t="s">
        <v>41</v>
      </c>
      <c r="C9" s="106" t="s">
        <v>42</v>
      </c>
      <c r="D9" s="107" t="s">
        <v>15</v>
      </c>
      <c r="E9" s="107" t="s">
        <v>16</v>
      </c>
      <c r="F9" s="107" t="s">
        <v>17</v>
      </c>
      <c r="G9" s="108" t="s">
        <v>230</v>
      </c>
      <c r="H9" s="108">
        <v>0</v>
      </c>
      <c r="I9" s="108">
        <f t="shared" si="0"/>
        <v>0</v>
      </c>
      <c r="J9" s="108">
        <v>0</v>
      </c>
      <c r="K9" s="108">
        <f t="shared" si="1"/>
        <v>0</v>
      </c>
      <c r="L9" s="106"/>
    </row>
    <row r="10" spans="1:12" s="109" customFormat="1" ht="12.75" customHeight="1" x14ac:dyDescent="0.2">
      <c r="A10" s="108" t="s">
        <v>43</v>
      </c>
      <c r="B10" s="110" t="s">
        <v>408</v>
      </c>
      <c r="C10" s="106" t="s">
        <v>407</v>
      </c>
      <c r="D10" s="107" t="s">
        <v>15</v>
      </c>
      <c r="E10" s="107" t="s">
        <v>16</v>
      </c>
      <c r="F10" s="107" t="s">
        <v>17</v>
      </c>
      <c r="G10" s="108" t="s">
        <v>264</v>
      </c>
      <c r="H10" s="108">
        <v>1855.36</v>
      </c>
      <c r="I10" s="108">
        <f t="shared" si="0"/>
        <v>44528.639999999999</v>
      </c>
      <c r="J10" s="108">
        <v>0</v>
      </c>
      <c r="K10" s="108">
        <f t="shared" si="1"/>
        <v>44528.639999999999</v>
      </c>
      <c r="L10" s="106"/>
    </row>
    <row r="11" spans="1:12" s="109" customFormat="1" ht="12.75" customHeight="1" x14ac:dyDescent="0.2">
      <c r="A11" s="108" t="s">
        <v>46</v>
      </c>
      <c r="B11" s="111" t="s">
        <v>405</v>
      </c>
      <c r="C11" s="106" t="s">
        <v>48</v>
      </c>
      <c r="D11" s="107" t="s">
        <v>54</v>
      </c>
      <c r="E11" s="107" t="s">
        <v>15</v>
      </c>
      <c r="F11" s="107" t="s">
        <v>17</v>
      </c>
      <c r="G11" s="108" t="s">
        <v>264</v>
      </c>
      <c r="H11" s="108">
        <v>1724.76</v>
      </c>
      <c r="I11" s="108">
        <f t="shared" si="0"/>
        <v>41394.239999999998</v>
      </c>
      <c r="J11" s="108">
        <v>0</v>
      </c>
      <c r="K11" s="108">
        <f t="shared" si="1"/>
        <v>41394.239999999998</v>
      </c>
      <c r="L11" s="106" t="s">
        <v>50</v>
      </c>
    </row>
    <row r="12" spans="1:12" s="109" customFormat="1" ht="12.75" customHeight="1" x14ac:dyDescent="0.2">
      <c r="A12" s="108" t="s">
        <v>51</v>
      </c>
      <c r="B12" s="110" t="s">
        <v>52</v>
      </c>
      <c r="C12" s="106" t="s">
        <v>53</v>
      </c>
      <c r="D12" s="107" t="s">
        <v>54</v>
      </c>
      <c r="E12" s="107" t="s">
        <v>15</v>
      </c>
      <c r="F12" s="107" t="s">
        <v>17</v>
      </c>
      <c r="G12" s="108" t="s">
        <v>230</v>
      </c>
      <c r="H12" s="108">
        <v>952.2</v>
      </c>
      <c r="I12" s="108">
        <f t="shared" si="0"/>
        <v>11426.400000000001</v>
      </c>
      <c r="J12" s="108">
        <v>0</v>
      </c>
      <c r="K12" s="108">
        <f t="shared" si="1"/>
        <v>11426.4</v>
      </c>
      <c r="L12" s="106" t="s">
        <v>50</v>
      </c>
    </row>
    <row r="13" spans="1:12" s="109" customFormat="1" ht="12.75" customHeight="1" x14ac:dyDescent="0.2">
      <c r="A13" s="112" t="s">
        <v>55</v>
      </c>
      <c r="B13" s="112" t="s">
        <v>55</v>
      </c>
      <c r="C13" s="112" t="s">
        <v>55</v>
      </c>
      <c r="D13" s="112" t="s">
        <v>55</v>
      </c>
      <c r="E13" s="112" t="s">
        <v>55</v>
      </c>
      <c r="F13" s="112" t="s">
        <v>55</v>
      </c>
      <c r="G13" s="112" t="s">
        <v>55</v>
      </c>
      <c r="H13" s="112" t="s">
        <v>55</v>
      </c>
      <c r="I13" s="112" t="s">
        <v>55</v>
      </c>
      <c r="J13" s="113" t="s">
        <v>56</v>
      </c>
      <c r="K13" s="113">
        <f>(K2+K3+K4+K5+K6+K7+K8+K9+K10+K11+K12)</f>
        <v>404885.28</v>
      </c>
      <c r="L13" s="113" t="s">
        <v>55</v>
      </c>
    </row>
    <row r="14" spans="1:12" s="109" customFormat="1" ht="12.75" customHeight="1" x14ac:dyDescent="0.2">
      <c r="A14" s="104" t="s">
        <v>57</v>
      </c>
      <c r="B14" s="105" t="s">
        <v>13</v>
      </c>
      <c r="C14" s="106" t="s">
        <v>14</v>
      </c>
      <c r="D14" s="107" t="s">
        <v>15</v>
      </c>
      <c r="E14" s="107" t="s">
        <v>16</v>
      </c>
      <c r="F14" s="107" t="s">
        <v>17</v>
      </c>
      <c r="G14" s="108" t="s">
        <v>230</v>
      </c>
      <c r="H14" s="108">
        <v>2995</v>
      </c>
      <c r="I14" s="108">
        <f t="shared" ref="I14:I24" si="2">(H14*G14)</f>
        <v>35940</v>
      </c>
      <c r="J14" s="108">
        <v>0</v>
      </c>
      <c r="K14" s="108">
        <f t="shared" ref="K14:K24" si="3">ROUND(I14-((I14*J14)/100),2)</f>
        <v>35940</v>
      </c>
      <c r="L14" s="106"/>
    </row>
    <row r="15" spans="1:12" s="109" customFormat="1" ht="12.75" customHeight="1" x14ac:dyDescent="0.2">
      <c r="A15" s="108" t="s">
        <v>59</v>
      </c>
      <c r="B15" s="110" t="s">
        <v>20</v>
      </c>
      <c r="C15" s="106" t="s">
        <v>21</v>
      </c>
      <c r="D15" s="107" t="s">
        <v>15</v>
      </c>
      <c r="E15" s="107" t="s">
        <v>16</v>
      </c>
      <c r="F15" s="107" t="s">
        <v>17</v>
      </c>
      <c r="G15" s="108" t="s">
        <v>264</v>
      </c>
      <c r="H15" s="108">
        <v>4767</v>
      </c>
      <c r="I15" s="108">
        <f t="shared" si="2"/>
        <v>114408</v>
      </c>
      <c r="J15" s="108">
        <v>0</v>
      </c>
      <c r="K15" s="108">
        <f t="shared" si="3"/>
        <v>114408</v>
      </c>
      <c r="L15" s="106"/>
    </row>
    <row r="16" spans="1:12" s="109" customFormat="1" ht="12.75" customHeight="1" x14ac:dyDescent="0.2">
      <c r="A16" s="108" t="s">
        <v>61</v>
      </c>
      <c r="B16" s="110" t="s">
        <v>24</v>
      </c>
      <c r="C16" s="106" t="s">
        <v>25</v>
      </c>
      <c r="D16" s="107" t="s">
        <v>15</v>
      </c>
      <c r="E16" s="107" t="s">
        <v>16</v>
      </c>
      <c r="F16" s="107" t="s">
        <v>17</v>
      </c>
      <c r="G16" s="108" t="s">
        <v>398</v>
      </c>
      <c r="H16" s="108">
        <v>725</v>
      </c>
      <c r="I16" s="108">
        <f t="shared" si="2"/>
        <v>69600</v>
      </c>
      <c r="J16" s="108">
        <v>0</v>
      </c>
      <c r="K16" s="108">
        <f t="shared" si="3"/>
        <v>69600</v>
      </c>
      <c r="L16" s="106"/>
    </row>
    <row r="17" spans="1:12" s="109" customFormat="1" ht="12.75" customHeight="1" x14ac:dyDescent="0.2">
      <c r="A17" s="108" t="s">
        <v>63</v>
      </c>
      <c r="B17" s="110" t="s">
        <v>28</v>
      </c>
      <c r="C17" s="106" t="s">
        <v>29</v>
      </c>
      <c r="D17" s="107" t="s">
        <v>15</v>
      </c>
      <c r="E17" s="107" t="s">
        <v>16</v>
      </c>
      <c r="F17" s="107" t="s">
        <v>17</v>
      </c>
      <c r="G17" s="108" t="s">
        <v>230</v>
      </c>
      <c r="H17" s="108">
        <v>1499</v>
      </c>
      <c r="I17" s="108">
        <f t="shared" si="2"/>
        <v>17988</v>
      </c>
      <c r="J17" s="108">
        <v>0</v>
      </c>
      <c r="K17" s="108">
        <f t="shared" si="3"/>
        <v>17988</v>
      </c>
      <c r="L17" s="106"/>
    </row>
    <row r="18" spans="1:12" s="109" customFormat="1" ht="12.75" customHeight="1" x14ac:dyDescent="0.2">
      <c r="A18" s="108" t="s">
        <v>64</v>
      </c>
      <c r="B18" s="110" t="s">
        <v>31</v>
      </c>
      <c r="C18" s="106" t="s">
        <v>32</v>
      </c>
      <c r="D18" s="107" t="s">
        <v>15</v>
      </c>
      <c r="E18" s="107" t="s">
        <v>16</v>
      </c>
      <c r="F18" s="107" t="s">
        <v>33</v>
      </c>
      <c r="G18" s="108" t="s">
        <v>264</v>
      </c>
      <c r="H18" s="108">
        <v>0</v>
      </c>
      <c r="I18" s="108">
        <f t="shared" si="2"/>
        <v>0</v>
      </c>
      <c r="J18" s="108">
        <v>0</v>
      </c>
      <c r="K18" s="108">
        <f t="shared" si="3"/>
        <v>0</v>
      </c>
      <c r="L18" s="106"/>
    </row>
    <row r="19" spans="1:12" s="109" customFormat="1" ht="12.75" customHeight="1" x14ac:dyDescent="0.2">
      <c r="A19" s="108" t="s">
        <v>65</v>
      </c>
      <c r="B19" s="110" t="s">
        <v>35</v>
      </c>
      <c r="C19" s="106" t="s">
        <v>36</v>
      </c>
      <c r="D19" s="107" t="s">
        <v>15</v>
      </c>
      <c r="E19" s="107" t="s">
        <v>16</v>
      </c>
      <c r="F19" s="107" t="s">
        <v>33</v>
      </c>
      <c r="G19" s="108" t="s">
        <v>230</v>
      </c>
      <c r="H19" s="108">
        <v>0</v>
      </c>
      <c r="I19" s="108">
        <f t="shared" si="2"/>
        <v>0</v>
      </c>
      <c r="J19" s="108">
        <v>0</v>
      </c>
      <c r="K19" s="108">
        <f t="shared" si="3"/>
        <v>0</v>
      </c>
      <c r="L19" s="106"/>
    </row>
    <row r="20" spans="1:12" s="109" customFormat="1" ht="12.75" customHeight="1" x14ac:dyDescent="0.2">
      <c r="A20" s="108" t="s">
        <v>66</v>
      </c>
      <c r="B20" s="110" t="s">
        <v>38</v>
      </c>
      <c r="C20" s="106" t="s">
        <v>39</v>
      </c>
      <c r="D20" s="107" t="s">
        <v>15</v>
      </c>
      <c r="E20" s="107" t="s">
        <v>16</v>
      </c>
      <c r="F20" s="107" t="s">
        <v>33</v>
      </c>
      <c r="G20" s="108" t="s">
        <v>230</v>
      </c>
      <c r="H20" s="108">
        <v>0</v>
      </c>
      <c r="I20" s="108">
        <f t="shared" si="2"/>
        <v>0</v>
      </c>
      <c r="J20" s="108">
        <v>0</v>
      </c>
      <c r="K20" s="108">
        <f t="shared" si="3"/>
        <v>0</v>
      </c>
      <c r="L20" s="106"/>
    </row>
    <row r="21" spans="1:12" s="109" customFormat="1" ht="12.75" customHeight="1" x14ac:dyDescent="0.2">
      <c r="A21" s="108" t="s">
        <v>67</v>
      </c>
      <c r="B21" s="110" t="s">
        <v>41</v>
      </c>
      <c r="C21" s="106" t="s">
        <v>42</v>
      </c>
      <c r="D21" s="107" t="s">
        <v>15</v>
      </c>
      <c r="E21" s="107" t="s">
        <v>16</v>
      </c>
      <c r="F21" s="107" t="s">
        <v>17</v>
      </c>
      <c r="G21" s="108" t="s">
        <v>230</v>
      </c>
      <c r="H21" s="108">
        <v>0</v>
      </c>
      <c r="I21" s="108">
        <f t="shared" si="2"/>
        <v>0</v>
      </c>
      <c r="J21" s="108">
        <v>0</v>
      </c>
      <c r="K21" s="108">
        <f t="shared" si="3"/>
        <v>0</v>
      </c>
      <c r="L21" s="106"/>
    </row>
    <row r="22" spans="1:12" s="109" customFormat="1" ht="12.75" customHeight="1" x14ac:dyDescent="0.2">
      <c r="A22" s="108" t="s">
        <v>409</v>
      </c>
      <c r="B22" s="110" t="s">
        <v>408</v>
      </c>
      <c r="C22" s="106" t="s">
        <v>407</v>
      </c>
      <c r="D22" s="107" t="s">
        <v>15</v>
      </c>
      <c r="E22" s="107" t="s">
        <v>16</v>
      </c>
      <c r="F22" s="107" t="s">
        <v>17</v>
      </c>
      <c r="G22" s="108" t="s">
        <v>264</v>
      </c>
      <c r="H22" s="108">
        <v>1855.36</v>
      </c>
      <c r="I22" s="108">
        <f t="shared" si="2"/>
        <v>44528.639999999999</v>
      </c>
      <c r="J22" s="108">
        <v>0</v>
      </c>
      <c r="K22" s="108">
        <f t="shared" si="3"/>
        <v>44528.639999999999</v>
      </c>
      <c r="L22" s="106"/>
    </row>
    <row r="23" spans="1:12" s="109" customFormat="1" ht="12.75" customHeight="1" x14ac:dyDescent="0.2">
      <c r="A23" s="108" t="s">
        <v>406</v>
      </c>
      <c r="B23" s="111" t="s">
        <v>405</v>
      </c>
      <c r="C23" s="106" t="s">
        <v>48</v>
      </c>
      <c r="D23" s="107" t="s">
        <v>54</v>
      </c>
      <c r="E23" s="107" t="s">
        <v>15</v>
      </c>
      <c r="F23" s="107" t="s">
        <v>17</v>
      </c>
      <c r="G23" s="108" t="s">
        <v>264</v>
      </c>
      <c r="H23" s="108">
        <v>1724.76</v>
      </c>
      <c r="I23" s="108">
        <f t="shared" si="2"/>
        <v>41394.239999999998</v>
      </c>
      <c r="J23" s="108">
        <v>0</v>
      </c>
      <c r="K23" s="108">
        <f t="shared" si="3"/>
        <v>41394.239999999998</v>
      </c>
      <c r="L23" s="106" t="s">
        <v>50</v>
      </c>
    </row>
    <row r="24" spans="1:12" s="109" customFormat="1" ht="12.75" customHeight="1" x14ac:dyDescent="0.2">
      <c r="A24" s="108" t="s">
        <v>68</v>
      </c>
      <c r="B24" s="110" t="s">
        <v>52</v>
      </c>
      <c r="C24" s="106" t="s">
        <v>53</v>
      </c>
      <c r="D24" s="107" t="s">
        <v>54</v>
      </c>
      <c r="E24" s="107" t="s">
        <v>15</v>
      </c>
      <c r="F24" s="107" t="s">
        <v>17</v>
      </c>
      <c r="G24" s="108" t="s">
        <v>230</v>
      </c>
      <c r="H24" s="108">
        <v>952.2</v>
      </c>
      <c r="I24" s="108">
        <f t="shared" si="2"/>
        <v>11426.400000000001</v>
      </c>
      <c r="J24" s="108">
        <v>0</v>
      </c>
      <c r="K24" s="108">
        <f t="shared" si="3"/>
        <v>11426.4</v>
      </c>
      <c r="L24" s="106" t="s">
        <v>50</v>
      </c>
    </row>
    <row r="25" spans="1:12" s="109" customFormat="1" ht="12.75" customHeight="1" x14ac:dyDescent="0.2">
      <c r="A25" s="112" t="s">
        <v>55</v>
      </c>
      <c r="B25" s="112" t="s">
        <v>55</v>
      </c>
      <c r="C25" s="112" t="s">
        <v>55</v>
      </c>
      <c r="D25" s="112" t="s">
        <v>55</v>
      </c>
      <c r="E25" s="112" t="s">
        <v>55</v>
      </c>
      <c r="F25" s="112" t="s">
        <v>55</v>
      </c>
      <c r="G25" s="112" t="s">
        <v>55</v>
      </c>
      <c r="H25" s="112" t="s">
        <v>55</v>
      </c>
      <c r="I25" s="112" t="s">
        <v>55</v>
      </c>
      <c r="J25" s="113" t="s">
        <v>56</v>
      </c>
      <c r="K25" s="113">
        <f>(K14+K15+K16+K17+K18+K19+K20+K21+K22+K23+K24)</f>
        <v>335285.28000000003</v>
      </c>
      <c r="L25" s="113" t="s">
        <v>55</v>
      </c>
    </row>
    <row r="26" spans="1:12" s="109" customFormat="1" ht="12.75" customHeight="1" x14ac:dyDescent="0.2">
      <c r="A26" s="104" t="s">
        <v>69</v>
      </c>
      <c r="B26" s="105" t="s">
        <v>70</v>
      </c>
      <c r="C26" s="106" t="s">
        <v>71</v>
      </c>
      <c r="D26" s="107" t="s">
        <v>15</v>
      </c>
      <c r="E26" s="107" t="s">
        <v>16</v>
      </c>
      <c r="F26" s="107" t="s">
        <v>17</v>
      </c>
      <c r="G26" s="108" t="s">
        <v>213</v>
      </c>
      <c r="H26" s="108">
        <v>5999</v>
      </c>
      <c r="I26" s="108">
        <f t="shared" ref="I26:I37" si="4">(H26*G26)</f>
        <v>17997</v>
      </c>
      <c r="J26" s="108">
        <v>0</v>
      </c>
      <c r="K26" s="108">
        <f t="shared" ref="K26:K37" si="5">ROUND(I26-((I26*J26)/100),2)</f>
        <v>17997</v>
      </c>
      <c r="L26" s="106"/>
    </row>
    <row r="27" spans="1:12" s="109" customFormat="1" ht="12.75" customHeight="1" x14ac:dyDescent="0.2">
      <c r="A27" s="108" t="s">
        <v>73</v>
      </c>
      <c r="B27" s="110" t="s">
        <v>74</v>
      </c>
      <c r="C27" s="106" t="s">
        <v>75</v>
      </c>
      <c r="D27" s="107" t="s">
        <v>15</v>
      </c>
      <c r="E27" s="107" t="s">
        <v>16</v>
      </c>
      <c r="F27" s="107" t="s">
        <v>33</v>
      </c>
      <c r="G27" s="108" t="s">
        <v>213</v>
      </c>
      <c r="H27" s="108">
        <v>0</v>
      </c>
      <c r="I27" s="108">
        <f t="shared" si="4"/>
        <v>0</v>
      </c>
      <c r="J27" s="108">
        <v>0</v>
      </c>
      <c r="K27" s="108">
        <f t="shared" si="5"/>
        <v>0</v>
      </c>
      <c r="L27" s="106"/>
    </row>
    <row r="28" spans="1:12" s="109" customFormat="1" ht="12.75" customHeight="1" x14ac:dyDescent="0.2">
      <c r="A28" s="108" t="s">
        <v>76</v>
      </c>
      <c r="B28" s="110" t="s">
        <v>77</v>
      </c>
      <c r="C28" s="106" t="s">
        <v>78</v>
      </c>
      <c r="D28" s="107" t="s">
        <v>15</v>
      </c>
      <c r="E28" s="107" t="s">
        <v>16</v>
      </c>
      <c r="F28" s="107" t="s">
        <v>33</v>
      </c>
      <c r="G28" s="108" t="s">
        <v>213</v>
      </c>
      <c r="H28" s="108">
        <v>0</v>
      </c>
      <c r="I28" s="108">
        <f t="shared" si="4"/>
        <v>0</v>
      </c>
      <c r="J28" s="108">
        <v>0</v>
      </c>
      <c r="K28" s="108">
        <f t="shared" si="5"/>
        <v>0</v>
      </c>
      <c r="L28" s="106"/>
    </row>
    <row r="29" spans="1:12" s="109" customFormat="1" ht="12.75" customHeight="1" x14ac:dyDescent="0.2">
      <c r="A29" s="108" t="s">
        <v>79</v>
      </c>
      <c r="B29" s="110" t="s">
        <v>80</v>
      </c>
      <c r="C29" s="106" t="s">
        <v>81</v>
      </c>
      <c r="D29" s="107" t="s">
        <v>15</v>
      </c>
      <c r="E29" s="107" t="s">
        <v>16</v>
      </c>
      <c r="F29" s="107" t="s">
        <v>33</v>
      </c>
      <c r="G29" s="108" t="s">
        <v>213</v>
      </c>
      <c r="H29" s="108">
        <v>0</v>
      </c>
      <c r="I29" s="108">
        <f t="shared" si="4"/>
        <v>0</v>
      </c>
      <c r="J29" s="108">
        <v>0</v>
      </c>
      <c r="K29" s="108">
        <f t="shared" si="5"/>
        <v>0</v>
      </c>
      <c r="L29" s="106"/>
    </row>
    <row r="30" spans="1:12" s="109" customFormat="1" ht="12.75" customHeight="1" x14ac:dyDescent="0.2">
      <c r="A30" s="108" t="s">
        <v>82</v>
      </c>
      <c r="B30" s="110" t="s">
        <v>83</v>
      </c>
      <c r="C30" s="106" t="s">
        <v>84</v>
      </c>
      <c r="D30" s="107" t="s">
        <v>15</v>
      </c>
      <c r="E30" s="107" t="s">
        <v>16</v>
      </c>
      <c r="F30" s="107" t="s">
        <v>33</v>
      </c>
      <c r="G30" s="108" t="s">
        <v>264</v>
      </c>
      <c r="H30" s="108">
        <v>0</v>
      </c>
      <c r="I30" s="108">
        <f t="shared" si="4"/>
        <v>0</v>
      </c>
      <c r="J30" s="108">
        <v>0</v>
      </c>
      <c r="K30" s="108">
        <f t="shared" si="5"/>
        <v>0</v>
      </c>
      <c r="L30" s="106"/>
    </row>
    <row r="31" spans="1:12" s="109" customFormat="1" ht="12.75" customHeight="1" x14ac:dyDescent="0.2">
      <c r="A31" s="108" t="s">
        <v>86</v>
      </c>
      <c r="B31" s="110" t="s">
        <v>87</v>
      </c>
      <c r="C31" s="106" t="s">
        <v>88</v>
      </c>
      <c r="D31" s="107" t="s">
        <v>15</v>
      </c>
      <c r="E31" s="107" t="s">
        <v>16</v>
      </c>
      <c r="F31" s="107" t="s">
        <v>33</v>
      </c>
      <c r="G31" s="108" t="s">
        <v>264</v>
      </c>
      <c r="H31" s="108">
        <v>0</v>
      </c>
      <c r="I31" s="108">
        <f t="shared" si="4"/>
        <v>0</v>
      </c>
      <c r="J31" s="108">
        <v>0</v>
      </c>
      <c r="K31" s="108">
        <f t="shared" si="5"/>
        <v>0</v>
      </c>
      <c r="L31" s="106"/>
    </row>
    <row r="32" spans="1:12" s="109" customFormat="1" ht="12.75" customHeight="1" x14ac:dyDescent="0.2">
      <c r="A32" s="108" t="s">
        <v>89</v>
      </c>
      <c r="B32" s="110" t="s">
        <v>90</v>
      </c>
      <c r="C32" s="106" t="s">
        <v>91</v>
      </c>
      <c r="D32" s="107" t="s">
        <v>15</v>
      </c>
      <c r="E32" s="107" t="s">
        <v>16</v>
      </c>
      <c r="F32" s="107" t="s">
        <v>17</v>
      </c>
      <c r="G32" s="108" t="s">
        <v>230</v>
      </c>
      <c r="H32" s="108">
        <v>936</v>
      </c>
      <c r="I32" s="108">
        <f t="shared" si="4"/>
        <v>11232</v>
      </c>
      <c r="J32" s="108">
        <v>0</v>
      </c>
      <c r="K32" s="108">
        <f t="shared" si="5"/>
        <v>11232</v>
      </c>
      <c r="L32" s="106"/>
    </row>
    <row r="33" spans="1:12" s="109" customFormat="1" ht="12.75" customHeight="1" x14ac:dyDescent="0.2">
      <c r="A33" s="108" t="s">
        <v>93</v>
      </c>
      <c r="B33" s="110" t="s">
        <v>94</v>
      </c>
      <c r="C33" s="106" t="s">
        <v>95</v>
      </c>
      <c r="D33" s="107" t="s">
        <v>15</v>
      </c>
      <c r="E33" s="107" t="s">
        <v>96</v>
      </c>
      <c r="F33" s="107" t="s">
        <v>17</v>
      </c>
      <c r="G33" s="108" t="s">
        <v>230</v>
      </c>
      <c r="H33" s="108">
        <v>0</v>
      </c>
      <c r="I33" s="108">
        <f t="shared" si="4"/>
        <v>0</v>
      </c>
      <c r="J33" s="108">
        <v>0</v>
      </c>
      <c r="K33" s="108">
        <f t="shared" si="5"/>
        <v>0</v>
      </c>
      <c r="L33" s="106"/>
    </row>
    <row r="34" spans="1:12" s="109" customFormat="1" ht="12.75" customHeight="1" x14ac:dyDescent="0.2">
      <c r="A34" s="108" t="s">
        <v>97</v>
      </c>
      <c r="B34" s="110" t="s">
        <v>98</v>
      </c>
      <c r="C34" s="106" t="s">
        <v>99</v>
      </c>
      <c r="D34" s="107" t="s">
        <v>15</v>
      </c>
      <c r="E34" s="107" t="s">
        <v>16</v>
      </c>
      <c r="F34" s="107" t="s">
        <v>17</v>
      </c>
      <c r="G34" s="108" t="s">
        <v>213</v>
      </c>
      <c r="H34" s="108">
        <v>0</v>
      </c>
      <c r="I34" s="108">
        <f t="shared" si="4"/>
        <v>0</v>
      </c>
      <c r="J34" s="108">
        <v>0</v>
      </c>
      <c r="K34" s="108">
        <f t="shared" si="5"/>
        <v>0</v>
      </c>
      <c r="L34" s="106"/>
    </row>
    <row r="35" spans="1:12" s="109" customFormat="1" ht="12.75" customHeight="1" x14ac:dyDescent="0.2">
      <c r="A35" s="108" t="s">
        <v>100</v>
      </c>
      <c r="B35" s="110" t="s">
        <v>101</v>
      </c>
      <c r="C35" s="106" t="s">
        <v>102</v>
      </c>
      <c r="D35" s="107" t="s">
        <v>15</v>
      </c>
      <c r="E35" s="107" t="s">
        <v>16</v>
      </c>
      <c r="F35" s="107" t="s">
        <v>17</v>
      </c>
      <c r="G35" s="108" t="s">
        <v>192</v>
      </c>
      <c r="H35" s="108">
        <v>7800</v>
      </c>
      <c r="I35" s="108">
        <f t="shared" si="4"/>
        <v>46800</v>
      </c>
      <c r="J35" s="108">
        <v>0</v>
      </c>
      <c r="K35" s="108">
        <f t="shared" si="5"/>
        <v>46800</v>
      </c>
      <c r="L35" s="106"/>
    </row>
    <row r="36" spans="1:12" s="109" customFormat="1" ht="12.75" customHeight="1" x14ac:dyDescent="0.2">
      <c r="A36" s="108" t="s">
        <v>104</v>
      </c>
      <c r="B36" s="110" t="s">
        <v>105</v>
      </c>
      <c r="C36" s="106" t="s">
        <v>106</v>
      </c>
      <c r="D36" s="107" t="s">
        <v>15</v>
      </c>
      <c r="E36" s="107" t="s">
        <v>107</v>
      </c>
      <c r="F36" s="107" t="s">
        <v>33</v>
      </c>
      <c r="G36" s="108" t="s">
        <v>403</v>
      </c>
      <c r="H36" s="108">
        <v>0</v>
      </c>
      <c r="I36" s="108">
        <f t="shared" si="4"/>
        <v>0</v>
      </c>
      <c r="J36" s="108">
        <v>0</v>
      </c>
      <c r="K36" s="108">
        <f t="shared" si="5"/>
        <v>0</v>
      </c>
      <c r="L36" s="106"/>
    </row>
    <row r="37" spans="1:12" s="109" customFormat="1" ht="12.75" customHeight="1" x14ac:dyDescent="0.2">
      <c r="A37" s="108" t="s">
        <v>109</v>
      </c>
      <c r="B37" s="110" t="s">
        <v>110</v>
      </c>
      <c r="C37" s="106" t="s">
        <v>111</v>
      </c>
      <c r="D37" s="107" t="s">
        <v>54</v>
      </c>
      <c r="E37" s="107" t="s">
        <v>15</v>
      </c>
      <c r="F37" s="107" t="s">
        <v>17</v>
      </c>
      <c r="G37" s="108" t="s">
        <v>213</v>
      </c>
      <c r="H37" s="108">
        <v>296.7</v>
      </c>
      <c r="I37" s="108">
        <f t="shared" si="4"/>
        <v>890.09999999999991</v>
      </c>
      <c r="J37" s="108">
        <v>0</v>
      </c>
      <c r="K37" s="108">
        <f t="shared" si="5"/>
        <v>890.1</v>
      </c>
      <c r="L37" s="106" t="s">
        <v>50</v>
      </c>
    </row>
    <row r="38" spans="1:12" ht="12.75" customHeight="1" x14ac:dyDescent="0.2">
      <c r="A38" s="6" t="s">
        <v>55</v>
      </c>
      <c r="B38" s="6" t="s">
        <v>55</v>
      </c>
      <c r="C38" s="6" t="s">
        <v>55</v>
      </c>
      <c r="D38" s="6" t="s">
        <v>55</v>
      </c>
      <c r="E38" s="6" t="s">
        <v>55</v>
      </c>
      <c r="F38" s="6" t="s">
        <v>55</v>
      </c>
      <c r="G38" s="6" t="s">
        <v>55</v>
      </c>
      <c r="H38" s="6" t="s">
        <v>55</v>
      </c>
      <c r="I38" s="6" t="s">
        <v>55</v>
      </c>
      <c r="J38" s="5" t="s">
        <v>56</v>
      </c>
      <c r="K38" s="5">
        <f>(K26+K27+K28+K29+K30+K31+K32+K33+K34+K35+K36+K37)</f>
        <v>76919.100000000006</v>
      </c>
      <c r="L38" s="5" t="s">
        <v>55</v>
      </c>
    </row>
    <row r="39" spans="1:12" s="126" customFormat="1" ht="12.75" customHeight="1" x14ac:dyDescent="0.2">
      <c r="A39" s="121" t="s">
        <v>112</v>
      </c>
      <c r="B39" s="122" t="s">
        <v>402</v>
      </c>
      <c r="C39" s="123" t="s">
        <v>401</v>
      </c>
      <c r="D39" s="124" t="s">
        <v>15</v>
      </c>
      <c r="E39" s="124" t="s">
        <v>16</v>
      </c>
      <c r="F39" s="124" t="s">
        <v>17</v>
      </c>
      <c r="G39" s="125" t="s">
        <v>115</v>
      </c>
      <c r="H39" s="125">
        <v>3995</v>
      </c>
      <c r="I39" s="125">
        <f t="shared" ref="I39:I53" si="6">(H39*G39)</f>
        <v>7990</v>
      </c>
      <c r="J39" s="125">
        <v>0</v>
      </c>
      <c r="K39" s="125">
        <f t="shared" ref="K39:K53" si="7">ROUND(I39-((I39*J39)/100),2)</f>
        <v>7990</v>
      </c>
      <c r="L39" s="123"/>
    </row>
    <row r="40" spans="1:12" s="126" customFormat="1" ht="12.75" customHeight="1" x14ac:dyDescent="0.2">
      <c r="A40" s="125" t="s">
        <v>116</v>
      </c>
      <c r="B40" s="127" t="s">
        <v>400</v>
      </c>
      <c r="C40" s="123" t="s">
        <v>399</v>
      </c>
      <c r="D40" s="124" t="s">
        <v>15</v>
      </c>
      <c r="E40" s="124" t="s">
        <v>16</v>
      </c>
      <c r="F40" s="124" t="s">
        <v>17</v>
      </c>
      <c r="G40" s="125" t="s">
        <v>122</v>
      </c>
      <c r="H40" s="125">
        <v>5259</v>
      </c>
      <c r="I40" s="125">
        <f t="shared" si="6"/>
        <v>21036</v>
      </c>
      <c r="J40" s="125">
        <v>0</v>
      </c>
      <c r="K40" s="125">
        <f t="shared" si="7"/>
        <v>21036</v>
      </c>
      <c r="L40" s="123"/>
    </row>
    <row r="41" spans="1:12" s="126" customFormat="1" ht="12.75" customHeight="1" x14ac:dyDescent="0.2">
      <c r="A41" s="125" t="s">
        <v>119</v>
      </c>
      <c r="B41" s="127" t="s">
        <v>24</v>
      </c>
      <c r="C41" s="123" t="s">
        <v>25</v>
      </c>
      <c r="D41" s="124" t="s">
        <v>15</v>
      </c>
      <c r="E41" s="124" t="s">
        <v>16</v>
      </c>
      <c r="F41" s="124" t="s">
        <v>17</v>
      </c>
      <c r="G41" s="125" t="s">
        <v>348</v>
      </c>
      <c r="H41" s="125">
        <v>725</v>
      </c>
      <c r="I41" s="125">
        <f t="shared" si="6"/>
        <v>23200</v>
      </c>
      <c r="J41" s="125">
        <v>0</v>
      </c>
      <c r="K41" s="125">
        <f t="shared" si="7"/>
        <v>23200</v>
      </c>
      <c r="L41" s="123"/>
    </row>
    <row r="42" spans="1:12" s="126" customFormat="1" ht="12.75" customHeight="1" x14ac:dyDescent="0.2">
      <c r="A42" s="125" t="s">
        <v>123</v>
      </c>
      <c r="B42" s="127" t="s">
        <v>397</v>
      </c>
      <c r="C42" s="123" t="s">
        <v>396</v>
      </c>
      <c r="D42" s="124" t="s">
        <v>15</v>
      </c>
      <c r="E42" s="124" t="s">
        <v>16</v>
      </c>
      <c r="F42" s="124" t="s">
        <v>17</v>
      </c>
      <c r="G42" s="125" t="s">
        <v>115</v>
      </c>
      <c r="H42" s="125">
        <v>1499</v>
      </c>
      <c r="I42" s="125">
        <f t="shared" si="6"/>
        <v>2998</v>
      </c>
      <c r="J42" s="125">
        <v>0</v>
      </c>
      <c r="K42" s="125">
        <f t="shared" si="7"/>
        <v>2998</v>
      </c>
      <c r="L42" s="123"/>
    </row>
    <row r="43" spans="1:12" s="126" customFormat="1" ht="12.75" customHeight="1" x14ac:dyDescent="0.2">
      <c r="A43" s="125" t="s">
        <v>129</v>
      </c>
      <c r="B43" s="127" t="s">
        <v>395</v>
      </c>
      <c r="C43" s="123" t="s">
        <v>394</v>
      </c>
      <c r="D43" s="124" t="s">
        <v>15</v>
      </c>
      <c r="E43" s="124" t="s">
        <v>16</v>
      </c>
      <c r="F43" s="124" t="s">
        <v>17</v>
      </c>
      <c r="G43" s="125" t="s">
        <v>122</v>
      </c>
      <c r="H43" s="125">
        <v>632</v>
      </c>
      <c r="I43" s="125">
        <f t="shared" si="6"/>
        <v>2528</v>
      </c>
      <c r="J43" s="125">
        <v>0</v>
      </c>
      <c r="K43" s="125">
        <f t="shared" si="7"/>
        <v>2528</v>
      </c>
      <c r="L43" s="123"/>
    </row>
    <row r="44" spans="1:12" s="126" customFormat="1" ht="12.75" customHeight="1" x14ac:dyDescent="0.2">
      <c r="A44" s="125" t="s">
        <v>132</v>
      </c>
      <c r="B44" s="127" t="s">
        <v>137</v>
      </c>
      <c r="C44" s="123" t="s">
        <v>138</v>
      </c>
      <c r="D44" s="124" t="s">
        <v>15</v>
      </c>
      <c r="E44" s="124" t="s">
        <v>96</v>
      </c>
      <c r="F44" s="124" t="s">
        <v>17</v>
      </c>
      <c r="G44" s="125" t="s">
        <v>122</v>
      </c>
      <c r="H44" s="125">
        <v>0</v>
      </c>
      <c r="I44" s="125">
        <f t="shared" si="6"/>
        <v>0</v>
      </c>
      <c r="J44" s="125">
        <v>0</v>
      </c>
      <c r="K44" s="125">
        <f t="shared" si="7"/>
        <v>0</v>
      </c>
      <c r="L44" s="123"/>
    </row>
    <row r="45" spans="1:12" s="126" customFormat="1" ht="12.75" customHeight="1" x14ac:dyDescent="0.2">
      <c r="A45" s="125" t="s">
        <v>136</v>
      </c>
      <c r="B45" s="127" t="s">
        <v>393</v>
      </c>
      <c r="C45" s="123" t="s">
        <v>392</v>
      </c>
      <c r="D45" s="124" t="s">
        <v>15</v>
      </c>
      <c r="E45" s="124" t="s">
        <v>16</v>
      </c>
      <c r="F45" s="124" t="s">
        <v>17</v>
      </c>
      <c r="G45" s="125" t="s">
        <v>115</v>
      </c>
      <c r="H45" s="125">
        <v>220</v>
      </c>
      <c r="I45" s="125">
        <f t="shared" si="6"/>
        <v>440</v>
      </c>
      <c r="J45" s="125">
        <v>0</v>
      </c>
      <c r="K45" s="125">
        <f t="shared" si="7"/>
        <v>440</v>
      </c>
      <c r="L45" s="123"/>
    </row>
    <row r="46" spans="1:12" s="126" customFormat="1" ht="12.75" customHeight="1" x14ac:dyDescent="0.2">
      <c r="A46" s="125" t="s">
        <v>139</v>
      </c>
      <c r="B46" s="127" t="s">
        <v>391</v>
      </c>
      <c r="C46" s="123" t="s">
        <v>390</v>
      </c>
      <c r="D46" s="124" t="s">
        <v>15</v>
      </c>
      <c r="E46" s="124" t="s">
        <v>16</v>
      </c>
      <c r="F46" s="124" t="s">
        <v>17</v>
      </c>
      <c r="G46" s="125" t="s">
        <v>115</v>
      </c>
      <c r="H46" s="125">
        <v>85</v>
      </c>
      <c r="I46" s="125">
        <f t="shared" si="6"/>
        <v>170</v>
      </c>
      <c r="J46" s="125">
        <v>0</v>
      </c>
      <c r="K46" s="125">
        <f t="shared" si="7"/>
        <v>170</v>
      </c>
      <c r="L46" s="123"/>
    </row>
    <row r="47" spans="1:12" s="126" customFormat="1" ht="12.75" customHeight="1" x14ac:dyDescent="0.2">
      <c r="A47" s="125" t="s">
        <v>141</v>
      </c>
      <c r="B47" s="127" t="s">
        <v>388</v>
      </c>
      <c r="C47" s="123" t="s">
        <v>387</v>
      </c>
      <c r="D47" s="124" t="s">
        <v>15</v>
      </c>
      <c r="E47" s="124" t="s">
        <v>16</v>
      </c>
      <c r="F47" s="124" t="s">
        <v>33</v>
      </c>
      <c r="G47" s="125" t="s">
        <v>115</v>
      </c>
      <c r="H47" s="125">
        <v>0</v>
      </c>
      <c r="I47" s="125">
        <f t="shared" si="6"/>
        <v>0</v>
      </c>
      <c r="J47" s="125">
        <v>0</v>
      </c>
      <c r="K47" s="125">
        <f t="shared" si="7"/>
        <v>0</v>
      </c>
      <c r="L47" s="123"/>
    </row>
    <row r="48" spans="1:12" s="126" customFormat="1" ht="12.75" customHeight="1" x14ac:dyDescent="0.2">
      <c r="A48" s="125" t="s">
        <v>143</v>
      </c>
      <c r="B48" s="127" t="s">
        <v>385</v>
      </c>
      <c r="C48" s="123" t="s">
        <v>384</v>
      </c>
      <c r="D48" s="124" t="s">
        <v>15</v>
      </c>
      <c r="E48" s="124" t="s">
        <v>16</v>
      </c>
      <c r="F48" s="124" t="s">
        <v>33</v>
      </c>
      <c r="G48" s="125" t="s">
        <v>122</v>
      </c>
      <c r="H48" s="125">
        <v>0</v>
      </c>
      <c r="I48" s="125">
        <f t="shared" si="6"/>
        <v>0</v>
      </c>
      <c r="J48" s="125">
        <v>0</v>
      </c>
      <c r="K48" s="125">
        <f t="shared" si="7"/>
        <v>0</v>
      </c>
      <c r="L48" s="123"/>
    </row>
    <row r="49" spans="1:12" s="126" customFormat="1" ht="12.75" customHeight="1" x14ac:dyDescent="0.2">
      <c r="A49" s="125" t="s">
        <v>147</v>
      </c>
      <c r="B49" s="127" t="s">
        <v>382</v>
      </c>
      <c r="C49" s="123" t="s">
        <v>381</v>
      </c>
      <c r="D49" s="124" t="s">
        <v>15</v>
      </c>
      <c r="E49" s="124" t="s">
        <v>16</v>
      </c>
      <c r="F49" s="124" t="s">
        <v>33</v>
      </c>
      <c r="G49" s="125" t="s">
        <v>403</v>
      </c>
      <c r="H49" s="125">
        <v>0</v>
      </c>
      <c r="I49" s="125">
        <f t="shared" si="6"/>
        <v>0</v>
      </c>
      <c r="J49" s="125">
        <v>0</v>
      </c>
      <c r="K49" s="125">
        <f t="shared" si="7"/>
        <v>0</v>
      </c>
      <c r="L49" s="123"/>
    </row>
    <row r="50" spans="1:12" s="126" customFormat="1" ht="12.75" customHeight="1" x14ac:dyDescent="0.2">
      <c r="A50" s="125" t="s">
        <v>150</v>
      </c>
      <c r="B50" s="127" t="s">
        <v>379</v>
      </c>
      <c r="C50" s="123" t="s">
        <v>378</v>
      </c>
      <c r="D50" s="124" t="s">
        <v>15</v>
      </c>
      <c r="E50" s="124" t="s">
        <v>16</v>
      </c>
      <c r="F50" s="124" t="s">
        <v>17</v>
      </c>
      <c r="G50" s="125" t="s">
        <v>115</v>
      </c>
      <c r="H50" s="125">
        <v>656</v>
      </c>
      <c r="I50" s="125">
        <f t="shared" si="6"/>
        <v>1312</v>
      </c>
      <c r="J50" s="125">
        <v>0</v>
      </c>
      <c r="K50" s="125">
        <f t="shared" si="7"/>
        <v>1312</v>
      </c>
      <c r="L50" s="123"/>
    </row>
    <row r="51" spans="1:12" s="126" customFormat="1" ht="12.75" customHeight="1" x14ac:dyDescent="0.2">
      <c r="A51" s="125" t="s">
        <v>412</v>
      </c>
      <c r="B51" s="127" t="s">
        <v>376</v>
      </c>
      <c r="C51" s="123" t="s">
        <v>375</v>
      </c>
      <c r="D51" s="124" t="s">
        <v>15</v>
      </c>
      <c r="E51" s="124" t="s">
        <v>16</v>
      </c>
      <c r="F51" s="124" t="s">
        <v>17</v>
      </c>
      <c r="G51" s="125" t="s">
        <v>115</v>
      </c>
      <c r="H51" s="125">
        <v>1405</v>
      </c>
      <c r="I51" s="125">
        <f t="shared" si="6"/>
        <v>2810</v>
      </c>
      <c r="J51" s="125">
        <v>0</v>
      </c>
      <c r="K51" s="125">
        <f t="shared" si="7"/>
        <v>2810</v>
      </c>
      <c r="L51" s="123"/>
    </row>
    <row r="52" spans="1:12" s="126" customFormat="1" ht="12.75" customHeight="1" x14ac:dyDescent="0.2">
      <c r="A52" s="125" t="s">
        <v>411</v>
      </c>
      <c r="B52" s="127" t="s">
        <v>41</v>
      </c>
      <c r="C52" s="123" t="s">
        <v>42</v>
      </c>
      <c r="D52" s="124" t="s">
        <v>15</v>
      </c>
      <c r="E52" s="124" t="s">
        <v>16</v>
      </c>
      <c r="F52" s="124" t="s">
        <v>17</v>
      </c>
      <c r="G52" s="125" t="s">
        <v>115</v>
      </c>
      <c r="H52" s="125">
        <v>0</v>
      </c>
      <c r="I52" s="125">
        <f t="shared" si="6"/>
        <v>0</v>
      </c>
      <c r="J52" s="125">
        <v>0</v>
      </c>
      <c r="K52" s="125">
        <f t="shared" si="7"/>
        <v>0</v>
      </c>
      <c r="L52" s="123"/>
    </row>
    <row r="53" spans="1:12" s="126" customFormat="1" ht="12.75" customHeight="1" x14ac:dyDescent="0.2">
      <c r="A53" s="125" t="s">
        <v>153</v>
      </c>
      <c r="B53" s="127" t="s">
        <v>373</v>
      </c>
      <c r="C53" s="123" t="s">
        <v>372</v>
      </c>
      <c r="D53" s="124" t="s">
        <v>54</v>
      </c>
      <c r="E53" s="124" t="s">
        <v>15</v>
      </c>
      <c r="F53" s="124" t="s">
        <v>17</v>
      </c>
      <c r="G53" s="125" t="s">
        <v>115</v>
      </c>
      <c r="H53" s="125">
        <v>1462.8</v>
      </c>
      <c r="I53" s="125">
        <f t="shared" si="6"/>
        <v>2925.6</v>
      </c>
      <c r="J53" s="125">
        <v>0</v>
      </c>
      <c r="K53" s="125">
        <f t="shared" si="7"/>
        <v>2925.6</v>
      </c>
      <c r="L53" s="123" t="s">
        <v>50</v>
      </c>
    </row>
    <row r="54" spans="1:12" s="126" customFormat="1" ht="12.75" customHeight="1" x14ac:dyDescent="0.2">
      <c r="A54" s="128" t="s">
        <v>55</v>
      </c>
      <c r="B54" s="128" t="s">
        <v>55</v>
      </c>
      <c r="C54" s="128" t="s">
        <v>55</v>
      </c>
      <c r="D54" s="128" t="s">
        <v>55</v>
      </c>
      <c r="E54" s="128" t="s">
        <v>55</v>
      </c>
      <c r="F54" s="128" t="s">
        <v>55</v>
      </c>
      <c r="G54" s="128" t="s">
        <v>55</v>
      </c>
      <c r="H54" s="128" t="s">
        <v>55</v>
      </c>
      <c r="I54" s="128" t="s">
        <v>55</v>
      </c>
      <c r="J54" s="129" t="s">
        <v>56</v>
      </c>
      <c r="K54" s="129">
        <f>(K39+K40+K41+K42+K43+K44+K45+K46+K47+K48+K49+K50+K51+K52+K53)</f>
        <v>65409.599999999999</v>
      </c>
      <c r="L54" s="129" t="s">
        <v>55</v>
      </c>
    </row>
    <row r="55" spans="1:12" s="126" customFormat="1" ht="12.75" customHeight="1" x14ac:dyDescent="0.2">
      <c r="A55" s="121" t="s">
        <v>156</v>
      </c>
      <c r="B55" s="122" t="s">
        <v>368</v>
      </c>
      <c r="C55" s="123" t="s">
        <v>367</v>
      </c>
      <c r="D55" s="124" t="s">
        <v>15</v>
      </c>
      <c r="E55" s="124" t="s">
        <v>16</v>
      </c>
      <c r="F55" s="124" t="s">
        <v>17</v>
      </c>
      <c r="G55" s="125" t="s">
        <v>135</v>
      </c>
      <c r="H55" s="125">
        <v>12188</v>
      </c>
      <c r="I55" s="125">
        <f>(H55*G55)</f>
        <v>97504</v>
      </c>
      <c r="J55" s="125">
        <v>0</v>
      </c>
      <c r="K55" s="125">
        <f>ROUND(I55-((I55*J55)/100),2)</f>
        <v>97504</v>
      </c>
      <c r="L55" s="123"/>
    </row>
    <row r="56" spans="1:12" s="126" customFormat="1" ht="12.75" customHeight="1" x14ac:dyDescent="0.2">
      <c r="A56" s="128" t="s">
        <v>55</v>
      </c>
      <c r="B56" s="128" t="s">
        <v>55</v>
      </c>
      <c r="C56" s="128" t="s">
        <v>55</v>
      </c>
      <c r="D56" s="128" t="s">
        <v>55</v>
      </c>
      <c r="E56" s="128" t="s">
        <v>55</v>
      </c>
      <c r="F56" s="128" t="s">
        <v>55</v>
      </c>
      <c r="G56" s="128" t="s">
        <v>55</v>
      </c>
      <c r="H56" s="128" t="s">
        <v>55</v>
      </c>
      <c r="I56" s="128" t="s">
        <v>55</v>
      </c>
      <c r="J56" s="129" t="s">
        <v>56</v>
      </c>
      <c r="K56" s="129">
        <f>(K55)</f>
        <v>97504</v>
      </c>
      <c r="L56" s="129" t="s">
        <v>55</v>
      </c>
    </row>
    <row r="57" spans="1:12" s="126" customFormat="1" ht="12.75" customHeight="1" x14ac:dyDescent="0.2">
      <c r="A57" s="121" t="s">
        <v>181</v>
      </c>
      <c r="B57" s="122" t="s">
        <v>366</v>
      </c>
      <c r="C57" s="123" t="s">
        <v>365</v>
      </c>
      <c r="D57" s="124" t="s">
        <v>15</v>
      </c>
      <c r="E57" s="124" t="s">
        <v>16</v>
      </c>
      <c r="F57" s="124" t="s">
        <v>17</v>
      </c>
      <c r="G57" s="125" t="s">
        <v>135</v>
      </c>
      <c r="H57" s="125">
        <v>2437.5</v>
      </c>
      <c r="I57" s="125">
        <f>(H57*G57)</f>
        <v>19500</v>
      </c>
      <c r="J57" s="125">
        <v>0</v>
      </c>
      <c r="K57" s="125">
        <f>ROUND(I57-((I57*J57)/100),2)</f>
        <v>19500</v>
      </c>
      <c r="L57" s="123"/>
    </row>
    <row r="58" spans="1:12" s="126" customFormat="1" ht="12.75" customHeight="1" x14ac:dyDescent="0.2">
      <c r="A58" s="128" t="s">
        <v>55</v>
      </c>
      <c r="B58" s="128" t="s">
        <v>55</v>
      </c>
      <c r="C58" s="128" t="s">
        <v>55</v>
      </c>
      <c r="D58" s="128" t="s">
        <v>55</v>
      </c>
      <c r="E58" s="128" t="s">
        <v>55</v>
      </c>
      <c r="F58" s="128" t="s">
        <v>55</v>
      </c>
      <c r="G58" s="128" t="s">
        <v>55</v>
      </c>
      <c r="H58" s="128" t="s">
        <v>55</v>
      </c>
      <c r="I58" s="128" t="s">
        <v>55</v>
      </c>
      <c r="J58" s="129" t="s">
        <v>56</v>
      </c>
      <c r="K58" s="129">
        <f>(K57)</f>
        <v>19500</v>
      </c>
      <c r="L58" s="129" t="s">
        <v>55</v>
      </c>
    </row>
    <row r="59" spans="1:12" s="126" customFormat="1" ht="12.75" customHeight="1" x14ac:dyDescent="0.2">
      <c r="A59" s="121" t="s">
        <v>210</v>
      </c>
      <c r="B59" s="122" t="s">
        <v>364</v>
      </c>
      <c r="C59" s="123" t="s">
        <v>363</v>
      </c>
      <c r="D59" s="124" t="s">
        <v>15</v>
      </c>
      <c r="E59" s="124" t="s">
        <v>16</v>
      </c>
      <c r="F59" s="124" t="s">
        <v>17</v>
      </c>
      <c r="G59" s="125" t="s">
        <v>135</v>
      </c>
      <c r="H59" s="125">
        <v>1199</v>
      </c>
      <c r="I59" s="125">
        <f>(H59*G59)</f>
        <v>9592</v>
      </c>
      <c r="J59" s="125">
        <v>0</v>
      </c>
      <c r="K59" s="125">
        <f>ROUND(I59-((I59*J59)/100),2)</f>
        <v>9592</v>
      </c>
      <c r="L59" s="123"/>
    </row>
    <row r="60" spans="1:12" ht="12.75" customHeight="1" x14ac:dyDescent="0.2">
      <c r="A60" s="6" t="s">
        <v>55</v>
      </c>
      <c r="B60" s="6" t="s">
        <v>55</v>
      </c>
      <c r="C60" s="6" t="s">
        <v>55</v>
      </c>
      <c r="D60" s="6" t="s">
        <v>55</v>
      </c>
      <c r="E60" s="6" t="s">
        <v>55</v>
      </c>
      <c r="F60" s="6" t="s">
        <v>55</v>
      </c>
      <c r="G60" s="6" t="s">
        <v>55</v>
      </c>
      <c r="H60" s="6" t="s">
        <v>55</v>
      </c>
      <c r="I60" s="6" t="s">
        <v>55</v>
      </c>
      <c r="J60" s="5" t="s">
        <v>56</v>
      </c>
      <c r="K60" s="5">
        <f>(K59)</f>
        <v>9592</v>
      </c>
      <c r="L60" s="5" t="s">
        <v>55</v>
      </c>
    </row>
    <row r="61" spans="1:12" ht="12.75" customHeight="1" x14ac:dyDescent="0.2">
      <c r="A61" s="6" t="s">
        <v>55</v>
      </c>
      <c r="B61" s="6" t="s">
        <v>55</v>
      </c>
      <c r="C61" s="6" t="s">
        <v>55</v>
      </c>
      <c r="D61" s="6" t="s">
        <v>55</v>
      </c>
      <c r="E61" s="6" t="s">
        <v>55</v>
      </c>
      <c r="F61" s="6" t="s">
        <v>55</v>
      </c>
      <c r="G61" s="6" t="s">
        <v>55</v>
      </c>
      <c r="H61" s="6" t="s">
        <v>55</v>
      </c>
      <c r="I61" s="6" t="s">
        <v>55</v>
      </c>
      <c r="J61" s="5" t="s">
        <v>335</v>
      </c>
      <c r="K61" s="5">
        <f>(K13+K25+K38+K54+K56+K58+K60)</f>
        <v>1009095.26</v>
      </c>
      <c r="L61" s="5" t="s">
        <v>55</v>
      </c>
    </row>
  </sheetData>
  <printOptions horizontalCentered="1"/>
  <pageMargins left="0.75" right="0.75" top="1" bottom="1" header="0.5" footer="0.5"/>
  <pageSetup paperSize="9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showGridLines="0" topLeftCell="A23" workbookViewId="0">
      <selection activeCell="A39" sqref="A39:IV95"/>
    </sheetView>
  </sheetViews>
  <sheetFormatPr defaultColWidth="17.140625" defaultRowHeight="12.75" customHeight="1" x14ac:dyDescent="0.2"/>
  <cols>
    <col min="1" max="1" width="13.7109375" style="4" customWidth="1"/>
    <col min="2" max="2" width="31.28515625" style="4" customWidth="1"/>
    <col min="3" max="3" width="46.85546875" style="4" customWidth="1"/>
    <col min="4" max="4" width="13.7109375" style="4" customWidth="1"/>
    <col min="5" max="5" width="9.7109375" style="4" customWidth="1"/>
    <col min="6" max="6" width="13.7109375" style="4" customWidth="1"/>
    <col min="7" max="7" width="9.7109375" style="4" customWidth="1"/>
    <col min="8" max="11" width="13.7109375" style="4" customWidth="1"/>
    <col min="12" max="12" width="19.5703125" style="4" customWidth="1"/>
    <col min="13" max="16384" width="17.140625" style="4"/>
  </cols>
  <sheetData>
    <row r="1" spans="1:12" ht="24.9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s="109" customFormat="1" ht="12.75" customHeight="1" x14ac:dyDescent="0.2">
      <c r="A2" s="104" t="s">
        <v>12</v>
      </c>
      <c r="B2" s="105" t="s">
        <v>13</v>
      </c>
      <c r="C2" s="106" t="s">
        <v>14</v>
      </c>
      <c r="D2" s="107" t="s">
        <v>15</v>
      </c>
      <c r="E2" s="107" t="s">
        <v>16</v>
      </c>
      <c r="F2" s="107" t="s">
        <v>17</v>
      </c>
      <c r="G2" s="108" t="s">
        <v>435</v>
      </c>
      <c r="H2" s="108">
        <v>2995</v>
      </c>
      <c r="I2" s="108">
        <f t="shared" ref="I2:I12" si="0">(H2*G2)</f>
        <v>41930</v>
      </c>
      <c r="J2" s="108">
        <v>0</v>
      </c>
      <c r="K2" s="108">
        <f t="shared" ref="K2:K12" si="1">ROUND(I2-((I2*J2)/100),2)</f>
        <v>41930</v>
      </c>
      <c r="L2" s="106"/>
    </row>
    <row r="3" spans="1:12" s="109" customFormat="1" ht="12.75" customHeight="1" x14ac:dyDescent="0.2">
      <c r="A3" s="108" t="s">
        <v>19</v>
      </c>
      <c r="B3" s="110" t="s">
        <v>20</v>
      </c>
      <c r="C3" s="106" t="s">
        <v>21</v>
      </c>
      <c r="D3" s="107" t="s">
        <v>15</v>
      </c>
      <c r="E3" s="107" t="s">
        <v>16</v>
      </c>
      <c r="F3" s="107" t="s">
        <v>17</v>
      </c>
      <c r="G3" s="108" t="s">
        <v>203</v>
      </c>
      <c r="H3" s="108">
        <v>4767</v>
      </c>
      <c r="I3" s="108">
        <f t="shared" si="0"/>
        <v>133476</v>
      </c>
      <c r="J3" s="108">
        <v>0</v>
      </c>
      <c r="K3" s="108">
        <f t="shared" si="1"/>
        <v>133476</v>
      </c>
      <c r="L3" s="106"/>
    </row>
    <row r="4" spans="1:12" s="109" customFormat="1" ht="12.75" customHeight="1" x14ac:dyDescent="0.2">
      <c r="A4" s="108" t="s">
        <v>23</v>
      </c>
      <c r="B4" s="110" t="s">
        <v>24</v>
      </c>
      <c r="C4" s="106" t="s">
        <v>25</v>
      </c>
      <c r="D4" s="107" t="s">
        <v>15</v>
      </c>
      <c r="E4" s="107" t="s">
        <v>16</v>
      </c>
      <c r="F4" s="107" t="s">
        <v>17</v>
      </c>
      <c r="G4" s="108" t="s">
        <v>436</v>
      </c>
      <c r="H4" s="108">
        <v>725</v>
      </c>
      <c r="I4" s="108">
        <f t="shared" si="0"/>
        <v>162400</v>
      </c>
      <c r="J4" s="108">
        <v>0</v>
      </c>
      <c r="K4" s="108">
        <f t="shared" si="1"/>
        <v>162400</v>
      </c>
      <c r="L4" s="106"/>
    </row>
    <row r="5" spans="1:12" s="109" customFormat="1" ht="12.75" customHeight="1" x14ac:dyDescent="0.2">
      <c r="A5" s="108" t="s">
        <v>27</v>
      </c>
      <c r="B5" s="110" t="s">
        <v>28</v>
      </c>
      <c r="C5" s="106" t="s">
        <v>29</v>
      </c>
      <c r="D5" s="107" t="s">
        <v>15</v>
      </c>
      <c r="E5" s="107" t="s">
        <v>16</v>
      </c>
      <c r="F5" s="107" t="s">
        <v>17</v>
      </c>
      <c r="G5" s="108" t="s">
        <v>435</v>
      </c>
      <c r="H5" s="108">
        <v>1499</v>
      </c>
      <c r="I5" s="108">
        <f t="shared" si="0"/>
        <v>20986</v>
      </c>
      <c r="J5" s="108">
        <v>0</v>
      </c>
      <c r="K5" s="108">
        <f t="shared" si="1"/>
        <v>20986</v>
      </c>
      <c r="L5" s="106"/>
    </row>
    <row r="6" spans="1:12" s="109" customFormat="1" ht="12.75" customHeight="1" x14ac:dyDescent="0.2">
      <c r="A6" s="108" t="s">
        <v>30</v>
      </c>
      <c r="B6" s="110" t="s">
        <v>31</v>
      </c>
      <c r="C6" s="106" t="s">
        <v>32</v>
      </c>
      <c r="D6" s="107" t="s">
        <v>15</v>
      </c>
      <c r="E6" s="107" t="s">
        <v>16</v>
      </c>
      <c r="F6" s="107" t="s">
        <v>33</v>
      </c>
      <c r="G6" s="108" t="s">
        <v>203</v>
      </c>
      <c r="H6" s="108">
        <v>0</v>
      </c>
      <c r="I6" s="108">
        <f t="shared" si="0"/>
        <v>0</v>
      </c>
      <c r="J6" s="108">
        <v>0</v>
      </c>
      <c r="K6" s="108">
        <f t="shared" si="1"/>
        <v>0</v>
      </c>
      <c r="L6" s="106"/>
    </row>
    <row r="7" spans="1:12" s="109" customFormat="1" ht="12.75" customHeight="1" x14ac:dyDescent="0.2">
      <c r="A7" s="108" t="s">
        <v>34</v>
      </c>
      <c r="B7" s="110" t="s">
        <v>35</v>
      </c>
      <c r="C7" s="106" t="s">
        <v>36</v>
      </c>
      <c r="D7" s="107" t="s">
        <v>15</v>
      </c>
      <c r="E7" s="107" t="s">
        <v>16</v>
      </c>
      <c r="F7" s="107" t="s">
        <v>33</v>
      </c>
      <c r="G7" s="108" t="s">
        <v>435</v>
      </c>
      <c r="H7" s="108">
        <v>0</v>
      </c>
      <c r="I7" s="108">
        <f t="shared" si="0"/>
        <v>0</v>
      </c>
      <c r="J7" s="108">
        <v>0</v>
      </c>
      <c r="K7" s="108">
        <f t="shared" si="1"/>
        <v>0</v>
      </c>
      <c r="L7" s="106"/>
    </row>
    <row r="8" spans="1:12" s="109" customFormat="1" ht="12.75" customHeight="1" x14ac:dyDescent="0.2">
      <c r="A8" s="108" t="s">
        <v>37</v>
      </c>
      <c r="B8" s="110" t="s">
        <v>38</v>
      </c>
      <c r="C8" s="106" t="s">
        <v>39</v>
      </c>
      <c r="D8" s="107" t="s">
        <v>15</v>
      </c>
      <c r="E8" s="107" t="s">
        <v>16</v>
      </c>
      <c r="F8" s="107" t="s">
        <v>33</v>
      </c>
      <c r="G8" s="108" t="s">
        <v>435</v>
      </c>
      <c r="H8" s="108">
        <v>0</v>
      </c>
      <c r="I8" s="108">
        <f t="shared" si="0"/>
        <v>0</v>
      </c>
      <c r="J8" s="108">
        <v>0</v>
      </c>
      <c r="K8" s="108">
        <f t="shared" si="1"/>
        <v>0</v>
      </c>
      <c r="L8" s="106"/>
    </row>
    <row r="9" spans="1:12" s="109" customFormat="1" ht="12.75" customHeight="1" x14ac:dyDescent="0.2">
      <c r="A9" s="108" t="s">
        <v>40</v>
      </c>
      <c r="B9" s="110" t="s">
        <v>41</v>
      </c>
      <c r="C9" s="106" t="s">
        <v>42</v>
      </c>
      <c r="D9" s="107" t="s">
        <v>15</v>
      </c>
      <c r="E9" s="107" t="s">
        <v>16</v>
      </c>
      <c r="F9" s="107" t="s">
        <v>17</v>
      </c>
      <c r="G9" s="108" t="s">
        <v>435</v>
      </c>
      <c r="H9" s="108">
        <v>0</v>
      </c>
      <c r="I9" s="108">
        <f t="shared" si="0"/>
        <v>0</v>
      </c>
      <c r="J9" s="108">
        <v>0</v>
      </c>
      <c r="K9" s="108">
        <f t="shared" si="1"/>
        <v>0</v>
      </c>
      <c r="L9" s="106"/>
    </row>
    <row r="10" spans="1:12" s="109" customFormat="1" ht="12.75" customHeight="1" x14ac:dyDescent="0.2">
      <c r="A10" s="108" t="s">
        <v>43</v>
      </c>
      <c r="B10" s="110" t="s">
        <v>408</v>
      </c>
      <c r="C10" s="106" t="s">
        <v>407</v>
      </c>
      <c r="D10" s="107" t="s">
        <v>15</v>
      </c>
      <c r="E10" s="107" t="s">
        <v>16</v>
      </c>
      <c r="F10" s="107" t="s">
        <v>17</v>
      </c>
      <c r="G10" s="108" t="s">
        <v>203</v>
      </c>
      <c r="H10" s="108">
        <v>1855.36</v>
      </c>
      <c r="I10" s="108">
        <f t="shared" si="0"/>
        <v>51950.079999999994</v>
      </c>
      <c r="J10" s="108">
        <v>0</v>
      </c>
      <c r="K10" s="108">
        <f t="shared" si="1"/>
        <v>51950.080000000002</v>
      </c>
      <c r="L10" s="106"/>
    </row>
    <row r="11" spans="1:12" s="109" customFormat="1" ht="12.75" customHeight="1" x14ac:dyDescent="0.2">
      <c r="A11" s="108" t="s">
        <v>46</v>
      </c>
      <c r="B11" s="111" t="s">
        <v>405</v>
      </c>
      <c r="C11" s="106" t="s">
        <v>48</v>
      </c>
      <c r="D11" s="107" t="s">
        <v>54</v>
      </c>
      <c r="E11" s="107" t="s">
        <v>15</v>
      </c>
      <c r="F11" s="107" t="s">
        <v>17</v>
      </c>
      <c r="G11" s="108" t="s">
        <v>203</v>
      </c>
      <c r="H11" s="108">
        <v>1724.76</v>
      </c>
      <c r="I11" s="108">
        <f t="shared" si="0"/>
        <v>48293.279999999999</v>
      </c>
      <c r="J11" s="108">
        <v>0</v>
      </c>
      <c r="K11" s="108">
        <f t="shared" si="1"/>
        <v>48293.279999999999</v>
      </c>
      <c r="L11" s="106" t="s">
        <v>50</v>
      </c>
    </row>
    <row r="12" spans="1:12" s="109" customFormat="1" ht="12.75" customHeight="1" x14ac:dyDescent="0.2">
      <c r="A12" s="108" t="s">
        <v>51</v>
      </c>
      <c r="B12" s="110" t="s">
        <v>52</v>
      </c>
      <c r="C12" s="106" t="s">
        <v>53</v>
      </c>
      <c r="D12" s="107" t="s">
        <v>54</v>
      </c>
      <c r="E12" s="107" t="s">
        <v>15</v>
      </c>
      <c r="F12" s="107" t="s">
        <v>17</v>
      </c>
      <c r="G12" s="108" t="s">
        <v>435</v>
      </c>
      <c r="H12" s="108">
        <v>952.2</v>
      </c>
      <c r="I12" s="108">
        <f t="shared" si="0"/>
        <v>13330.800000000001</v>
      </c>
      <c r="J12" s="108">
        <v>0</v>
      </c>
      <c r="K12" s="108">
        <f t="shared" si="1"/>
        <v>13330.8</v>
      </c>
      <c r="L12" s="106" t="s">
        <v>50</v>
      </c>
    </row>
    <row r="13" spans="1:12" s="109" customFormat="1" ht="12.75" customHeight="1" x14ac:dyDescent="0.2">
      <c r="A13" s="112" t="s">
        <v>55</v>
      </c>
      <c r="B13" s="112" t="s">
        <v>55</v>
      </c>
      <c r="C13" s="112" t="s">
        <v>55</v>
      </c>
      <c r="D13" s="112" t="s">
        <v>55</v>
      </c>
      <c r="E13" s="112" t="s">
        <v>55</v>
      </c>
      <c r="F13" s="112" t="s">
        <v>55</v>
      </c>
      <c r="G13" s="112" t="s">
        <v>55</v>
      </c>
      <c r="H13" s="112" t="s">
        <v>55</v>
      </c>
      <c r="I13" s="112" t="s">
        <v>55</v>
      </c>
      <c r="J13" s="113" t="s">
        <v>56</v>
      </c>
      <c r="K13" s="113">
        <f>(K2+K3+K4+K5+K6+K7+K8+K9+K10+K11+K12)</f>
        <v>472366.16</v>
      </c>
      <c r="L13" s="113" t="s">
        <v>55</v>
      </c>
    </row>
    <row r="14" spans="1:12" s="109" customFormat="1" ht="12.75" customHeight="1" x14ac:dyDescent="0.2">
      <c r="A14" s="104" t="s">
        <v>57</v>
      </c>
      <c r="B14" s="105" t="s">
        <v>13</v>
      </c>
      <c r="C14" s="106" t="s">
        <v>14</v>
      </c>
      <c r="D14" s="107" t="s">
        <v>15</v>
      </c>
      <c r="E14" s="107" t="s">
        <v>16</v>
      </c>
      <c r="F14" s="107" t="s">
        <v>17</v>
      </c>
      <c r="G14" s="108" t="s">
        <v>230</v>
      </c>
      <c r="H14" s="108">
        <v>2995</v>
      </c>
      <c r="I14" s="108">
        <f t="shared" ref="I14:I24" si="2">(H14*G14)</f>
        <v>35940</v>
      </c>
      <c r="J14" s="108">
        <v>0</v>
      </c>
      <c r="K14" s="108">
        <f t="shared" ref="K14:K24" si="3">ROUND(I14-((I14*J14)/100),2)</f>
        <v>35940</v>
      </c>
      <c r="L14" s="106"/>
    </row>
    <row r="15" spans="1:12" s="109" customFormat="1" ht="12.75" customHeight="1" x14ac:dyDescent="0.2">
      <c r="A15" s="108" t="s">
        <v>59</v>
      </c>
      <c r="B15" s="110" t="s">
        <v>20</v>
      </c>
      <c r="C15" s="106" t="s">
        <v>21</v>
      </c>
      <c r="D15" s="107" t="s">
        <v>15</v>
      </c>
      <c r="E15" s="107" t="s">
        <v>16</v>
      </c>
      <c r="F15" s="107" t="s">
        <v>17</v>
      </c>
      <c r="G15" s="108" t="s">
        <v>264</v>
      </c>
      <c r="H15" s="108">
        <v>4767</v>
      </c>
      <c r="I15" s="108">
        <f t="shared" si="2"/>
        <v>114408</v>
      </c>
      <c r="J15" s="108">
        <v>0</v>
      </c>
      <c r="K15" s="108">
        <f t="shared" si="3"/>
        <v>114408</v>
      </c>
      <c r="L15" s="106"/>
    </row>
    <row r="16" spans="1:12" s="109" customFormat="1" ht="12.75" customHeight="1" x14ac:dyDescent="0.2">
      <c r="A16" s="108" t="s">
        <v>61</v>
      </c>
      <c r="B16" s="110" t="s">
        <v>24</v>
      </c>
      <c r="C16" s="106" t="s">
        <v>25</v>
      </c>
      <c r="D16" s="107" t="s">
        <v>15</v>
      </c>
      <c r="E16" s="107" t="s">
        <v>16</v>
      </c>
      <c r="F16" s="107" t="s">
        <v>17</v>
      </c>
      <c r="G16" s="108" t="s">
        <v>398</v>
      </c>
      <c r="H16" s="108">
        <v>725</v>
      </c>
      <c r="I16" s="108">
        <f t="shared" si="2"/>
        <v>69600</v>
      </c>
      <c r="J16" s="108">
        <v>0</v>
      </c>
      <c r="K16" s="108">
        <f t="shared" si="3"/>
        <v>69600</v>
      </c>
      <c r="L16" s="106"/>
    </row>
    <row r="17" spans="1:12" s="109" customFormat="1" ht="12.75" customHeight="1" x14ac:dyDescent="0.2">
      <c r="A17" s="108" t="s">
        <v>63</v>
      </c>
      <c r="B17" s="110" t="s">
        <v>28</v>
      </c>
      <c r="C17" s="106" t="s">
        <v>29</v>
      </c>
      <c r="D17" s="107" t="s">
        <v>15</v>
      </c>
      <c r="E17" s="107" t="s">
        <v>16</v>
      </c>
      <c r="F17" s="107" t="s">
        <v>17</v>
      </c>
      <c r="G17" s="108" t="s">
        <v>230</v>
      </c>
      <c r="H17" s="108">
        <v>1499</v>
      </c>
      <c r="I17" s="108">
        <f t="shared" si="2"/>
        <v>17988</v>
      </c>
      <c r="J17" s="108">
        <v>0</v>
      </c>
      <c r="K17" s="108">
        <f t="shared" si="3"/>
        <v>17988</v>
      </c>
      <c r="L17" s="106"/>
    </row>
    <row r="18" spans="1:12" s="109" customFormat="1" ht="12.75" customHeight="1" x14ac:dyDescent="0.2">
      <c r="A18" s="108" t="s">
        <v>64</v>
      </c>
      <c r="B18" s="110" t="s">
        <v>31</v>
      </c>
      <c r="C18" s="106" t="s">
        <v>32</v>
      </c>
      <c r="D18" s="107" t="s">
        <v>15</v>
      </c>
      <c r="E18" s="107" t="s">
        <v>16</v>
      </c>
      <c r="F18" s="107" t="s">
        <v>33</v>
      </c>
      <c r="G18" s="108" t="s">
        <v>264</v>
      </c>
      <c r="H18" s="108">
        <v>0</v>
      </c>
      <c r="I18" s="108">
        <f t="shared" si="2"/>
        <v>0</v>
      </c>
      <c r="J18" s="108">
        <v>0</v>
      </c>
      <c r="K18" s="108">
        <f t="shared" si="3"/>
        <v>0</v>
      </c>
      <c r="L18" s="106"/>
    </row>
    <row r="19" spans="1:12" s="109" customFormat="1" ht="12.75" customHeight="1" x14ac:dyDescent="0.2">
      <c r="A19" s="108" t="s">
        <v>65</v>
      </c>
      <c r="B19" s="110" t="s">
        <v>35</v>
      </c>
      <c r="C19" s="106" t="s">
        <v>36</v>
      </c>
      <c r="D19" s="107" t="s">
        <v>15</v>
      </c>
      <c r="E19" s="107" t="s">
        <v>16</v>
      </c>
      <c r="F19" s="107" t="s">
        <v>33</v>
      </c>
      <c r="G19" s="108" t="s">
        <v>230</v>
      </c>
      <c r="H19" s="108">
        <v>0</v>
      </c>
      <c r="I19" s="108">
        <f t="shared" si="2"/>
        <v>0</v>
      </c>
      <c r="J19" s="108">
        <v>0</v>
      </c>
      <c r="K19" s="108">
        <f t="shared" si="3"/>
        <v>0</v>
      </c>
      <c r="L19" s="106"/>
    </row>
    <row r="20" spans="1:12" s="109" customFormat="1" ht="12.75" customHeight="1" x14ac:dyDescent="0.2">
      <c r="A20" s="108" t="s">
        <v>66</v>
      </c>
      <c r="B20" s="110" t="s">
        <v>38</v>
      </c>
      <c r="C20" s="106" t="s">
        <v>39</v>
      </c>
      <c r="D20" s="107" t="s">
        <v>15</v>
      </c>
      <c r="E20" s="107" t="s">
        <v>16</v>
      </c>
      <c r="F20" s="107" t="s">
        <v>33</v>
      </c>
      <c r="G20" s="108" t="s">
        <v>230</v>
      </c>
      <c r="H20" s="108">
        <v>0</v>
      </c>
      <c r="I20" s="108">
        <f t="shared" si="2"/>
        <v>0</v>
      </c>
      <c r="J20" s="108">
        <v>0</v>
      </c>
      <c r="K20" s="108">
        <f t="shared" si="3"/>
        <v>0</v>
      </c>
      <c r="L20" s="106"/>
    </row>
    <row r="21" spans="1:12" s="109" customFormat="1" ht="12.75" customHeight="1" x14ac:dyDescent="0.2">
      <c r="A21" s="108" t="s">
        <v>67</v>
      </c>
      <c r="B21" s="110" t="s">
        <v>41</v>
      </c>
      <c r="C21" s="106" t="s">
        <v>42</v>
      </c>
      <c r="D21" s="107" t="s">
        <v>15</v>
      </c>
      <c r="E21" s="107" t="s">
        <v>16</v>
      </c>
      <c r="F21" s="107" t="s">
        <v>17</v>
      </c>
      <c r="G21" s="108" t="s">
        <v>230</v>
      </c>
      <c r="H21" s="108">
        <v>0</v>
      </c>
      <c r="I21" s="108">
        <f t="shared" si="2"/>
        <v>0</v>
      </c>
      <c r="J21" s="108">
        <v>0</v>
      </c>
      <c r="K21" s="108">
        <f t="shared" si="3"/>
        <v>0</v>
      </c>
      <c r="L21" s="106"/>
    </row>
    <row r="22" spans="1:12" s="109" customFormat="1" ht="12.75" customHeight="1" x14ac:dyDescent="0.2">
      <c r="A22" s="108" t="s">
        <v>409</v>
      </c>
      <c r="B22" s="110" t="s">
        <v>408</v>
      </c>
      <c r="C22" s="106" t="s">
        <v>407</v>
      </c>
      <c r="D22" s="107" t="s">
        <v>15</v>
      </c>
      <c r="E22" s="107" t="s">
        <v>16</v>
      </c>
      <c r="F22" s="107" t="s">
        <v>17</v>
      </c>
      <c r="G22" s="108" t="s">
        <v>264</v>
      </c>
      <c r="H22" s="108">
        <v>1855.36</v>
      </c>
      <c r="I22" s="108">
        <f t="shared" si="2"/>
        <v>44528.639999999999</v>
      </c>
      <c r="J22" s="108">
        <v>0</v>
      </c>
      <c r="K22" s="108">
        <f t="shared" si="3"/>
        <v>44528.639999999999</v>
      </c>
      <c r="L22" s="106"/>
    </row>
    <row r="23" spans="1:12" s="109" customFormat="1" ht="12.75" customHeight="1" x14ac:dyDescent="0.2">
      <c r="A23" s="108" t="s">
        <v>406</v>
      </c>
      <c r="B23" s="111" t="s">
        <v>405</v>
      </c>
      <c r="C23" s="106" t="s">
        <v>48</v>
      </c>
      <c r="D23" s="107" t="s">
        <v>54</v>
      </c>
      <c r="E23" s="107" t="s">
        <v>15</v>
      </c>
      <c r="F23" s="107" t="s">
        <v>17</v>
      </c>
      <c r="G23" s="108" t="s">
        <v>264</v>
      </c>
      <c r="H23" s="108">
        <v>1724.76</v>
      </c>
      <c r="I23" s="108">
        <f t="shared" si="2"/>
        <v>41394.239999999998</v>
      </c>
      <c r="J23" s="108">
        <v>0</v>
      </c>
      <c r="K23" s="108">
        <f t="shared" si="3"/>
        <v>41394.239999999998</v>
      </c>
      <c r="L23" s="106" t="s">
        <v>50</v>
      </c>
    </row>
    <row r="24" spans="1:12" s="109" customFormat="1" ht="12.75" customHeight="1" x14ac:dyDescent="0.2">
      <c r="A24" s="108" t="s">
        <v>68</v>
      </c>
      <c r="B24" s="110" t="s">
        <v>52</v>
      </c>
      <c r="C24" s="106" t="s">
        <v>53</v>
      </c>
      <c r="D24" s="107" t="s">
        <v>54</v>
      </c>
      <c r="E24" s="107" t="s">
        <v>15</v>
      </c>
      <c r="F24" s="107" t="s">
        <v>17</v>
      </c>
      <c r="G24" s="108" t="s">
        <v>230</v>
      </c>
      <c r="H24" s="108">
        <v>952.2</v>
      </c>
      <c r="I24" s="108">
        <f t="shared" si="2"/>
        <v>11426.400000000001</v>
      </c>
      <c r="J24" s="108">
        <v>0</v>
      </c>
      <c r="K24" s="108">
        <f t="shared" si="3"/>
        <v>11426.4</v>
      </c>
      <c r="L24" s="106" t="s">
        <v>50</v>
      </c>
    </row>
    <row r="25" spans="1:12" s="109" customFormat="1" ht="12.75" customHeight="1" x14ac:dyDescent="0.2">
      <c r="A25" s="112" t="s">
        <v>55</v>
      </c>
      <c r="B25" s="112" t="s">
        <v>55</v>
      </c>
      <c r="C25" s="112" t="s">
        <v>55</v>
      </c>
      <c r="D25" s="112" t="s">
        <v>55</v>
      </c>
      <c r="E25" s="112" t="s">
        <v>55</v>
      </c>
      <c r="F25" s="112" t="s">
        <v>55</v>
      </c>
      <c r="G25" s="112" t="s">
        <v>55</v>
      </c>
      <c r="H25" s="112" t="s">
        <v>55</v>
      </c>
      <c r="I25" s="112" t="s">
        <v>55</v>
      </c>
      <c r="J25" s="113" t="s">
        <v>56</v>
      </c>
      <c r="K25" s="113">
        <f>(K14+K15+K16+K17+K18+K19+K20+K21+K22+K23+K24)</f>
        <v>335285.28000000003</v>
      </c>
      <c r="L25" s="113" t="s">
        <v>55</v>
      </c>
    </row>
    <row r="26" spans="1:12" s="109" customFormat="1" ht="12.75" customHeight="1" x14ac:dyDescent="0.2">
      <c r="A26" s="104" t="s">
        <v>69</v>
      </c>
      <c r="B26" s="105" t="s">
        <v>70</v>
      </c>
      <c r="C26" s="106" t="s">
        <v>71</v>
      </c>
      <c r="D26" s="107" t="s">
        <v>15</v>
      </c>
      <c r="E26" s="107" t="s">
        <v>16</v>
      </c>
      <c r="F26" s="107" t="s">
        <v>17</v>
      </c>
      <c r="G26" s="108" t="s">
        <v>122</v>
      </c>
      <c r="H26" s="108">
        <v>5999</v>
      </c>
      <c r="I26" s="108">
        <f t="shared" ref="I26:I37" si="4">(H26*G26)</f>
        <v>23996</v>
      </c>
      <c r="J26" s="108">
        <v>0</v>
      </c>
      <c r="K26" s="108">
        <f t="shared" ref="K26:K37" si="5">ROUND(I26-((I26*J26)/100),2)</f>
        <v>23996</v>
      </c>
      <c r="L26" s="106"/>
    </row>
    <row r="27" spans="1:12" s="109" customFormat="1" ht="12.75" customHeight="1" x14ac:dyDescent="0.2">
      <c r="A27" s="108" t="s">
        <v>73</v>
      </c>
      <c r="B27" s="110" t="s">
        <v>74</v>
      </c>
      <c r="C27" s="106" t="s">
        <v>75</v>
      </c>
      <c r="D27" s="107" t="s">
        <v>15</v>
      </c>
      <c r="E27" s="107" t="s">
        <v>16</v>
      </c>
      <c r="F27" s="107" t="s">
        <v>33</v>
      </c>
      <c r="G27" s="108" t="s">
        <v>122</v>
      </c>
      <c r="H27" s="108">
        <v>0</v>
      </c>
      <c r="I27" s="108">
        <f t="shared" si="4"/>
        <v>0</v>
      </c>
      <c r="J27" s="108">
        <v>0</v>
      </c>
      <c r="K27" s="108">
        <f t="shared" si="5"/>
        <v>0</v>
      </c>
      <c r="L27" s="106"/>
    </row>
    <row r="28" spans="1:12" s="109" customFormat="1" ht="12.75" customHeight="1" x14ac:dyDescent="0.2">
      <c r="A28" s="108" t="s">
        <v>76</v>
      </c>
      <c r="B28" s="110" t="s">
        <v>77</v>
      </c>
      <c r="C28" s="106" t="s">
        <v>78</v>
      </c>
      <c r="D28" s="107" t="s">
        <v>15</v>
      </c>
      <c r="E28" s="107" t="s">
        <v>16</v>
      </c>
      <c r="F28" s="107" t="s">
        <v>33</v>
      </c>
      <c r="G28" s="108" t="s">
        <v>122</v>
      </c>
      <c r="H28" s="108">
        <v>0</v>
      </c>
      <c r="I28" s="108">
        <f t="shared" si="4"/>
        <v>0</v>
      </c>
      <c r="J28" s="108">
        <v>0</v>
      </c>
      <c r="K28" s="108">
        <f t="shared" si="5"/>
        <v>0</v>
      </c>
      <c r="L28" s="106"/>
    </row>
    <row r="29" spans="1:12" s="109" customFormat="1" ht="12.75" customHeight="1" x14ac:dyDescent="0.2">
      <c r="A29" s="108" t="s">
        <v>79</v>
      </c>
      <c r="B29" s="110" t="s">
        <v>80</v>
      </c>
      <c r="C29" s="106" t="s">
        <v>81</v>
      </c>
      <c r="D29" s="107" t="s">
        <v>15</v>
      </c>
      <c r="E29" s="107" t="s">
        <v>16</v>
      </c>
      <c r="F29" s="107" t="s">
        <v>33</v>
      </c>
      <c r="G29" s="108" t="s">
        <v>122</v>
      </c>
      <c r="H29" s="108">
        <v>0</v>
      </c>
      <c r="I29" s="108">
        <f t="shared" si="4"/>
        <v>0</v>
      </c>
      <c r="J29" s="108">
        <v>0</v>
      </c>
      <c r="K29" s="108">
        <f t="shared" si="5"/>
        <v>0</v>
      </c>
      <c r="L29" s="106"/>
    </row>
    <row r="30" spans="1:12" s="109" customFormat="1" ht="12.75" customHeight="1" x14ac:dyDescent="0.2">
      <c r="A30" s="108" t="s">
        <v>82</v>
      </c>
      <c r="B30" s="110" t="s">
        <v>83</v>
      </c>
      <c r="C30" s="106" t="s">
        <v>84</v>
      </c>
      <c r="D30" s="107" t="s">
        <v>15</v>
      </c>
      <c r="E30" s="107" t="s">
        <v>16</v>
      </c>
      <c r="F30" s="107" t="s">
        <v>33</v>
      </c>
      <c r="G30" s="108" t="s">
        <v>348</v>
      </c>
      <c r="H30" s="108">
        <v>0</v>
      </c>
      <c r="I30" s="108">
        <f t="shared" si="4"/>
        <v>0</v>
      </c>
      <c r="J30" s="108">
        <v>0</v>
      </c>
      <c r="K30" s="108">
        <f t="shared" si="5"/>
        <v>0</v>
      </c>
      <c r="L30" s="106"/>
    </row>
    <row r="31" spans="1:12" s="109" customFormat="1" ht="12.75" customHeight="1" x14ac:dyDescent="0.2">
      <c r="A31" s="108" t="s">
        <v>86</v>
      </c>
      <c r="B31" s="110" t="s">
        <v>87</v>
      </c>
      <c r="C31" s="106" t="s">
        <v>88</v>
      </c>
      <c r="D31" s="107" t="s">
        <v>15</v>
      </c>
      <c r="E31" s="107" t="s">
        <v>16</v>
      </c>
      <c r="F31" s="107" t="s">
        <v>33</v>
      </c>
      <c r="G31" s="108" t="s">
        <v>348</v>
      </c>
      <c r="H31" s="108">
        <v>0</v>
      </c>
      <c r="I31" s="108">
        <f t="shared" si="4"/>
        <v>0</v>
      </c>
      <c r="J31" s="108">
        <v>0</v>
      </c>
      <c r="K31" s="108">
        <f t="shared" si="5"/>
        <v>0</v>
      </c>
      <c r="L31" s="106"/>
    </row>
    <row r="32" spans="1:12" s="109" customFormat="1" ht="12.75" customHeight="1" x14ac:dyDescent="0.2">
      <c r="A32" s="108" t="s">
        <v>89</v>
      </c>
      <c r="B32" s="110" t="s">
        <v>90</v>
      </c>
      <c r="C32" s="106" t="s">
        <v>91</v>
      </c>
      <c r="D32" s="107" t="s">
        <v>15</v>
      </c>
      <c r="E32" s="107" t="s">
        <v>16</v>
      </c>
      <c r="F32" s="107" t="s">
        <v>17</v>
      </c>
      <c r="G32" s="108" t="s">
        <v>404</v>
      </c>
      <c r="H32" s="108">
        <v>936</v>
      </c>
      <c r="I32" s="108">
        <f t="shared" si="4"/>
        <v>14976</v>
      </c>
      <c r="J32" s="108">
        <v>0</v>
      </c>
      <c r="K32" s="108">
        <f t="shared" si="5"/>
        <v>14976</v>
      </c>
      <c r="L32" s="106"/>
    </row>
    <row r="33" spans="1:12" s="109" customFormat="1" ht="12.75" customHeight="1" x14ac:dyDescent="0.2">
      <c r="A33" s="108" t="s">
        <v>93</v>
      </c>
      <c r="B33" s="110" t="s">
        <v>94</v>
      </c>
      <c r="C33" s="106" t="s">
        <v>95</v>
      </c>
      <c r="D33" s="107" t="s">
        <v>15</v>
      </c>
      <c r="E33" s="107" t="s">
        <v>96</v>
      </c>
      <c r="F33" s="107" t="s">
        <v>17</v>
      </c>
      <c r="G33" s="108" t="s">
        <v>404</v>
      </c>
      <c r="H33" s="108">
        <v>0</v>
      </c>
      <c r="I33" s="108">
        <f t="shared" si="4"/>
        <v>0</v>
      </c>
      <c r="J33" s="108">
        <v>0</v>
      </c>
      <c r="K33" s="108">
        <f t="shared" si="5"/>
        <v>0</v>
      </c>
      <c r="L33" s="106"/>
    </row>
    <row r="34" spans="1:12" s="109" customFormat="1" ht="12.75" customHeight="1" x14ac:dyDescent="0.2">
      <c r="A34" s="108" t="s">
        <v>97</v>
      </c>
      <c r="B34" s="110" t="s">
        <v>98</v>
      </c>
      <c r="C34" s="106" t="s">
        <v>99</v>
      </c>
      <c r="D34" s="107" t="s">
        <v>15</v>
      </c>
      <c r="E34" s="107" t="s">
        <v>16</v>
      </c>
      <c r="F34" s="107" t="s">
        <v>17</v>
      </c>
      <c r="G34" s="108" t="s">
        <v>122</v>
      </c>
      <c r="H34" s="108">
        <v>0</v>
      </c>
      <c r="I34" s="108">
        <f t="shared" si="4"/>
        <v>0</v>
      </c>
      <c r="J34" s="108">
        <v>0</v>
      </c>
      <c r="K34" s="108">
        <f t="shared" si="5"/>
        <v>0</v>
      </c>
      <c r="L34" s="106"/>
    </row>
    <row r="35" spans="1:12" s="109" customFormat="1" ht="12.75" customHeight="1" x14ac:dyDescent="0.2">
      <c r="A35" s="108" t="s">
        <v>100</v>
      </c>
      <c r="B35" s="110" t="s">
        <v>101</v>
      </c>
      <c r="C35" s="106" t="s">
        <v>102</v>
      </c>
      <c r="D35" s="107" t="s">
        <v>15</v>
      </c>
      <c r="E35" s="107" t="s">
        <v>16</v>
      </c>
      <c r="F35" s="107" t="s">
        <v>17</v>
      </c>
      <c r="G35" s="108" t="s">
        <v>135</v>
      </c>
      <c r="H35" s="108">
        <v>7800</v>
      </c>
      <c r="I35" s="108">
        <f t="shared" si="4"/>
        <v>62400</v>
      </c>
      <c r="J35" s="108">
        <v>0</v>
      </c>
      <c r="K35" s="108">
        <f t="shared" si="5"/>
        <v>62400</v>
      </c>
      <c r="L35" s="106"/>
    </row>
    <row r="36" spans="1:12" s="109" customFormat="1" ht="12.75" customHeight="1" x14ac:dyDescent="0.2">
      <c r="A36" s="108" t="s">
        <v>104</v>
      </c>
      <c r="B36" s="110" t="s">
        <v>105</v>
      </c>
      <c r="C36" s="106" t="s">
        <v>106</v>
      </c>
      <c r="D36" s="107" t="s">
        <v>15</v>
      </c>
      <c r="E36" s="107" t="s">
        <v>107</v>
      </c>
      <c r="F36" s="107" t="s">
        <v>33</v>
      </c>
      <c r="G36" s="108" t="s">
        <v>434</v>
      </c>
      <c r="H36" s="108">
        <v>0</v>
      </c>
      <c r="I36" s="108">
        <f t="shared" si="4"/>
        <v>0</v>
      </c>
      <c r="J36" s="108">
        <v>0</v>
      </c>
      <c r="K36" s="108">
        <f t="shared" si="5"/>
        <v>0</v>
      </c>
      <c r="L36" s="106"/>
    </row>
    <row r="37" spans="1:12" s="109" customFormat="1" ht="12.75" customHeight="1" x14ac:dyDescent="0.2">
      <c r="A37" s="108" t="s">
        <v>109</v>
      </c>
      <c r="B37" s="110" t="s">
        <v>110</v>
      </c>
      <c r="C37" s="106" t="s">
        <v>111</v>
      </c>
      <c r="D37" s="107" t="s">
        <v>54</v>
      </c>
      <c r="E37" s="107" t="s">
        <v>15</v>
      </c>
      <c r="F37" s="107" t="s">
        <v>17</v>
      </c>
      <c r="G37" s="108" t="s">
        <v>122</v>
      </c>
      <c r="H37" s="108">
        <v>296.7</v>
      </c>
      <c r="I37" s="108">
        <f t="shared" si="4"/>
        <v>1186.8</v>
      </c>
      <c r="J37" s="108">
        <v>0</v>
      </c>
      <c r="K37" s="108">
        <f t="shared" si="5"/>
        <v>1186.8</v>
      </c>
      <c r="L37" s="106" t="s">
        <v>50</v>
      </c>
    </row>
    <row r="38" spans="1:12" ht="12.75" customHeight="1" x14ac:dyDescent="0.2">
      <c r="A38" s="6" t="s">
        <v>55</v>
      </c>
      <c r="B38" s="6" t="s">
        <v>55</v>
      </c>
      <c r="C38" s="6" t="s">
        <v>55</v>
      </c>
      <c r="D38" s="6" t="s">
        <v>55</v>
      </c>
      <c r="E38" s="6" t="s">
        <v>55</v>
      </c>
      <c r="F38" s="6" t="s">
        <v>55</v>
      </c>
      <c r="G38" s="6" t="s">
        <v>55</v>
      </c>
      <c r="H38" s="6" t="s">
        <v>55</v>
      </c>
      <c r="I38" s="6" t="s">
        <v>55</v>
      </c>
      <c r="J38" s="5" t="s">
        <v>56</v>
      </c>
      <c r="K38" s="5">
        <f>(K26+K27+K28+K29+K30+K31+K32+K33+K34+K35+K36+K37)</f>
        <v>102558.8</v>
      </c>
      <c r="L38" s="5" t="s">
        <v>55</v>
      </c>
    </row>
    <row r="39" spans="1:12" s="126" customFormat="1" ht="12.75" customHeight="1" x14ac:dyDescent="0.2">
      <c r="A39" s="121" t="s">
        <v>112</v>
      </c>
      <c r="B39" s="122" t="s">
        <v>402</v>
      </c>
      <c r="C39" s="123" t="s">
        <v>401</v>
      </c>
      <c r="D39" s="124" t="s">
        <v>15</v>
      </c>
      <c r="E39" s="124" t="s">
        <v>16</v>
      </c>
      <c r="F39" s="124" t="s">
        <v>17</v>
      </c>
      <c r="G39" s="125" t="s">
        <v>115</v>
      </c>
      <c r="H39" s="125">
        <v>3995</v>
      </c>
      <c r="I39" s="125">
        <f t="shared" ref="I39:I53" si="6">(H39*G39)</f>
        <v>7990</v>
      </c>
      <c r="J39" s="125">
        <v>0</v>
      </c>
      <c r="K39" s="125">
        <f t="shared" ref="K39:K53" si="7">ROUND(I39-((I39*J39)/100),2)</f>
        <v>7990</v>
      </c>
      <c r="L39" s="123"/>
    </row>
    <row r="40" spans="1:12" s="126" customFormat="1" ht="12.75" customHeight="1" x14ac:dyDescent="0.2">
      <c r="A40" s="125" t="s">
        <v>153</v>
      </c>
      <c r="B40" s="127" t="s">
        <v>373</v>
      </c>
      <c r="C40" s="123" t="s">
        <v>372</v>
      </c>
      <c r="D40" s="124" t="s">
        <v>54</v>
      </c>
      <c r="E40" s="124" t="s">
        <v>15</v>
      </c>
      <c r="F40" s="124" t="s">
        <v>17</v>
      </c>
      <c r="G40" s="125" t="s">
        <v>115</v>
      </c>
      <c r="H40" s="125">
        <v>1462.8</v>
      </c>
      <c r="I40" s="125">
        <f t="shared" si="6"/>
        <v>2925.6</v>
      </c>
      <c r="J40" s="125">
        <v>0</v>
      </c>
      <c r="K40" s="125">
        <f t="shared" si="7"/>
        <v>2925.6</v>
      </c>
      <c r="L40" s="123" t="s">
        <v>50</v>
      </c>
    </row>
    <row r="41" spans="1:12" s="126" customFormat="1" ht="12.75" customHeight="1" x14ac:dyDescent="0.2">
      <c r="A41" s="125" t="s">
        <v>116</v>
      </c>
      <c r="B41" s="127" t="s">
        <v>426</v>
      </c>
      <c r="C41" s="123" t="s">
        <v>425</v>
      </c>
      <c r="D41" s="124" t="s">
        <v>15</v>
      </c>
      <c r="E41" s="124" t="s">
        <v>16</v>
      </c>
      <c r="F41" s="124" t="s">
        <v>17</v>
      </c>
      <c r="G41" s="125" t="s">
        <v>122</v>
      </c>
      <c r="H41" s="125">
        <v>2842</v>
      </c>
      <c r="I41" s="125">
        <f t="shared" si="6"/>
        <v>11368</v>
      </c>
      <c r="J41" s="125">
        <v>0</v>
      </c>
      <c r="K41" s="125">
        <f t="shared" si="7"/>
        <v>11368</v>
      </c>
      <c r="L41" s="123"/>
    </row>
    <row r="42" spans="1:12" s="126" customFormat="1" ht="12.75" customHeight="1" x14ac:dyDescent="0.2">
      <c r="A42" s="125" t="s">
        <v>119</v>
      </c>
      <c r="B42" s="127" t="s">
        <v>24</v>
      </c>
      <c r="C42" s="123" t="s">
        <v>25</v>
      </c>
      <c r="D42" s="124" t="s">
        <v>15</v>
      </c>
      <c r="E42" s="124" t="s">
        <v>16</v>
      </c>
      <c r="F42" s="124" t="s">
        <v>17</v>
      </c>
      <c r="G42" s="125" t="s">
        <v>348</v>
      </c>
      <c r="H42" s="125">
        <v>725</v>
      </c>
      <c r="I42" s="125">
        <f t="shared" si="6"/>
        <v>23200</v>
      </c>
      <c r="J42" s="125">
        <v>0</v>
      </c>
      <c r="K42" s="125">
        <f t="shared" si="7"/>
        <v>23200</v>
      </c>
      <c r="L42" s="123"/>
    </row>
    <row r="43" spans="1:12" s="126" customFormat="1" ht="12.75" customHeight="1" x14ac:dyDescent="0.2">
      <c r="A43" s="125" t="s">
        <v>123</v>
      </c>
      <c r="B43" s="127" t="s">
        <v>397</v>
      </c>
      <c r="C43" s="123" t="s">
        <v>396</v>
      </c>
      <c r="D43" s="124" t="s">
        <v>15</v>
      </c>
      <c r="E43" s="124" t="s">
        <v>16</v>
      </c>
      <c r="F43" s="124" t="s">
        <v>17</v>
      </c>
      <c r="G43" s="125" t="s">
        <v>115</v>
      </c>
      <c r="H43" s="125">
        <v>1499</v>
      </c>
      <c r="I43" s="125">
        <f t="shared" si="6"/>
        <v>2998</v>
      </c>
      <c r="J43" s="125">
        <v>0</v>
      </c>
      <c r="K43" s="125">
        <f t="shared" si="7"/>
        <v>2998</v>
      </c>
      <c r="L43" s="123"/>
    </row>
    <row r="44" spans="1:12" s="126" customFormat="1" ht="12.75" customHeight="1" x14ac:dyDescent="0.2">
      <c r="A44" s="125" t="s">
        <v>129</v>
      </c>
      <c r="B44" s="127" t="s">
        <v>395</v>
      </c>
      <c r="C44" s="123" t="s">
        <v>394</v>
      </c>
      <c r="D44" s="124" t="s">
        <v>15</v>
      </c>
      <c r="E44" s="124" t="s">
        <v>16</v>
      </c>
      <c r="F44" s="124" t="s">
        <v>17</v>
      </c>
      <c r="G44" s="125" t="s">
        <v>122</v>
      </c>
      <c r="H44" s="125">
        <v>632</v>
      </c>
      <c r="I44" s="125">
        <f t="shared" si="6"/>
        <v>2528</v>
      </c>
      <c r="J44" s="125">
        <v>0</v>
      </c>
      <c r="K44" s="125">
        <f t="shared" si="7"/>
        <v>2528</v>
      </c>
      <c r="L44" s="123"/>
    </row>
    <row r="45" spans="1:12" s="126" customFormat="1" ht="12.75" customHeight="1" x14ac:dyDescent="0.2">
      <c r="A45" s="125" t="s">
        <v>132</v>
      </c>
      <c r="B45" s="127" t="s">
        <v>414</v>
      </c>
      <c r="C45" s="123" t="s">
        <v>413</v>
      </c>
      <c r="D45" s="124" t="s">
        <v>15</v>
      </c>
      <c r="E45" s="124" t="s">
        <v>16</v>
      </c>
      <c r="F45" s="124" t="s">
        <v>17</v>
      </c>
      <c r="G45" s="125" t="s">
        <v>122</v>
      </c>
      <c r="H45" s="125">
        <v>0</v>
      </c>
      <c r="I45" s="125">
        <f t="shared" si="6"/>
        <v>0</v>
      </c>
      <c r="J45" s="125">
        <v>0</v>
      </c>
      <c r="K45" s="125">
        <f t="shared" si="7"/>
        <v>0</v>
      </c>
      <c r="L45" s="123"/>
    </row>
    <row r="46" spans="1:12" s="126" customFormat="1" ht="12.75" customHeight="1" x14ac:dyDescent="0.2">
      <c r="A46" s="125" t="s">
        <v>136</v>
      </c>
      <c r="B46" s="127" t="s">
        <v>393</v>
      </c>
      <c r="C46" s="123" t="s">
        <v>392</v>
      </c>
      <c r="D46" s="124" t="s">
        <v>15</v>
      </c>
      <c r="E46" s="124" t="s">
        <v>16</v>
      </c>
      <c r="F46" s="124" t="s">
        <v>17</v>
      </c>
      <c r="G46" s="125" t="s">
        <v>115</v>
      </c>
      <c r="H46" s="125">
        <v>220</v>
      </c>
      <c r="I46" s="125">
        <f t="shared" si="6"/>
        <v>440</v>
      </c>
      <c r="J46" s="125">
        <v>0</v>
      </c>
      <c r="K46" s="125">
        <f t="shared" si="7"/>
        <v>440</v>
      </c>
      <c r="L46" s="123"/>
    </row>
    <row r="47" spans="1:12" s="126" customFormat="1" ht="12.75" customHeight="1" x14ac:dyDescent="0.2">
      <c r="A47" s="125" t="s">
        <v>139</v>
      </c>
      <c r="B47" s="127" t="s">
        <v>391</v>
      </c>
      <c r="C47" s="123" t="s">
        <v>390</v>
      </c>
      <c r="D47" s="124" t="s">
        <v>15</v>
      </c>
      <c r="E47" s="124" t="s">
        <v>16</v>
      </c>
      <c r="F47" s="124" t="s">
        <v>17</v>
      </c>
      <c r="G47" s="125" t="s">
        <v>115</v>
      </c>
      <c r="H47" s="125">
        <v>85</v>
      </c>
      <c r="I47" s="125">
        <f t="shared" si="6"/>
        <v>170</v>
      </c>
      <c r="J47" s="125">
        <v>0</v>
      </c>
      <c r="K47" s="125">
        <f t="shared" si="7"/>
        <v>170</v>
      </c>
      <c r="L47" s="123"/>
    </row>
    <row r="48" spans="1:12" s="126" customFormat="1" ht="12.75" customHeight="1" x14ac:dyDescent="0.2">
      <c r="A48" s="125" t="s">
        <v>141</v>
      </c>
      <c r="B48" s="127" t="s">
        <v>388</v>
      </c>
      <c r="C48" s="123" t="s">
        <v>387</v>
      </c>
      <c r="D48" s="124" t="s">
        <v>15</v>
      </c>
      <c r="E48" s="124" t="s">
        <v>16</v>
      </c>
      <c r="F48" s="124" t="s">
        <v>33</v>
      </c>
      <c r="G48" s="125" t="s">
        <v>115</v>
      </c>
      <c r="H48" s="125">
        <v>0</v>
      </c>
      <c r="I48" s="125">
        <f t="shared" si="6"/>
        <v>0</v>
      </c>
      <c r="J48" s="125">
        <v>0</v>
      </c>
      <c r="K48" s="125">
        <f t="shared" si="7"/>
        <v>0</v>
      </c>
      <c r="L48" s="123"/>
    </row>
    <row r="49" spans="1:12" s="126" customFormat="1" ht="12.75" customHeight="1" x14ac:dyDescent="0.2">
      <c r="A49" s="125" t="s">
        <v>143</v>
      </c>
      <c r="B49" s="127" t="s">
        <v>385</v>
      </c>
      <c r="C49" s="123" t="s">
        <v>384</v>
      </c>
      <c r="D49" s="124" t="s">
        <v>15</v>
      </c>
      <c r="E49" s="124" t="s">
        <v>16</v>
      </c>
      <c r="F49" s="124" t="s">
        <v>33</v>
      </c>
      <c r="G49" s="125" t="s">
        <v>122</v>
      </c>
      <c r="H49" s="125">
        <v>0</v>
      </c>
      <c r="I49" s="125">
        <f t="shared" si="6"/>
        <v>0</v>
      </c>
      <c r="J49" s="125">
        <v>0</v>
      </c>
      <c r="K49" s="125">
        <f t="shared" si="7"/>
        <v>0</v>
      </c>
      <c r="L49" s="123"/>
    </row>
    <row r="50" spans="1:12" s="126" customFormat="1" ht="12.75" customHeight="1" x14ac:dyDescent="0.2">
      <c r="A50" s="125" t="s">
        <v>147</v>
      </c>
      <c r="B50" s="127" t="s">
        <v>382</v>
      </c>
      <c r="C50" s="123" t="s">
        <v>381</v>
      </c>
      <c r="D50" s="124" t="s">
        <v>15</v>
      </c>
      <c r="E50" s="124" t="s">
        <v>16</v>
      </c>
      <c r="F50" s="124" t="s">
        <v>33</v>
      </c>
      <c r="G50" s="125" t="s">
        <v>403</v>
      </c>
      <c r="H50" s="125">
        <v>0</v>
      </c>
      <c r="I50" s="125">
        <f t="shared" si="6"/>
        <v>0</v>
      </c>
      <c r="J50" s="125">
        <v>0</v>
      </c>
      <c r="K50" s="125">
        <f t="shared" si="7"/>
        <v>0</v>
      </c>
      <c r="L50" s="123"/>
    </row>
    <row r="51" spans="1:12" s="126" customFormat="1" ht="12.75" customHeight="1" x14ac:dyDescent="0.2">
      <c r="A51" s="125" t="s">
        <v>150</v>
      </c>
      <c r="B51" s="127" t="s">
        <v>379</v>
      </c>
      <c r="C51" s="123" t="s">
        <v>378</v>
      </c>
      <c r="D51" s="124" t="s">
        <v>15</v>
      </c>
      <c r="E51" s="124" t="s">
        <v>16</v>
      </c>
      <c r="F51" s="124" t="s">
        <v>17</v>
      </c>
      <c r="G51" s="125" t="s">
        <v>115</v>
      </c>
      <c r="H51" s="125">
        <v>656</v>
      </c>
      <c r="I51" s="125">
        <f t="shared" si="6"/>
        <v>1312</v>
      </c>
      <c r="J51" s="125">
        <v>0</v>
      </c>
      <c r="K51" s="125">
        <f t="shared" si="7"/>
        <v>1312</v>
      </c>
      <c r="L51" s="123"/>
    </row>
    <row r="52" spans="1:12" s="126" customFormat="1" ht="12.75" customHeight="1" x14ac:dyDescent="0.2">
      <c r="A52" s="125" t="s">
        <v>412</v>
      </c>
      <c r="B52" s="127" t="s">
        <v>376</v>
      </c>
      <c r="C52" s="123" t="s">
        <v>375</v>
      </c>
      <c r="D52" s="124" t="s">
        <v>15</v>
      </c>
      <c r="E52" s="124" t="s">
        <v>16</v>
      </c>
      <c r="F52" s="124" t="s">
        <v>17</v>
      </c>
      <c r="G52" s="125" t="s">
        <v>115</v>
      </c>
      <c r="H52" s="125">
        <v>1405</v>
      </c>
      <c r="I52" s="125">
        <f t="shared" si="6"/>
        <v>2810</v>
      </c>
      <c r="J52" s="125">
        <v>0</v>
      </c>
      <c r="K52" s="125">
        <f t="shared" si="7"/>
        <v>2810</v>
      </c>
      <c r="L52" s="123"/>
    </row>
    <row r="53" spans="1:12" s="126" customFormat="1" ht="12.75" customHeight="1" x14ac:dyDescent="0.2">
      <c r="A53" s="125" t="s">
        <v>411</v>
      </c>
      <c r="B53" s="127" t="s">
        <v>41</v>
      </c>
      <c r="C53" s="123" t="s">
        <v>42</v>
      </c>
      <c r="D53" s="124" t="s">
        <v>15</v>
      </c>
      <c r="E53" s="124" t="s">
        <v>16</v>
      </c>
      <c r="F53" s="124" t="s">
        <v>17</v>
      </c>
      <c r="G53" s="125" t="s">
        <v>115</v>
      </c>
      <c r="H53" s="125">
        <v>0</v>
      </c>
      <c r="I53" s="125">
        <f t="shared" si="6"/>
        <v>0</v>
      </c>
      <c r="J53" s="125">
        <v>0</v>
      </c>
      <c r="K53" s="125">
        <f t="shared" si="7"/>
        <v>0</v>
      </c>
      <c r="L53" s="123"/>
    </row>
    <row r="54" spans="1:12" s="126" customFormat="1" ht="12.75" customHeight="1" x14ac:dyDescent="0.2">
      <c r="A54" s="128" t="s">
        <v>55</v>
      </c>
      <c r="B54" s="128" t="s">
        <v>55</v>
      </c>
      <c r="C54" s="128" t="s">
        <v>55</v>
      </c>
      <c r="D54" s="128" t="s">
        <v>55</v>
      </c>
      <c r="E54" s="128" t="s">
        <v>55</v>
      </c>
      <c r="F54" s="128" t="s">
        <v>55</v>
      </c>
      <c r="G54" s="128" t="s">
        <v>55</v>
      </c>
      <c r="H54" s="128" t="s">
        <v>55</v>
      </c>
      <c r="I54" s="128" t="s">
        <v>55</v>
      </c>
      <c r="J54" s="129" t="s">
        <v>56</v>
      </c>
      <c r="K54" s="129">
        <f>(K39+K40+K41+K42+K43+K44+K45+K46+K47+K48+K49+K50+K51+K52+K53)</f>
        <v>55741.599999999999</v>
      </c>
      <c r="L54" s="129" t="s">
        <v>55</v>
      </c>
    </row>
    <row r="55" spans="1:12" s="126" customFormat="1" ht="12.75" customHeight="1" x14ac:dyDescent="0.2">
      <c r="A55" s="121" t="s">
        <v>156</v>
      </c>
      <c r="B55" s="122" t="s">
        <v>402</v>
      </c>
      <c r="C55" s="123" t="s">
        <v>401</v>
      </c>
      <c r="D55" s="124" t="s">
        <v>15</v>
      </c>
      <c r="E55" s="124" t="s">
        <v>16</v>
      </c>
      <c r="F55" s="124" t="s">
        <v>17</v>
      </c>
      <c r="G55" s="125" t="s">
        <v>115</v>
      </c>
      <c r="H55" s="125">
        <v>3995</v>
      </c>
      <c r="I55" s="125">
        <f t="shared" ref="I55:I69" si="8">(H55*G55)</f>
        <v>7990</v>
      </c>
      <c r="J55" s="125">
        <v>0</v>
      </c>
      <c r="K55" s="125">
        <f t="shared" ref="K55:K69" si="9">ROUND(I55-((I55*J55)/100),2)</f>
        <v>7990</v>
      </c>
      <c r="L55" s="123"/>
    </row>
    <row r="56" spans="1:12" s="126" customFormat="1" ht="12.75" customHeight="1" x14ac:dyDescent="0.2">
      <c r="A56" s="125" t="s">
        <v>178</v>
      </c>
      <c r="B56" s="127" t="s">
        <v>373</v>
      </c>
      <c r="C56" s="123" t="s">
        <v>372</v>
      </c>
      <c r="D56" s="124" t="s">
        <v>54</v>
      </c>
      <c r="E56" s="124" t="s">
        <v>15</v>
      </c>
      <c r="F56" s="124" t="s">
        <v>17</v>
      </c>
      <c r="G56" s="125" t="s">
        <v>115</v>
      </c>
      <c r="H56" s="125">
        <v>1462.8</v>
      </c>
      <c r="I56" s="125">
        <f t="shared" si="8"/>
        <v>2925.6</v>
      </c>
      <c r="J56" s="125">
        <v>0</v>
      </c>
      <c r="K56" s="125">
        <f t="shared" si="9"/>
        <v>2925.6</v>
      </c>
      <c r="L56" s="123" t="s">
        <v>50</v>
      </c>
    </row>
    <row r="57" spans="1:12" s="126" customFormat="1" ht="12.75" customHeight="1" x14ac:dyDescent="0.2">
      <c r="A57" s="125" t="s">
        <v>159</v>
      </c>
      <c r="B57" s="127" t="s">
        <v>24</v>
      </c>
      <c r="C57" s="123" t="s">
        <v>25</v>
      </c>
      <c r="D57" s="124" t="s">
        <v>15</v>
      </c>
      <c r="E57" s="124" t="s">
        <v>16</v>
      </c>
      <c r="F57" s="124" t="s">
        <v>17</v>
      </c>
      <c r="G57" s="125" t="s">
        <v>348</v>
      </c>
      <c r="H57" s="125">
        <v>725</v>
      </c>
      <c r="I57" s="125">
        <f t="shared" si="8"/>
        <v>23200</v>
      </c>
      <c r="J57" s="125">
        <v>0</v>
      </c>
      <c r="K57" s="125">
        <f t="shared" si="9"/>
        <v>23200</v>
      </c>
      <c r="L57" s="123"/>
    </row>
    <row r="58" spans="1:12" s="126" customFormat="1" ht="12.75" customHeight="1" x14ac:dyDescent="0.2">
      <c r="A58" s="125" t="s">
        <v>162</v>
      </c>
      <c r="B58" s="127" t="s">
        <v>397</v>
      </c>
      <c r="C58" s="123" t="s">
        <v>396</v>
      </c>
      <c r="D58" s="124" t="s">
        <v>15</v>
      </c>
      <c r="E58" s="124" t="s">
        <v>16</v>
      </c>
      <c r="F58" s="124" t="s">
        <v>17</v>
      </c>
      <c r="G58" s="125" t="s">
        <v>115</v>
      </c>
      <c r="H58" s="125">
        <v>1499</v>
      </c>
      <c r="I58" s="125">
        <f t="shared" si="8"/>
        <v>2998</v>
      </c>
      <c r="J58" s="125">
        <v>0</v>
      </c>
      <c r="K58" s="125">
        <f t="shared" si="9"/>
        <v>2998</v>
      </c>
      <c r="L58" s="123"/>
    </row>
    <row r="59" spans="1:12" s="126" customFormat="1" ht="12.75" customHeight="1" x14ac:dyDescent="0.2">
      <c r="A59" s="125" t="s">
        <v>165</v>
      </c>
      <c r="B59" s="127" t="s">
        <v>395</v>
      </c>
      <c r="C59" s="123" t="s">
        <v>394</v>
      </c>
      <c r="D59" s="124" t="s">
        <v>15</v>
      </c>
      <c r="E59" s="124" t="s">
        <v>16</v>
      </c>
      <c r="F59" s="124" t="s">
        <v>17</v>
      </c>
      <c r="G59" s="125" t="s">
        <v>122</v>
      </c>
      <c r="H59" s="125">
        <v>632</v>
      </c>
      <c r="I59" s="125">
        <f t="shared" si="8"/>
        <v>2528</v>
      </c>
      <c r="J59" s="125">
        <v>0</v>
      </c>
      <c r="K59" s="125">
        <f t="shared" si="9"/>
        <v>2528</v>
      </c>
      <c r="L59" s="123"/>
    </row>
    <row r="60" spans="1:12" s="126" customFormat="1" ht="12.75" customHeight="1" x14ac:dyDescent="0.2">
      <c r="A60" s="125" t="s">
        <v>168</v>
      </c>
      <c r="B60" s="127" t="s">
        <v>414</v>
      </c>
      <c r="C60" s="123" t="s">
        <v>413</v>
      </c>
      <c r="D60" s="124" t="s">
        <v>15</v>
      </c>
      <c r="E60" s="124" t="s">
        <v>16</v>
      </c>
      <c r="F60" s="124" t="s">
        <v>17</v>
      </c>
      <c r="G60" s="125" t="s">
        <v>122</v>
      </c>
      <c r="H60" s="125">
        <v>0</v>
      </c>
      <c r="I60" s="125">
        <f t="shared" si="8"/>
        <v>0</v>
      </c>
      <c r="J60" s="125">
        <v>0</v>
      </c>
      <c r="K60" s="125">
        <f t="shared" si="9"/>
        <v>0</v>
      </c>
      <c r="L60" s="123"/>
    </row>
    <row r="61" spans="1:12" s="126" customFormat="1" ht="12.75" customHeight="1" x14ac:dyDescent="0.2">
      <c r="A61" s="125" t="s">
        <v>169</v>
      </c>
      <c r="B61" s="127" t="s">
        <v>393</v>
      </c>
      <c r="C61" s="123" t="s">
        <v>392</v>
      </c>
      <c r="D61" s="124" t="s">
        <v>15</v>
      </c>
      <c r="E61" s="124" t="s">
        <v>16</v>
      </c>
      <c r="F61" s="124" t="s">
        <v>17</v>
      </c>
      <c r="G61" s="125" t="s">
        <v>115</v>
      </c>
      <c r="H61" s="125">
        <v>220</v>
      </c>
      <c r="I61" s="125">
        <f t="shared" si="8"/>
        <v>440</v>
      </c>
      <c r="J61" s="125">
        <v>0</v>
      </c>
      <c r="K61" s="125">
        <f t="shared" si="9"/>
        <v>440</v>
      </c>
      <c r="L61" s="123"/>
    </row>
    <row r="62" spans="1:12" s="126" customFormat="1" ht="12.75" customHeight="1" x14ac:dyDescent="0.2">
      <c r="A62" s="125" t="s">
        <v>172</v>
      </c>
      <c r="B62" s="127" t="s">
        <v>391</v>
      </c>
      <c r="C62" s="123" t="s">
        <v>390</v>
      </c>
      <c r="D62" s="124" t="s">
        <v>15</v>
      </c>
      <c r="E62" s="124" t="s">
        <v>16</v>
      </c>
      <c r="F62" s="124" t="s">
        <v>17</v>
      </c>
      <c r="G62" s="125" t="s">
        <v>115</v>
      </c>
      <c r="H62" s="125">
        <v>85</v>
      </c>
      <c r="I62" s="125">
        <f t="shared" si="8"/>
        <v>170</v>
      </c>
      <c r="J62" s="125">
        <v>0</v>
      </c>
      <c r="K62" s="125">
        <f t="shared" si="9"/>
        <v>170</v>
      </c>
      <c r="L62" s="123"/>
    </row>
    <row r="63" spans="1:12" s="126" customFormat="1" ht="12.75" customHeight="1" x14ac:dyDescent="0.2">
      <c r="A63" s="125" t="s">
        <v>175</v>
      </c>
      <c r="B63" s="127" t="s">
        <v>388</v>
      </c>
      <c r="C63" s="123" t="s">
        <v>387</v>
      </c>
      <c r="D63" s="124" t="s">
        <v>15</v>
      </c>
      <c r="E63" s="124" t="s">
        <v>16</v>
      </c>
      <c r="F63" s="124" t="s">
        <v>33</v>
      </c>
      <c r="G63" s="125" t="s">
        <v>115</v>
      </c>
      <c r="H63" s="125">
        <v>0</v>
      </c>
      <c r="I63" s="125">
        <f t="shared" si="8"/>
        <v>0</v>
      </c>
      <c r="J63" s="125">
        <v>0</v>
      </c>
      <c r="K63" s="125">
        <f t="shared" si="9"/>
        <v>0</v>
      </c>
      <c r="L63" s="123"/>
    </row>
    <row r="64" spans="1:12" s="126" customFormat="1" ht="12.75" customHeight="1" x14ac:dyDescent="0.2">
      <c r="A64" s="125" t="s">
        <v>389</v>
      </c>
      <c r="B64" s="127" t="s">
        <v>385</v>
      </c>
      <c r="C64" s="123" t="s">
        <v>384</v>
      </c>
      <c r="D64" s="124" t="s">
        <v>15</v>
      </c>
      <c r="E64" s="124" t="s">
        <v>16</v>
      </c>
      <c r="F64" s="124" t="s">
        <v>33</v>
      </c>
      <c r="G64" s="125" t="s">
        <v>122</v>
      </c>
      <c r="H64" s="125">
        <v>0</v>
      </c>
      <c r="I64" s="125">
        <f t="shared" si="8"/>
        <v>0</v>
      </c>
      <c r="J64" s="125">
        <v>0</v>
      </c>
      <c r="K64" s="125">
        <f t="shared" si="9"/>
        <v>0</v>
      </c>
      <c r="L64" s="123"/>
    </row>
    <row r="65" spans="1:12" s="126" customFormat="1" ht="12.75" customHeight="1" x14ac:dyDescent="0.2">
      <c r="A65" s="125" t="s">
        <v>386</v>
      </c>
      <c r="B65" s="127" t="s">
        <v>382</v>
      </c>
      <c r="C65" s="123" t="s">
        <v>381</v>
      </c>
      <c r="D65" s="124" t="s">
        <v>15</v>
      </c>
      <c r="E65" s="124" t="s">
        <v>16</v>
      </c>
      <c r="F65" s="124" t="s">
        <v>33</v>
      </c>
      <c r="G65" s="125" t="s">
        <v>403</v>
      </c>
      <c r="H65" s="125">
        <v>0</v>
      </c>
      <c r="I65" s="125">
        <f t="shared" si="8"/>
        <v>0</v>
      </c>
      <c r="J65" s="125">
        <v>0</v>
      </c>
      <c r="K65" s="125">
        <f t="shared" si="9"/>
        <v>0</v>
      </c>
      <c r="L65" s="123"/>
    </row>
    <row r="66" spans="1:12" s="126" customFormat="1" ht="12.75" customHeight="1" x14ac:dyDescent="0.2">
      <c r="A66" s="125" t="s">
        <v>383</v>
      </c>
      <c r="B66" s="127" t="s">
        <v>379</v>
      </c>
      <c r="C66" s="123" t="s">
        <v>378</v>
      </c>
      <c r="D66" s="124" t="s">
        <v>15</v>
      </c>
      <c r="E66" s="124" t="s">
        <v>16</v>
      </c>
      <c r="F66" s="124" t="s">
        <v>17</v>
      </c>
      <c r="G66" s="125" t="s">
        <v>115</v>
      </c>
      <c r="H66" s="125">
        <v>656</v>
      </c>
      <c r="I66" s="125">
        <f t="shared" si="8"/>
        <v>1312</v>
      </c>
      <c r="J66" s="125">
        <v>0</v>
      </c>
      <c r="K66" s="125">
        <f t="shared" si="9"/>
        <v>1312</v>
      </c>
      <c r="L66" s="123"/>
    </row>
    <row r="67" spans="1:12" s="126" customFormat="1" ht="12.75" customHeight="1" x14ac:dyDescent="0.2">
      <c r="A67" s="125" t="s">
        <v>380</v>
      </c>
      <c r="B67" s="127" t="s">
        <v>376</v>
      </c>
      <c r="C67" s="123" t="s">
        <v>375</v>
      </c>
      <c r="D67" s="124" t="s">
        <v>15</v>
      </c>
      <c r="E67" s="124" t="s">
        <v>16</v>
      </c>
      <c r="F67" s="124" t="s">
        <v>17</v>
      </c>
      <c r="G67" s="125" t="s">
        <v>115</v>
      </c>
      <c r="H67" s="125">
        <v>1405</v>
      </c>
      <c r="I67" s="125">
        <f t="shared" si="8"/>
        <v>2810</v>
      </c>
      <c r="J67" s="125">
        <v>0</v>
      </c>
      <c r="K67" s="125">
        <f t="shared" si="9"/>
        <v>2810</v>
      </c>
      <c r="L67" s="123"/>
    </row>
    <row r="68" spans="1:12" s="126" customFormat="1" ht="12.75" customHeight="1" x14ac:dyDescent="0.2">
      <c r="A68" s="125" t="s">
        <v>377</v>
      </c>
      <c r="B68" s="127" t="s">
        <v>41</v>
      </c>
      <c r="C68" s="123" t="s">
        <v>42</v>
      </c>
      <c r="D68" s="124" t="s">
        <v>15</v>
      </c>
      <c r="E68" s="124" t="s">
        <v>16</v>
      </c>
      <c r="F68" s="124" t="s">
        <v>17</v>
      </c>
      <c r="G68" s="125" t="s">
        <v>115</v>
      </c>
      <c r="H68" s="125">
        <v>0</v>
      </c>
      <c r="I68" s="125">
        <f t="shared" si="8"/>
        <v>0</v>
      </c>
      <c r="J68" s="125">
        <v>0</v>
      </c>
      <c r="K68" s="125">
        <f t="shared" si="9"/>
        <v>0</v>
      </c>
      <c r="L68" s="123"/>
    </row>
    <row r="69" spans="1:12" s="126" customFormat="1" ht="12.75" customHeight="1" x14ac:dyDescent="0.2">
      <c r="A69" s="125" t="s">
        <v>374</v>
      </c>
      <c r="B69" s="127" t="s">
        <v>416</v>
      </c>
      <c r="C69" s="123" t="s">
        <v>415</v>
      </c>
      <c r="D69" s="124" t="s">
        <v>15</v>
      </c>
      <c r="E69" s="124" t="s">
        <v>16</v>
      </c>
      <c r="F69" s="124" t="s">
        <v>17</v>
      </c>
      <c r="G69" s="125" t="s">
        <v>122</v>
      </c>
      <c r="H69" s="125">
        <v>4145</v>
      </c>
      <c r="I69" s="125">
        <f t="shared" si="8"/>
        <v>16580</v>
      </c>
      <c r="J69" s="125">
        <v>0</v>
      </c>
      <c r="K69" s="125">
        <f t="shared" si="9"/>
        <v>16580</v>
      </c>
      <c r="L69" s="123"/>
    </row>
    <row r="70" spans="1:12" s="126" customFormat="1" ht="12.75" customHeight="1" x14ac:dyDescent="0.2">
      <c r="A70" s="128" t="s">
        <v>55</v>
      </c>
      <c r="B70" s="128" t="s">
        <v>55</v>
      </c>
      <c r="C70" s="128" t="s">
        <v>55</v>
      </c>
      <c r="D70" s="128" t="s">
        <v>55</v>
      </c>
      <c r="E70" s="128" t="s">
        <v>55</v>
      </c>
      <c r="F70" s="128" t="s">
        <v>55</v>
      </c>
      <c r="G70" s="128" t="s">
        <v>55</v>
      </c>
      <c r="H70" s="128" t="s">
        <v>55</v>
      </c>
      <c r="I70" s="128" t="s">
        <v>55</v>
      </c>
      <c r="J70" s="129" t="s">
        <v>56</v>
      </c>
      <c r="K70" s="129">
        <f>(K55+K56+K57+K58+K59+K60+K61+K62+K63+K64+K65+K66+K67+K68+K69)</f>
        <v>60953.599999999999</v>
      </c>
      <c r="L70" s="129" t="s">
        <v>55</v>
      </c>
    </row>
    <row r="71" spans="1:12" s="126" customFormat="1" ht="12.75" customHeight="1" x14ac:dyDescent="0.2">
      <c r="A71" s="121" t="s">
        <v>181</v>
      </c>
      <c r="B71" s="122" t="s">
        <v>402</v>
      </c>
      <c r="C71" s="123" t="s">
        <v>401</v>
      </c>
      <c r="D71" s="124" t="s">
        <v>15</v>
      </c>
      <c r="E71" s="124" t="s">
        <v>16</v>
      </c>
      <c r="F71" s="124" t="s">
        <v>17</v>
      </c>
      <c r="G71" s="125" t="s">
        <v>115</v>
      </c>
      <c r="H71" s="125">
        <v>3995</v>
      </c>
      <c r="I71" s="125">
        <f t="shared" ref="I71:I85" si="10">(H71*G71)</f>
        <v>7990</v>
      </c>
      <c r="J71" s="125">
        <v>0</v>
      </c>
      <c r="K71" s="125">
        <f t="shared" ref="K71:K85" si="11">ROUND(I71-((I71*J71)/100),2)</f>
        <v>7990</v>
      </c>
      <c r="L71" s="123"/>
    </row>
    <row r="72" spans="1:12" s="126" customFormat="1" ht="12.75" customHeight="1" x14ac:dyDescent="0.2">
      <c r="A72" s="125" t="s">
        <v>184</v>
      </c>
      <c r="B72" s="127" t="s">
        <v>373</v>
      </c>
      <c r="C72" s="123" t="s">
        <v>372</v>
      </c>
      <c r="D72" s="124" t="s">
        <v>54</v>
      </c>
      <c r="E72" s="124" t="s">
        <v>15</v>
      </c>
      <c r="F72" s="124" t="s">
        <v>17</v>
      </c>
      <c r="G72" s="125" t="s">
        <v>115</v>
      </c>
      <c r="H72" s="125">
        <v>1462.8</v>
      </c>
      <c r="I72" s="125">
        <f t="shared" si="10"/>
        <v>2925.6</v>
      </c>
      <c r="J72" s="125">
        <v>0</v>
      </c>
      <c r="K72" s="125">
        <f t="shared" si="11"/>
        <v>2925.6</v>
      </c>
      <c r="L72" s="123" t="s">
        <v>50</v>
      </c>
    </row>
    <row r="73" spans="1:12" s="126" customFormat="1" ht="12.75" customHeight="1" x14ac:dyDescent="0.2">
      <c r="A73" s="125" t="s">
        <v>187</v>
      </c>
      <c r="B73" s="127" t="s">
        <v>24</v>
      </c>
      <c r="C73" s="123" t="s">
        <v>25</v>
      </c>
      <c r="D73" s="124" t="s">
        <v>15</v>
      </c>
      <c r="E73" s="124" t="s">
        <v>16</v>
      </c>
      <c r="F73" s="124" t="s">
        <v>17</v>
      </c>
      <c r="G73" s="125" t="s">
        <v>348</v>
      </c>
      <c r="H73" s="125">
        <v>725</v>
      </c>
      <c r="I73" s="125">
        <f t="shared" si="10"/>
        <v>23200</v>
      </c>
      <c r="J73" s="125">
        <v>0</v>
      </c>
      <c r="K73" s="125">
        <f t="shared" si="11"/>
        <v>23200</v>
      </c>
      <c r="L73" s="123"/>
    </row>
    <row r="74" spans="1:12" s="126" customFormat="1" ht="12.75" customHeight="1" x14ac:dyDescent="0.2">
      <c r="A74" s="125" t="s">
        <v>188</v>
      </c>
      <c r="B74" s="127" t="s">
        <v>397</v>
      </c>
      <c r="C74" s="123" t="s">
        <v>396</v>
      </c>
      <c r="D74" s="124" t="s">
        <v>15</v>
      </c>
      <c r="E74" s="124" t="s">
        <v>16</v>
      </c>
      <c r="F74" s="124" t="s">
        <v>17</v>
      </c>
      <c r="G74" s="125" t="s">
        <v>115</v>
      </c>
      <c r="H74" s="125">
        <v>1499</v>
      </c>
      <c r="I74" s="125">
        <f t="shared" si="10"/>
        <v>2998</v>
      </c>
      <c r="J74" s="125">
        <v>0</v>
      </c>
      <c r="K74" s="125">
        <f t="shared" si="11"/>
        <v>2998</v>
      </c>
      <c r="L74" s="123"/>
    </row>
    <row r="75" spans="1:12" s="126" customFormat="1" ht="12.75" customHeight="1" x14ac:dyDescent="0.2">
      <c r="A75" s="125" t="s">
        <v>189</v>
      </c>
      <c r="B75" s="127" t="s">
        <v>395</v>
      </c>
      <c r="C75" s="123" t="s">
        <v>394</v>
      </c>
      <c r="D75" s="124" t="s">
        <v>15</v>
      </c>
      <c r="E75" s="124" t="s">
        <v>16</v>
      </c>
      <c r="F75" s="124" t="s">
        <v>17</v>
      </c>
      <c r="G75" s="125" t="s">
        <v>122</v>
      </c>
      <c r="H75" s="125">
        <v>632</v>
      </c>
      <c r="I75" s="125">
        <f t="shared" si="10"/>
        <v>2528</v>
      </c>
      <c r="J75" s="125">
        <v>0</v>
      </c>
      <c r="K75" s="125">
        <f t="shared" si="11"/>
        <v>2528</v>
      </c>
      <c r="L75" s="123"/>
    </row>
    <row r="76" spans="1:12" s="126" customFormat="1" ht="12.75" customHeight="1" x14ac:dyDescent="0.2">
      <c r="A76" s="125" t="s">
        <v>193</v>
      </c>
      <c r="B76" s="127" t="s">
        <v>414</v>
      </c>
      <c r="C76" s="123" t="s">
        <v>413</v>
      </c>
      <c r="D76" s="124" t="s">
        <v>15</v>
      </c>
      <c r="E76" s="124" t="s">
        <v>16</v>
      </c>
      <c r="F76" s="124" t="s">
        <v>17</v>
      </c>
      <c r="G76" s="125" t="s">
        <v>122</v>
      </c>
      <c r="H76" s="125">
        <v>0</v>
      </c>
      <c r="I76" s="125">
        <f t="shared" si="10"/>
        <v>0</v>
      </c>
      <c r="J76" s="125">
        <v>0</v>
      </c>
      <c r="K76" s="125">
        <f t="shared" si="11"/>
        <v>0</v>
      </c>
      <c r="L76" s="123"/>
    </row>
    <row r="77" spans="1:12" s="126" customFormat="1" ht="12.75" customHeight="1" x14ac:dyDescent="0.2">
      <c r="A77" s="125" t="s">
        <v>194</v>
      </c>
      <c r="B77" s="127" t="s">
        <v>393</v>
      </c>
      <c r="C77" s="123" t="s">
        <v>392</v>
      </c>
      <c r="D77" s="124" t="s">
        <v>15</v>
      </c>
      <c r="E77" s="124" t="s">
        <v>16</v>
      </c>
      <c r="F77" s="124" t="s">
        <v>17</v>
      </c>
      <c r="G77" s="125" t="s">
        <v>115</v>
      </c>
      <c r="H77" s="125">
        <v>220</v>
      </c>
      <c r="I77" s="125">
        <f t="shared" si="10"/>
        <v>440</v>
      </c>
      <c r="J77" s="125">
        <v>0</v>
      </c>
      <c r="K77" s="125">
        <f t="shared" si="11"/>
        <v>440</v>
      </c>
      <c r="L77" s="123"/>
    </row>
    <row r="78" spans="1:12" s="126" customFormat="1" ht="12.75" customHeight="1" x14ac:dyDescent="0.2">
      <c r="A78" s="125" t="s">
        <v>197</v>
      </c>
      <c r="B78" s="127" t="s">
        <v>391</v>
      </c>
      <c r="C78" s="123" t="s">
        <v>390</v>
      </c>
      <c r="D78" s="124" t="s">
        <v>15</v>
      </c>
      <c r="E78" s="124" t="s">
        <v>16</v>
      </c>
      <c r="F78" s="124" t="s">
        <v>17</v>
      </c>
      <c r="G78" s="125" t="s">
        <v>115</v>
      </c>
      <c r="H78" s="125">
        <v>85</v>
      </c>
      <c r="I78" s="125">
        <f t="shared" si="10"/>
        <v>170</v>
      </c>
      <c r="J78" s="125">
        <v>0</v>
      </c>
      <c r="K78" s="125">
        <f t="shared" si="11"/>
        <v>170</v>
      </c>
      <c r="L78" s="123"/>
    </row>
    <row r="79" spans="1:12" s="126" customFormat="1" ht="12.75" customHeight="1" x14ac:dyDescent="0.2">
      <c r="A79" s="125" t="s">
        <v>198</v>
      </c>
      <c r="B79" s="127" t="s">
        <v>388</v>
      </c>
      <c r="C79" s="123" t="s">
        <v>387</v>
      </c>
      <c r="D79" s="124" t="s">
        <v>15</v>
      </c>
      <c r="E79" s="124" t="s">
        <v>16</v>
      </c>
      <c r="F79" s="124" t="s">
        <v>33</v>
      </c>
      <c r="G79" s="125" t="s">
        <v>115</v>
      </c>
      <c r="H79" s="125">
        <v>0</v>
      </c>
      <c r="I79" s="125">
        <f t="shared" si="10"/>
        <v>0</v>
      </c>
      <c r="J79" s="125">
        <v>0</v>
      </c>
      <c r="K79" s="125">
        <f t="shared" si="11"/>
        <v>0</v>
      </c>
      <c r="L79" s="123"/>
    </row>
    <row r="80" spans="1:12" s="126" customFormat="1" ht="12.75" customHeight="1" x14ac:dyDescent="0.2">
      <c r="A80" s="125" t="s">
        <v>201</v>
      </c>
      <c r="B80" s="127" t="s">
        <v>385</v>
      </c>
      <c r="C80" s="123" t="s">
        <v>384</v>
      </c>
      <c r="D80" s="124" t="s">
        <v>15</v>
      </c>
      <c r="E80" s="124" t="s">
        <v>16</v>
      </c>
      <c r="F80" s="124" t="s">
        <v>33</v>
      </c>
      <c r="G80" s="125" t="s">
        <v>122</v>
      </c>
      <c r="H80" s="125">
        <v>0</v>
      </c>
      <c r="I80" s="125">
        <f t="shared" si="10"/>
        <v>0</v>
      </c>
      <c r="J80" s="125">
        <v>0</v>
      </c>
      <c r="K80" s="125">
        <f t="shared" si="11"/>
        <v>0</v>
      </c>
      <c r="L80" s="123"/>
    </row>
    <row r="81" spans="1:12" s="126" customFormat="1" ht="12.75" customHeight="1" x14ac:dyDescent="0.2">
      <c r="A81" s="125" t="s">
        <v>202</v>
      </c>
      <c r="B81" s="127" t="s">
        <v>382</v>
      </c>
      <c r="C81" s="123" t="s">
        <v>381</v>
      </c>
      <c r="D81" s="124" t="s">
        <v>15</v>
      </c>
      <c r="E81" s="124" t="s">
        <v>16</v>
      </c>
      <c r="F81" s="124" t="s">
        <v>33</v>
      </c>
      <c r="G81" s="125" t="s">
        <v>403</v>
      </c>
      <c r="H81" s="125">
        <v>0</v>
      </c>
      <c r="I81" s="125">
        <f t="shared" si="10"/>
        <v>0</v>
      </c>
      <c r="J81" s="125">
        <v>0</v>
      </c>
      <c r="K81" s="125">
        <f t="shared" si="11"/>
        <v>0</v>
      </c>
      <c r="L81" s="123"/>
    </row>
    <row r="82" spans="1:12" s="126" customFormat="1" ht="12.75" customHeight="1" x14ac:dyDescent="0.2">
      <c r="A82" s="125" t="s">
        <v>204</v>
      </c>
      <c r="B82" s="127" t="s">
        <v>379</v>
      </c>
      <c r="C82" s="123" t="s">
        <v>378</v>
      </c>
      <c r="D82" s="124" t="s">
        <v>15</v>
      </c>
      <c r="E82" s="124" t="s">
        <v>16</v>
      </c>
      <c r="F82" s="124" t="s">
        <v>17</v>
      </c>
      <c r="G82" s="125" t="s">
        <v>115</v>
      </c>
      <c r="H82" s="125">
        <v>656</v>
      </c>
      <c r="I82" s="125">
        <f t="shared" si="10"/>
        <v>1312</v>
      </c>
      <c r="J82" s="125">
        <v>0</v>
      </c>
      <c r="K82" s="125">
        <f t="shared" si="11"/>
        <v>1312</v>
      </c>
      <c r="L82" s="123"/>
    </row>
    <row r="83" spans="1:12" s="126" customFormat="1" ht="12.75" customHeight="1" x14ac:dyDescent="0.2">
      <c r="A83" s="125" t="s">
        <v>207</v>
      </c>
      <c r="B83" s="127" t="s">
        <v>376</v>
      </c>
      <c r="C83" s="123" t="s">
        <v>375</v>
      </c>
      <c r="D83" s="124" t="s">
        <v>15</v>
      </c>
      <c r="E83" s="124" t="s">
        <v>16</v>
      </c>
      <c r="F83" s="124" t="s">
        <v>17</v>
      </c>
      <c r="G83" s="125" t="s">
        <v>115</v>
      </c>
      <c r="H83" s="125">
        <v>1405</v>
      </c>
      <c r="I83" s="125">
        <f t="shared" si="10"/>
        <v>2810</v>
      </c>
      <c r="J83" s="125">
        <v>0</v>
      </c>
      <c r="K83" s="125">
        <f t="shared" si="11"/>
        <v>2810</v>
      </c>
      <c r="L83" s="123"/>
    </row>
    <row r="84" spans="1:12" s="126" customFormat="1" ht="12.75" customHeight="1" x14ac:dyDescent="0.2">
      <c r="A84" s="125" t="s">
        <v>433</v>
      </c>
      <c r="B84" s="127" t="s">
        <v>41</v>
      </c>
      <c r="C84" s="123" t="s">
        <v>42</v>
      </c>
      <c r="D84" s="124" t="s">
        <v>15</v>
      </c>
      <c r="E84" s="124" t="s">
        <v>16</v>
      </c>
      <c r="F84" s="124" t="s">
        <v>17</v>
      </c>
      <c r="G84" s="125" t="s">
        <v>115</v>
      </c>
      <c r="H84" s="125">
        <v>0</v>
      </c>
      <c r="I84" s="125">
        <f t="shared" si="10"/>
        <v>0</v>
      </c>
      <c r="J84" s="125">
        <v>0</v>
      </c>
      <c r="K84" s="125">
        <f t="shared" si="11"/>
        <v>0</v>
      </c>
      <c r="L84" s="123"/>
    </row>
    <row r="85" spans="1:12" s="126" customFormat="1" ht="12.75" customHeight="1" x14ac:dyDescent="0.2">
      <c r="A85" s="125" t="s">
        <v>432</v>
      </c>
      <c r="B85" s="127" t="s">
        <v>400</v>
      </c>
      <c r="C85" s="123" t="s">
        <v>399</v>
      </c>
      <c r="D85" s="124" t="s">
        <v>15</v>
      </c>
      <c r="E85" s="124" t="s">
        <v>16</v>
      </c>
      <c r="F85" s="124" t="s">
        <v>17</v>
      </c>
      <c r="G85" s="125" t="s">
        <v>122</v>
      </c>
      <c r="H85" s="125">
        <v>5259</v>
      </c>
      <c r="I85" s="125">
        <f t="shared" si="10"/>
        <v>21036</v>
      </c>
      <c r="J85" s="125">
        <v>0</v>
      </c>
      <c r="K85" s="125">
        <f t="shared" si="11"/>
        <v>21036</v>
      </c>
      <c r="L85" s="123"/>
    </row>
    <row r="86" spans="1:12" s="126" customFormat="1" ht="12.75" customHeight="1" x14ac:dyDescent="0.2">
      <c r="A86" s="128" t="s">
        <v>55</v>
      </c>
      <c r="B86" s="128" t="s">
        <v>55</v>
      </c>
      <c r="C86" s="128" t="s">
        <v>55</v>
      </c>
      <c r="D86" s="128" t="s">
        <v>55</v>
      </c>
      <c r="E86" s="128" t="s">
        <v>55</v>
      </c>
      <c r="F86" s="128" t="s">
        <v>55</v>
      </c>
      <c r="G86" s="128" t="s">
        <v>55</v>
      </c>
      <c r="H86" s="128" t="s">
        <v>55</v>
      </c>
      <c r="I86" s="128" t="s">
        <v>55</v>
      </c>
      <c r="J86" s="129" t="s">
        <v>56</v>
      </c>
      <c r="K86" s="129">
        <f>(K71+K72+K73+K74+K75+K76+K77+K78+K79+K80+K81+K82+K83+K84+K85)</f>
        <v>65409.599999999999</v>
      </c>
      <c r="L86" s="129" t="s">
        <v>55</v>
      </c>
    </row>
    <row r="87" spans="1:12" s="126" customFormat="1" ht="12.75" customHeight="1" x14ac:dyDescent="0.2">
      <c r="A87" s="121" t="s">
        <v>210</v>
      </c>
      <c r="B87" s="122" t="s">
        <v>368</v>
      </c>
      <c r="C87" s="123" t="s">
        <v>367</v>
      </c>
      <c r="D87" s="124" t="s">
        <v>15</v>
      </c>
      <c r="E87" s="124" t="s">
        <v>16</v>
      </c>
      <c r="F87" s="124" t="s">
        <v>17</v>
      </c>
      <c r="G87" s="125" t="s">
        <v>264</v>
      </c>
      <c r="H87" s="125">
        <v>12188</v>
      </c>
      <c r="I87" s="125">
        <f>(H87*G87)</f>
        <v>292512</v>
      </c>
      <c r="J87" s="125">
        <v>0</v>
      </c>
      <c r="K87" s="125">
        <f>ROUND(I87-((I87*J87)/100),2)</f>
        <v>292512</v>
      </c>
      <c r="L87" s="123"/>
    </row>
    <row r="88" spans="1:12" s="126" customFormat="1" ht="12.75" customHeight="1" x14ac:dyDescent="0.2">
      <c r="A88" s="128" t="s">
        <v>55</v>
      </c>
      <c r="B88" s="128" t="s">
        <v>55</v>
      </c>
      <c r="C88" s="128" t="s">
        <v>55</v>
      </c>
      <c r="D88" s="128" t="s">
        <v>55</v>
      </c>
      <c r="E88" s="128" t="s">
        <v>55</v>
      </c>
      <c r="F88" s="128" t="s">
        <v>55</v>
      </c>
      <c r="G88" s="128" t="s">
        <v>55</v>
      </c>
      <c r="H88" s="128" t="s">
        <v>55</v>
      </c>
      <c r="I88" s="128" t="s">
        <v>55</v>
      </c>
      <c r="J88" s="129" t="s">
        <v>56</v>
      </c>
      <c r="K88" s="129">
        <f>(K87)</f>
        <v>292512</v>
      </c>
      <c r="L88" s="129" t="s">
        <v>55</v>
      </c>
    </row>
    <row r="89" spans="1:12" s="126" customFormat="1" ht="12.75" customHeight="1" x14ac:dyDescent="0.2">
      <c r="A89" s="121" t="s">
        <v>260</v>
      </c>
      <c r="B89" s="122" t="s">
        <v>366</v>
      </c>
      <c r="C89" s="123" t="s">
        <v>365</v>
      </c>
      <c r="D89" s="124" t="s">
        <v>15</v>
      </c>
      <c r="E89" s="124" t="s">
        <v>16</v>
      </c>
      <c r="F89" s="124" t="s">
        <v>17</v>
      </c>
      <c r="G89" s="125" t="s">
        <v>264</v>
      </c>
      <c r="H89" s="125">
        <v>2437.5</v>
      </c>
      <c r="I89" s="125">
        <f>(H89*G89)</f>
        <v>58500</v>
      </c>
      <c r="J89" s="125">
        <v>0</v>
      </c>
      <c r="K89" s="125">
        <f>ROUND(I89-((I89*J89)/100),2)</f>
        <v>58500</v>
      </c>
      <c r="L89" s="123"/>
    </row>
    <row r="90" spans="1:12" s="126" customFormat="1" ht="12.75" customHeight="1" x14ac:dyDescent="0.2">
      <c r="A90" s="128" t="s">
        <v>55</v>
      </c>
      <c r="B90" s="128" t="s">
        <v>55</v>
      </c>
      <c r="C90" s="128" t="s">
        <v>55</v>
      </c>
      <c r="D90" s="128" t="s">
        <v>55</v>
      </c>
      <c r="E90" s="128" t="s">
        <v>55</v>
      </c>
      <c r="F90" s="128" t="s">
        <v>55</v>
      </c>
      <c r="G90" s="128" t="s">
        <v>55</v>
      </c>
      <c r="H90" s="128" t="s">
        <v>55</v>
      </c>
      <c r="I90" s="128" t="s">
        <v>55</v>
      </c>
      <c r="J90" s="129" t="s">
        <v>56</v>
      </c>
      <c r="K90" s="129">
        <f>(K89)</f>
        <v>58500</v>
      </c>
      <c r="L90" s="129" t="s">
        <v>55</v>
      </c>
    </row>
    <row r="91" spans="1:12" s="126" customFormat="1" ht="12.75" customHeight="1" x14ac:dyDescent="0.2">
      <c r="A91" s="121" t="s">
        <v>277</v>
      </c>
      <c r="B91" s="122" t="s">
        <v>364</v>
      </c>
      <c r="C91" s="123" t="s">
        <v>363</v>
      </c>
      <c r="D91" s="124" t="s">
        <v>15</v>
      </c>
      <c r="E91" s="124" t="s">
        <v>16</v>
      </c>
      <c r="F91" s="124" t="s">
        <v>17</v>
      </c>
      <c r="G91" s="125" t="s">
        <v>264</v>
      </c>
      <c r="H91" s="125">
        <v>1199</v>
      </c>
      <c r="I91" s="125">
        <f>(H91*G91)</f>
        <v>28776</v>
      </c>
      <c r="J91" s="125">
        <v>0</v>
      </c>
      <c r="K91" s="125">
        <f>ROUND(I91-((I91*J91)/100),2)</f>
        <v>28776</v>
      </c>
      <c r="L91" s="123"/>
    </row>
    <row r="92" spans="1:12" s="126" customFormat="1" ht="12.75" customHeight="1" x14ac:dyDescent="0.2">
      <c r="A92" s="128" t="s">
        <v>55</v>
      </c>
      <c r="B92" s="128" t="s">
        <v>55</v>
      </c>
      <c r="C92" s="128" t="s">
        <v>55</v>
      </c>
      <c r="D92" s="128" t="s">
        <v>55</v>
      </c>
      <c r="E92" s="128" t="s">
        <v>55</v>
      </c>
      <c r="F92" s="128" t="s">
        <v>55</v>
      </c>
      <c r="G92" s="128" t="s">
        <v>55</v>
      </c>
      <c r="H92" s="128" t="s">
        <v>55</v>
      </c>
      <c r="I92" s="128" t="s">
        <v>55</v>
      </c>
      <c r="J92" s="129" t="s">
        <v>56</v>
      </c>
      <c r="K92" s="129">
        <f>(K91)</f>
        <v>28776</v>
      </c>
      <c r="L92" s="129" t="s">
        <v>55</v>
      </c>
    </row>
    <row r="93" spans="1:12" s="126" customFormat="1" ht="12.75" customHeight="1" x14ac:dyDescent="0.2">
      <c r="A93" s="121" t="s">
        <v>362</v>
      </c>
      <c r="B93" s="122" t="s">
        <v>431</v>
      </c>
      <c r="C93" s="123" t="s">
        <v>430</v>
      </c>
      <c r="D93" s="124" t="s">
        <v>15</v>
      </c>
      <c r="E93" s="124" t="s">
        <v>16</v>
      </c>
      <c r="F93" s="124" t="s">
        <v>17</v>
      </c>
      <c r="G93" s="125" t="s">
        <v>348</v>
      </c>
      <c r="H93" s="125">
        <v>2774</v>
      </c>
      <c r="I93" s="125">
        <f>(H93*G93)</f>
        <v>88768</v>
      </c>
      <c r="J93" s="125">
        <v>0</v>
      </c>
      <c r="K93" s="125">
        <f>ROUND(I93-((I93*J93)/100),2)</f>
        <v>88768</v>
      </c>
      <c r="L93" s="123"/>
    </row>
    <row r="94" spans="1:12" s="126" customFormat="1" ht="12.75" customHeight="1" x14ac:dyDescent="0.2">
      <c r="A94" s="128" t="s">
        <v>55</v>
      </c>
      <c r="B94" s="128" t="s">
        <v>55</v>
      </c>
      <c r="C94" s="128" t="s">
        <v>55</v>
      </c>
      <c r="D94" s="128" t="s">
        <v>55</v>
      </c>
      <c r="E94" s="128" t="s">
        <v>55</v>
      </c>
      <c r="F94" s="128" t="s">
        <v>55</v>
      </c>
      <c r="G94" s="128" t="s">
        <v>55</v>
      </c>
      <c r="H94" s="128" t="s">
        <v>55</v>
      </c>
      <c r="I94" s="128" t="s">
        <v>55</v>
      </c>
      <c r="J94" s="129" t="s">
        <v>56</v>
      </c>
      <c r="K94" s="129">
        <f>(K93)</f>
        <v>88768</v>
      </c>
      <c r="L94" s="129" t="s">
        <v>55</v>
      </c>
    </row>
    <row r="95" spans="1:12" s="126" customFormat="1" ht="12.75" customHeight="1" x14ac:dyDescent="0.2">
      <c r="A95" s="121" t="s">
        <v>341</v>
      </c>
      <c r="B95" s="122" t="s">
        <v>429</v>
      </c>
      <c r="C95" s="123" t="s">
        <v>351</v>
      </c>
      <c r="D95" s="124" t="s">
        <v>15</v>
      </c>
      <c r="E95" s="124" t="s">
        <v>107</v>
      </c>
      <c r="F95" s="124" t="s">
        <v>17</v>
      </c>
      <c r="G95" s="125" t="s">
        <v>122</v>
      </c>
      <c r="H95" s="125">
        <v>100</v>
      </c>
      <c r="I95" s="125">
        <f>(H95*G95)</f>
        <v>400</v>
      </c>
      <c r="J95" s="125">
        <v>0</v>
      </c>
      <c r="K95" s="125">
        <f>ROUND(I95-((I95*J95)/100),2)</f>
        <v>400</v>
      </c>
      <c r="L95" s="123"/>
    </row>
    <row r="96" spans="1:12" ht="12.75" customHeight="1" x14ac:dyDescent="0.2">
      <c r="A96" s="6" t="s">
        <v>55</v>
      </c>
      <c r="B96" s="6" t="s">
        <v>55</v>
      </c>
      <c r="C96" s="6" t="s">
        <v>55</v>
      </c>
      <c r="D96" s="6" t="s">
        <v>55</v>
      </c>
      <c r="E96" s="6" t="s">
        <v>55</v>
      </c>
      <c r="F96" s="6" t="s">
        <v>55</v>
      </c>
      <c r="G96" s="6" t="s">
        <v>55</v>
      </c>
      <c r="H96" s="6" t="s">
        <v>55</v>
      </c>
      <c r="I96" s="6" t="s">
        <v>55</v>
      </c>
      <c r="J96" s="5" t="s">
        <v>56</v>
      </c>
      <c r="K96" s="5">
        <f>(K95)</f>
        <v>400</v>
      </c>
      <c r="L96" s="5" t="s">
        <v>55</v>
      </c>
    </row>
    <row r="97" spans="1:12" ht="12.75" customHeight="1" x14ac:dyDescent="0.2">
      <c r="A97" s="6" t="s">
        <v>55</v>
      </c>
      <c r="B97" s="6" t="s">
        <v>55</v>
      </c>
      <c r="C97" s="6" t="s">
        <v>55</v>
      </c>
      <c r="D97" s="6" t="s">
        <v>55</v>
      </c>
      <c r="E97" s="6" t="s">
        <v>55</v>
      </c>
      <c r="F97" s="6" t="s">
        <v>55</v>
      </c>
      <c r="G97" s="6" t="s">
        <v>55</v>
      </c>
      <c r="H97" s="6" t="s">
        <v>55</v>
      </c>
      <c r="I97" s="6" t="s">
        <v>55</v>
      </c>
      <c r="J97" s="5" t="s">
        <v>335</v>
      </c>
      <c r="K97" s="5">
        <f>(K13+K25+K38+K54+K70+K86+K88+K90+K92+K94+K96)</f>
        <v>1561271.04</v>
      </c>
      <c r="L97" s="5" t="s">
        <v>55</v>
      </c>
    </row>
  </sheetData>
  <printOptions horizontalCentered="1"/>
  <pageMargins left="0.75" right="0.75" top="1" bottom="1" header="0.5" footer="0.5"/>
  <pageSetup paperSize="9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showGridLines="0" topLeftCell="A23" workbookViewId="0">
      <selection activeCell="B40" sqref="B40"/>
    </sheetView>
  </sheetViews>
  <sheetFormatPr defaultColWidth="17.140625" defaultRowHeight="12.75" customHeight="1" x14ac:dyDescent="0.2"/>
  <cols>
    <col min="1" max="1" width="13.7109375" style="4" customWidth="1"/>
    <col min="2" max="2" width="31.28515625" style="4" customWidth="1"/>
    <col min="3" max="3" width="46.85546875" style="4" customWidth="1"/>
    <col min="4" max="4" width="13.7109375" style="4" customWidth="1"/>
    <col min="5" max="5" width="9.7109375" style="4" customWidth="1"/>
    <col min="6" max="6" width="13.7109375" style="4" customWidth="1"/>
    <col min="7" max="7" width="9.7109375" style="4" customWidth="1"/>
    <col min="8" max="11" width="13.7109375" style="4" customWidth="1"/>
    <col min="12" max="12" width="19.5703125" style="4" customWidth="1"/>
    <col min="13" max="16384" width="17.140625" style="4"/>
  </cols>
  <sheetData>
    <row r="1" spans="1:12" ht="24.9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s="109" customFormat="1" ht="12.75" customHeight="1" x14ac:dyDescent="0.2">
      <c r="A2" s="104" t="s">
        <v>12</v>
      </c>
      <c r="B2" s="105" t="s">
        <v>13</v>
      </c>
      <c r="C2" s="106" t="s">
        <v>14</v>
      </c>
      <c r="D2" s="107" t="s">
        <v>15</v>
      </c>
      <c r="E2" s="107" t="s">
        <v>16</v>
      </c>
      <c r="F2" s="107" t="s">
        <v>17</v>
      </c>
      <c r="G2" s="108" t="s">
        <v>435</v>
      </c>
      <c r="H2" s="108">
        <v>2995</v>
      </c>
      <c r="I2" s="108">
        <f t="shared" ref="I2:I12" si="0">(H2*G2)</f>
        <v>41930</v>
      </c>
      <c r="J2" s="108">
        <v>0</v>
      </c>
      <c r="K2" s="108">
        <f t="shared" ref="K2:K12" si="1">ROUND(I2-((I2*J2)/100),2)</f>
        <v>41930</v>
      </c>
      <c r="L2" s="106"/>
    </row>
    <row r="3" spans="1:12" s="109" customFormat="1" ht="12.75" customHeight="1" x14ac:dyDescent="0.2">
      <c r="A3" s="108" t="s">
        <v>19</v>
      </c>
      <c r="B3" s="110" t="s">
        <v>20</v>
      </c>
      <c r="C3" s="106" t="s">
        <v>21</v>
      </c>
      <c r="D3" s="107" t="s">
        <v>15</v>
      </c>
      <c r="E3" s="107" t="s">
        <v>16</v>
      </c>
      <c r="F3" s="107" t="s">
        <v>17</v>
      </c>
      <c r="G3" s="108" t="s">
        <v>203</v>
      </c>
      <c r="H3" s="108">
        <v>4767</v>
      </c>
      <c r="I3" s="108">
        <f t="shared" si="0"/>
        <v>133476</v>
      </c>
      <c r="J3" s="108">
        <v>0</v>
      </c>
      <c r="K3" s="108">
        <f t="shared" si="1"/>
        <v>133476</v>
      </c>
      <c r="L3" s="106"/>
    </row>
    <row r="4" spans="1:12" s="109" customFormat="1" ht="12.75" customHeight="1" x14ac:dyDescent="0.2">
      <c r="A4" s="108" t="s">
        <v>23</v>
      </c>
      <c r="B4" s="110" t="s">
        <v>24</v>
      </c>
      <c r="C4" s="106" t="s">
        <v>25</v>
      </c>
      <c r="D4" s="107" t="s">
        <v>15</v>
      </c>
      <c r="E4" s="107" t="s">
        <v>16</v>
      </c>
      <c r="F4" s="107" t="s">
        <v>17</v>
      </c>
      <c r="G4" s="108" t="s">
        <v>436</v>
      </c>
      <c r="H4" s="108">
        <v>725</v>
      </c>
      <c r="I4" s="108">
        <f t="shared" si="0"/>
        <v>162400</v>
      </c>
      <c r="J4" s="108">
        <v>0</v>
      </c>
      <c r="K4" s="108">
        <f t="shared" si="1"/>
        <v>162400</v>
      </c>
      <c r="L4" s="106"/>
    </row>
    <row r="5" spans="1:12" s="109" customFormat="1" ht="12.75" customHeight="1" x14ac:dyDescent="0.2">
      <c r="A5" s="108" t="s">
        <v>27</v>
      </c>
      <c r="B5" s="110" t="s">
        <v>28</v>
      </c>
      <c r="C5" s="106" t="s">
        <v>29</v>
      </c>
      <c r="D5" s="107" t="s">
        <v>15</v>
      </c>
      <c r="E5" s="107" t="s">
        <v>16</v>
      </c>
      <c r="F5" s="107" t="s">
        <v>17</v>
      </c>
      <c r="G5" s="108" t="s">
        <v>435</v>
      </c>
      <c r="H5" s="108">
        <v>1499</v>
      </c>
      <c r="I5" s="108">
        <f t="shared" si="0"/>
        <v>20986</v>
      </c>
      <c r="J5" s="108">
        <v>0</v>
      </c>
      <c r="K5" s="108">
        <f t="shared" si="1"/>
        <v>20986</v>
      </c>
      <c r="L5" s="106"/>
    </row>
    <row r="6" spans="1:12" s="109" customFormat="1" ht="12.75" customHeight="1" x14ac:dyDescent="0.2">
      <c r="A6" s="108" t="s">
        <v>30</v>
      </c>
      <c r="B6" s="110" t="s">
        <v>31</v>
      </c>
      <c r="C6" s="106" t="s">
        <v>32</v>
      </c>
      <c r="D6" s="107" t="s">
        <v>15</v>
      </c>
      <c r="E6" s="107" t="s">
        <v>16</v>
      </c>
      <c r="F6" s="107" t="s">
        <v>33</v>
      </c>
      <c r="G6" s="108" t="s">
        <v>203</v>
      </c>
      <c r="H6" s="108">
        <v>0</v>
      </c>
      <c r="I6" s="108">
        <f t="shared" si="0"/>
        <v>0</v>
      </c>
      <c r="J6" s="108">
        <v>0</v>
      </c>
      <c r="K6" s="108">
        <f t="shared" si="1"/>
        <v>0</v>
      </c>
      <c r="L6" s="106"/>
    </row>
    <row r="7" spans="1:12" s="109" customFormat="1" ht="12.75" customHeight="1" x14ac:dyDescent="0.2">
      <c r="A7" s="108" t="s">
        <v>34</v>
      </c>
      <c r="B7" s="110" t="s">
        <v>35</v>
      </c>
      <c r="C7" s="106" t="s">
        <v>36</v>
      </c>
      <c r="D7" s="107" t="s">
        <v>15</v>
      </c>
      <c r="E7" s="107" t="s">
        <v>16</v>
      </c>
      <c r="F7" s="107" t="s">
        <v>33</v>
      </c>
      <c r="G7" s="108" t="s">
        <v>435</v>
      </c>
      <c r="H7" s="108">
        <v>0</v>
      </c>
      <c r="I7" s="108">
        <f t="shared" si="0"/>
        <v>0</v>
      </c>
      <c r="J7" s="108">
        <v>0</v>
      </c>
      <c r="K7" s="108">
        <f t="shared" si="1"/>
        <v>0</v>
      </c>
      <c r="L7" s="106"/>
    </row>
    <row r="8" spans="1:12" s="109" customFormat="1" ht="12.75" customHeight="1" x14ac:dyDescent="0.2">
      <c r="A8" s="108" t="s">
        <v>37</v>
      </c>
      <c r="B8" s="110" t="s">
        <v>38</v>
      </c>
      <c r="C8" s="106" t="s">
        <v>39</v>
      </c>
      <c r="D8" s="107" t="s">
        <v>15</v>
      </c>
      <c r="E8" s="107" t="s">
        <v>16</v>
      </c>
      <c r="F8" s="107" t="s">
        <v>33</v>
      </c>
      <c r="G8" s="108" t="s">
        <v>435</v>
      </c>
      <c r="H8" s="108">
        <v>0</v>
      </c>
      <c r="I8" s="108">
        <f t="shared" si="0"/>
        <v>0</v>
      </c>
      <c r="J8" s="108">
        <v>0</v>
      </c>
      <c r="K8" s="108">
        <f t="shared" si="1"/>
        <v>0</v>
      </c>
      <c r="L8" s="106"/>
    </row>
    <row r="9" spans="1:12" s="109" customFormat="1" ht="12.75" customHeight="1" x14ac:dyDescent="0.2">
      <c r="A9" s="108" t="s">
        <v>40</v>
      </c>
      <c r="B9" s="110" t="s">
        <v>41</v>
      </c>
      <c r="C9" s="106" t="s">
        <v>42</v>
      </c>
      <c r="D9" s="107" t="s">
        <v>15</v>
      </c>
      <c r="E9" s="107" t="s">
        <v>16</v>
      </c>
      <c r="F9" s="107" t="s">
        <v>17</v>
      </c>
      <c r="G9" s="108" t="s">
        <v>435</v>
      </c>
      <c r="H9" s="108">
        <v>0</v>
      </c>
      <c r="I9" s="108">
        <f t="shared" si="0"/>
        <v>0</v>
      </c>
      <c r="J9" s="108">
        <v>0</v>
      </c>
      <c r="K9" s="108">
        <f t="shared" si="1"/>
        <v>0</v>
      </c>
      <c r="L9" s="106"/>
    </row>
    <row r="10" spans="1:12" s="109" customFormat="1" ht="12.75" customHeight="1" x14ac:dyDescent="0.2">
      <c r="A10" s="108" t="s">
        <v>43</v>
      </c>
      <c r="B10" s="110" t="s">
        <v>408</v>
      </c>
      <c r="C10" s="106" t="s">
        <v>407</v>
      </c>
      <c r="D10" s="107" t="s">
        <v>15</v>
      </c>
      <c r="E10" s="107" t="s">
        <v>16</v>
      </c>
      <c r="F10" s="107" t="s">
        <v>17</v>
      </c>
      <c r="G10" s="108" t="s">
        <v>203</v>
      </c>
      <c r="H10" s="108">
        <v>1855.36</v>
      </c>
      <c r="I10" s="108">
        <f t="shared" si="0"/>
        <v>51950.079999999994</v>
      </c>
      <c r="J10" s="108">
        <v>0</v>
      </c>
      <c r="K10" s="108">
        <f t="shared" si="1"/>
        <v>51950.080000000002</v>
      </c>
      <c r="L10" s="106"/>
    </row>
    <row r="11" spans="1:12" s="109" customFormat="1" ht="12.75" customHeight="1" x14ac:dyDescent="0.2">
      <c r="A11" s="108" t="s">
        <v>46</v>
      </c>
      <c r="B11" s="111" t="s">
        <v>405</v>
      </c>
      <c r="C11" s="106" t="s">
        <v>48</v>
      </c>
      <c r="D11" s="107" t="s">
        <v>54</v>
      </c>
      <c r="E11" s="107" t="s">
        <v>15</v>
      </c>
      <c r="F11" s="107" t="s">
        <v>17</v>
      </c>
      <c r="G11" s="108" t="s">
        <v>203</v>
      </c>
      <c r="H11" s="108">
        <v>1724.76</v>
      </c>
      <c r="I11" s="108">
        <f t="shared" si="0"/>
        <v>48293.279999999999</v>
      </c>
      <c r="J11" s="108">
        <v>0</v>
      </c>
      <c r="K11" s="108">
        <f t="shared" si="1"/>
        <v>48293.279999999999</v>
      </c>
      <c r="L11" s="106" t="s">
        <v>50</v>
      </c>
    </row>
    <row r="12" spans="1:12" s="109" customFormat="1" ht="12.75" customHeight="1" x14ac:dyDescent="0.2">
      <c r="A12" s="108" t="s">
        <v>51</v>
      </c>
      <c r="B12" s="110" t="s">
        <v>52</v>
      </c>
      <c r="C12" s="106" t="s">
        <v>53</v>
      </c>
      <c r="D12" s="107" t="s">
        <v>54</v>
      </c>
      <c r="E12" s="107" t="s">
        <v>15</v>
      </c>
      <c r="F12" s="107" t="s">
        <v>17</v>
      </c>
      <c r="G12" s="108" t="s">
        <v>435</v>
      </c>
      <c r="H12" s="108">
        <v>952.2</v>
      </c>
      <c r="I12" s="108">
        <f t="shared" si="0"/>
        <v>13330.800000000001</v>
      </c>
      <c r="J12" s="108">
        <v>0</v>
      </c>
      <c r="K12" s="108">
        <f t="shared" si="1"/>
        <v>13330.8</v>
      </c>
      <c r="L12" s="106" t="s">
        <v>50</v>
      </c>
    </row>
    <row r="13" spans="1:12" s="109" customFormat="1" ht="12.75" customHeight="1" x14ac:dyDescent="0.2">
      <c r="A13" s="112" t="s">
        <v>55</v>
      </c>
      <c r="B13" s="112" t="s">
        <v>55</v>
      </c>
      <c r="C13" s="112" t="s">
        <v>55</v>
      </c>
      <c r="D13" s="112" t="s">
        <v>55</v>
      </c>
      <c r="E13" s="112" t="s">
        <v>55</v>
      </c>
      <c r="F13" s="112" t="s">
        <v>55</v>
      </c>
      <c r="G13" s="112" t="s">
        <v>55</v>
      </c>
      <c r="H13" s="112" t="s">
        <v>55</v>
      </c>
      <c r="I13" s="112" t="s">
        <v>55</v>
      </c>
      <c r="J13" s="113" t="s">
        <v>56</v>
      </c>
      <c r="K13" s="113">
        <f>(K2+K3+K4+K5+K6+K7+K8+K9+K10+K11+K12)</f>
        <v>472366.16</v>
      </c>
      <c r="L13" s="113" t="s">
        <v>55</v>
      </c>
    </row>
    <row r="14" spans="1:12" s="109" customFormat="1" ht="12.75" customHeight="1" x14ac:dyDescent="0.2">
      <c r="A14" s="104" t="s">
        <v>57</v>
      </c>
      <c r="B14" s="105" t="s">
        <v>13</v>
      </c>
      <c r="C14" s="106" t="s">
        <v>14</v>
      </c>
      <c r="D14" s="107" t="s">
        <v>15</v>
      </c>
      <c r="E14" s="107" t="s">
        <v>16</v>
      </c>
      <c r="F14" s="107" t="s">
        <v>17</v>
      </c>
      <c r="G14" s="108" t="s">
        <v>230</v>
      </c>
      <c r="H14" s="108">
        <v>2995</v>
      </c>
      <c r="I14" s="108">
        <f t="shared" ref="I14:I24" si="2">(H14*G14)</f>
        <v>35940</v>
      </c>
      <c r="J14" s="108">
        <v>0</v>
      </c>
      <c r="K14" s="108">
        <f t="shared" ref="K14:K24" si="3">ROUND(I14-((I14*J14)/100),2)</f>
        <v>35940</v>
      </c>
      <c r="L14" s="106"/>
    </row>
    <row r="15" spans="1:12" s="109" customFormat="1" ht="12.75" customHeight="1" x14ac:dyDescent="0.2">
      <c r="A15" s="108" t="s">
        <v>59</v>
      </c>
      <c r="B15" s="110" t="s">
        <v>20</v>
      </c>
      <c r="C15" s="106" t="s">
        <v>21</v>
      </c>
      <c r="D15" s="107" t="s">
        <v>15</v>
      </c>
      <c r="E15" s="107" t="s">
        <v>16</v>
      </c>
      <c r="F15" s="107" t="s">
        <v>17</v>
      </c>
      <c r="G15" s="108" t="s">
        <v>264</v>
      </c>
      <c r="H15" s="108">
        <v>4767</v>
      </c>
      <c r="I15" s="108">
        <f t="shared" si="2"/>
        <v>114408</v>
      </c>
      <c r="J15" s="108">
        <v>0</v>
      </c>
      <c r="K15" s="108">
        <f t="shared" si="3"/>
        <v>114408</v>
      </c>
      <c r="L15" s="106"/>
    </row>
    <row r="16" spans="1:12" s="109" customFormat="1" ht="12.75" customHeight="1" x14ac:dyDescent="0.2">
      <c r="A16" s="108" t="s">
        <v>61</v>
      </c>
      <c r="B16" s="110" t="s">
        <v>24</v>
      </c>
      <c r="C16" s="106" t="s">
        <v>25</v>
      </c>
      <c r="D16" s="107" t="s">
        <v>15</v>
      </c>
      <c r="E16" s="107" t="s">
        <v>16</v>
      </c>
      <c r="F16" s="107" t="s">
        <v>17</v>
      </c>
      <c r="G16" s="108" t="s">
        <v>398</v>
      </c>
      <c r="H16" s="108">
        <v>725</v>
      </c>
      <c r="I16" s="108">
        <f t="shared" si="2"/>
        <v>69600</v>
      </c>
      <c r="J16" s="108">
        <v>0</v>
      </c>
      <c r="K16" s="108">
        <f t="shared" si="3"/>
        <v>69600</v>
      </c>
      <c r="L16" s="106"/>
    </row>
    <row r="17" spans="1:12" s="109" customFormat="1" ht="12.75" customHeight="1" x14ac:dyDescent="0.2">
      <c r="A17" s="108" t="s">
        <v>63</v>
      </c>
      <c r="B17" s="110" t="s">
        <v>28</v>
      </c>
      <c r="C17" s="106" t="s">
        <v>29</v>
      </c>
      <c r="D17" s="107" t="s">
        <v>15</v>
      </c>
      <c r="E17" s="107" t="s">
        <v>16</v>
      </c>
      <c r="F17" s="107" t="s">
        <v>17</v>
      </c>
      <c r="G17" s="108" t="s">
        <v>230</v>
      </c>
      <c r="H17" s="108">
        <v>1499</v>
      </c>
      <c r="I17" s="108">
        <f t="shared" si="2"/>
        <v>17988</v>
      </c>
      <c r="J17" s="108">
        <v>0</v>
      </c>
      <c r="K17" s="108">
        <f t="shared" si="3"/>
        <v>17988</v>
      </c>
      <c r="L17" s="106"/>
    </row>
    <row r="18" spans="1:12" s="109" customFormat="1" ht="12.75" customHeight="1" x14ac:dyDescent="0.2">
      <c r="A18" s="108" t="s">
        <v>64</v>
      </c>
      <c r="B18" s="110" t="s">
        <v>31</v>
      </c>
      <c r="C18" s="106" t="s">
        <v>32</v>
      </c>
      <c r="D18" s="107" t="s">
        <v>15</v>
      </c>
      <c r="E18" s="107" t="s">
        <v>16</v>
      </c>
      <c r="F18" s="107" t="s">
        <v>33</v>
      </c>
      <c r="G18" s="108" t="s">
        <v>264</v>
      </c>
      <c r="H18" s="108">
        <v>0</v>
      </c>
      <c r="I18" s="108">
        <f t="shared" si="2"/>
        <v>0</v>
      </c>
      <c r="J18" s="108">
        <v>0</v>
      </c>
      <c r="K18" s="108">
        <f t="shared" si="3"/>
        <v>0</v>
      </c>
      <c r="L18" s="106"/>
    </row>
    <row r="19" spans="1:12" s="109" customFormat="1" ht="12.75" customHeight="1" x14ac:dyDescent="0.2">
      <c r="A19" s="108" t="s">
        <v>65</v>
      </c>
      <c r="B19" s="110" t="s">
        <v>35</v>
      </c>
      <c r="C19" s="106" t="s">
        <v>36</v>
      </c>
      <c r="D19" s="107" t="s">
        <v>15</v>
      </c>
      <c r="E19" s="107" t="s">
        <v>16</v>
      </c>
      <c r="F19" s="107" t="s">
        <v>33</v>
      </c>
      <c r="G19" s="108" t="s">
        <v>230</v>
      </c>
      <c r="H19" s="108">
        <v>0</v>
      </c>
      <c r="I19" s="108">
        <f t="shared" si="2"/>
        <v>0</v>
      </c>
      <c r="J19" s="108">
        <v>0</v>
      </c>
      <c r="K19" s="108">
        <f t="shared" si="3"/>
        <v>0</v>
      </c>
      <c r="L19" s="106"/>
    </row>
    <row r="20" spans="1:12" s="109" customFormat="1" ht="12.75" customHeight="1" x14ac:dyDescent="0.2">
      <c r="A20" s="108" t="s">
        <v>66</v>
      </c>
      <c r="B20" s="110" t="s">
        <v>38</v>
      </c>
      <c r="C20" s="106" t="s">
        <v>39</v>
      </c>
      <c r="D20" s="107" t="s">
        <v>15</v>
      </c>
      <c r="E20" s="107" t="s">
        <v>16</v>
      </c>
      <c r="F20" s="107" t="s">
        <v>33</v>
      </c>
      <c r="G20" s="108" t="s">
        <v>230</v>
      </c>
      <c r="H20" s="108">
        <v>0</v>
      </c>
      <c r="I20" s="108">
        <f t="shared" si="2"/>
        <v>0</v>
      </c>
      <c r="J20" s="108">
        <v>0</v>
      </c>
      <c r="K20" s="108">
        <f t="shared" si="3"/>
        <v>0</v>
      </c>
      <c r="L20" s="106"/>
    </row>
    <row r="21" spans="1:12" s="109" customFormat="1" ht="12.75" customHeight="1" x14ac:dyDescent="0.2">
      <c r="A21" s="108" t="s">
        <v>67</v>
      </c>
      <c r="B21" s="110" t="s">
        <v>41</v>
      </c>
      <c r="C21" s="106" t="s">
        <v>42</v>
      </c>
      <c r="D21" s="107" t="s">
        <v>15</v>
      </c>
      <c r="E21" s="107" t="s">
        <v>16</v>
      </c>
      <c r="F21" s="107" t="s">
        <v>17</v>
      </c>
      <c r="G21" s="108" t="s">
        <v>230</v>
      </c>
      <c r="H21" s="108">
        <v>0</v>
      </c>
      <c r="I21" s="108">
        <f t="shared" si="2"/>
        <v>0</v>
      </c>
      <c r="J21" s="108">
        <v>0</v>
      </c>
      <c r="K21" s="108">
        <f t="shared" si="3"/>
        <v>0</v>
      </c>
      <c r="L21" s="106"/>
    </row>
    <row r="22" spans="1:12" s="109" customFormat="1" ht="12.75" customHeight="1" x14ac:dyDescent="0.2">
      <c r="A22" s="108" t="s">
        <v>409</v>
      </c>
      <c r="B22" s="110" t="s">
        <v>408</v>
      </c>
      <c r="C22" s="106" t="s">
        <v>407</v>
      </c>
      <c r="D22" s="107" t="s">
        <v>15</v>
      </c>
      <c r="E22" s="107" t="s">
        <v>16</v>
      </c>
      <c r="F22" s="107" t="s">
        <v>17</v>
      </c>
      <c r="G22" s="108" t="s">
        <v>264</v>
      </c>
      <c r="H22" s="108">
        <v>1855.36</v>
      </c>
      <c r="I22" s="108">
        <f t="shared" si="2"/>
        <v>44528.639999999999</v>
      </c>
      <c r="J22" s="108">
        <v>0</v>
      </c>
      <c r="K22" s="108">
        <f t="shared" si="3"/>
        <v>44528.639999999999</v>
      </c>
      <c r="L22" s="106"/>
    </row>
    <row r="23" spans="1:12" s="109" customFormat="1" ht="12.75" customHeight="1" x14ac:dyDescent="0.2">
      <c r="A23" s="108" t="s">
        <v>406</v>
      </c>
      <c r="B23" s="111" t="s">
        <v>405</v>
      </c>
      <c r="C23" s="106" t="s">
        <v>48</v>
      </c>
      <c r="D23" s="107" t="s">
        <v>54</v>
      </c>
      <c r="E23" s="107" t="s">
        <v>15</v>
      </c>
      <c r="F23" s="107" t="s">
        <v>17</v>
      </c>
      <c r="G23" s="108" t="s">
        <v>264</v>
      </c>
      <c r="H23" s="108">
        <v>1724.76</v>
      </c>
      <c r="I23" s="108">
        <f t="shared" si="2"/>
        <v>41394.239999999998</v>
      </c>
      <c r="J23" s="108">
        <v>0</v>
      </c>
      <c r="K23" s="108">
        <f t="shared" si="3"/>
        <v>41394.239999999998</v>
      </c>
      <c r="L23" s="106" t="s">
        <v>50</v>
      </c>
    </row>
    <row r="24" spans="1:12" s="109" customFormat="1" ht="12.75" customHeight="1" x14ac:dyDescent="0.2">
      <c r="A24" s="108" t="s">
        <v>68</v>
      </c>
      <c r="B24" s="110" t="s">
        <v>52</v>
      </c>
      <c r="C24" s="106" t="s">
        <v>53</v>
      </c>
      <c r="D24" s="107" t="s">
        <v>54</v>
      </c>
      <c r="E24" s="107" t="s">
        <v>15</v>
      </c>
      <c r="F24" s="107" t="s">
        <v>17</v>
      </c>
      <c r="G24" s="108" t="s">
        <v>230</v>
      </c>
      <c r="H24" s="108">
        <v>952.2</v>
      </c>
      <c r="I24" s="108">
        <f t="shared" si="2"/>
        <v>11426.400000000001</v>
      </c>
      <c r="J24" s="108">
        <v>0</v>
      </c>
      <c r="K24" s="108">
        <f t="shared" si="3"/>
        <v>11426.4</v>
      </c>
      <c r="L24" s="106" t="s">
        <v>50</v>
      </c>
    </row>
    <row r="25" spans="1:12" s="109" customFormat="1" ht="12.75" customHeight="1" x14ac:dyDescent="0.2">
      <c r="A25" s="112" t="s">
        <v>55</v>
      </c>
      <c r="B25" s="112" t="s">
        <v>55</v>
      </c>
      <c r="C25" s="112" t="s">
        <v>55</v>
      </c>
      <c r="D25" s="112" t="s">
        <v>55</v>
      </c>
      <c r="E25" s="112" t="s">
        <v>55</v>
      </c>
      <c r="F25" s="112" t="s">
        <v>55</v>
      </c>
      <c r="G25" s="112" t="s">
        <v>55</v>
      </c>
      <c r="H25" s="112" t="s">
        <v>55</v>
      </c>
      <c r="I25" s="112" t="s">
        <v>55</v>
      </c>
      <c r="J25" s="113" t="s">
        <v>56</v>
      </c>
      <c r="K25" s="113">
        <f>(K14+K15+K16+K17+K18+K19+K20+K21+K22+K23+K24)</f>
        <v>335285.28000000003</v>
      </c>
      <c r="L25" s="113" t="s">
        <v>55</v>
      </c>
    </row>
    <row r="26" spans="1:12" s="109" customFormat="1" ht="12.75" customHeight="1" x14ac:dyDescent="0.2">
      <c r="A26" s="104" t="s">
        <v>69</v>
      </c>
      <c r="B26" s="105" t="s">
        <v>70</v>
      </c>
      <c r="C26" s="106" t="s">
        <v>71</v>
      </c>
      <c r="D26" s="107" t="s">
        <v>15</v>
      </c>
      <c r="E26" s="107" t="s">
        <v>16</v>
      </c>
      <c r="F26" s="107" t="s">
        <v>17</v>
      </c>
      <c r="G26" s="108" t="s">
        <v>122</v>
      </c>
      <c r="H26" s="108">
        <v>5999</v>
      </c>
      <c r="I26" s="108">
        <f t="shared" ref="I26:I37" si="4">(H26*G26)</f>
        <v>23996</v>
      </c>
      <c r="J26" s="108">
        <v>0</v>
      </c>
      <c r="K26" s="108">
        <f t="shared" ref="K26:K37" si="5">ROUND(I26-((I26*J26)/100),2)</f>
        <v>23996</v>
      </c>
      <c r="L26" s="106"/>
    </row>
    <row r="27" spans="1:12" s="109" customFormat="1" ht="12.75" customHeight="1" x14ac:dyDescent="0.2">
      <c r="A27" s="108" t="s">
        <v>73</v>
      </c>
      <c r="B27" s="110" t="s">
        <v>74</v>
      </c>
      <c r="C27" s="106" t="s">
        <v>75</v>
      </c>
      <c r="D27" s="107" t="s">
        <v>15</v>
      </c>
      <c r="E27" s="107" t="s">
        <v>16</v>
      </c>
      <c r="F27" s="107" t="s">
        <v>33</v>
      </c>
      <c r="G27" s="108" t="s">
        <v>122</v>
      </c>
      <c r="H27" s="108">
        <v>0</v>
      </c>
      <c r="I27" s="108">
        <f t="shared" si="4"/>
        <v>0</v>
      </c>
      <c r="J27" s="108">
        <v>0</v>
      </c>
      <c r="K27" s="108">
        <f t="shared" si="5"/>
        <v>0</v>
      </c>
      <c r="L27" s="106"/>
    </row>
    <row r="28" spans="1:12" s="109" customFormat="1" ht="12.75" customHeight="1" x14ac:dyDescent="0.2">
      <c r="A28" s="108" t="s">
        <v>76</v>
      </c>
      <c r="B28" s="110" t="s">
        <v>77</v>
      </c>
      <c r="C28" s="106" t="s">
        <v>78</v>
      </c>
      <c r="D28" s="107" t="s">
        <v>15</v>
      </c>
      <c r="E28" s="107" t="s">
        <v>16</v>
      </c>
      <c r="F28" s="107" t="s">
        <v>33</v>
      </c>
      <c r="G28" s="108" t="s">
        <v>122</v>
      </c>
      <c r="H28" s="108">
        <v>0</v>
      </c>
      <c r="I28" s="108">
        <f t="shared" si="4"/>
        <v>0</v>
      </c>
      <c r="J28" s="108">
        <v>0</v>
      </c>
      <c r="K28" s="108">
        <f t="shared" si="5"/>
        <v>0</v>
      </c>
      <c r="L28" s="106"/>
    </row>
    <row r="29" spans="1:12" s="109" customFormat="1" ht="12.75" customHeight="1" x14ac:dyDescent="0.2">
      <c r="A29" s="108" t="s">
        <v>79</v>
      </c>
      <c r="B29" s="110" t="s">
        <v>80</v>
      </c>
      <c r="C29" s="106" t="s">
        <v>81</v>
      </c>
      <c r="D29" s="107" t="s">
        <v>15</v>
      </c>
      <c r="E29" s="107" t="s">
        <v>16</v>
      </c>
      <c r="F29" s="107" t="s">
        <v>33</v>
      </c>
      <c r="G29" s="108" t="s">
        <v>122</v>
      </c>
      <c r="H29" s="108">
        <v>0</v>
      </c>
      <c r="I29" s="108">
        <f t="shared" si="4"/>
        <v>0</v>
      </c>
      <c r="J29" s="108">
        <v>0</v>
      </c>
      <c r="K29" s="108">
        <f t="shared" si="5"/>
        <v>0</v>
      </c>
      <c r="L29" s="106"/>
    </row>
    <row r="30" spans="1:12" s="109" customFormat="1" ht="12.75" customHeight="1" x14ac:dyDescent="0.2">
      <c r="A30" s="108" t="s">
        <v>82</v>
      </c>
      <c r="B30" s="110" t="s">
        <v>83</v>
      </c>
      <c r="C30" s="106" t="s">
        <v>84</v>
      </c>
      <c r="D30" s="107" t="s">
        <v>15</v>
      </c>
      <c r="E30" s="107" t="s">
        <v>16</v>
      </c>
      <c r="F30" s="107" t="s">
        <v>33</v>
      </c>
      <c r="G30" s="108" t="s">
        <v>348</v>
      </c>
      <c r="H30" s="108">
        <v>0</v>
      </c>
      <c r="I30" s="108">
        <f t="shared" si="4"/>
        <v>0</v>
      </c>
      <c r="J30" s="108">
        <v>0</v>
      </c>
      <c r="K30" s="108">
        <f t="shared" si="5"/>
        <v>0</v>
      </c>
      <c r="L30" s="106"/>
    </row>
    <row r="31" spans="1:12" s="109" customFormat="1" ht="12.75" customHeight="1" x14ac:dyDescent="0.2">
      <c r="A31" s="108" t="s">
        <v>86</v>
      </c>
      <c r="B31" s="110" t="s">
        <v>87</v>
      </c>
      <c r="C31" s="106" t="s">
        <v>88</v>
      </c>
      <c r="D31" s="107" t="s">
        <v>15</v>
      </c>
      <c r="E31" s="107" t="s">
        <v>16</v>
      </c>
      <c r="F31" s="107" t="s">
        <v>33</v>
      </c>
      <c r="G31" s="108" t="s">
        <v>348</v>
      </c>
      <c r="H31" s="108">
        <v>0</v>
      </c>
      <c r="I31" s="108">
        <f t="shared" si="4"/>
        <v>0</v>
      </c>
      <c r="J31" s="108">
        <v>0</v>
      </c>
      <c r="K31" s="108">
        <f t="shared" si="5"/>
        <v>0</v>
      </c>
      <c r="L31" s="106"/>
    </row>
    <row r="32" spans="1:12" s="109" customFormat="1" ht="12.75" customHeight="1" x14ac:dyDescent="0.2">
      <c r="A32" s="108" t="s">
        <v>89</v>
      </c>
      <c r="B32" s="110" t="s">
        <v>90</v>
      </c>
      <c r="C32" s="106" t="s">
        <v>91</v>
      </c>
      <c r="D32" s="107" t="s">
        <v>15</v>
      </c>
      <c r="E32" s="107" t="s">
        <v>16</v>
      </c>
      <c r="F32" s="107" t="s">
        <v>17</v>
      </c>
      <c r="G32" s="108" t="s">
        <v>404</v>
      </c>
      <c r="H32" s="108">
        <v>936</v>
      </c>
      <c r="I32" s="108">
        <f t="shared" si="4"/>
        <v>14976</v>
      </c>
      <c r="J32" s="108">
        <v>0</v>
      </c>
      <c r="K32" s="108">
        <f t="shared" si="5"/>
        <v>14976</v>
      </c>
      <c r="L32" s="106"/>
    </row>
    <row r="33" spans="1:12" s="109" customFormat="1" ht="12.75" customHeight="1" x14ac:dyDescent="0.2">
      <c r="A33" s="108" t="s">
        <v>93</v>
      </c>
      <c r="B33" s="110" t="s">
        <v>94</v>
      </c>
      <c r="C33" s="106" t="s">
        <v>95</v>
      </c>
      <c r="D33" s="107" t="s">
        <v>15</v>
      </c>
      <c r="E33" s="107" t="s">
        <v>96</v>
      </c>
      <c r="F33" s="107" t="s">
        <v>17</v>
      </c>
      <c r="G33" s="108" t="s">
        <v>404</v>
      </c>
      <c r="H33" s="108">
        <v>0</v>
      </c>
      <c r="I33" s="108">
        <f t="shared" si="4"/>
        <v>0</v>
      </c>
      <c r="J33" s="108">
        <v>0</v>
      </c>
      <c r="K33" s="108">
        <f t="shared" si="5"/>
        <v>0</v>
      </c>
      <c r="L33" s="106"/>
    </row>
    <row r="34" spans="1:12" s="109" customFormat="1" ht="12.75" customHeight="1" x14ac:dyDescent="0.2">
      <c r="A34" s="108" t="s">
        <v>97</v>
      </c>
      <c r="B34" s="110" t="s">
        <v>98</v>
      </c>
      <c r="C34" s="106" t="s">
        <v>99</v>
      </c>
      <c r="D34" s="107" t="s">
        <v>15</v>
      </c>
      <c r="E34" s="107" t="s">
        <v>16</v>
      </c>
      <c r="F34" s="107" t="s">
        <v>17</v>
      </c>
      <c r="G34" s="108" t="s">
        <v>122</v>
      </c>
      <c r="H34" s="108">
        <v>0</v>
      </c>
      <c r="I34" s="108">
        <f t="shared" si="4"/>
        <v>0</v>
      </c>
      <c r="J34" s="108">
        <v>0</v>
      </c>
      <c r="K34" s="108">
        <f t="shared" si="5"/>
        <v>0</v>
      </c>
      <c r="L34" s="106"/>
    </row>
    <row r="35" spans="1:12" s="109" customFormat="1" ht="12.75" customHeight="1" x14ac:dyDescent="0.2">
      <c r="A35" s="108" t="s">
        <v>100</v>
      </c>
      <c r="B35" s="110" t="s">
        <v>101</v>
      </c>
      <c r="C35" s="106" t="s">
        <v>102</v>
      </c>
      <c r="D35" s="107" t="s">
        <v>15</v>
      </c>
      <c r="E35" s="107" t="s">
        <v>16</v>
      </c>
      <c r="F35" s="107" t="s">
        <v>17</v>
      </c>
      <c r="G35" s="108" t="s">
        <v>135</v>
      </c>
      <c r="H35" s="108">
        <v>7800</v>
      </c>
      <c r="I35" s="108">
        <f t="shared" si="4"/>
        <v>62400</v>
      </c>
      <c r="J35" s="108">
        <v>0</v>
      </c>
      <c r="K35" s="108">
        <f t="shared" si="5"/>
        <v>62400</v>
      </c>
      <c r="L35" s="106"/>
    </row>
    <row r="36" spans="1:12" s="109" customFormat="1" ht="12.75" customHeight="1" x14ac:dyDescent="0.2">
      <c r="A36" s="108" t="s">
        <v>104</v>
      </c>
      <c r="B36" s="110" t="s">
        <v>105</v>
      </c>
      <c r="C36" s="106" t="s">
        <v>106</v>
      </c>
      <c r="D36" s="107" t="s">
        <v>15</v>
      </c>
      <c r="E36" s="107" t="s">
        <v>107</v>
      </c>
      <c r="F36" s="107" t="s">
        <v>33</v>
      </c>
      <c r="G36" s="108" t="s">
        <v>434</v>
      </c>
      <c r="H36" s="108">
        <v>0</v>
      </c>
      <c r="I36" s="108">
        <f t="shared" si="4"/>
        <v>0</v>
      </c>
      <c r="J36" s="108">
        <v>0</v>
      </c>
      <c r="K36" s="108">
        <f t="shared" si="5"/>
        <v>0</v>
      </c>
      <c r="L36" s="106"/>
    </row>
    <row r="37" spans="1:12" s="109" customFormat="1" ht="12.75" customHeight="1" x14ac:dyDescent="0.2">
      <c r="A37" s="108" t="s">
        <v>109</v>
      </c>
      <c r="B37" s="110" t="s">
        <v>110</v>
      </c>
      <c r="C37" s="106" t="s">
        <v>111</v>
      </c>
      <c r="D37" s="107" t="s">
        <v>54</v>
      </c>
      <c r="E37" s="107" t="s">
        <v>15</v>
      </c>
      <c r="F37" s="107" t="s">
        <v>17</v>
      </c>
      <c r="G37" s="108" t="s">
        <v>122</v>
      </c>
      <c r="H37" s="108">
        <v>296.7</v>
      </c>
      <c r="I37" s="108">
        <f t="shared" si="4"/>
        <v>1186.8</v>
      </c>
      <c r="J37" s="108">
        <v>0</v>
      </c>
      <c r="K37" s="108">
        <f t="shared" si="5"/>
        <v>1186.8</v>
      </c>
      <c r="L37" s="106" t="s">
        <v>50</v>
      </c>
    </row>
    <row r="38" spans="1:12" ht="12.75" customHeight="1" x14ac:dyDescent="0.2">
      <c r="A38" s="6" t="s">
        <v>55</v>
      </c>
      <c r="B38" s="6" t="s">
        <v>55</v>
      </c>
      <c r="C38" s="6" t="s">
        <v>55</v>
      </c>
      <c r="D38" s="6" t="s">
        <v>55</v>
      </c>
      <c r="E38" s="6" t="s">
        <v>55</v>
      </c>
      <c r="F38" s="6" t="s">
        <v>55</v>
      </c>
      <c r="G38" s="6" t="s">
        <v>55</v>
      </c>
      <c r="H38" s="6" t="s">
        <v>55</v>
      </c>
      <c r="I38" s="6" t="s">
        <v>55</v>
      </c>
      <c r="J38" s="5" t="s">
        <v>56</v>
      </c>
      <c r="K38" s="5">
        <f>(K26+K27+K28+K29+K30+K31+K32+K33+K34+K35+K36+K37)</f>
        <v>102558.8</v>
      </c>
      <c r="L38" s="5" t="s">
        <v>55</v>
      </c>
    </row>
    <row r="39" spans="1:12" s="126" customFormat="1" ht="12.75" customHeight="1" x14ac:dyDescent="0.2">
      <c r="A39" s="121" t="s">
        <v>112</v>
      </c>
      <c r="B39" s="122" t="s">
        <v>402</v>
      </c>
      <c r="C39" s="123" t="s">
        <v>401</v>
      </c>
      <c r="D39" s="124" t="s">
        <v>15</v>
      </c>
      <c r="E39" s="124" t="s">
        <v>16</v>
      </c>
      <c r="F39" s="124" t="s">
        <v>17</v>
      </c>
      <c r="G39" s="125" t="s">
        <v>115</v>
      </c>
      <c r="H39" s="125">
        <v>3995</v>
      </c>
      <c r="I39" s="125">
        <f t="shared" ref="I39:I53" si="6">(H39*G39)</f>
        <v>7990</v>
      </c>
      <c r="J39" s="125">
        <v>0</v>
      </c>
      <c r="K39" s="125">
        <f t="shared" ref="K39:K53" si="7">ROUND(I39-((I39*J39)/100),2)</f>
        <v>7990</v>
      </c>
      <c r="L39" s="123"/>
    </row>
    <row r="40" spans="1:12" s="126" customFormat="1" ht="12.75" customHeight="1" x14ac:dyDescent="0.2">
      <c r="A40" s="125" t="s">
        <v>153</v>
      </c>
      <c r="B40" s="127" t="s">
        <v>373</v>
      </c>
      <c r="C40" s="123" t="s">
        <v>372</v>
      </c>
      <c r="D40" s="124" t="s">
        <v>54</v>
      </c>
      <c r="E40" s="124" t="s">
        <v>15</v>
      </c>
      <c r="F40" s="124" t="s">
        <v>17</v>
      </c>
      <c r="G40" s="125" t="s">
        <v>115</v>
      </c>
      <c r="H40" s="125">
        <v>1462.8</v>
      </c>
      <c r="I40" s="125">
        <f t="shared" si="6"/>
        <v>2925.6</v>
      </c>
      <c r="J40" s="125">
        <v>0</v>
      </c>
      <c r="K40" s="125">
        <f t="shared" si="7"/>
        <v>2925.6</v>
      </c>
      <c r="L40" s="123" t="s">
        <v>50</v>
      </c>
    </row>
    <row r="41" spans="1:12" s="126" customFormat="1" ht="12.75" customHeight="1" x14ac:dyDescent="0.2">
      <c r="A41" s="125" t="s">
        <v>116</v>
      </c>
      <c r="B41" s="127" t="s">
        <v>426</v>
      </c>
      <c r="C41" s="123" t="s">
        <v>425</v>
      </c>
      <c r="D41" s="124" t="s">
        <v>15</v>
      </c>
      <c r="E41" s="124" t="s">
        <v>16</v>
      </c>
      <c r="F41" s="124" t="s">
        <v>17</v>
      </c>
      <c r="G41" s="125" t="s">
        <v>122</v>
      </c>
      <c r="H41" s="125">
        <v>2842</v>
      </c>
      <c r="I41" s="125">
        <f t="shared" si="6"/>
        <v>11368</v>
      </c>
      <c r="J41" s="125">
        <v>0</v>
      </c>
      <c r="K41" s="125">
        <f t="shared" si="7"/>
        <v>11368</v>
      </c>
      <c r="L41" s="123"/>
    </row>
    <row r="42" spans="1:12" s="126" customFormat="1" ht="12.75" customHeight="1" x14ac:dyDescent="0.2">
      <c r="A42" s="125" t="s">
        <v>119</v>
      </c>
      <c r="B42" s="127" t="s">
        <v>24</v>
      </c>
      <c r="C42" s="123" t="s">
        <v>25</v>
      </c>
      <c r="D42" s="124" t="s">
        <v>15</v>
      </c>
      <c r="E42" s="124" t="s">
        <v>16</v>
      </c>
      <c r="F42" s="124" t="s">
        <v>17</v>
      </c>
      <c r="G42" s="125" t="s">
        <v>348</v>
      </c>
      <c r="H42" s="125">
        <v>725</v>
      </c>
      <c r="I42" s="125">
        <f t="shared" si="6"/>
        <v>23200</v>
      </c>
      <c r="J42" s="125">
        <v>0</v>
      </c>
      <c r="K42" s="125">
        <f t="shared" si="7"/>
        <v>23200</v>
      </c>
      <c r="L42" s="123"/>
    </row>
    <row r="43" spans="1:12" s="126" customFormat="1" ht="12.75" customHeight="1" x14ac:dyDescent="0.2">
      <c r="A43" s="125" t="s">
        <v>123</v>
      </c>
      <c r="B43" s="127" t="s">
        <v>397</v>
      </c>
      <c r="C43" s="123" t="s">
        <v>396</v>
      </c>
      <c r="D43" s="124" t="s">
        <v>15</v>
      </c>
      <c r="E43" s="124" t="s">
        <v>16</v>
      </c>
      <c r="F43" s="124" t="s">
        <v>17</v>
      </c>
      <c r="G43" s="125" t="s">
        <v>115</v>
      </c>
      <c r="H43" s="125">
        <v>1499</v>
      </c>
      <c r="I43" s="125">
        <f t="shared" si="6"/>
        <v>2998</v>
      </c>
      <c r="J43" s="125">
        <v>0</v>
      </c>
      <c r="K43" s="125">
        <f t="shared" si="7"/>
        <v>2998</v>
      </c>
      <c r="L43" s="123"/>
    </row>
    <row r="44" spans="1:12" s="126" customFormat="1" ht="12.75" customHeight="1" x14ac:dyDescent="0.2">
      <c r="A44" s="125" t="s">
        <v>129</v>
      </c>
      <c r="B44" s="127" t="s">
        <v>395</v>
      </c>
      <c r="C44" s="123" t="s">
        <v>394</v>
      </c>
      <c r="D44" s="124" t="s">
        <v>15</v>
      </c>
      <c r="E44" s="124" t="s">
        <v>16</v>
      </c>
      <c r="F44" s="124" t="s">
        <v>17</v>
      </c>
      <c r="G44" s="125" t="s">
        <v>122</v>
      </c>
      <c r="H44" s="125">
        <v>632</v>
      </c>
      <c r="I44" s="125">
        <f t="shared" si="6"/>
        <v>2528</v>
      </c>
      <c r="J44" s="125">
        <v>0</v>
      </c>
      <c r="K44" s="125">
        <f t="shared" si="7"/>
        <v>2528</v>
      </c>
      <c r="L44" s="123"/>
    </row>
    <row r="45" spans="1:12" s="126" customFormat="1" ht="12.75" customHeight="1" x14ac:dyDescent="0.2">
      <c r="A45" s="125" t="s">
        <v>132</v>
      </c>
      <c r="B45" s="127" t="s">
        <v>414</v>
      </c>
      <c r="C45" s="123" t="s">
        <v>413</v>
      </c>
      <c r="D45" s="124" t="s">
        <v>15</v>
      </c>
      <c r="E45" s="124" t="s">
        <v>16</v>
      </c>
      <c r="F45" s="124" t="s">
        <v>17</v>
      </c>
      <c r="G45" s="125" t="s">
        <v>122</v>
      </c>
      <c r="H45" s="125">
        <v>0</v>
      </c>
      <c r="I45" s="125">
        <f t="shared" si="6"/>
        <v>0</v>
      </c>
      <c r="J45" s="125">
        <v>0</v>
      </c>
      <c r="K45" s="125">
        <f t="shared" si="7"/>
        <v>0</v>
      </c>
      <c r="L45" s="123"/>
    </row>
    <row r="46" spans="1:12" s="126" customFormat="1" ht="12.75" customHeight="1" x14ac:dyDescent="0.2">
      <c r="A46" s="125" t="s">
        <v>136</v>
      </c>
      <c r="B46" s="127" t="s">
        <v>393</v>
      </c>
      <c r="C46" s="123" t="s">
        <v>392</v>
      </c>
      <c r="D46" s="124" t="s">
        <v>15</v>
      </c>
      <c r="E46" s="124" t="s">
        <v>16</v>
      </c>
      <c r="F46" s="124" t="s">
        <v>17</v>
      </c>
      <c r="G46" s="125" t="s">
        <v>115</v>
      </c>
      <c r="H46" s="125">
        <v>220</v>
      </c>
      <c r="I46" s="125">
        <f t="shared" si="6"/>
        <v>440</v>
      </c>
      <c r="J46" s="125">
        <v>0</v>
      </c>
      <c r="K46" s="125">
        <f t="shared" si="7"/>
        <v>440</v>
      </c>
      <c r="L46" s="123"/>
    </row>
    <row r="47" spans="1:12" s="126" customFormat="1" ht="12.75" customHeight="1" x14ac:dyDescent="0.2">
      <c r="A47" s="125" t="s">
        <v>139</v>
      </c>
      <c r="B47" s="127" t="s">
        <v>391</v>
      </c>
      <c r="C47" s="123" t="s">
        <v>390</v>
      </c>
      <c r="D47" s="124" t="s">
        <v>15</v>
      </c>
      <c r="E47" s="124" t="s">
        <v>16</v>
      </c>
      <c r="F47" s="124" t="s">
        <v>17</v>
      </c>
      <c r="G47" s="125" t="s">
        <v>115</v>
      </c>
      <c r="H47" s="125">
        <v>85</v>
      </c>
      <c r="I47" s="125">
        <f t="shared" si="6"/>
        <v>170</v>
      </c>
      <c r="J47" s="125">
        <v>0</v>
      </c>
      <c r="K47" s="125">
        <f t="shared" si="7"/>
        <v>170</v>
      </c>
      <c r="L47" s="123"/>
    </row>
    <row r="48" spans="1:12" s="126" customFormat="1" ht="12.75" customHeight="1" x14ac:dyDescent="0.2">
      <c r="A48" s="125" t="s">
        <v>141</v>
      </c>
      <c r="B48" s="127" t="s">
        <v>388</v>
      </c>
      <c r="C48" s="123" t="s">
        <v>387</v>
      </c>
      <c r="D48" s="124" t="s">
        <v>15</v>
      </c>
      <c r="E48" s="124" t="s">
        <v>16</v>
      </c>
      <c r="F48" s="124" t="s">
        <v>33</v>
      </c>
      <c r="G48" s="125" t="s">
        <v>115</v>
      </c>
      <c r="H48" s="125">
        <v>0</v>
      </c>
      <c r="I48" s="125">
        <f t="shared" si="6"/>
        <v>0</v>
      </c>
      <c r="J48" s="125">
        <v>0</v>
      </c>
      <c r="K48" s="125">
        <f t="shared" si="7"/>
        <v>0</v>
      </c>
      <c r="L48" s="123"/>
    </row>
    <row r="49" spans="1:12" s="126" customFormat="1" ht="12.75" customHeight="1" x14ac:dyDescent="0.2">
      <c r="A49" s="125" t="s">
        <v>143</v>
      </c>
      <c r="B49" s="127" t="s">
        <v>385</v>
      </c>
      <c r="C49" s="123" t="s">
        <v>384</v>
      </c>
      <c r="D49" s="124" t="s">
        <v>15</v>
      </c>
      <c r="E49" s="124" t="s">
        <v>16</v>
      </c>
      <c r="F49" s="124" t="s">
        <v>33</v>
      </c>
      <c r="G49" s="125" t="s">
        <v>122</v>
      </c>
      <c r="H49" s="125">
        <v>0</v>
      </c>
      <c r="I49" s="125">
        <f t="shared" si="6"/>
        <v>0</v>
      </c>
      <c r="J49" s="125">
        <v>0</v>
      </c>
      <c r="K49" s="125">
        <f t="shared" si="7"/>
        <v>0</v>
      </c>
      <c r="L49" s="123"/>
    </row>
    <row r="50" spans="1:12" s="126" customFormat="1" ht="12.75" customHeight="1" x14ac:dyDescent="0.2">
      <c r="A50" s="125" t="s">
        <v>147</v>
      </c>
      <c r="B50" s="127" t="s">
        <v>382</v>
      </c>
      <c r="C50" s="123" t="s">
        <v>381</v>
      </c>
      <c r="D50" s="124" t="s">
        <v>15</v>
      </c>
      <c r="E50" s="124" t="s">
        <v>16</v>
      </c>
      <c r="F50" s="124" t="s">
        <v>33</v>
      </c>
      <c r="G50" s="125" t="s">
        <v>403</v>
      </c>
      <c r="H50" s="125">
        <v>0</v>
      </c>
      <c r="I50" s="125">
        <f t="shared" si="6"/>
        <v>0</v>
      </c>
      <c r="J50" s="125">
        <v>0</v>
      </c>
      <c r="K50" s="125">
        <f t="shared" si="7"/>
        <v>0</v>
      </c>
      <c r="L50" s="123"/>
    </row>
    <row r="51" spans="1:12" s="126" customFormat="1" ht="12.75" customHeight="1" x14ac:dyDescent="0.2">
      <c r="A51" s="125" t="s">
        <v>150</v>
      </c>
      <c r="B51" s="127" t="s">
        <v>379</v>
      </c>
      <c r="C51" s="123" t="s">
        <v>378</v>
      </c>
      <c r="D51" s="124" t="s">
        <v>15</v>
      </c>
      <c r="E51" s="124" t="s">
        <v>16</v>
      </c>
      <c r="F51" s="124" t="s">
        <v>17</v>
      </c>
      <c r="G51" s="125" t="s">
        <v>115</v>
      </c>
      <c r="H51" s="125">
        <v>656</v>
      </c>
      <c r="I51" s="125">
        <f t="shared" si="6"/>
        <v>1312</v>
      </c>
      <c r="J51" s="125">
        <v>0</v>
      </c>
      <c r="K51" s="125">
        <f t="shared" si="7"/>
        <v>1312</v>
      </c>
      <c r="L51" s="123"/>
    </row>
    <row r="52" spans="1:12" s="126" customFormat="1" ht="12.75" customHeight="1" x14ac:dyDescent="0.2">
      <c r="A52" s="125" t="s">
        <v>412</v>
      </c>
      <c r="B52" s="127" t="s">
        <v>376</v>
      </c>
      <c r="C52" s="123" t="s">
        <v>375</v>
      </c>
      <c r="D52" s="124" t="s">
        <v>15</v>
      </c>
      <c r="E52" s="124" t="s">
        <v>16</v>
      </c>
      <c r="F52" s="124" t="s">
        <v>17</v>
      </c>
      <c r="G52" s="125" t="s">
        <v>115</v>
      </c>
      <c r="H52" s="125">
        <v>1405</v>
      </c>
      <c r="I52" s="125">
        <f t="shared" si="6"/>
        <v>2810</v>
      </c>
      <c r="J52" s="125">
        <v>0</v>
      </c>
      <c r="K52" s="125">
        <f t="shared" si="7"/>
        <v>2810</v>
      </c>
      <c r="L52" s="123"/>
    </row>
    <row r="53" spans="1:12" s="126" customFormat="1" ht="12.75" customHeight="1" x14ac:dyDescent="0.2">
      <c r="A53" s="125" t="s">
        <v>411</v>
      </c>
      <c r="B53" s="127" t="s">
        <v>41</v>
      </c>
      <c r="C53" s="123" t="s">
        <v>42</v>
      </c>
      <c r="D53" s="124" t="s">
        <v>15</v>
      </c>
      <c r="E53" s="124" t="s">
        <v>16</v>
      </c>
      <c r="F53" s="124" t="s">
        <v>17</v>
      </c>
      <c r="G53" s="125" t="s">
        <v>115</v>
      </c>
      <c r="H53" s="125">
        <v>0</v>
      </c>
      <c r="I53" s="125">
        <f t="shared" si="6"/>
        <v>0</v>
      </c>
      <c r="J53" s="125">
        <v>0</v>
      </c>
      <c r="K53" s="125">
        <f t="shared" si="7"/>
        <v>0</v>
      </c>
      <c r="L53" s="123"/>
    </row>
    <row r="54" spans="1:12" s="126" customFormat="1" ht="12.75" customHeight="1" x14ac:dyDescent="0.2">
      <c r="A54" s="128" t="s">
        <v>55</v>
      </c>
      <c r="B54" s="128" t="s">
        <v>55</v>
      </c>
      <c r="C54" s="128" t="s">
        <v>55</v>
      </c>
      <c r="D54" s="128" t="s">
        <v>55</v>
      </c>
      <c r="E54" s="128" t="s">
        <v>55</v>
      </c>
      <c r="F54" s="128" t="s">
        <v>55</v>
      </c>
      <c r="G54" s="128" t="s">
        <v>55</v>
      </c>
      <c r="H54" s="128" t="s">
        <v>55</v>
      </c>
      <c r="I54" s="128" t="s">
        <v>55</v>
      </c>
      <c r="J54" s="129" t="s">
        <v>56</v>
      </c>
      <c r="K54" s="129">
        <f>(K39+K40+K41+K42+K43+K44+K45+K46+K47+K48+K49+K50+K51+K52+K53)</f>
        <v>55741.599999999999</v>
      </c>
      <c r="L54" s="129" t="s">
        <v>55</v>
      </c>
    </row>
    <row r="55" spans="1:12" s="126" customFormat="1" ht="12.75" customHeight="1" x14ac:dyDescent="0.2">
      <c r="A55" s="121" t="s">
        <v>156</v>
      </c>
      <c r="B55" s="122" t="s">
        <v>402</v>
      </c>
      <c r="C55" s="123" t="s">
        <v>401</v>
      </c>
      <c r="D55" s="124" t="s">
        <v>15</v>
      </c>
      <c r="E55" s="124" t="s">
        <v>16</v>
      </c>
      <c r="F55" s="124" t="s">
        <v>17</v>
      </c>
      <c r="G55" s="125" t="s">
        <v>115</v>
      </c>
      <c r="H55" s="125">
        <v>3995</v>
      </c>
      <c r="I55" s="125">
        <f t="shared" ref="I55:I69" si="8">(H55*G55)</f>
        <v>7990</v>
      </c>
      <c r="J55" s="125">
        <v>0</v>
      </c>
      <c r="K55" s="125">
        <f t="shared" ref="K55:K69" si="9">ROUND(I55-((I55*J55)/100),2)</f>
        <v>7990</v>
      </c>
      <c r="L55" s="123"/>
    </row>
    <row r="56" spans="1:12" s="126" customFormat="1" ht="12.75" customHeight="1" x14ac:dyDescent="0.2">
      <c r="A56" s="125" t="s">
        <v>178</v>
      </c>
      <c r="B56" s="127" t="s">
        <v>373</v>
      </c>
      <c r="C56" s="123" t="s">
        <v>372</v>
      </c>
      <c r="D56" s="124" t="s">
        <v>54</v>
      </c>
      <c r="E56" s="124" t="s">
        <v>15</v>
      </c>
      <c r="F56" s="124" t="s">
        <v>17</v>
      </c>
      <c r="G56" s="125" t="s">
        <v>115</v>
      </c>
      <c r="H56" s="125">
        <v>1462.8</v>
      </c>
      <c r="I56" s="125">
        <f t="shared" si="8"/>
        <v>2925.6</v>
      </c>
      <c r="J56" s="125">
        <v>0</v>
      </c>
      <c r="K56" s="125">
        <f t="shared" si="9"/>
        <v>2925.6</v>
      </c>
      <c r="L56" s="123" t="s">
        <v>50</v>
      </c>
    </row>
    <row r="57" spans="1:12" s="126" customFormat="1" ht="12.75" customHeight="1" x14ac:dyDescent="0.2">
      <c r="A57" s="125" t="s">
        <v>159</v>
      </c>
      <c r="B57" s="127" t="s">
        <v>24</v>
      </c>
      <c r="C57" s="123" t="s">
        <v>25</v>
      </c>
      <c r="D57" s="124" t="s">
        <v>15</v>
      </c>
      <c r="E57" s="124" t="s">
        <v>16</v>
      </c>
      <c r="F57" s="124" t="s">
        <v>17</v>
      </c>
      <c r="G57" s="125" t="s">
        <v>348</v>
      </c>
      <c r="H57" s="125">
        <v>725</v>
      </c>
      <c r="I57" s="125">
        <f t="shared" si="8"/>
        <v>23200</v>
      </c>
      <c r="J57" s="125">
        <v>0</v>
      </c>
      <c r="K57" s="125">
        <f t="shared" si="9"/>
        <v>23200</v>
      </c>
      <c r="L57" s="123"/>
    </row>
    <row r="58" spans="1:12" s="126" customFormat="1" ht="12.75" customHeight="1" x14ac:dyDescent="0.2">
      <c r="A58" s="125" t="s">
        <v>162</v>
      </c>
      <c r="B58" s="127" t="s">
        <v>397</v>
      </c>
      <c r="C58" s="123" t="s">
        <v>396</v>
      </c>
      <c r="D58" s="124" t="s">
        <v>15</v>
      </c>
      <c r="E58" s="124" t="s">
        <v>16</v>
      </c>
      <c r="F58" s="124" t="s">
        <v>17</v>
      </c>
      <c r="G58" s="125" t="s">
        <v>115</v>
      </c>
      <c r="H58" s="125">
        <v>1499</v>
      </c>
      <c r="I58" s="125">
        <f t="shared" si="8"/>
        <v>2998</v>
      </c>
      <c r="J58" s="125">
        <v>0</v>
      </c>
      <c r="K58" s="125">
        <f t="shared" si="9"/>
        <v>2998</v>
      </c>
      <c r="L58" s="123"/>
    </row>
    <row r="59" spans="1:12" s="126" customFormat="1" ht="12.75" customHeight="1" x14ac:dyDescent="0.2">
      <c r="A59" s="125" t="s">
        <v>165</v>
      </c>
      <c r="B59" s="127" t="s">
        <v>395</v>
      </c>
      <c r="C59" s="123" t="s">
        <v>394</v>
      </c>
      <c r="D59" s="124" t="s">
        <v>15</v>
      </c>
      <c r="E59" s="124" t="s">
        <v>16</v>
      </c>
      <c r="F59" s="124" t="s">
        <v>17</v>
      </c>
      <c r="G59" s="125" t="s">
        <v>122</v>
      </c>
      <c r="H59" s="125">
        <v>632</v>
      </c>
      <c r="I59" s="125">
        <f t="shared" si="8"/>
        <v>2528</v>
      </c>
      <c r="J59" s="125">
        <v>0</v>
      </c>
      <c r="K59" s="125">
        <f t="shared" si="9"/>
        <v>2528</v>
      </c>
      <c r="L59" s="123"/>
    </row>
    <row r="60" spans="1:12" s="126" customFormat="1" ht="12.75" customHeight="1" x14ac:dyDescent="0.2">
      <c r="A60" s="125" t="s">
        <v>168</v>
      </c>
      <c r="B60" s="127" t="s">
        <v>414</v>
      </c>
      <c r="C60" s="123" t="s">
        <v>413</v>
      </c>
      <c r="D60" s="124" t="s">
        <v>15</v>
      </c>
      <c r="E60" s="124" t="s">
        <v>16</v>
      </c>
      <c r="F60" s="124" t="s">
        <v>17</v>
      </c>
      <c r="G60" s="125" t="s">
        <v>122</v>
      </c>
      <c r="H60" s="125">
        <v>0</v>
      </c>
      <c r="I60" s="125">
        <f t="shared" si="8"/>
        <v>0</v>
      </c>
      <c r="J60" s="125">
        <v>0</v>
      </c>
      <c r="K60" s="125">
        <f t="shared" si="9"/>
        <v>0</v>
      </c>
      <c r="L60" s="123"/>
    </row>
    <row r="61" spans="1:12" s="126" customFormat="1" ht="12.75" customHeight="1" x14ac:dyDescent="0.2">
      <c r="A61" s="125" t="s">
        <v>169</v>
      </c>
      <c r="B61" s="127" t="s">
        <v>393</v>
      </c>
      <c r="C61" s="123" t="s">
        <v>392</v>
      </c>
      <c r="D61" s="124" t="s">
        <v>15</v>
      </c>
      <c r="E61" s="124" t="s">
        <v>16</v>
      </c>
      <c r="F61" s="124" t="s">
        <v>17</v>
      </c>
      <c r="G61" s="125" t="s">
        <v>115</v>
      </c>
      <c r="H61" s="125">
        <v>220</v>
      </c>
      <c r="I61" s="125">
        <f t="shared" si="8"/>
        <v>440</v>
      </c>
      <c r="J61" s="125">
        <v>0</v>
      </c>
      <c r="K61" s="125">
        <f t="shared" si="9"/>
        <v>440</v>
      </c>
      <c r="L61" s="123"/>
    </row>
    <row r="62" spans="1:12" s="126" customFormat="1" ht="12.75" customHeight="1" x14ac:dyDescent="0.2">
      <c r="A62" s="125" t="s">
        <v>172</v>
      </c>
      <c r="B62" s="127" t="s">
        <v>391</v>
      </c>
      <c r="C62" s="123" t="s">
        <v>390</v>
      </c>
      <c r="D62" s="124" t="s">
        <v>15</v>
      </c>
      <c r="E62" s="124" t="s">
        <v>16</v>
      </c>
      <c r="F62" s="124" t="s">
        <v>17</v>
      </c>
      <c r="G62" s="125" t="s">
        <v>115</v>
      </c>
      <c r="H62" s="125">
        <v>85</v>
      </c>
      <c r="I62" s="125">
        <f t="shared" si="8"/>
        <v>170</v>
      </c>
      <c r="J62" s="125">
        <v>0</v>
      </c>
      <c r="K62" s="125">
        <f t="shared" si="9"/>
        <v>170</v>
      </c>
      <c r="L62" s="123"/>
    </row>
    <row r="63" spans="1:12" s="126" customFormat="1" ht="12.75" customHeight="1" x14ac:dyDescent="0.2">
      <c r="A63" s="125" t="s">
        <v>175</v>
      </c>
      <c r="B63" s="127" t="s">
        <v>388</v>
      </c>
      <c r="C63" s="123" t="s">
        <v>387</v>
      </c>
      <c r="D63" s="124" t="s">
        <v>15</v>
      </c>
      <c r="E63" s="124" t="s">
        <v>16</v>
      </c>
      <c r="F63" s="124" t="s">
        <v>33</v>
      </c>
      <c r="G63" s="125" t="s">
        <v>115</v>
      </c>
      <c r="H63" s="125">
        <v>0</v>
      </c>
      <c r="I63" s="125">
        <f t="shared" si="8"/>
        <v>0</v>
      </c>
      <c r="J63" s="125">
        <v>0</v>
      </c>
      <c r="K63" s="125">
        <f t="shared" si="9"/>
        <v>0</v>
      </c>
      <c r="L63" s="123"/>
    </row>
    <row r="64" spans="1:12" s="126" customFormat="1" ht="12.75" customHeight="1" x14ac:dyDescent="0.2">
      <c r="A64" s="125" t="s">
        <v>389</v>
      </c>
      <c r="B64" s="127" t="s">
        <v>385</v>
      </c>
      <c r="C64" s="123" t="s">
        <v>384</v>
      </c>
      <c r="D64" s="124" t="s">
        <v>15</v>
      </c>
      <c r="E64" s="124" t="s">
        <v>16</v>
      </c>
      <c r="F64" s="124" t="s">
        <v>33</v>
      </c>
      <c r="G64" s="125" t="s">
        <v>122</v>
      </c>
      <c r="H64" s="125">
        <v>0</v>
      </c>
      <c r="I64" s="125">
        <f t="shared" si="8"/>
        <v>0</v>
      </c>
      <c r="J64" s="125">
        <v>0</v>
      </c>
      <c r="K64" s="125">
        <f t="shared" si="9"/>
        <v>0</v>
      </c>
      <c r="L64" s="123"/>
    </row>
    <row r="65" spans="1:12" s="126" customFormat="1" ht="12.75" customHeight="1" x14ac:dyDescent="0.2">
      <c r="A65" s="125" t="s">
        <v>386</v>
      </c>
      <c r="B65" s="127" t="s">
        <v>382</v>
      </c>
      <c r="C65" s="123" t="s">
        <v>381</v>
      </c>
      <c r="D65" s="124" t="s">
        <v>15</v>
      </c>
      <c r="E65" s="124" t="s">
        <v>16</v>
      </c>
      <c r="F65" s="124" t="s">
        <v>33</v>
      </c>
      <c r="G65" s="125" t="s">
        <v>403</v>
      </c>
      <c r="H65" s="125">
        <v>0</v>
      </c>
      <c r="I65" s="125">
        <f t="shared" si="8"/>
        <v>0</v>
      </c>
      <c r="J65" s="125">
        <v>0</v>
      </c>
      <c r="K65" s="125">
        <f t="shared" si="9"/>
        <v>0</v>
      </c>
      <c r="L65" s="123"/>
    </row>
    <row r="66" spans="1:12" s="126" customFormat="1" ht="12.75" customHeight="1" x14ac:dyDescent="0.2">
      <c r="A66" s="125" t="s">
        <v>383</v>
      </c>
      <c r="B66" s="127" t="s">
        <v>379</v>
      </c>
      <c r="C66" s="123" t="s">
        <v>378</v>
      </c>
      <c r="D66" s="124" t="s">
        <v>15</v>
      </c>
      <c r="E66" s="124" t="s">
        <v>16</v>
      </c>
      <c r="F66" s="124" t="s">
        <v>17</v>
      </c>
      <c r="G66" s="125" t="s">
        <v>115</v>
      </c>
      <c r="H66" s="125">
        <v>656</v>
      </c>
      <c r="I66" s="125">
        <f t="shared" si="8"/>
        <v>1312</v>
      </c>
      <c r="J66" s="125">
        <v>0</v>
      </c>
      <c r="K66" s="125">
        <f t="shared" si="9"/>
        <v>1312</v>
      </c>
      <c r="L66" s="123"/>
    </row>
    <row r="67" spans="1:12" s="126" customFormat="1" ht="12.75" customHeight="1" x14ac:dyDescent="0.2">
      <c r="A67" s="125" t="s">
        <v>380</v>
      </c>
      <c r="B67" s="127" t="s">
        <v>376</v>
      </c>
      <c r="C67" s="123" t="s">
        <v>375</v>
      </c>
      <c r="D67" s="124" t="s">
        <v>15</v>
      </c>
      <c r="E67" s="124" t="s">
        <v>16</v>
      </c>
      <c r="F67" s="124" t="s">
        <v>17</v>
      </c>
      <c r="G67" s="125" t="s">
        <v>115</v>
      </c>
      <c r="H67" s="125">
        <v>1405</v>
      </c>
      <c r="I67" s="125">
        <f t="shared" si="8"/>
        <v>2810</v>
      </c>
      <c r="J67" s="125">
        <v>0</v>
      </c>
      <c r="K67" s="125">
        <f t="shared" si="9"/>
        <v>2810</v>
      </c>
      <c r="L67" s="123"/>
    </row>
    <row r="68" spans="1:12" s="126" customFormat="1" ht="12.75" customHeight="1" x14ac:dyDescent="0.2">
      <c r="A68" s="125" t="s">
        <v>377</v>
      </c>
      <c r="B68" s="127" t="s">
        <v>41</v>
      </c>
      <c r="C68" s="123" t="s">
        <v>42</v>
      </c>
      <c r="D68" s="124" t="s">
        <v>15</v>
      </c>
      <c r="E68" s="124" t="s">
        <v>16</v>
      </c>
      <c r="F68" s="124" t="s">
        <v>17</v>
      </c>
      <c r="G68" s="125" t="s">
        <v>115</v>
      </c>
      <c r="H68" s="125">
        <v>0</v>
      </c>
      <c r="I68" s="125">
        <f t="shared" si="8"/>
        <v>0</v>
      </c>
      <c r="J68" s="125">
        <v>0</v>
      </c>
      <c r="K68" s="125">
        <f t="shared" si="9"/>
        <v>0</v>
      </c>
      <c r="L68" s="123"/>
    </row>
    <row r="69" spans="1:12" s="126" customFormat="1" ht="12.75" customHeight="1" x14ac:dyDescent="0.2">
      <c r="A69" s="125" t="s">
        <v>374</v>
      </c>
      <c r="B69" s="127" t="s">
        <v>416</v>
      </c>
      <c r="C69" s="123" t="s">
        <v>415</v>
      </c>
      <c r="D69" s="124" t="s">
        <v>15</v>
      </c>
      <c r="E69" s="124" t="s">
        <v>16</v>
      </c>
      <c r="F69" s="124" t="s">
        <v>17</v>
      </c>
      <c r="G69" s="125" t="s">
        <v>122</v>
      </c>
      <c r="H69" s="125">
        <v>4145</v>
      </c>
      <c r="I69" s="125">
        <f t="shared" si="8"/>
        <v>16580</v>
      </c>
      <c r="J69" s="125">
        <v>0</v>
      </c>
      <c r="K69" s="125">
        <f t="shared" si="9"/>
        <v>16580</v>
      </c>
      <c r="L69" s="123"/>
    </row>
    <row r="70" spans="1:12" s="126" customFormat="1" ht="12.75" customHeight="1" x14ac:dyDescent="0.2">
      <c r="A70" s="128" t="s">
        <v>55</v>
      </c>
      <c r="B70" s="128" t="s">
        <v>55</v>
      </c>
      <c r="C70" s="128" t="s">
        <v>55</v>
      </c>
      <c r="D70" s="128" t="s">
        <v>55</v>
      </c>
      <c r="E70" s="128" t="s">
        <v>55</v>
      </c>
      <c r="F70" s="128" t="s">
        <v>55</v>
      </c>
      <c r="G70" s="128" t="s">
        <v>55</v>
      </c>
      <c r="H70" s="128" t="s">
        <v>55</v>
      </c>
      <c r="I70" s="128" t="s">
        <v>55</v>
      </c>
      <c r="J70" s="129" t="s">
        <v>56</v>
      </c>
      <c r="K70" s="129">
        <f>(K55+K56+K57+K58+K59+K60+K61+K62+K63+K64+K65+K66+K67+K68+K69)</f>
        <v>60953.599999999999</v>
      </c>
      <c r="L70" s="129" t="s">
        <v>55</v>
      </c>
    </row>
    <row r="71" spans="1:12" s="126" customFormat="1" ht="12.75" customHeight="1" x14ac:dyDescent="0.2">
      <c r="A71" s="121" t="s">
        <v>181</v>
      </c>
      <c r="B71" s="122" t="s">
        <v>402</v>
      </c>
      <c r="C71" s="123" t="s">
        <v>401</v>
      </c>
      <c r="D71" s="124" t="s">
        <v>15</v>
      </c>
      <c r="E71" s="124" t="s">
        <v>16</v>
      </c>
      <c r="F71" s="124" t="s">
        <v>17</v>
      </c>
      <c r="G71" s="125" t="s">
        <v>115</v>
      </c>
      <c r="H71" s="125">
        <v>3995</v>
      </c>
      <c r="I71" s="125">
        <f t="shared" ref="I71:I85" si="10">(H71*G71)</f>
        <v>7990</v>
      </c>
      <c r="J71" s="125">
        <v>0</v>
      </c>
      <c r="K71" s="125">
        <f t="shared" ref="K71:K85" si="11">ROUND(I71-((I71*J71)/100),2)</f>
        <v>7990</v>
      </c>
      <c r="L71" s="123"/>
    </row>
    <row r="72" spans="1:12" s="126" customFormat="1" ht="12.75" customHeight="1" x14ac:dyDescent="0.2">
      <c r="A72" s="125" t="s">
        <v>184</v>
      </c>
      <c r="B72" s="127" t="s">
        <v>373</v>
      </c>
      <c r="C72" s="123" t="s">
        <v>372</v>
      </c>
      <c r="D72" s="124" t="s">
        <v>54</v>
      </c>
      <c r="E72" s="124" t="s">
        <v>15</v>
      </c>
      <c r="F72" s="124" t="s">
        <v>17</v>
      </c>
      <c r="G72" s="125" t="s">
        <v>115</v>
      </c>
      <c r="H72" s="125">
        <v>1462.8</v>
      </c>
      <c r="I72" s="125">
        <f t="shared" si="10"/>
        <v>2925.6</v>
      </c>
      <c r="J72" s="125">
        <v>0</v>
      </c>
      <c r="K72" s="125">
        <f t="shared" si="11"/>
        <v>2925.6</v>
      </c>
      <c r="L72" s="123" t="s">
        <v>50</v>
      </c>
    </row>
    <row r="73" spans="1:12" s="126" customFormat="1" ht="12.75" customHeight="1" x14ac:dyDescent="0.2">
      <c r="A73" s="125" t="s">
        <v>187</v>
      </c>
      <c r="B73" s="127" t="s">
        <v>24</v>
      </c>
      <c r="C73" s="123" t="s">
        <v>25</v>
      </c>
      <c r="D73" s="124" t="s">
        <v>15</v>
      </c>
      <c r="E73" s="124" t="s">
        <v>16</v>
      </c>
      <c r="F73" s="124" t="s">
        <v>17</v>
      </c>
      <c r="G73" s="125" t="s">
        <v>348</v>
      </c>
      <c r="H73" s="125">
        <v>725</v>
      </c>
      <c r="I73" s="125">
        <f t="shared" si="10"/>
        <v>23200</v>
      </c>
      <c r="J73" s="125">
        <v>0</v>
      </c>
      <c r="K73" s="125">
        <f t="shared" si="11"/>
        <v>23200</v>
      </c>
      <c r="L73" s="123"/>
    </row>
    <row r="74" spans="1:12" s="126" customFormat="1" ht="12.75" customHeight="1" x14ac:dyDescent="0.2">
      <c r="A74" s="125" t="s">
        <v>188</v>
      </c>
      <c r="B74" s="127" t="s">
        <v>397</v>
      </c>
      <c r="C74" s="123" t="s">
        <v>396</v>
      </c>
      <c r="D74" s="124" t="s">
        <v>15</v>
      </c>
      <c r="E74" s="124" t="s">
        <v>16</v>
      </c>
      <c r="F74" s="124" t="s">
        <v>17</v>
      </c>
      <c r="G74" s="125" t="s">
        <v>115</v>
      </c>
      <c r="H74" s="125">
        <v>1499</v>
      </c>
      <c r="I74" s="125">
        <f t="shared" si="10"/>
        <v>2998</v>
      </c>
      <c r="J74" s="125">
        <v>0</v>
      </c>
      <c r="K74" s="125">
        <f t="shared" si="11"/>
        <v>2998</v>
      </c>
      <c r="L74" s="123"/>
    </row>
    <row r="75" spans="1:12" s="126" customFormat="1" ht="12.75" customHeight="1" x14ac:dyDescent="0.2">
      <c r="A75" s="125" t="s">
        <v>189</v>
      </c>
      <c r="B75" s="127" t="s">
        <v>395</v>
      </c>
      <c r="C75" s="123" t="s">
        <v>394</v>
      </c>
      <c r="D75" s="124" t="s">
        <v>15</v>
      </c>
      <c r="E75" s="124" t="s">
        <v>16</v>
      </c>
      <c r="F75" s="124" t="s">
        <v>17</v>
      </c>
      <c r="G75" s="125" t="s">
        <v>122</v>
      </c>
      <c r="H75" s="125">
        <v>632</v>
      </c>
      <c r="I75" s="125">
        <f t="shared" si="10"/>
        <v>2528</v>
      </c>
      <c r="J75" s="125">
        <v>0</v>
      </c>
      <c r="K75" s="125">
        <f t="shared" si="11"/>
        <v>2528</v>
      </c>
      <c r="L75" s="123"/>
    </row>
    <row r="76" spans="1:12" s="126" customFormat="1" ht="12.75" customHeight="1" x14ac:dyDescent="0.2">
      <c r="A76" s="125" t="s">
        <v>193</v>
      </c>
      <c r="B76" s="127" t="s">
        <v>414</v>
      </c>
      <c r="C76" s="123" t="s">
        <v>413</v>
      </c>
      <c r="D76" s="124" t="s">
        <v>15</v>
      </c>
      <c r="E76" s="124" t="s">
        <v>16</v>
      </c>
      <c r="F76" s="124" t="s">
        <v>17</v>
      </c>
      <c r="G76" s="125" t="s">
        <v>122</v>
      </c>
      <c r="H76" s="125">
        <v>0</v>
      </c>
      <c r="I76" s="125">
        <f t="shared" si="10"/>
        <v>0</v>
      </c>
      <c r="J76" s="125">
        <v>0</v>
      </c>
      <c r="K76" s="125">
        <f t="shared" si="11"/>
        <v>0</v>
      </c>
      <c r="L76" s="123"/>
    </row>
    <row r="77" spans="1:12" s="126" customFormat="1" ht="12.75" customHeight="1" x14ac:dyDescent="0.2">
      <c r="A77" s="125" t="s">
        <v>194</v>
      </c>
      <c r="B77" s="127" t="s">
        <v>393</v>
      </c>
      <c r="C77" s="123" t="s">
        <v>392</v>
      </c>
      <c r="D77" s="124" t="s">
        <v>15</v>
      </c>
      <c r="E77" s="124" t="s">
        <v>16</v>
      </c>
      <c r="F77" s="124" t="s">
        <v>17</v>
      </c>
      <c r="G77" s="125" t="s">
        <v>115</v>
      </c>
      <c r="H77" s="125">
        <v>220</v>
      </c>
      <c r="I77" s="125">
        <f t="shared" si="10"/>
        <v>440</v>
      </c>
      <c r="J77" s="125">
        <v>0</v>
      </c>
      <c r="K77" s="125">
        <f t="shared" si="11"/>
        <v>440</v>
      </c>
      <c r="L77" s="123"/>
    </row>
    <row r="78" spans="1:12" s="126" customFormat="1" ht="12.75" customHeight="1" x14ac:dyDescent="0.2">
      <c r="A78" s="125" t="s">
        <v>197</v>
      </c>
      <c r="B78" s="127" t="s">
        <v>391</v>
      </c>
      <c r="C78" s="123" t="s">
        <v>390</v>
      </c>
      <c r="D78" s="124" t="s">
        <v>15</v>
      </c>
      <c r="E78" s="124" t="s">
        <v>16</v>
      </c>
      <c r="F78" s="124" t="s">
        <v>17</v>
      </c>
      <c r="G78" s="125" t="s">
        <v>115</v>
      </c>
      <c r="H78" s="125">
        <v>85</v>
      </c>
      <c r="I78" s="125">
        <f t="shared" si="10"/>
        <v>170</v>
      </c>
      <c r="J78" s="125">
        <v>0</v>
      </c>
      <c r="K78" s="125">
        <f t="shared" si="11"/>
        <v>170</v>
      </c>
      <c r="L78" s="123"/>
    </row>
    <row r="79" spans="1:12" s="126" customFormat="1" ht="12.75" customHeight="1" x14ac:dyDescent="0.2">
      <c r="A79" s="125" t="s">
        <v>198</v>
      </c>
      <c r="B79" s="127" t="s">
        <v>388</v>
      </c>
      <c r="C79" s="123" t="s">
        <v>387</v>
      </c>
      <c r="D79" s="124" t="s">
        <v>15</v>
      </c>
      <c r="E79" s="124" t="s">
        <v>16</v>
      </c>
      <c r="F79" s="124" t="s">
        <v>33</v>
      </c>
      <c r="G79" s="125" t="s">
        <v>115</v>
      </c>
      <c r="H79" s="125">
        <v>0</v>
      </c>
      <c r="I79" s="125">
        <f t="shared" si="10"/>
        <v>0</v>
      </c>
      <c r="J79" s="125">
        <v>0</v>
      </c>
      <c r="K79" s="125">
        <f t="shared" si="11"/>
        <v>0</v>
      </c>
      <c r="L79" s="123"/>
    </row>
    <row r="80" spans="1:12" s="126" customFormat="1" ht="12.75" customHeight="1" x14ac:dyDescent="0.2">
      <c r="A80" s="125" t="s">
        <v>201</v>
      </c>
      <c r="B80" s="127" t="s">
        <v>385</v>
      </c>
      <c r="C80" s="123" t="s">
        <v>384</v>
      </c>
      <c r="D80" s="124" t="s">
        <v>15</v>
      </c>
      <c r="E80" s="124" t="s">
        <v>16</v>
      </c>
      <c r="F80" s="124" t="s">
        <v>33</v>
      </c>
      <c r="G80" s="125" t="s">
        <v>122</v>
      </c>
      <c r="H80" s="125">
        <v>0</v>
      </c>
      <c r="I80" s="125">
        <f t="shared" si="10"/>
        <v>0</v>
      </c>
      <c r="J80" s="125">
        <v>0</v>
      </c>
      <c r="K80" s="125">
        <f t="shared" si="11"/>
        <v>0</v>
      </c>
      <c r="L80" s="123"/>
    </row>
    <row r="81" spans="1:12" s="126" customFormat="1" ht="12.75" customHeight="1" x14ac:dyDescent="0.2">
      <c r="A81" s="125" t="s">
        <v>202</v>
      </c>
      <c r="B81" s="127" t="s">
        <v>382</v>
      </c>
      <c r="C81" s="123" t="s">
        <v>381</v>
      </c>
      <c r="D81" s="124" t="s">
        <v>15</v>
      </c>
      <c r="E81" s="124" t="s">
        <v>16</v>
      </c>
      <c r="F81" s="124" t="s">
        <v>33</v>
      </c>
      <c r="G81" s="125" t="s">
        <v>403</v>
      </c>
      <c r="H81" s="125">
        <v>0</v>
      </c>
      <c r="I81" s="125">
        <f t="shared" si="10"/>
        <v>0</v>
      </c>
      <c r="J81" s="125">
        <v>0</v>
      </c>
      <c r="K81" s="125">
        <f t="shared" si="11"/>
        <v>0</v>
      </c>
      <c r="L81" s="123"/>
    </row>
    <row r="82" spans="1:12" s="126" customFormat="1" ht="12.75" customHeight="1" x14ac:dyDescent="0.2">
      <c r="A82" s="125" t="s">
        <v>204</v>
      </c>
      <c r="B82" s="127" t="s">
        <v>379</v>
      </c>
      <c r="C82" s="123" t="s">
        <v>378</v>
      </c>
      <c r="D82" s="124" t="s">
        <v>15</v>
      </c>
      <c r="E82" s="124" t="s">
        <v>16</v>
      </c>
      <c r="F82" s="124" t="s">
        <v>17</v>
      </c>
      <c r="G82" s="125" t="s">
        <v>115</v>
      </c>
      <c r="H82" s="125">
        <v>656</v>
      </c>
      <c r="I82" s="125">
        <f t="shared" si="10"/>
        <v>1312</v>
      </c>
      <c r="J82" s="125">
        <v>0</v>
      </c>
      <c r="K82" s="125">
        <f t="shared" si="11"/>
        <v>1312</v>
      </c>
      <c r="L82" s="123"/>
    </row>
    <row r="83" spans="1:12" s="126" customFormat="1" ht="12.75" customHeight="1" x14ac:dyDescent="0.2">
      <c r="A83" s="125" t="s">
        <v>207</v>
      </c>
      <c r="B83" s="127" t="s">
        <v>376</v>
      </c>
      <c r="C83" s="123" t="s">
        <v>375</v>
      </c>
      <c r="D83" s="124" t="s">
        <v>15</v>
      </c>
      <c r="E83" s="124" t="s">
        <v>16</v>
      </c>
      <c r="F83" s="124" t="s">
        <v>17</v>
      </c>
      <c r="G83" s="125" t="s">
        <v>115</v>
      </c>
      <c r="H83" s="125">
        <v>1405</v>
      </c>
      <c r="I83" s="125">
        <f t="shared" si="10"/>
        <v>2810</v>
      </c>
      <c r="J83" s="125">
        <v>0</v>
      </c>
      <c r="K83" s="125">
        <f t="shared" si="11"/>
        <v>2810</v>
      </c>
      <c r="L83" s="123"/>
    </row>
    <row r="84" spans="1:12" s="126" customFormat="1" ht="12.75" customHeight="1" x14ac:dyDescent="0.2">
      <c r="A84" s="125" t="s">
        <v>433</v>
      </c>
      <c r="B84" s="127" t="s">
        <v>41</v>
      </c>
      <c r="C84" s="123" t="s">
        <v>42</v>
      </c>
      <c r="D84" s="124" t="s">
        <v>15</v>
      </c>
      <c r="E84" s="124" t="s">
        <v>16</v>
      </c>
      <c r="F84" s="124" t="s">
        <v>17</v>
      </c>
      <c r="G84" s="125" t="s">
        <v>115</v>
      </c>
      <c r="H84" s="125">
        <v>0</v>
      </c>
      <c r="I84" s="125">
        <f t="shared" si="10"/>
        <v>0</v>
      </c>
      <c r="J84" s="125">
        <v>0</v>
      </c>
      <c r="K84" s="125">
        <f t="shared" si="11"/>
        <v>0</v>
      </c>
      <c r="L84" s="123"/>
    </row>
    <row r="85" spans="1:12" s="126" customFormat="1" ht="12.75" customHeight="1" x14ac:dyDescent="0.2">
      <c r="A85" s="125" t="s">
        <v>432</v>
      </c>
      <c r="B85" s="127" t="s">
        <v>400</v>
      </c>
      <c r="C85" s="123" t="s">
        <v>399</v>
      </c>
      <c r="D85" s="124" t="s">
        <v>15</v>
      </c>
      <c r="E85" s="124" t="s">
        <v>16</v>
      </c>
      <c r="F85" s="124" t="s">
        <v>17</v>
      </c>
      <c r="G85" s="125" t="s">
        <v>122</v>
      </c>
      <c r="H85" s="125">
        <v>5259</v>
      </c>
      <c r="I85" s="125">
        <f t="shared" si="10"/>
        <v>21036</v>
      </c>
      <c r="J85" s="125">
        <v>0</v>
      </c>
      <c r="K85" s="125">
        <f t="shared" si="11"/>
        <v>21036</v>
      </c>
      <c r="L85" s="123"/>
    </row>
    <row r="86" spans="1:12" s="126" customFormat="1" ht="12.75" customHeight="1" x14ac:dyDescent="0.2">
      <c r="A86" s="128" t="s">
        <v>55</v>
      </c>
      <c r="B86" s="128" t="s">
        <v>55</v>
      </c>
      <c r="C86" s="128" t="s">
        <v>55</v>
      </c>
      <c r="D86" s="128" t="s">
        <v>55</v>
      </c>
      <c r="E86" s="128" t="s">
        <v>55</v>
      </c>
      <c r="F86" s="128" t="s">
        <v>55</v>
      </c>
      <c r="G86" s="128" t="s">
        <v>55</v>
      </c>
      <c r="H86" s="128" t="s">
        <v>55</v>
      </c>
      <c r="I86" s="128" t="s">
        <v>55</v>
      </c>
      <c r="J86" s="129" t="s">
        <v>56</v>
      </c>
      <c r="K86" s="129">
        <f>(K71+K72+K73+K74+K75+K76+K77+K78+K79+K80+K81+K82+K83+K84+K85)</f>
        <v>65409.599999999999</v>
      </c>
      <c r="L86" s="129" t="s">
        <v>55</v>
      </c>
    </row>
    <row r="87" spans="1:12" s="126" customFormat="1" ht="12.75" customHeight="1" x14ac:dyDescent="0.2">
      <c r="A87" s="121" t="s">
        <v>210</v>
      </c>
      <c r="B87" s="122" t="s">
        <v>368</v>
      </c>
      <c r="C87" s="123" t="s">
        <v>367</v>
      </c>
      <c r="D87" s="124" t="s">
        <v>15</v>
      </c>
      <c r="E87" s="124" t="s">
        <v>16</v>
      </c>
      <c r="F87" s="124" t="s">
        <v>17</v>
      </c>
      <c r="G87" s="125" t="s">
        <v>264</v>
      </c>
      <c r="H87" s="125">
        <v>12188</v>
      </c>
      <c r="I87" s="125">
        <f>(H87*G87)</f>
        <v>292512</v>
      </c>
      <c r="J87" s="125">
        <v>0</v>
      </c>
      <c r="K87" s="125">
        <f>ROUND(I87-((I87*J87)/100),2)</f>
        <v>292512</v>
      </c>
      <c r="L87" s="123"/>
    </row>
    <row r="88" spans="1:12" s="126" customFormat="1" ht="12.75" customHeight="1" x14ac:dyDescent="0.2">
      <c r="A88" s="128" t="s">
        <v>55</v>
      </c>
      <c r="B88" s="128" t="s">
        <v>55</v>
      </c>
      <c r="C88" s="128" t="s">
        <v>55</v>
      </c>
      <c r="D88" s="128" t="s">
        <v>55</v>
      </c>
      <c r="E88" s="128" t="s">
        <v>55</v>
      </c>
      <c r="F88" s="128" t="s">
        <v>55</v>
      </c>
      <c r="G88" s="128" t="s">
        <v>55</v>
      </c>
      <c r="H88" s="128" t="s">
        <v>55</v>
      </c>
      <c r="I88" s="128" t="s">
        <v>55</v>
      </c>
      <c r="J88" s="129" t="s">
        <v>56</v>
      </c>
      <c r="K88" s="129">
        <f>(K87)</f>
        <v>292512</v>
      </c>
      <c r="L88" s="129" t="s">
        <v>55</v>
      </c>
    </row>
    <row r="89" spans="1:12" s="126" customFormat="1" ht="12.75" customHeight="1" x14ac:dyDescent="0.2">
      <c r="A89" s="121" t="s">
        <v>260</v>
      </c>
      <c r="B89" s="122" t="s">
        <v>366</v>
      </c>
      <c r="C89" s="123" t="s">
        <v>365</v>
      </c>
      <c r="D89" s="124" t="s">
        <v>15</v>
      </c>
      <c r="E89" s="124" t="s">
        <v>16</v>
      </c>
      <c r="F89" s="124" t="s">
        <v>17</v>
      </c>
      <c r="G89" s="125" t="s">
        <v>264</v>
      </c>
      <c r="H89" s="125">
        <v>2437.5</v>
      </c>
      <c r="I89" s="125">
        <f>(H89*G89)</f>
        <v>58500</v>
      </c>
      <c r="J89" s="125">
        <v>0</v>
      </c>
      <c r="K89" s="125">
        <f>ROUND(I89-((I89*J89)/100),2)</f>
        <v>58500</v>
      </c>
      <c r="L89" s="123"/>
    </row>
    <row r="90" spans="1:12" s="126" customFormat="1" ht="12.75" customHeight="1" x14ac:dyDescent="0.2">
      <c r="A90" s="128" t="s">
        <v>55</v>
      </c>
      <c r="B90" s="128" t="s">
        <v>55</v>
      </c>
      <c r="C90" s="128" t="s">
        <v>55</v>
      </c>
      <c r="D90" s="128" t="s">
        <v>55</v>
      </c>
      <c r="E90" s="128" t="s">
        <v>55</v>
      </c>
      <c r="F90" s="128" t="s">
        <v>55</v>
      </c>
      <c r="G90" s="128" t="s">
        <v>55</v>
      </c>
      <c r="H90" s="128" t="s">
        <v>55</v>
      </c>
      <c r="I90" s="128" t="s">
        <v>55</v>
      </c>
      <c r="J90" s="129" t="s">
        <v>56</v>
      </c>
      <c r="K90" s="129">
        <f>(K89)</f>
        <v>58500</v>
      </c>
      <c r="L90" s="129" t="s">
        <v>55</v>
      </c>
    </row>
    <row r="91" spans="1:12" s="126" customFormat="1" ht="12.75" customHeight="1" x14ac:dyDescent="0.2">
      <c r="A91" s="121" t="s">
        <v>277</v>
      </c>
      <c r="B91" s="122" t="s">
        <v>364</v>
      </c>
      <c r="C91" s="123" t="s">
        <v>363</v>
      </c>
      <c r="D91" s="124" t="s">
        <v>15</v>
      </c>
      <c r="E91" s="124" t="s">
        <v>16</v>
      </c>
      <c r="F91" s="124" t="s">
        <v>17</v>
      </c>
      <c r="G91" s="125" t="s">
        <v>264</v>
      </c>
      <c r="H91" s="125">
        <v>1199</v>
      </c>
      <c r="I91" s="125">
        <f>(H91*G91)</f>
        <v>28776</v>
      </c>
      <c r="J91" s="125">
        <v>0</v>
      </c>
      <c r="K91" s="125">
        <f>ROUND(I91-((I91*J91)/100),2)</f>
        <v>28776</v>
      </c>
      <c r="L91" s="123"/>
    </row>
    <row r="92" spans="1:12" s="126" customFormat="1" ht="12.75" customHeight="1" x14ac:dyDescent="0.2">
      <c r="A92" s="128" t="s">
        <v>55</v>
      </c>
      <c r="B92" s="128" t="s">
        <v>55</v>
      </c>
      <c r="C92" s="128" t="s">
        <v>55</v>
      </c>
      <c r="D92" s="128" t="s">
        <v>55</v>
      </c>
      <c r="E92" s="128" t="s">
        <v>55</v>
      </c>
      <c r="F92" s="128" t="s">
        <v>55</v>
      </c>
      <c r="G92" s="128" t="s">
        <v>55</v>
      </c>
      <c r="H92" s="128" t="s">
        <v>55</v>
      </c>
      <c r="I92" s="128" t="s">
        <v>55</v>
      </c>
      <c r="J92" s="129" t="s">
        <v>56</v>
      </c>
      <c r="K92" s="129">
        <f>(K91)</f>
        <v>28776</v>
      </c>
      <c r="L92" s="129" t="s">
        <v>55</v>
      </c>
    </row>
    <row r="93" spans="1:12" s="126" customFormat="1" ht="12.75" customHeight="1" x14ac:dyDescent="0.2">
      <c r="A93" s="121" t="s">
        <v>362</v>
      </c>
      <c r="B93" s="122" t="s">
        <v>431</v>
      </c>
      <c r="C93" s="123" t="s">
        <v>430</v>
      </c>
      <c r="D93" s="124" t="s">
        <v>15</v>
      </c>
      <c r="E93" s="124" t="s">
        <v>16</v>
      </c>
      <c r="F93" s="124" t="s">
        <v>17</v>
      </c>
      <c r="G93" s="125" t="s">
        <v>348</v>
      </c>
      <c r="H93" s="125">
        <v>2774</v>
      </c>
      <c r="I93" s="125">
        <f>(H93*G93)</f>
        <v>88768</v>
      </c>
      <c r="J93" s="125">
        <v>0</v>
      </c>
      <c r="K93" s="125">
        <f>ROUND(I93-((I93*J93)/100),2)</f>
        <v>88768</v>
      </c>
      <c r="L93" s="123"/>
    </row>
    <row r="94" spans="1:12" s="126" customFormat="1" ht="12.75" customHeight="1" x14ac:dyDescent="0.2">
      <c r="A94" s="128" t="s">
        <v>55</v>
      </c>
      <c r="B94" s="128" t="s">
        <v>55</v>
      </c>
      <c r="C94" s="128" t="s">
        <v>55</v>
      </c>
      <c r="D94" s="128" t="s">
        <v>55</v>
      </c>
      <c r="E94" s="128" t="s">
        <v>55</v>
      </c>
      <c r="F94" s="128" t="s">
        <v>55</v>
      </c>
      <c r="G94" s="128" t="s">
        <v>55</v>
      </c>
      <c r="H94" s="128" t="s">
        <v>55</v>
      </c>
      <c r="I94" s="128" t="s">
        <v>55</v>
      </c>
      <c r="J94" s="129" t="s">
        <v>56</v>
      </c>
      <c r="K94" s="129">
        <f>(K93)</f>
        <v>88768</v>
      </c>
      <c r="L94" s="129" t="s">
        <v>55</v>
      </c>
    </row>
    <row r="95" spans="1:12" s="126" customFormat="1" ht="12.75" customHeight="1" x14ac:dyDescent="0.2">
      <c r="A95" s="121" t="s">
        <v>341</v>
      </c>
      <c r="B95" s="122" t="s">
        <v>429</v>
      </c>
      <c r="C95" s="123" t="s">
        <v>351</v>
      </c>
      <c r="D95" s="124" t="s">
        <v>15</v>
      </c>
      <c r="E95" s="124" t="s">
        <v>107</v>
      </c>
      <c r="F95" s="124" t="s">
        <v>17</v>
      </c>
      <c r="G95" s="125" t="s">
        <v>122</v>
      </c>
      <c r="H95" s="125">
        <v>100</v>
      </c>
      <c r="I95" s="125">
        <f>(H95*G95)</f>
        <v>400</v>
      </c>
      <c r="J95" s="125">
        <v>0</v>
      </c>
      <c r="K95" s="125">
        <f>ROUND(I95-((I95*J95)/100),2)</f>
        <v>400</v>
      </c>
      <c r="L95" s="123"/>
    </row>
    <row r="96" spans="1:12" ht="12.75" customHeight="1" x14ac:dyDescent="0.2">
      <c r="A96" s="6" t="s">
        <v>55</v>
      </c>
      <c r="B96" s="6" t="s">
        <v>55</v>
      </c>
      <c r="C96" s="6" t="s">
        <v>55</v>
      </c>
      <c r="D96" s="6" t="s">
        <v>55</v>
      </c>
      <c r="E96" s="6" t="s">
        <v>55</v>
      </c>
      <c r="F96" s="6" t="s">
        <v>55</v>
      </c>
      <c r="G96" s="6" t="s">
        <v>55</v>
      </c>
      <c r="H96" s="6" t="s">
        <v>55</v>
      </c>
      <c r="I96" s="6" t="s">
        <v>55</v>
      </c>
      <c r="J96" s="5" t="s">
        <v>56</v>
      </c>
      <c r="K96" s="5">
        <f>(K95)</f>
        <v>400</v>
      </c>
      <c r="L96" s="5" t="s">
        <v>55</v>
      </c>
    </row>
    <row r="97" spans="1:12" ht="12.75" customHeight="1" x14ac:dyDescent="0.2">
      <c r="A97" s="6" t="s">
        <v>55</v>
      </c>
      <c r="B97" s="6" t="s">
        <v>55</v>
      </c>
      <c r="C97" s="6" t="s">
        <v>55</v>
      </c>
      <c r="D97" s="6" t="s">
        <v>55</v>
      </c>
      <c r="E97" s="6" t="s">
        <v>55</v>
      </c>
      <c r="F97" s="6" t="s">
        <v>55</v>
      </c>
      <c r="G97" s="6" t="s">
        <v>55</v>
      </c>
      <c r="H97" s="6" t="s">
        <v>55</v>
      </c>
      <c r="I97" s="6" t="s">
        <v>55</v>
      </c>
      <c r="J97" s="5" t="s">
        <v>335</v>
      </c>
      <c r="K97" s="5">
        <f>(K13+K25+K38+K54+K70+K86+K88+K90+K92+K94+K96)</f>
        <v>1561271.04</v>
      </c>
      <c r="L97" s="5" t="s">
        <v>55</v>
      </c>
    </row>
  </sheetData>
  <printOptions horizontalCentered="1"/>
  <pageMargins left="0.75" right="0.75" top="1" bottom="1" header="0.5" footer="0.5"/>
  <pageSetup paperSize="9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GridLines="0" workbookViewId="0">
      <selection activeCell="B55" sqref="B55"/>
    </sheetView>
  </sheetViews>
  <sheetFormatPr defaultColWidth="17.140625" defaultRowHeight="12.75" customHeight="1" x14ac:dyDescent="0.2"/>
  <cols>
    <col min="1" max="1" width="13.7109375" style="4" customWidth="1"/>
    <col min="2" max="2" width="31.28515625" style="4" customWidth="1"/>
    <col min="3" max="3" width="46.85546875" style="4" customWidth="1"/>
    <col min="4" max="4" width="13.7109375" style="4" customWidth="1"/>
    <col min="5" max="5" width="9.7109375" style="4" customWidth="1"/>
    <col min="6" max="6" width="13.7109375" style="4" customWidth="1"/>
    <col min="7" max="7" width="9.7109375" style="4" customWidth="1"/>
    <col min="8" max="11" width="13.7109375" style="4" customWidth="1"/>
    <col min="12" max="12" width="19.5703125" style="4" customWidth="1"/>
    <col min="13" max="16384" width="17.140625" style="4"/>
  </cols>
  <sheetData>
    <row r="1" spans="1:12" ht="24.9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s="109" customFormat="1" ht="12.75" customHeight="1" x14ac:dyDescent="0.2">
      <c r="A2" s="104" t="s">
        <v>12</v>
      </c>
      <c r="B2" s="105" t="s">
        <v>13</v>
      </c>
      <c r="C2" s="106" t="s">
        <v>14</v>
      </c>
      <c r="D2" s="107" t="s">
        <v>15</v>
      </c>
      <c r="E2" s="107" t="s">
        <v>16</v>
      </c>
      <c r="F2" s="107" t="s">
        <v>17</v>
      </c>
      <c r="G2" s="108" t="s">
        <v>404</v>
      </c>
      <c r="H2" s="108">
        <v>2995</v>
      </c>
      <c r="I2" s="108">
        <f t="shared" ref="I2:I12" si="0">(H2*G2)</f>
        <v>47920</v>
      </c>
      <c r="J2" s="108">
        <v>0</v>
      </c>
      <c r="K2" s="108">
        <f t="shared" ref="K2:K12" si="1">ROUND(I2-((I2*J2)/100),2)</f>
        <v>47920</v>
      </c>
      <c r="L2" s="106"/>
    </row>
    <row r="3" spans="1:12" s="109" customFormat="1" ht="12.75" customHeight="1" x14ac:dyDescent="0.2">
      <c r="A3" s="108" t="s">
        <v>19</v>
      </c>
      <c r="B3" s="110" t="s">
        <v>20</v>
      </c>
      <c r="C3" s="106" t="s">
        <v>21</v>
      </c>
      <c r="D3" s="107" t="s">
        <v>15</v>
      </c>
      <c r="E3" s="107" t="s">
        <v>16</v>
      </c>
      <c r="F3" s="107" t="s">
        <v>17</v>
      </c>
      <c r="G3" s="108" t="s">
        <v>348</v>
      </c>
      <c r="H3" s="108">
        <v>4767</v>
      </c>
      <c r="I3" s="108">
        <f t="shared" si="0"/>
        <v>152544</v>
      </c>
      <c r="J3" s="108">
        <v>0</v>
      </c>
      <c r="K3" s="108">
        <f t="shared" si="1"/>
        <v>152544</v>
      </c>
      <c r="L3" s="106"/>
    </row>
    <row r="4" spans="1:12" s="109" customFormat="1" ht="12.75" customHeight="1" x14ac:dyDescent="0.2">
      <c r="A4" s="108" t="s">
        <v>23</v>
      </c>
      <c r="B4" s="110" t="s">
        <v>24</v>
      </c>
      <c r="C4" s="106" t="s">
        <v>25</v>
      </c>
      <c r="D4" s="107" t="s">
        <v>15</v>
      </c>
      <c r="E4" s="107" t="s">
        <v>16</v>
      </c>
      <c r="F4" s="107" t="s">
        <v>17</v>
      </c>
      <c r="G4" s="108" t="s">
        <v>437</v>
      </c>
      <c r="H4" s="108">
        <v>725</v>
      </c>
      <c r="I4" s="108">
        <f t="shared" si="0"/>
        <v>185600</v>
      </c>
      <c r="J4" s="108">
        <v>0</v>
      </c>
      <c r="K4" s="108">
        <f t="shared" si="1"/>
        <v>185600</v>
      </c>
      <c r="L4" s="106"/>
    </row>
    <row r="5" spans="1:12" s="109" customFormat="1" ht="12.75" customHeight="1" x14ac:dyDescent="0.2">
      <c r="A5" s="108" t="s">
        <v>27</v>
      </c>
      <c r="B5" s="110" t="s">
        <v>28</v>
      </c>
      <c r="C5" s="106" t="s">
        <v>29</v>
      </c>
      <c r="D5" s="107" t="s">
        <v>15</v>
      </c>
      <c r="E5" s="107" t="s">
        <v>16</v>
      </c>
      <c r="F5" s="107" t="s">
        <v>17</v>
      </c>
      <c r="G5" s="108" t="s">
        <v>404</v>
      </c>
      <c r="H5" s="108">
        <v>1499</v>
      </c>
      <c r="I5" s="108">
        <f t="shared" si="0"/>
        <v>23984</v>
      </c>
      <c r="J5" s="108">
        <v>0</v>
      </c>
      <c r="K5" s="108">
        <f t="shared" si="1"/>
        <v>23984</v>
      </c>
      <c r="L5" s="106"/>
    </row>
    <row r="6" spans="1:12" s="109" customFormat="1" ht="12.75" customHeight="1" x14ac:dyDescent="0.2">
      <c r="A6" s="108" t="s">
        <v>30</v>
      </c>
      <c r="B6" s="110" t="s">
        <v>31</v>
      </c>
      <c r="C6" s="106" t="s">
        <v>32</v>
      </c>
      <c r="D6" s="107" t="s">
        <v>15</v>
      </c>
      <c r="E6" s="107" t="s">
        <v>16</v>
      </c>
      <c r="F6" s="107" t="s">
        <v>33</v>
      </c>
      <c r="G6" s="108" t="s">
        <v>348</v>
      </c>
      <c r="H6" s="108">
        <v>0</v>
      </c>
      <c r="I6" s="108">
        <f t="shared" si="0"/>
        <v>0</v>
      </c>
      <c r="J6" s="108">
        <v>0</v>
      </c>
      <c r="K6" s="108">
        <f t="shared" si="1"/>
        <v>0</v>
      </c>
      <c r="L6" s="106"/>
    </row>
    <row r="7" spans="1:12" s="109" customFormat="1" ht="12.75" customHeight="1" x14ac:dyDescent="0.2">
      <c r="A7" s="108" t="s">
        <v>34</v>
      </c>
      <c r="B7" s="110" t="s">
        <v>35</v>
      </c>
      <c r="C7" s="106" t="s">
        <v>36</v>
      </c>
      <c r="D7" s="107" t="s">
        <v>15</v>
      </c>
      <c r="E7" s="107" t="s">
        <v>16</v>
      </c>
      <c r="F7" s="107" t="s">
        <v>33</v>
      </c>
      <c r="G7" s="108" t="s">
        <v>404</v>
      </c>
      <c r="H7" s="108">
        <v>0</v>
      </c>
      <c r="I7" s="108">
        <f t="shared" si="0"/>
        <v>0</v>
      </c>
      <c r="J7" s="108">
        <v>0</v>
      </c>
      <c r="K7" s="108">
        <f t="shared" si="1"/>
        <v>0</v>
      </c>
      <c r="L7" s="106"/>
    </row>
    <row r="8" spans="1:12" s="109" customFormat="1" ht="12.75" customHeight="1" x14ac:dyDescent="0.2">
      <c r="A8" s="108" t="s">
        <v>37</v>
      </c>
      <c r="B8" s="110" t="s">
        <v>38</v>
      </c>
      <c r="C8" s="106" t="s">
        <v>39</v>
      </c>
      <c r="D8" s="107" t="s">
        <v>15</v>
      </c>
      <c r="E8" s="107" t="s">
        <v>16</v>
      </c>
      <c r="F8" s="107" t="s">
        <v>33</v>
      </c>
      <c r="G8" s="108" t="s">
        <v>404</v>
      </c>
      <c r="H8" s="108">
        <v>0</v>
      </c>
      <c r="I8" s="108">
        <f t="shared" si="0"/>
        <v>0</v>
      </c>
      <c r="J8" s="108">
        <v>0</v>
      </c>
      <c r="K8" s="108">
        <f t="shared" si="1"/>
        <v>0</v>
      </c>
      <c r="L8" s="106"/>
    </row>
    <row r="9" spans="1:12" s="109" customFormat="1" ht="12.75" customHeight="1" x14ac:dyDescent="0.2">
      <c r="A9" s="108" t="s">
        <v>40</v>
      </c>
      <c r="B9" s="110" t="s">
        <v>41</v>
      </c>
      <c r="C9" s="106" t="s">
        <v>42</v>
      </c>
      <c r="D9" s="107" t="s">
        <v>15</v>
      </c>
      <c r="E9" s="107" t="s">
        <v>16</v>
      </c>
      <c r="F9" s="107" t="s">
        <v>17</v>
      </c>
      <c r="G9" s="108" t="s">
        <v>404</v>
      </c>
      <c r="H9" s="108">
        <v>0</v>
      </c>
      <c r="I9" s="108">
        <f t="shared" si="0"/>
        <v>0</v>
      </c>
      <c r="J9" s="108">
        <v>0</v>
      </c>
      <c r="K9" s="108">
        <f t="shared" si="1"/>
        <v>0</v>
      </c>
      <c r="L9" s="106"/>
    </row>
    <row r="10" spans="1:12" s="109" customFormat="1" ht="12.75" customHeight="1" x14ac:dyDescent="0.2">
      <c r="A10" s="108" t="s">
        <v>43</v>
      </c>
      <c r="B10" s="110" t="s">
        <v>408</v>
      </c>
      <c r="C10" s="106" t="s">
        <v>407</v>
      </c>
      <c r="D10" s="107" t="s">
        <v>15</v>
      </c>
      <c r="E10" s="107" t="s">
        <v>16</v>
      </c>
      <c r="F10" s="107" t="s">
        <v>17</v>
      </c>
      <c r="G10" s="108" t="s">
        <v>348</v>
      </c>
      <c r="H10" s="108">
        <v>1855.36</v>
      </c>
      <c r="I10" s="108">
        <f t="shared" si="0"/>
        <v>59371.519999999997</v>
      </c>
      <c r="J10" s="108">
        <v>0</v>
      </c>
      <c r="K10" s="108">
        <f t="shared" si="1"/>
        <v>59371.519999999997</v>
      </c>
      <c r="L10" s="106"/>
    </row>
    <row r="11" spans="1:12" s="109" customFormat="1" ht="12.75" customHeight="1" x14ac:dyDescent="0.2">
      <c r="A11" s="108" t="s">
        <v>46</v>
      </c>
      <c r="B11" s="111" t="s">
        <v>405</v>
      </c>
      <c r="C11" s="106" t="s">
        <v>48</v>
      </c>
      <c r="D11" s="107" t="s">
        <v>54</v>
      </c>
      <c r="E11" s="107" t="s">
        <v>15</v>
      </c>
      <c r="F11" s="107" t="s">
        <v>17</v>
      </c>
      <c r="G11" s="108" t="s">
        <v>348</v>
      </c>
      <c r="H11" s="108">
        <v>1724.76</v>
      </c>
      <c r="I11" s="108">
        <f t="shared" si="0"/>
        <v>55192.32</v>
      </c>
      <c r="J11" s="108">
        <v>0</v>
      </c>
      <c r="K11" s="108">
        <f t="shared" si="1"/>
        <v>55192.32</v>
      </c>
      <c r="L11" s="106" t="s">
        <v>50</v>
      </c>
    </row>
    <row r="12" spans="1:12" s="109" customFormat="1" ht="12.75" customHeight="1" x14ac:dyDescent="0.2">
      <c r="A12" s="108" t="s">
        <v>51</v>
      </c>
      <c r="B12" s="110" t="s">
        <v>52</v>
      </c>
      <c r="C12" s="106" t="s">
        <v>53</v>
      </c>
      <c r="D12" s="107" t="s">
        <v>54</v>
      </c>
      <c r="E12" s="107" t="s">
        <v>15</v>
      </c>
      <c r="F12" s="107" t="s">
        <v>17</v>
      </c>
      <c r="G12" s="108" t="s">
        <v>404</v>
      </c>
      <c r="H12" s="108">
        <v>952.2</v>
      </c>
      <c r="I12" s="108">
        <f t="shared" si="0"/>
        <v>15235.2</v>
      </c>
      <c r="J12" s="108">
        <v>0</v>
      </c>
      <c r="K12" s="108">
        <f t="shared" si="1"/>
        <v>15235.2</v>
      </c>
      <c r="L12" s="106" t="s">
        <v>50</v>
      </c>
    </row>
    <row r="13" spans="1:12" s="109" customFormat="1" ht="12.75" customHeight="1" x14ac:dyDescent="0.2">
      <c r="A13" s="112" t="s">
        <v>55</v>
      </c>
      <c r="B13" s="112" t="s">
        <v>55</v>
      </c>
      <c r="C13" s="112" t="s">
        <v>55</v>
      </c>
      <c r="D13" s="112" t="s">
        <v>55</v>
      </c>
      <c r="E13" s="112" t="s">
        <v>55</v>
      </c>
      <c r="F13" s="112" t="s">
        <v>55</v>
      </c>
      <c r="G13" s="112" t="s">
        <v>55</v>
      </c>
      <c r="H13" s="112" t="s">
        <v>55</v>
      </c>
      <c r="I13" s="112" t="s">
        <v>55</v>
      </c>
      <c r="J13" s="113" t="s">
        <v>56</v>
      </c>
      <c r="K13" s="113">
        <f>(K2+K3+K4+K5+K6+K7+K8+K9+K10+K11+K12)</f>
        <v>539847.03999999992</v>
      </c>
      <c r="L13" s="113" t="s">
        <v>55</v>
      </c>
    </row>
    <row r="14" spans="1:12" s="109" customFormat="1" ht="12.75" customHeight="1" x14ac:dyDescent="0.2">
      <c r="A14" s="104" t="s">
        <v>57</v>
      </c>
      <c r="B14" s="105" t="s">
        <v>13</v>
      </c>
      <c r="C14" s="106" t="s">
        <v>14</v>
      </c>
      <c r="D14" s="107" t="s">
        <v>15</v>
      </c>
      <c r="E14" s="107" t="s">
        <v>16</v>
      </c>
      <c r="F14" s="107" t="s">
        <v>17</v>
      </c>
      <c r="G14" s="108" t="s">
        <v>230</v>
      </c>
      <c r="H14" s="108">
        <v>2995</v>
      </c>
      <c r="I14" s="108">
        <f t="shared" ref="I14:I24" si="2">(H14*G14)</f>
        <v>35940</v>
      </c>
      <c r="J14" s="108">
        <v>0</v>
      </c>
      <c r="K14" s="108">
        <f t="shared" ref="K14:K24" si="3">ROUND(I14-((I14*J14)/100),2)</f>
        <v>35940</v>
      </c>
      <c r="L14" s="106"/>
    </row>
    <row r="15" spans="1:12" s="109" customFormat="1" ht="12.75" customHeight="1" x14ac:dyDescent="0.2">
      <c r="A15" s="108" t="s">
        <v>59</v>
      </c>
      <c r="B15" s="110" t="s">
        <v>20</v>
      </c>
      <c r="C15" s="106" t="s">
        <v>21</v>
      </c>
      <c r="D15" s="107" t="s">
        <v>15</v>
      </c>
      <c r="E15" s="107" t="s">
        <v>16</v>
      </c>
      <c r="F15" s="107" t="s">
        <v>17</v>
      </c>
      <c r="G15" s="108" t="s">
        <v>264</v>
      </c>
      <c r="H15" s="108">
        <v>4767</v>
      </c>
      <c r="I15" s="108">
        <f t="shared" si="2"/>
        <v>114408</v>
      </c>
      <c r="J15" s="108">
        <v>0</v>
      </c>
      <c r="K15" s="108">
        <f t="shared" si="3"/>
        <v>114408</v>
      </c>
      <c r="L15" s="106"/>
    </row>
    <row r="16" spans="1:12" s="109" customFormat="1" ht="12.75" customHeight="1" x14ac:dyDescent="0.2">
      <c r="A16" s="108" t="s">
        <v>61</v>
      </c>
      <c r="B16" s="110" t="s">
        <v>24</v>
      </c>
      <c r="C16" s="106" t="s">
        <v>25</v>
      </c>
      <c r="D16" s="107" t="s">
        <v>15</v>
      </c>
      <c r="E16" s="107" t="s">
        <v>16</v>
      </c>
      <c r="F16" s="107" t="s">
        <v>17</v>
      </c>
      <c r="G16" s="108" t="s">
        <v>398</v>
      </c>
      <c r="H16" s="108">
        <v>725</v>
      </c>
      <c r="I16" s="108">
        <f t="shared" si="2"/>
        <v>69600</v>
      </c>
      <c r="J16" s="108">
        <v>0</v>
      </c>
      <c r="K16" s="108">
        <f t="shared" si="3"/>
        <v>69600</v>
      </c>
      <c r="L16" s="106"/>
    </row>
    <row r="17" spans="1:12" s="109" customFormat="1" ht="12.75" customHeight="1" x14ac:dyDescent="0.2">
      <c r="A17" s="108" t="s">
        <v>63</v>
      </c>
      <c r="B17" s="110" t="s">
        <v>28</v>
      </c>
      <c r="C17" s="106" t="s">
        <v>29</v>
      </c>
      <c r="D17" s="107" t="s">
        <v>15</v>
      </c>
      <c r="E17" s="107" t="s">
        <v>16</v>
      </c>
      <c r="F17" s="107" t="s">
        <v>17</v>
      </c>
      <c r="G17" s="108" t="s">
        <v>230</v>
      </c>
      <c r="H17" s="108">
        <v>1499</v>
      </c>
      <c r="I17" s="108">
        <f t="shared" si="2"/>
        <v>17988</v>
      </c>
      <c r="J17" s="108">
        <v>0</v>
      </c>
      <c r="K17" s="108">
        <f t="shared" si="3"/>
        <v>17988</v>
      </c>
      <c r="L17" s="106"/>
    </row>
    <row r="18" spans="1:12" s="109" customFormat="1" ht="12.75" customHeight="1" x14ac:dyDescent="0.2">
      <c r="A18" s="108" t="s">
        <v>64</v>
      </c>
      <c r="B18" s="110" t="s">
        <v>31</v>
      </c>
      <c r="C18" s="106" t="s">
        <v>32</v>
      </c>
      <c r="D18" s="107" t="s">
        <v>15</v>
      </c>
      <c r="E18" s="107" t="s">
        <v>16</v>
      </c>
      <c r="F18" s="107" t="s">
        <v>33</v>
      </c>
      <c r="G18" s="108" t="s">
        <v>264</v>
      </c>
      <c r="H18" s="108">
        <v>0</v>
      </c>
      <c r="I18" s="108">
        <f t="shared" si="2"/>
        <v>0</v>
      </c>
      <c r="J18" s="108">
        <v>0</v>
      </c>
      <c r="K18" s="108">
        <f t="shared" si="3"/>
        <v>0</v>
      </c>
      <c r="L18" s="106"/>
    </row>
    <row r="19" spans="1:12" s="109" customFormat="1" ht="12.75" customHeight="1" x14ac:dyDescent="0.2">
      <c r="A19" s="108" t="s">
        <v>65</v>
      </c>
      <c r="B19" s="110" t="s">
        <v>35</v>
      </c>
      <c r="C19" s="106" t="s">
        <v>36</v>
      </c>
      <c r="D19" s="107" t="s">
        <v>15</v>
      </c>
      <c r="E19" s="107" t="s">
        <v>16</v>
      </c>
      <c r="F19" s="107" t="s">
        <v>33</v>
      </c>
      <c r="G19" s="108" t="s">
        <v>230</v>
      </c>
      <c r="H19" s="108">
        <v>0</v>
      </c>
      <c r="I19" s="108">
        <f t="shared" si="2"/>
        <v>0</v>
      </c>
      <c r="J19" s="108">
        <v>0</v>
      </c>
      <c r="K19" s="108">
        <f t="shared" si="3"/>
        <v>0</v>
      </c>
      <c r="L19" s="106"/>
    </row>
    <row r="20" spans="1:12" s="109" customFormat="1" ht="12.75" customHeight="1" x14ac:dyDescent="0.2">
      <c r="A20" s="108" t="s">
        <v>66</v>
      </c>
      <c r="B20" s="110" t="s">
        <v>38</v>
      </c>
      <c r="C20" s="106" t="s">
        <v>39</v>
      </c>
      <c r="D20" s="107" t="s">
        <v>15</v>
      </c>
      <c r="E20" s="107" t="s">
        <v>16</v>
      </c>
      <c r="F20" s="107" t="s">
        <v>33</v>
      </c>
      <c r="G20" s="108" t="s">
        <v>230</v>
      </c>
      <c r="H20" s="108">
        <v>0</v>
      </c>
      <c r="I20" s="108">
        <f t="shared" si="2"/>
        <v>0</v>
      </c>
      <c r="J20" s="108">
        <v>0</v>
      </c>
      <c r="K20" s="108">
        <f t="shared" si="3"/>
        <v>0</v>
      </c>
      <c r="L20" s="106"/>
    </row>
    <row r="21" spans="1:12" s="109" customFormat="1" ht="12.75" customHeight="1" x14ac:dyDescent="0.2">
      <c r="A21" s="108" t="s">
        <v>67</v>
      </c>
      <c r="B21" s="110" t="s">
        <v>41</v>
      </c>
      <c r="C21" s="106" t="s">
        <v>42</v>
      </c>
      <c r="D21" s="107" t="s">
        <v>15</v>
      </c>
      <c r="E21" s="107" t="s">
        <v>16</v>
      </c>
      <c r="F21" s="107" t="s">
        <v>17</v>
      </c>
      <c r="G21" s="108" t="s">
        <v>230</v>
      </c>
      <c r="H21" s="108">
        <v>0</v>
      </c>
      <c r="I21" s="108">
        <f t="shared" si="2"/>
        <v>0</v>
      </c>
      <c r="J21" s="108">
        <v>0</v>
      </c>
      <c r="K21" s="108">
        <f t="shared" si="3"/>
        <v>0</v>
      </c>
      <c r="L21" s="106"/>
    </row>
    <row r="22" spans="1:12" s="109" customFormat="1" ht="12.75" customHeight="1" x14ac:dyDescent="0.2">
      <c r="A22" s="108" t="s">
        <v>409</v>
      </c>
      <c r="B22" s="110" t="s">
        <v>408</v>
      </c>
      <c r="C22" s="106" t="s">
        <v>407</v>
      </c>
      <c r="D22" s="107" t="s">
        <v>15</v>
      </c>
      <c r="E22" s="107" t="s">
        <v>16</v>
      </c>
      <c r="F22" s="107" t="s">
        <v>17</v>
      </c>
      <c r="G22" s="108" t="s">
        <v>264</v>
      </c>
      <c r="H22" s="108">
        <v>1855.36</v>
      </c>
      <c r="I22" s="108">
        <f t="shared" si="2"/>
        <v>44528.639999999999</v>
      </c>
      <c r="J22" s="108">
        <v>0</v>
      </c>
      <c r="K22" s="108">
        <f t="shared" si="3"/>
        <v>44528.639999999999</v>
      </c>
      <c r="L22" s="106"/>
    </row>
    <row r="23" spans="1:12" s="109" customFormat="1" ht="12.75" customHeight="1" x14ac:dyDescent="0.2">
      <c r="A23" s="108" t="s">
        <v>406</v>
      </c>
      <c r="B23" s="111" t="s">
        <v>405</v>
      </c>
      <c r="C23" s="106" t="s">
        <v>48</v>
      </c>
      <c r="D23" s="107" t="s">
        <v>54</v>
      </c>
      <c r="E23" s="107" t="s">
        <v>15</v>
      </c>
      <c r="F23" s="107" t="s">
        <v>17</v>
      </c>
      <c r="G23" s="108" t="s">
        <v>264</v>
      </c>
      <c r="H23" s="108">
        <v>1724.76</v>
      </c>
      <c r="I23" s="108">
        <f t="shared" si="2"/>
        <v>41394.239999999998</v>
      </c>
      <c r="J23" s="108">
        <v>0</v>
      </c>
      <c r="K23" s="108">
        <f t="shared" si="3"/>
        <v>41394.239999999998</v>
      </c>
      <c r="L23" s="106" t="s">
        <v>50</v>
      </c>
    </row>
    <row r="24" spans="1:12" s="109" customFormat="1" ht="12.75" customHeight="1" x14ac:dyDescent="0.2">
      <c r="A24" s="108" t="s">
        <v>68</v>
      </c>
      <c r="B24" s="110" t="s">
        <v>52</v>
      </c>
      <c r="C24" s="106" t="s">
        <v>53</v>
      </c>
      <c r="D24" s="107" t="s">
        <v>54</v>
      </c>
      <c r="E24" s="107" t="s">
        <v>15</v>
      </c>
      <c r="F24" s="107" t="s">
        <v>17</v>
      </c>
      <c r="G24" s="108" t="s">
        <v>230</v>
      </c>
      <c r="H24" s="108">
        <v>952.2</v>
      </c>
      <c r="I24" s="108">
        <f t="shared" si="2"/>
        <v>11426.400000000001</v>
      </c>
      <c r="J24" s="108">
        <v>0</v>
      </c>
      <c r="K24" s="108">
        <f t="shared" si="3"/>
        <v>11426.4</v>
      </c>
      <c r="L24" s="106" t="s">
        <v>50</v>
      </c>
    </row>
    <row r="25" spans="1:12" s="109" customFormat="1" ht="12.75" customHeight="1" x14ac:dyDescent="0.2">
      <c r="A25" s="112" t="s">
        <v>55</v>
      </c>
      <c r="B25" s="112" t="s">
        <v>55</v>
      </c>
      <c r="C25" s="112" t="s">
        <v>55</v>
      </c>
      <c r="D25" s="112" t="s">
        <v>55</v>
      </c>
      <c r="E25" s="112" t="s">
        <v>55</v>
      </c>
      <c r="F25" s="112" t="s">
        <v>55</v>
      </c>
      <c r="G25" s="112" t="s">
        <v>55</v>
      </c>
      <c r="H25" s="112" t="s">
        <v>55</v>
      </c>
      <c r="I25" s="112" t="s">
        <v>55</v>
      </c>
      <c r="J25" s="113" t="s">
        <v>56</v>
      </c>
      <c r="K25" s="113">
        <f>(K14+K15+K16+K17+K18+K19+K20+K21+K22+K23+K24)</f>
        <v>335285.28000000003</v>
      </c>
      <c r="L25" s="113" t="s">
        <v>55</v>
      </c>
    </row>
    <row r="26" spans="1:12" s="109" customFormat="1" ht="12.75" customHeight="1" x14ac:dyDescent="0.2">
      <c r="A26" s="104" t="s">
        <v>69</v>
      </c>
      <c r="B26" s="105" t="s">
        <v>70</v>
      </c>
      <c r="C26" s="106" t="s">
        <v>71</v>
      </c>
      <c r="D26" s="107" t="s">
        <v>15</v>
      </c>
      <c r="E26" s="107" t="s">
        <v>16</v>
      </c>
      <c r="F26" s="107" t="s">
        <v>17</v>
      </c>
      <c r="G26" s="108" t="s">
        <v>122</v>
      </c>
      <c r="H26" s="108">
        <v>5999</v>
      </c>
      <c r="I26" s="108">
        <f t="shared" ref="I26:I37" si="4">(H26*G26)</f>
        <v>23996</v>
      </c>
      <c r="J26" s="108">
        <v>0</v>
      </c>
      <c r="K26" s="108">
        <f t="shared" ref="K26:K37" si="5">ROUND(I26-((I26*J26)/100),2)</f>
        <v>23996</v>
      </c>
      <c r="L26" s="106"/>
    </row>
    <row r="27" spans="1:12" s="109" customFormat="1" ht="12.75" customHeight="1" x14ac:dyDescent="0.2">
      <c r="A27" s="108" t="s">
        <v>73</v>
      </c>
      <c r="B27" s="110" t="s">
        <v>74</v>
      </c>
      <c r="C27" s="106" t="s">
        <v>75</v>
      </c>
      <c r="D27" s="107" t="s">
        <v>15</v>
      </c>
      <c r="E27" s="107" t="s">
        <v>16</v>
      </c>
      <c r="F27" s="107" t="s">
        <v>33</v>
      </c>
      <c r="G27" s="108" t="s">
        <v>122</v>
      </c>
      <c r="H27" s="108">
        <v>0</v>
      </c>
      <c r="I27" s="108">
        <f t="shared" si="4"/>
        <v>0</v>
      </c>
      <c r="J27" s="108">
        <v>0</v>
      </c>
      <c r="K27" s="108">
        <f t="shared" si="5"/>
        <v>0</v>
      </c>
      <c r="L27" s="106"/>
    </row>
    <row r="28" spans="1:12" s="109" customFormat="1" ht="12.75" customHeight="1" x14ac:dyDescent="0.2">
      <c r="A28" s="108" t="s">
        <v>76</v>
      </c>
      <c r="B28" s="110" t="s">
        <v>77</v>
      </c>
      <c r="C28" s="106" t="s">
        <v>78</v>
      </c>
      <c r="D28" s="107" t="s">
        <v>15</v>
      </c>
      <c r="E28" s="107" t="s">
        <v>16</v>
      </c>
      <c r="F28" s="107" t="s">
        <v>33</v>
      </c>
      <c r="G28" s="108" t="s">
        <v>122</v>
      </c>
      <c r="H28" s="108">
        <v>0</v>
      </c>
      <c r="I28" s="108">
        <f t="shared" si="4"/>
        <v>0</v>
      </c>
      <c r="J28" s="108">
        <v>0</v>
      </c>
      <c r="K28" s="108">
        <f t="shared" si="5"/>
        <v>0</v>
      </c>
      <c r="L28" s="106"/>
    </row>
    <row r="29" spans="1:12" s="109" customFormat="1" ht="12.75" customHeight="1" x14ac:dyDescent="0.2">
      <c r="A29" s="108" t="s">
        <v>79</v>
      </c>
      <c r="B29" s="110" t="s">
        <v>80</v>
      </c>
      <c r="C29" s="106" t="s">
        <v>81</v>
      </c>
      <c r="D29" s="107" t="s">
        <v>15</v>
      </c>
      <c r="E29" s="107" t="s">
        <v>16</v>
      </c>
      <c r="F29" s="107" t="s">
        <v>33</v>
      </c>
      <c r="G29" s="108" t="s">
        <v>122</v>
      </c>
      <c r="H29" s="108">
        <v>0</v>
      </c>
      <c r="I29" s="108">
        <f t="shared" si="4"/>
        <v>0</v>
      </c>
      <c r="J29" s="108">
        <v>0</v>
      </c>
      <c r="K29" s="108">
        <f t="shared" si="5"/>
        <v>0</v>
      </c>
      <c r="L29" s="106"/>
    </row>
    <row r="30" spans="1:12" s="109" customFormat="1" ht="12.75" customHeight="1" x14ac:dyDescent="0.2">
      <c r="A30" s="108" t="s">
        <v>82</v>
      </c>
      <c r="B30" s="110" t="s">
        <v>83</v>
      </c>
      <c r="C30" s="106" t="s">
        <v>84</v>
      </c>
      <c r="D30" s="107" t="s">
        <v>15</v>
      </c>
      <c r="E30" s="107" t="s">
        <v>16</v>
      </c>
      <c r="F30" s="107" t="s">
        <v>33</v>
      </c>
      <c r="G30" s="108" t="s">
        <v>348</v>
      </c>
      <c r="H30" s="108">
        <v>0</v>
      </c>
      <c r="I30" s="108">
        <f t="shared" si="4"/>
        <v>0</v>
      </c>
      <c r="J30" s="108">
        <v>0</v>
      </c>
      <c r="K30" s="108">
        <f t="shared" si="5"/>
        <v>0</v>
      </c>
      <c r="L30" s="106"/>
    </row>
    <row r="31" spans="1:12" s="109" customFormat="1" ht="12.75" customHeight="1" x14ac:dyDescent="0.2">
      <c r="A31" s="108" t="s">
        <v>86</v>
      </c>
      <c r="B31" s="110" t="s">
        <v>87</v>
      </c>
      <c r="C31" s="106" t="s">
        <v>88</v>
      </c>
      <c r="D31" s="107" t="s">
        <v>15</v>
      </c>
      <c r="E31" s="107" t="s">
        <v>16</v>
      </c>
      <c r="F31" s="107" t="s">
        <v>33</v>
      </c>
      <c r="G31" s="108" t="s">
        <v>348</v>
      </c>
      <c r="H31" s="108">
        <v>0</v>
      </c>
      <c r="I31" s="108">
        <f t="shared" si="4"/>
        <v>0</v>
      </c>
      <c r="J31" s="108">
        <v>0</v>
      </c>
      <c r="K31" s="108">
        <f t="shared" si="5"/>
        <v>0</v>
      </c>
      <c r="L31" s="106"/>
    </row>
    <row r="32" spans="1:12" s="109" customFormat="1" ht="12.75" customHeight="1" x14ac:dyDescent="0.2">
      <c r="A32" s="108" t="s">
        <v>89</v>
      </c>
      <c r="B32" s="110" t="s">
        <v>90</v>
      </c>
      <c r="C32" s="106" t="s">
        <v>91</v>
      </c>
      <c r="D32" s="107" t="s">
        <v>15</v>
      </c>
      <c r="E32" s="107" t="s">
        <v>16</v>
      </c>
      <c r="F32" s="107" t="s">
        <v>17</v>
      </c>
      <c r="G32" s="108" t="s">
        <v>404</v>
      </c>
      <c r="H32" s="108">
        <v>936</v>
      </c>
      <c r="I32" s="108">
        <f t="shared" si="4"/>
        <v>14976</v>
      </c>
      <c r="J32" s="108">
        <v>0</v>
      </c>
      <c r="K32" s="108">
        <f t="shared" si="5"/>
        <v>14976</v>
      </c>
      <c r="L32" s="106"/>
    </row>
    <row r="33" spans="1:12" s="109" customFormat="1" ht="12.75" customHeight="1" x14ac:dyDescent="0.2">
      <c r="A33" s="108" t="s">
        <v>93</v>
      </c>
      <c r="B33" s="110" t="s">
        <v>94</v>
      </c>
      <c r="C33" s="106" t="s">
        <v>95</v>
      </c>
      <c r="D33" s="107" t="s">
        <v>15</v>
      </c>
      <c r="E33" s="107" t="s">
        <v>96</v>
      </c>
      <c r="F33" s="107" t="s">
        <v>17</v>
      </c>
      <c r="G33" s="108" t="s">
        <v>404</v>
      </c>
      <c r="H33" s="108">
        <v>0</v>
      </c>
      <c r="I33" s="108">
        <f t="shared" si="4"/>
        <v>0</v>
      </c>
      <c r="J33" s="108">
        <v>0</v>
      </c>
      <c r="K33" s="108">
        <f t="shared" si="5"/>
        <v>0</v>
      </c>
      <c r="L33" s="106"/>
    </row>
    <row r="34" spans="1:12" s="109" customFormat="1" ht="12.75" customHeight="1" x14ac:dyDescent="0.2">
      <c r="A34" s="108" t="s">
        <v>97</v>
      </c>
      <c r="B34" s="110" t="s">
        <v>98</v>
      </c>
      <c r="C34" s="106" t="s">
        <v>99</v>
      </c>
      <c r="D34" s="107" t="s">
        <v>15</v>
      </c>
      <c r="E34" s="107" t="s">
        <v>16</v>
      </c>
      <c r="F34" s="107" t="s">
        <v>17</v>
      </c>
      <c r="G34" s="108" t="s">
        <v>122</v>
      </c>
      <c r="H34" s="108">
        <v>0</v>
      </c>
      <c r="I34" s="108">
        <f t="shared" si="4"/>
        <v>0</v>
      </c>
      <c r="J34" s="108">
        <v>0</v>
      </c>
      <c r="K34" s="108">
        <f t="shared" si="5"/>
        <v>0</v>
      </c>
      <c r="L34" s="106"/>
    </row>
    <row r="35" spans="1:12" s="109" customFormat="1" ht="12.75" customHeight="1" x14ac:dyDescent="0.2">
      <c r="A35" s="108" t="s">
        <v>100</v>
      </c>
      <c r="B35" s="110" t="s">
        <v>101</v>
      </c>
      <c r="C35" s="106" t="s">
        <v>102</v>
      </c>
      <c r="D35" s="107" t="s">
        <v>15</v>
      </c>
      <c r="E35" s="107" t="s">
        <v>16</v>
      </c>
      <c r="F35" s="107" t="s">
        <v>17</v>
      </c>
      <c r="G35" s="108" t="s">
        <v>135</v>
      </c>
      <c r="H35" s="108">
        <v>7800</v>
      </c>
      <c r="I35" s="108">
        <f t="shared" si="4"/>
        <v>62400</v>
      </c>
      <c r="J35" s="108">
        <v>0</v>
      </c>
      <c r="K35" s="108">
        <f t="shared" si="5"/>
        <v>62400</v>
      </c>
      <c r="L35" s="106"/>
    </row>
    <row r="36" spans="1:12" s="109" customFormat="1" ht="12.75" customHeight="1" x14ac:dyDescent="0.2">
      <c r="A36" s="108" t="s">
        <v>104</v>
      </c>
      <c r="B36" s="110" t="s">
        <v>105</v>
      </c>
      <c r="C36" s="106" t="s">
        <v>106</v>
      </c>
      <c r="D36" s="107" t="s">
        <v>15</v>
      </c>
      <c r="E36" s="107" t="s">
        <v>107</v>
      </c>
      <c r="F36" s="107" t="s">
        <v>33</v>
      </c>
      <c r="G36" s="108" t="s">
        <v>434</v>
      </c>
      <c r="H36" s="108">
        <v>0</v>
      </c>
      <c r="I36" s="108">
        <f t="shared" si="4"/>
        <v>0</v>
      </c>
      <c r="J36" s="108">
        <v>0</v>
      </c>
      <c r="K36" s="108">
        <f t="shared" si="5"/>
        <v>0</v>
      </c>
      <c r="L36" s="106"/>
    </row>
    <row r="37" spans="1:12" s="109" customFormat="1" ht="12.75" customHeight="1" x14ac:dyDescent="0.2">
      <c r="A37" s="108" t="s">
        <v>109</v>
      </c>
      <c r="B37" s="110" t="s">
        <v>110</v>
      </c>
      <c r="C37" s="106" t="s">
        <v>111</v>
      </c>
      <c r="D37" s="107" t="s">
        <v>54</v>
      </c>
      <c r="E37" s="107" t="s">
        <v>15</v>
      </c>
      <c r="F37" s="107" t="s">
        <v>17</v>
      </c>
      <c r="G37" s="108" t="s">
        <v>122</v>
      </c>
      <c r="H37" s="108">
        <v>296.7</v>
      </c>
      <c r="I37" s="108">
        <f t="shared" si="4"/>
        <v>1186.8</v>
      </c>
      <c r="J37" s="108">
        <v>0</v>
      </c>
      <c r="K37" s="108">
        <f t="shared" si="5"/>
        <v>1186.8</v>
      </c>
      <c r="L37" s="106" t="s">
        <v>50</v>
      </c>
    </row>
    <row r="38" spans="1:12" ht="12.75" customHeight="1" x14ac:dyDescent="0.2">
      <c r="A38" s="6" t="s">
        <v>55</v>
      </c>
      <c r="B38" s="6" t="s">
        <v>55</v>
      </c>
      <c r="C38" s="6" t="s">
        <v>55</v>
      </c>
      <c r="D38" s="6" t="s">
        <v>55</v>
      </c>
      <c r="E38" s="6" t="s">
        <v>55</v>
      </c>
      <c r="F38" s="6" t="s">
        <v>55</v>
      </c>
      <c r="G38" s="6" t="s">
        <v>55</v>
      </c>
      <c r="H38" s="6" t="s">
        <v>55</v>
      </c>
      <c r="I38" s="6" t="s">
        <v>55</v>
      </c>
      <c r="J38" s="5" t="s">
        <v>56</v>
      </c>
      <c r="K38" s="5">
        <f>(K26+K27+K28+K29+K30+K31+K32+K33+K34+K35+K36+K37)</f>
        <v>102558.8</v>
      </c>
      <c r="L38" s="5" t="s">
        <v>55</v>
      </c>
    </row>
    <row r="39" spans="1:12" s="126" customFormat="1" ht="12.75" customHeight="1" x14ac:dyDescent="0.2">
      <c r="A39" s="121" t="s">
        <v>112</v>
      </c>
      <c r="B39" s="122" t="s">
        <v>402</v>
      </c>
      <c r="C39" s="123" t="s">
        <v>401</v>
      </c>
      <c r="D39" s="124" t="s">
        <v>15</v>
      </c>
      <c r="E39" s="124" t="s">
        <v>16</v>
      </c>
      <c r="F39" s="124" t="s">
        <v>17</v>
      </c>
      <c r="G39" s="125" t="s">
        <v>115</v>
      </c>
      <c r="H39" s="125">
        <v>3995</v>
      </c>
      <c r="I39" s="125">
        <f t="shared" ref="I39:I53" si="6">(H39*G39)</f>
        <v>7990</v>
      </c>
      <c r="J39" s="125">
        <v>0</v>
      </c>
      <c r="K39" s="125">
        <f t="shared" ref="K39:K53" si="7">ROUND(I39-((I39*J39)/100),2)</f>
        <v>7990</v>
      </c>
      <c r="L39" s="123"/>
    </row>
    <row r="40" spans="1:12" s="126" customFormat="1" ht="12.75" customHeight="1" x14ac:dyDescent="0.2">
      <c r="A40" s="125" t="s">
        <v>153</v>
      </c>
      <c r="B40" s="127" t="s">
        <v>373</v>
      </c>
      <c r="C40" s="123" t="s">
        <v>372</v>
      </c>
      <c r="D40" s="124" t="s">
        <v>54</v>
      </c>
      <c r="E40" s="124" t="s">
        <v>15</v>
      </c>
      <c r="F40" s="124" t="s">
        <v>17</v>
      </c>
      <c r="G40" s="125" t="s">
        <v>115</v>
      </c>
      <c r="H40" s="125">
        <v>1462.8</v>
      </c>
      <c r="I40" s="125">
        <f t="shared" si="6"/>
        <v>2925.6</v>
      </c>
      <c r="J40" s="125">
        <v>0</v>
      </c>
      <c r="K40" s="125">
        <f t="shared" si="7"/>
        <v>2925.6</v>
      </c>
      <c r="L40" s="123" t="s">
        <v>50</v>
      </c>
    </row>
    <row r="41" spans="1:12" s="126" customFormat="1" ht="12.75" customHeight="1" x14ac:dyDescent="0.2">
      <c r="A41" s="125" t="s">
        <v>116</v>
      </c>
      <c r="B41" s="127" t="s">
        <v>24</v>
      </c>
      <c r="C41" s="123" t="s">
        <v>25</v>
      </c>
      <c r="D41" s="124" t="s">
        <v>15</v>
      </c>
      <c r="E41" s="124" t="s">
        <v>16</v>
      </c>
      <c r="F41" s="124" t="s">
        <v>17</v>
      </c>
      <c r="G41" s="125" t="s">
        <v>348</v>
      </c>
      <c r="H41" s="125">
        <v>725</v>
      </c>
      <c r="I41" s="125">
        <f t="shared" si="6"/>
        <v>23200</v>
      </c>
      <c r="J41" s="125">
        <v>0</v>
      </c>
      <c r="K41" s="125">
        <f t="shared" si="7"/>
        <v>23200</v>
      </c>
      <c r="L41" s="123"/>
    </row>
    <row r="42" spans="1:12" s="126" customFormat="1" ht="12.75" customHeight="1" x14ac:dyDescent="0.2">
      <c r="A42" s="125" t="s">
        <v>119</v>
      </c>
      <c r="B42" s="127" t="s">
        <v>397</v>
      </c>
      <c r="C42" s="123" t="s">
        <v>396</v>
      </c>
      <c r="D42" s="124" t="s">
        <v>15</v>
      </c>
      <c r="E42" s="124" t="s">
        <v>16</v>
      </c>
      <c r="F42" s="124" t="s">
        <v>17</v>
      </c>
      <c r="G42" s="125" t="s">
        <v>115</v>
      </c>
      <c r="H42" s="125">
        <v>1499</v>
      </c>
      <c r="I42" s="125">
        <f t="shared" si="6"/>
        <v>2998</v>
      </c>
      <c r="J42" s="125">
        <v>0</v>
      </c>
      <c r="K42" s="125">
        <f t="shared" si="7"/>
        <v>2998</v>
      </c>
      <c r="L42" s="123"/>
    </row>
    <row r="43" spans="1:12" s="126" customFormat="1" ht="12.75" customHeight="1" x14ac:dyDescent="0.2">
      <c r="A43" s="125" t="s">
        <v>123</v>
      </c>
      <c r="B43" s="127" t="s">
        <v>395</v>
      </c>
      <c r="C43" s="123" t="s">
        <v>394</v>
      </c>
      <c r="D43" s="124" t="s">
        <v>15</v>
      </c>
      <c r="E43" s="124" t="s">
        <v>16</v>
      </c>
      <c r="F43" s="124" t="s">
        <v>17</v>
      </c>
      <c r="G43" s="125" t="s">
        <v>122</v>
      </c>
      <c r="H43" s="125">
        <v>632</v>
      </c>
      <c r="I43" s="125">
        <f t="shared" si="6"/>
        <v>2528</v>
      </c>
      <c r="J43" s="125">
        <v>0</v>
      </c>
      <c r="K43" s="125">
        <f t="shared" si="7"/>
        <v>2528</v>
      </c>
      <c r="L43" s="123"/>
    </row>
    <row r="44" spans="1:12" s="126" customFormat="1" ht="12.75" customHeight="1" x14ac:dyDescent="0.2">
      <c r="A44" s="125" t="s">
        <v>129</v>
      </c>
      <c r="B44" s="127" t="s">
        <v>414</v>
      </c>
      <c r="C44" s="123" t="s">
        <v>413</v>
      </c>
      <c r="D44" s="124" t="s">
        <v>15</v>
      </c>
      <c r="E44" s="124" t="s">
        <v>16</v>
      </c>
      <c r="F44" s="124" t="s">
        <v>17</v>
      </c>
      <c r="G44" s="125" t="s">
        <v>122</v>
      </c>
      <c r="H44" s="125">
        <v>0</v>
      </c>
      <c r="I44" s="125">
        <f t="shared" si="6"/>
        <v>0</v>
      </c>
      <c r="J44" s="125">
        <v>0</v>
      </c>
      <c r="K44" s="125">
        <f t="shared" si="7"/>
        <v>0</v>
      </c>
      <c r="L44" s="123"/>
    </row>
    <row r="45" spans="1:12" s="126" customFormat="1" ht="12.75" customHeight="1" x14ac:dyDescent="0.2">
      <c r="A45" s="125" t="s">
        <v>132</v>
      </c>
      <c r="B45" s="127" t="s">
        <v>393</v>
      </c>
      <c r="C45" s="123" t="s">
        <v>392</v>
      </c>
      <c r="D45" s="124" t="s">
        <v>15</v>
      </c>
      <c r="E45" s="124" t="s">
        <v>16</v>
      </c>
      <c r="F45" s="124" t="s">
        <v>17</v>
      </c>
      <c r="G45" s="125" t="s">
        <v>115</v>
      </c>
      <c r="H45" s="125">
        <v>220</v>
      </c>
      <c r="I45" s="125">
        <f t="shared" si="6"/>
        <v>440</v>
      </c>
      <c r="J45" s="125">
        <v>0</v>
      </c>
      <c r="K45" s="125">
        <f t="shared" si="7"/>
        <v>440</v>
      </c>
      <c r="L45" s="123"/>
    </row>
    <row r="46" spans="1:12" s="126" customFormat="1" ht="12.75" customHeight="1" x14ac:dyDescent="0.2">
      <c r="A46" s="125" t="s">
        <v>136</v>
      </c>
      <c r="B46" s="127" t="s">
        <v>391</v>
      </c>
      <c r="C46" s="123" t="s">
        <v>390</v>
      </c>
      <c r="D46" s="124" t="s">
        <v>15</v>
      </c>
      <c r="E46" s="124" t="s">
        <v>16</v>
      </c>
      <c r="F46" s="124" t="s">
        <v>17</v>
      </c>
      <c r="G46" s="125" t="s">
        <v>115</v>
      </c>
      <c r="H46" s="125">
        <v>85</v>
      </c>
      <c r="I46" s="125">
        <f t="shared" si="6"/>
        <v>170</v>
      </c>
      <c r="J46" s="125">
        <v>0</v>
      </c>
      <c r="K46" s="125">
        <f t="shared" si="7"/>
        <v>170</v>
      </c>
      <c r="L46" s="123"/>
    </row>
    <row r="47" spans="1:12" s="126" customFormat="1" ht="12.75" customHeight="1" x14ac:dyDescent="0.2">
      <c r="A47" s="125" t="s">
        <v>139</v>
      </c>
      <c r="B47" s="127" t="s">
        <v>388</v>
      </c>
      <c r="C47" s="123" t="s">
        <v>387</v>
      </c>
      <c r="D47" s="124" t="s">
        <v>15</v>
      </c>
      <c r="E47" s="124" t="s">
        <v>16</v>
      </c>
      <c r="F47" s="124" t="s">
        <v>33</v>
      </c>
      <c r="G47" s="125" t="s">
        <v>115</v>
      </c>
      <c r="H47" s="125">
        <v>0</v>
      </c>
      <c r="I47" s="125">
        <f t="shared" si="6"/>
        <v>0</v>
      </c>
      <c r="J47" s="125">
        <v>0</v>
      </c>
      <c r="K47" s="125">
        <f t="shared" si="7"/>
        <v>0</v>
      </c>
      <c r="L47" s="123"/>
    </row>
    <row r="48" spans="1:12" s="126" customFormat="1" ht="12.75" customHeight="1" x14ac:dyDescent="0.2">
      <c r="A48" s="125" t="s">
        <v>141</v>
      </c>
      <c r="B48" s="127" t="s">
        <v>385</v>
      </c>
      <c r="C48" s="123" t="s">
        <v>384</v>
      </c>
      <c r="D48" s="124" t="s">
        <v>15</v>
      </c>
      <c r="E48" s="124" t="s">
        <v>16</v>
      </c>
      <c r="F48" s="124" t="s">
        <v>33</v>
      </c>
      <c r="G48" s="125" t="s">
        <v>122</v>
      </c>
      <c r="H48" s="125">
        <v>0</v>
      </c>
      <c r="I48" s="125">
        <f t="shared" si="6"/>
        <v>0</v>
      </c>
      <c r="J48" s="125">
        <v>0</v>
      </c>
      <c r="K48" s="125">
        <f t="shared" si="7"/>
        <v>0</v>
      </c>
      <c r="L48" s="123"/>
    </row>
    <row r="49" spans="1:12" s="126" customFormat="1" ht="12.75" customHeight="1" x14ac:dyDescent="0.2">
      <c r="A49" s="125" t="s">
        <v>143</v>
      </c>
      <c r="B49" s="127" t="s">
        <v>382</v>
      </c>
      <c r="C49" s="123" t="s">
        <v>381</v>
      </c>
      <c r="D49" s="124" t="s">
        <v>15</v>
      </c>
      <c r="E49" s="124" t="s">
        <v>16</v>
      </c>
      <c r="F49" s="124" t="s">
        <v>33</v>
      </c>
      <c r="G49" s="125" t="s">
        <v>403</v>
      </c>
      <c r="H49" s="125">
        <v>0</v>
      </c>
      <c r="I49" s="125">
        <f t="shared" si="6"/>
        <v>0</v>
      </c>
      <c r="J49" s="125">
        <v>0</v>
      </c>
      <c r="K49" s="125">
        <f t="shared" si="7"/>
        <v>0</v>
      </c>
      <c r="L49" s="123"/>
    </row>
    <row r="50" spans="1:12" s="126" customFormat="1" ht="12.75" customHeight="1" x14ac:dyDescent="0.2">
      <c r="A50" s="125" t="s">
        <v>147</v>
      </c>
      <c r="B50" s="127" t="s">
        <v>379</v>
      </c>
      <c r="C50" s="123" t="s">
        <v>378</v>
      </c>
      <c r="D50" s="124" t="s">
        <v>15</v>
      </c>
      <c r="E50" s="124" t="s">
        <v>16</v>
      </c>
      <c r="F50" s="124" t="s">
        <v>17</v>
      </c>
      <c r="G50" s="125" t="s">
        <v>115</v>
      </c>
      <c r="H50" s="125">
        <v>656</v>
      </c>
      <c r="I50" s="125">
        <f t="shared" si="6"/>
        <v>1312</v>
      </c>
      <c r="J50" s="125">
        <v>0</v>
      </c>
      <c r="K50" s="125">
        <f t="shared" si="7"/>
        <v>1312</v>
      </c>
      <c r="L50" s="123"/>
    </row>
    <row r="51" spans="1:12" s="126" customFormat="1" ht="12.75" customHeight="1" x14ac:dyDescent="0.2">
      <c r="A51" s="125" t="s">
        <v>150</v>
      </c>
      <c r="B51" s="127" t="s">
        <v>376</v>
      </c>
      <c r="C51" s="123" t="s">
        <v>375</v>
      </c>
      <c r="D51" s="124" t="s">
        <v>15</v>
      </c>
      <c r="E51" s="124" t="s">
        <v>16</v>
      </c>
      <c r="F51" s="124" t="s">
        <v>17</v>
      </c>
      <c r="G51" s="125" t="s">
        <v>115</v>
      </c>
      <c r="H51" s="125">
        <v>1405</v>
      </c>
      <c r="I51" s="125">
        <f t="shared" si="6"/>
        <v>2810</v>
      </c>
      <c r="J51" s="125">
        <v>0</v>
      </c>
      <c r="K51" s="125">
        <f t="shared" si="7"/>
        <v>2810</v>
      </c>
      <c r="L51" s="123"/>
    </row>
    <row r="52" spans="1:12" s="126" customFormat="1" ht="12.75" customHeight="1" x14ac:dyDescent="0.2">
      <c r="A52" s="125" t="s">
        <v>412</v>
      </c>
      <c r="B52" s="127" t="s">
        <v>41</v>
      </c>
      <c r="C52" s="123" t="s">
        <v>42</v>
      </c>
      <c r="D52" s="124" t="s">
        <v>15</v>
      </c>
      <c r="E52" s="124" t="s">
        <v>16</v>
      </c>
      <c r="F52" s="124" t="s">
        <v>17</v>
      </c>
      <c r="G52" s="125" t="s">
        <v>115</v>
      </c>
      <c r="H52" s="125">
        <v>0</v>
      </c>
      <c r="I52" s="125">
        <f t="shared" si="6"/>
        <v>0</v>
      </c>
      <c r="J52" s="125">
        <v>0</v>
      </c>
      <c r="K52" s="125">
        <f t="shared" si="7"/>
        <v>0</v>
      </c>
      <c r="L52" s="123"/>
    </row>
    <row r="53" spans="1:12" s="126" customFormat="1" ht="12.75" customHeight="1" x14ac:dyDescent="0.2">
      <c r="A53" s="125" t="s">
        <v>411</v>
      </c>
      <c r="B53" s="127" t="s">
        <v>400</v>
      </c>
      <c r="C53" s="123" t="s">
        <v>399</v>
      </c>
      <c r="D53" s="124" t="s">
        <v>15</v>
      </c>
      <c r="E53" s="124" t="s">
        <v>16</v>
      </c>
      <c r="F53" s="124" t="s">
        <v>17</v>
      </c>
      <c r="G53" s="125" t="s">
        <v>122</v>
      </c>
      <c r="H53" s="125">
        <v>5259</v>
      </c>
      <c r="I53" s="125">
        <f t="shared" si="6"/>
        <v>21036</v>
      </c>
      <c r="J53" s="125">
        <v>0</v>
      </c>
      <c r="K53" s="125">
        <f t="shared" si="7"/>
        <v>21036</v>
      </c>
      <c r="L53" s="123"/>
    </row>
    <row r="54" spans="1:12" s="126" customFormat="1" ht="12.75" customHeight="1" x14ac:dyDescent="0.2">
      <c r="A54" s="128" t="s">
        <v>55</v>
      </c>
      <c r="B54" s="128" t="s">
        <v>55</v>
      </c>
      <c r="C54" s="128" t="s">
        <v>55</v>
      </c>
      <c r="D54" s="128" t="s">
        <v>55</v>
      </c>
      <c r="E54" s="128" t="s">
        <v>55</v>
      </c>
      <c r="F54" s="128" t="s">
        <v>55</v>
      </c>
      <c r="G54" s="128" t="s">
        <v>55</v>
      </c>
      <c r="H54" s="128" t="s">
        <v>55</v>
      </c>
      <c r="I54" s="128" t="s">
        <v>55</v>
      </c>
      <c r="J54" s="129" t="s">
        <v>56</v>
      </c>
      <c r="K54" s="129">
        <f>(K39+K40+K41+K42+K43+K44+K45+K46+K47+K48+K49+K50+K51+K52+K53)</f>
        <v>65409.599999999999</v>
      </c>
      <c r="L54" s="129" t="s">
        <v>55</v>
      </c>
    </row>
    <row r="55" spans="1:12" s="126" customFormat="1" ht="12.75" customHeight="1" x14ac:dyDescent="0.2">
      <c r="A55" s="121" t="s">
        <v>156</v>
      </c>
      <c r="B55" s="122" t="s">
        <v>368</v>
      </c>
      <c r="C55" s="123" t="s">
        <v>367</v>
      </c>
      <c r="D55" s="124" t="s">
        <v>15</v>
      </c>
      <c r="E55" s="124" t="s">
        <v>16</v>
      </c>
      <c r="F55" s="124" t="s">
        <v>17</v>
      </c>
      <c r="G55" s="125" t="s">
        <v>135</v>
      </c>
      <c r="H55" s="125">
        <v>12188</v>
      </c>
      <c r="I55" s="125">
        <f>(H55*G55)</f>
        <v>97504</v>
      </c>
      <c r="J55" s="125">
        <v>0</v>
      </c>
      <c r="K55" s="125">
        <f>ROUND(I55-((I55*J55)/100),2)</f>
        <v>97504</v>
      </c>
      <c r="L55" s="123"/>
    </row>
    <row r="56" spans="1:12" s="126" customFormat="1" ht="12.75" customHeight="1" x14ac:dyDescent="0.2">
      <c r="A56" s="128" t="s">
        <v>55</v>
      </c>
      <c r="B56" s="128" t="s">
        <v>55</v>
      </c>
      <c r="C56" s="128" t="s">
        <v>55</v>
      </c>
      <c r="D56" s="128" t="s">
        <v>55</v>
      </c>
      <c r="E56" s="128" t="s">
        <v>55</v>
      </c>
      <c r="F56" s="128" t="s">
        <v>55</v>
      </c>
      <c r="G56" s="128" t="s">
        <v>55</v>
      </c>
      <c r="H56" s="128" t="s">
        <v>55</v>
      </c>
      <c r="I56" s="128" t="s">
        <v>55</v>
      </c>
      <c r="J56" s="129" t="s">
        <v>56</v>
      </c>
      <c r="K56" s="129">
        <f>(K55)</f>
        <v>97504</v>
      </c>
      <c r="L56" s="129" t="s">
        <v>55</v>
      </c>
    </row>
    <row r="57" spans="1:12" s="126" customFormat="1" ht="12.75" customHeight="1" x14ac:dyDescent="0.2">
      <c r="A57" s="121" t="s">
        <v>181</v>
      </c>
      <c r="B57" s="122" t="s">
        <v>366</v>
      </c>
      <c r="C57" s="123" t="s">
        <v>365</v>
      </c>
      <c r="D57" s="124" t="s">
        <v>15</v>
      </c>
      <c r="E57" s="124" t="s">
        <v>16</v>
      </c>
      <c r="F57" s="124" t="s">
        <v>17</v>
      </c>
      <c r="G57" s="125" t="s">
        <v>135</v>
      </c>
      <c r="H57" s="125">
        <v>2437.5</v>
      </c>
      <c r="I57" s="125">
        <f>(H57*G57)</f>
        <v>19500</v>
      </c>
      <c r="J57" s="125">
        <v>0</v>
      </c>
      <c r="K57" s="125">
        <f>ROUND(I57-((I57*J57)/100),2)</f>
        <v>19500</v>
      </c>
      <c r="L57" s="123"/>
    </row>
    <row r="58" spans="1:12" s="126" customFormat="1" ht="12.75" customHeight="1" x14ac:dyDescent="0.2">
      <c r="A58" s="128" t="s">
        <v>55</v>
      </c>
      <c r="B58" s="128" t="s">
        <v>55</v>
      </c>
      <c r="C58" s="128" t="s">
        <v>55</v>
      </c>
      <c r="D58" s="128" t="s">
        <v>55</v>
      </c>
      <c r="E58" s="128" t="s">
        <v>55</v>
      </c>
      <c r="F58" s="128" t="s">
        <v>55</v>
      </c>
      <c r="G58" s="128" t="s">
        <v>55</v>
      </c>
      <c r="H58" s="128" t="s">
        <v>55</v>
      </c>
      <c r="I58" s="128" t="s">
        <v>55</v>
      </c>
      <c r="J58" s="129" t="s">
        <v>56</v>
      </c>
      <c r="K58" s="129">
        <f>(K57)</f>
        <v>19500</v>
      </c>
      <c r="L58" s="129" t="s">
        <v>55</v>
      </c>
    </row>
    <row r="59" spans="1:12" s="126" customFormat="1" ht="12.75" customHeight="1" x14ac:dyDescent="0.2">
      <c r="A59" s="121" t="s">
        <v>210</v>
      </c>
      <c r="B59" s="122" t="s">
        <v>364</v>
      </c>
      <c r="C59" s="123" t="s">
        <v>363</v>
      </c>
      <c r="D59" s="124" t="s">
        <v>15</v>
      </c>
      <c r="E59" s="124" t="s">
        <v>16</v>
      </c>
      <c r="F59" s="124" t="s">
        <v>17</v>
      </c>
      <c r="G59" s="125" t="s">
        <v>135</v>
      </c>
      <c r="H59" s="125">
        <v>1199</v>
      </c>
      <c r="I59" s="125">
        <f>(H59*G59)</f>
        <v>9592</v>
      </c>
      <c r="J59" s="125">
        <v>0</v>
      </c>
      <c r="K59" s="125">
        <f>ROUND(I59-((I59*J59)/100),2)</f>
        <v>9592</v>
      </c>
      <c r="L59" s="123"/>
    </row>
    <row r="60" spans="1:12" s="126" customFormat="1" ht="12.75" customHeight="1" x14ac:dyDescent="0.2">
      <c r="A60" s="128" t="s">
        <v>55</v>
      </c>
      <c r="B60" s="128" t="s">
        <v>55</v>
      </c>
      <c r="C60" s="128" t="s">
        <v>55</v>
      </c>
      <c r="D60" s="128" t="s">
        <v>55</v>
      </c>
      <c r="E60" s="128" t="s">
        <v>55</v>
      </c>
      <c r="F60" s="128" t="s">
        <v>55</v>
      </c>
      <c r="G60" s="128" t="s">
        <v>55</v>
      </c>
      <c r="H60" s="128" t="s">
        <v>55</v>
      </c>
      <c r="I60" s="128" t="s">
        <v>55</v>
      </c>
      <c r="J60" s="129" t="s">
        <v>56</v>
      </c>
      <c r="K60" s="129">
        <f>(K59)</f>
        <v>9592</v>
      </c>
      <c r="L60" s="129" t="s">
        <v>55</v>
      </c>
    </row>
    <row r="61" spans="1:12" s="126" customFormat="1" ht="12.75" customHeight="1" x14ac:dyDescent="0.2">
      <c r="A61" s="121" t="s">
        <v>260</v>
      </c>
      <c r="B61" s="122" t="s">
        <v>431</v>
      </c>
      <c r="C61" s="123" t="s">
        <v>430</v>
      </c>
      <c r="D61" s="124" t="s">
        <v>15</v>
      </c>
      <c r="E61" s="124" t="s">
        <v>16</v>
      </c>
      <c r="F61" s="124" t="s">
        <v>17</v>
      </c>
      <c r="G61" s="125" t="s">
        <v>348</v>
      </c>
      <c r="H61" s="125">
        <v>2774</v>
      </c>
      <c r="I61" s="125">
        <f>(H61*G61)</f>
        <v>88768</v>
      </c>
      <c r="J61" s="125">
        <v>0</v>
      </c>
      <c r="K61" s="125">
        <f>ROUND(I61-((I61*J61)/100),2)</f>
        <v>88768</v>
      </c>
      <c r="L61" s="123"/>
    </row>
    <row r="62" spans="1:12" s="126" customFormat="1" ht="12.75" customHeight="1" x14ac:dyDescent="0.2">
      <c r="A62" s="128" t="s">
        <v>55</v>
      </c>
      <c r="B62" s="128" t="s">
        <v>55</v>
      </c>
      <c r="C62" s="128" t="s">
        <v>55</v>
      </c>
      <c r="D62" s="128" t="s">
        <v>55</v>
      </c>
      <c r="E62" s="128" t="s">
        <v>55</v>
      </c>
      <c r="F62" s="128" t="s">
        <v>55</v>
      </c>
      <c r="G62" s="128" t="s">
        <v>55</v>
      </c>
      <c r="H62" s="128" t="s">
        <v>55</v>
      </c>
      <c r="I62" s="128" t="s">
        <v>55</v>
      </c>
      <c r="J62" s="129" t="s">
        <v>56</v>
      </c>
      <c r="K62" s="129">
        <f>(K61)</f>
        <v>88768</v>
      </c>
      <c r="L62" s="129" t="s">
        <v>55</v>
      </c>
    </row>
    <row r="63" spans="1:12" s="126" customFormat="1" ht="12.75" customHeight="1" x14ac:dyDescent="0.2">
      <c r="A63" s="121" t="s">
        <v>277</v>
      </c>
      <c r="B63" s="122" t="s">
        <v>429</v>
      </c>
      <c r="C63" s="123" t="s">
        <v>351</v>
      </c>
      <c r="D63" s="124" t="s">
        <v>15</v>
      </c>
      <c r="E63" s="124" t="s">
        <v>107</v>
      </c>
      <c r="F63" s="124" t="s">
        <v>17</v>
      </c>
      <c r="G63" s="125" t="s">
        <v>122</v>
      </c>
      <c r="H63" s="125">
        <v>100</v>
      </c>
      <c r="I63" s="125">
        <f>(H63*G63)</f>
        <v>400</v>
      </c>
      <c r="J63" s="125">
        <v>0</v>
      </c>
      <c r="K63" s="125">
        <f>ROUND(I63-((I63*J63)/100),2)</f>
        <v>400</v>
      </c>
      <c r="L63" s="123"/>
    </row>
    <row r="64" spans="1:12" ht="12.75" customHeight="1" x14ac:dyDescent="0.2">
      <c r="A64" s="6" t="s">
        <v>55</v>
      </c>
      <c r="B64" s="6" t="s">
        <v>55</v>
      </c>
      <c r="C64" s="6" t="s">
        <v>55</v>
      </c>
      <c r="D64" s="6" t="s">
        <v>55</v>
      </c>
      <c r="E64" s="6" t="s">
        <v>55</v>
      </c>
      <c r="F64" s="6" t="s">
        <v>55</v>
      </c>
      <c r="G64" s="6" t="s">
        <v>55</v>
      </c>
      <c r="H64" s="6" t="s">
        <v>55</v>
      </c>
      <c r="I64" s="6" t="s">
        <v>55</v>
      </c>
      <c r="J64" s="5" t="s">
        <v>56</v>
      </c>
      <c r="K64" s="5">
        <f>(K63)</f>
        <v>400</v>
      </c>
      <c r="L64" s="5" t="s">
        <v>55</v>
      </c>
    </row>
    <row r="65" spans="1:12" ht="12.75" customHeight="1" x14ac:dyDescent="0.2">
      <c r="A65" s="6" t="s">
        <v>55</v>
      </c>
      <c r="B65" s="6" t="s">
        <v>55</v>
      </c>
      <c r="C65" s="6" t="s">
        <v>55</v>
      </c>
      <c r="D65" s="6" t="s">
        <v>55</v>
      </c>
      <c r="E65" s="6" t="s">
        <v>55</v>
      </c>
      <c r="F65" s="6" t="s">
        <v>55</v>
      </c>
      <c r="G65" s="6" t="s">
        <v>55</v>
      </c>
      <c r="H65" s="6" t="s">
        <v>55</v>
      </c>
      <c r="I65" s="6" t="s">
        <v>55</v>
      </c>
      <c r="J65" s="5" t="s">
        <v>335</v>
      </c>
      <c r="K65" s="5">
        <f>(K13+K25+K38+K54+K56+K58+K60+K62+K64)</f>
        <v>1258864.72</v>
      </c>
      <c r="L65" s="5" t="s">
        <v>55</v>
      </c>
    </row>
  </sheetData>
  <printOptions horizontalCentered="1"/>
  <pageMargins left="0.75" right="0.75" top="1" bottom="1" header="0.5" footer="0.5"/>
  <pageSetup paperSize="9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defaultRowHeight="12.75" x14ac:dyDescent="0.2"/>
  <cols>
    <col min="1" max="1" width="11.5703125" customWidth="1"/>
    <col min="2" max="2" width="15" bestFit="1" customWidth="1"/>
  </cols>
  <sheetData>
    <row r="1" spans="1:2" x14ac:dyDescent="0.2">
      <c r="A1" s="8" t="s">
        <v>448</v>
      </c>
      <c r="B1" s="9" t="s">
        <v>447</v>
      </c>
    </row>
    <row r="2" spans="1:2" x14ac:dyDescent="0.2">
      <c r="A2" s="9" t="s">
        <v>439</v>
      </c>
      <c r="B2" s="10">
        <f>'DC-BASE'!K122</f>
        <v>5111557.3499999996</v>
      </c>
    </row>
    <row r="3" spans="1:2" x14ac:dyDescent="0.2">
      <c r="A3" s="9" t="s">
        <v>440</v>
      </c>
      <c r="B3" s="10">
        <f>'1HY16'!K92</f>
        <v>1709018.68</v>
      </c>
    </row>
    <row r="4" spans="1:2" x14ac:dyDescent="0.2">
      <c r="A4" s="9" t="s">
        <v>441</v>
      </c>
      <c r="B4" s="10">
        <f>'2HY16'!K58</f>
        <v>638742.80000000005</v>
      </c>
    </row>
    <row r="5" spans="1:2" x14ac:dyDescent="0.2">
      <c r="A5" s="9" t="s">
        <v>442</v>
      </c>
      <c r="B5" s="10">
        <f>'1HY2017'!K61</f>
        <v>1009095.26</v>
      </c>
    </row>
    <row r="6" spans="1:2" x14ac:dyDescent="0.2">
      <c r="A6" s="9" t="s">
        <v>443</v>
      </c>
      <c r="B6" s="10">
        <f>'2HY2017'!K97</f>
        <v>1561271.04</v>
      </c>
    </row>
    <row r="7" spans="1:2" x14ac:dyDescent="0.2">
      <c r="A7" s="9" t="s">
        <v>444</v>
      </c>
      <c r="B7" s="10">
        <f>'1HY2018'!K97</f>
        <v>1561271.04</v>
      </c>
    </row>
    <row r="8" spans="1:2" x14ac:dyDescent="0.2">
      <c r="A8" s="9" t="s">
        <v>445</v>
      </c>
      <c r="B8" s="10">
        <f>'2HY2018'!K65</f>
        <v>1258864.72</v>
      </c>
    </row>
    <row r="9" spans="1:2" x14ac:dyDescent="0.2">
      <c r="A9" s="11"/>
      <c r="B9" s="11"/>
    </row>
    <row r="10" spans="1:2" x14ac:dyDescent="0.2">
      <c r="A10" s="9" t="s">
        <v>446</v>
      </c>
      <c r="B10" s="12">
        <f>SUM(B2:B8)</f>
        <v>12849820.889999999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12" workbookViewId="0">
      <selection activeCell="B22" sqref="B22"/>
    </sheetView>
  </sheetViews>
  <sheetFormatPr defaultRowHeight="12.75" x14ac:dyDescent="0.2"/>
  <cols>
    <col min="2" max="2" width="44" customWidth="1"/>
    <col min="4" max="4" width="13" customWidth="1"/>
    <col min="5" max="10" width="11.28515625" customWidth="1"/>
  </cols>
  <sheetData>
    <row r="1" spans="1:12" x14ac:dyDescent="0.2">
      <c r="A1" s="34"/>
      <c r="B1" s="33"/>
      <c r="C1" s="33"/>
      <c r="E1" s="137" t="s">
        <v>549</v>
      </c>
      <c r="F1" s="137"/>
      <c r="G1" s="137"/>
      <c r="H1" s="137"/>
      <c r="I1" s="137"/>
      <c r="J1" s="137"/>
    </row>
    <row r="2" spans="1:12" ht="38.25" x14ac:dyDescent="0.2">
      <c r="A2" s="32" t="s">
        <v>548</v>
      </c>
      <c r="B2" s="31" t="s">
        <v>547</v>
      </c>
      <c r="C2" s="31" t="s">
        <v>546</v>
      </c>
      <c r="D2" s="30" t="s">
        <v>545</v>
      </c>
      <c r="E2" s="29" t="s">
        <v>544</v>
      </c>
      <c r="F2" s="29" t="s">
        <v>543</v>
      </c>
      <c r="G2" s="29" t="s">
        <v>542</v>
      </c>
      <c r="H2" s="29" t="s">
        <v>541</v>
      </c>
      <c r="I2" s="29" t="s">
        <v>540</v>
      </c>
      <c r="J2" s="29" t="s">
        <v>539</v>
      </c>
    </row>
    <row r="3" spans="1:12" x14ac:dyDescent="0.2">
      <c r="A3" s="28"/>
      <c r="B3" s="18" t="s">
        <v>538</v>
      </c>
      <c r="C3" s="17"/>
      <c r="D3" s="16"/>
      <c r="E3" s="16"/>
      <c r="F3" s="16"/>
      <c r="G3" s="16"/>
      <c r="H3" s="16"/>
      <c r="I3" s="16"/>
      <c r="J3" s="16"/>
    </row>
    <row r="4" spans="1:12" s="39" customFormat="1" x14ac:dyDescent="0.2">
      <c r="A4" s="35" t="s">
        <v>19</v>
      </c>
      <c r="B4" s="36" t="s">
        <v>537</v>
      </c>
      <c r="C4" s="37" t="s">
        <v>536</v>
      </c>
      <c r="D4" s="38">
        <f>1000+5640</f>
        <v>6640</v>
      </c>
      <c r="E4" s="38">
        <f>500+564</f>
        <v>1064</v>
      </c>
      <c r="F4" s="38">
        <f>-750+620</f>
        <v>-130</v>
      </c>
      <c r="G4" s="38">
        <f>500+682</f>
        <v>1182</v>
      </c>
      <c r="H4" s="38">
        <f>500+751</f>
        <v>1251</v>
      </c>
      <c r="I4" s="38">
        <f>500+826</f>
        <v>1326</v>
      </c>
      <c r="J4" s="38">
        <f>500+908</f>
        <v>1408</v>
      </c>
      <c r="L4" s="39">
        <f>D4/12/2</f>
        <v>276.66666666666669</v>
      </c>
    </row>
    <row r="5" spans="1:12" s="39" customFormat="1" x14ac:dyDescent="0.2">
      <c r="A5" s="35" t="s">
        <v>23</v>
      </c>
      <c r="B5" s="36" t="s">
        <v>535</v>
      </c>
      <c r="C5" s="37" t="s">
        <v>524</v>
      </c>
      <c r="D5" s="38">
        <f>2000+23440</f>
        <v>25440</v>
      </c>
      <c r="E5" s="38">
        <f>1000+2344</f>
        <v>3344</v>
      </c>
      <c r="F5" s="38">
        <f>-1500+3199</f>
        <v>1699</v>
      </c>
      <c r="G5" s="38">
        <f>1000+3581</f>
        <v>4581</v>
      </c>
      <c r="H5" s="38">
        <f>1000+4007</f>
        <v>5007</v>
      </c>
      <c r="I5" s="38">
        <f>1000+4483</f>
        <v>5483</v>
      </c>
      <c r="J5" s="38">
        <f>1000+5014</f>
        <v>6014</v>
      </c>
    </row>
    <row r="6" spans="1:12" x14ac:dyDescent="0.2">
      <c r="A6" s="19"/>
      <c r="B6" s="18" t="s">
        <v>534</v>
      </c>
      <c r="C6" s="17"/>
      <c r="D6" s="16"/>
      <c r="E6" s="16"/>
      <c r="F6" s="16"/>
      <c r="G6" s="16"/>
      <c r="H6" s="16"/>
      <c r="I6" s="16"/>
      <c r="J6" s="16"/>
    </row>
    <row r="7" spans="1:12" s="53" customFormat="1" x14ac:dyDescent="0.2">
      <c r="A7" s="49" t="s">
        <v>59</v>
      </c>
      <c r="B7" s="50" t="s">
        <v>533</v>
      </c>
      <c r="C7" s="51" t="s">
        <v>455</v>
      </c>
      <c r="D7" s="52">
        <f>0+1</f>
        <v>1</v>
      </c>
      <c r="E7" s="52"/>
      <c r="F7" s="52"/>
      <c r="G7" s="52"/>
      <c r="H7" s="52"/>
      <c r="I7" s="52"/>
      <c r="J7" s="52"/>
    </row>
    <row r="8" spans="1:12" s="53" customFormat="1" x14ac:dyDescent="0.2">
      <c r="A8" s="49" t="s">
        <v>61</v>
      </c>
      <c r="B8" s="50" t="s">
        <v>532</v>
      </c>
      <c r="C8" s="51" t="s">
        <v>524</v>
      </c>
      <c r="D8" s="52">
        <v>1024</v>
      </c>
      <c r="E8" s="52"/>
      <c r="F8" s="52"/>
      <c r="G8" s="52"/>
      <c r="H8" s="52"/>
      <c r="I8" s="52"/>
      <c r="J8" s="52"/>
    </row>
    <row r="9" spans="1:12" s="53" customFormat="1" x14ac:dyDescent="0.2">
      <c r="A9" s="49" t="s">
        <v>63</v>
      </c>
      <c r="B9" s="50" t="s">
        <v>531</v>
      </c>
      <c r="C9" s="51" t="s">
        <v>455</v>
      </c>
      <c r="D9" s="52"/>
      <c r="E9" s="52"/>
      <c r="F9" s="52">
        <v>2</v>
      </c>
      <c r="G9" s="52"/>
      <c r="H9" s="52">
        <v>2</v>
      </c>
      <c r="I9" s="52"/>
      <c r="J9" s="52">
        <v>2</v>
      </c>
    </row>
    <row r="10" spans="1:12" s="53" customFormat="1" x14ac:dyDescent="0.2">
      <c r="A10" s="49" t="s">
        <v>64</v>
      </c>
      <c r="B10" s="50" t="s">
        <v>530</v>
      </c>
      <c r="C10" s="51" t="s">
        <v>455</v>
      </c>
      <c r="D10" s="52"/>
      <c r="E10" s="52"/>
      <c r="F10" s="52">
        <v>2</v>
      </c>
      <c r="G10" s="52"/>
      <c r="H10" s="52">
        <v>2</v>
      </c>
      <c r="I10" s="52"/>
      <c r="J10" s="52">
        <v>2</v>
      </c>
    </row>
    <row r="11" spans="1:12" s="53" customFormat="1" x14ac:dyDescent="0.2">
      <c r="A11" s="49" t="s">
        <v>65</v>
      </c>
      <c r="B11" s="50" t="s">
        <v>529</v>
      </c>
      <c r="C11" s="51" t="s">
        <v>455</v>
      </c>
      <c r="D11" s="52">
        <v>0</v>
      </c>
      <c r="E11" s="52">
        <v>6</v>
      </c>
      <c r="F11" s="52">
        <v>2</v>
      </c>
      <c r="G11" s="52">
        <v>2</v>
      </c>
      <c r="H11" s="52">
        <v>2</v>
      </c>
      <c r="I11" s="52">
        <v>2</v>
      </c>
      <c r="J11" s="52">
        <v>2</v>
      </c>
    </row>
    <row r="12" spans="1:12" s="53" customFormat="1" ht="22.5" x14ac:dyDescent="0.2">
      <c r="A12" s="49" t="s">
        <v>66</v>
      </c>
      <c r="B12" s="50" t="s">
        <v>528</v>
      </c>
      <c r="C12" s="51" t="s">
        <v>455</v>
      </c>
      <c r="D12" s="52"/>
      <c r="E12" s="52"/>
      <c r="F12" s="52"/>
      <c r="G12" s="52"/>
      <c r="H12" s="52"/>
      <c r="I12" s="52"/>
      <c r="J12" s="52"/>
    </row>
    <row r="13" spans="1:12" s="53" customFormat="1" ht="22.5" x14ac:dyDescent="0.2">
      <c r="A13" s="49" t="s">
        <v>67</v>
      </c>
      <c r="B13" s="50" t="s">
        <v>527</v>
      </c>
      <c r="C13" s="51" t="s">
        <v>455</v>
      </c>
      <c r="D13" s="52"/>
      <c r="E13" s="52"/>
      <c r="F13" s="52"/>
      <c r="G13" s="52"/>
      <c r="H13" s="52"/>
      <c r="I13" s="52"/>
      <c r="J13" s="52"/>
    </row>
    <row r="14" spans="1:12" s="53" customFormat="1" ht="22.5" x14ac:dyDescent="0.2">
      <c r="A14" s="49" t="s">
        <v>409</v>
      </c>
      <c r="B14" s="50" t="s">
        <v>526</v>
      </c>
      <c r="C14" s="51" t="s">
        <v>455</v>
      </c>
      <c r="D14" s="52"/>
      <c r="E14" s="52">
        <v>75</v>
      </c>
      <c r="F14" s="52"/>
      <c r="G14" s="52"/>
      <c r="H14" s="52"/>
      <c r="I14" s="52"/>
      <c r="J14" s="52"/>
    </row>
    <row r="15" spans="1:12" s="53" customFormat="1" x14ac:dyDescent="0.2">
      <c r="A15" s="49" t="s">
        <v>424</v>
      </c>
      <c r="B15" s="50" t="s">
        <v>525</v>
      </c>
      <c r="C15" s="51" t="s">
        <v>524</v>
      </c>
      <c r="D15" s="52">
        <v>0</v>
      </c>
      <c r="E15" s="52">
        <v>1536</v>
      </c>
      <c r="F15" s="52">
        <v>1536</v>
      </c>
      <c r="G15" s="52">
        <v>512</v>
      </c>
      <c r="H15" s="52">
        <v>1536</v>
      </c>
      <c r="I15" s="52">
        <v>512</v>
      </c>
      <c r="J15" s="52">
        <v>1536</v>
      </c>
    </row>
    <row r="16" spans="1:12" s="53" customFormat="1" x14ac:dyDescent="0.2">
      <c r="A16" s="49" t="s">
        <v>423</v>
      </c>
      <c r="B16" s="50" t="s">
        <v>523</v>
      </c>
      <c r="C16" s="51" t="s">
        <v>455</v>
      </c>
      <c r="D16" s="52">
        <v>0</v>
      </c>
      <c r="E16" s="52">
        <v>24</v>
      </c>
      <c r="F16" s="52">
        <v>24</v>
      </c>
      <c r="G16" s="52">
        <v>8</v>
      </c>
      <c r="H16" s="52">
        <v>24</v>
      </c>
      <c r="I16" s="52">
        <v>8</v>
      </c>
      <c r="J16" s="52">
        <v>24</v>
      </c>
    </row>
    <row r="17" spans="1:10" s="53" customFormat="1" x14ac:dyDescent="0.2">
      <c r="A17" s="49" t="s">
        <v>422</v>
      </c>
      <c r="B17" s="50" t="s">
        <v>522</v>
      </c>
      <c r="C17" s="51" t="s">
        <v>455</v>
      </c>
      <c r="D17" s="52"/>
      <c r="E17" s="52"/>
      <c r="F17" s="52"/>
      <c r="G17" s="52"/>
      <c r="H17" s="52"/>
      <c r="I17" s="52"/>
      <c r="J17" s="52"/>
    </row>
    <row r="18" spans="1:10" s="53" customFormat="1" x14ac:dyDescent="0.2">
      <c r="A18" s="49" t="s">
        <v>421</v>
      </c>
      <c r="B18" s="50" t="s">
        <v>521</v>
      </c>
      <c r="C18" s="51" t="s">
        <v>455</v>
      </c>
      <c r="D18" s="52"/>
      <c r="E18" s="52"/>
      <c r="F18" s="52"/>
      <c r="G18" s="52"/>
      <c r="H18" s="52"/>
      <c r="I18" s="52"/>
      <c r="J18" s="52"/>
    </row>
    <row r="19" spans="1:10" s="53" customFormat="1" x14ac:dyDescent="0.2">
      <c r="A19" s="49" t="s">
        <v>420</v>
      </c>
      <c r="B19" s="50" t="s">
        <v>520</v>
      </c>
      <c r="C19" s="51" t="s">
        <v>455</v>
      </c>
      <c r="D19" s="52"/>
      <c r="E19" s="52"/>
      <c r="F19" s="52"/>
      <c r="G19" s="52"/>
      <c r="H19" s="52"/>
      <c r="I19" s="52"/>
      <c r="J19" s="52"/>
    </row>
    <row r="20" spans="1:10" s="53" customFormat="1" x14ac:dyDescent="0.2">
      <c r="A20" s="49" t="s">
        <v>519</v>
      </c>
      <c r="B20" s="50" t="s">
        <v>518</v>
      </c>
      <c r="C20" s="51" t="s">
        <v>455</v>
      </c>
      <c r="D20" s="52"/>
      <c r="E20" s="52"/>
      <c r="F20" s="52"/>
      <c r="G20" s="52"/>
      <c r="H20" s="52"/>
      <c r="I20" s="52"/>
      <c r="J20" s="52"/>
    </row>
    <row r="21" spans="1:10" s="53" customFormat="1" ht="22.5" x14ac:dyDescent="0.2">
      <c r="A21" s="49" t="s">
        <v>517</v>
      </c>
      <c r="B21" s="50" t="s">
        <v>516</v>
      </c>
      <c r="C21" s="51" t="s">
        <v>455</v>
      </c>
      <c r="D21" s="52">
        <v>0</v>
      </c>
      <c r="E21" s="52">
        <v>50</v>
      </c>
      <c r="F21" s="52">
        <v>0</v>
      </c>
      <c r="G21" s="52">
        <v>-50</v>
      </c>
      <c r="H21" s="52"/>
      <c r="I21" s="52"/>
      <c r="J21" s="52"/>
    </row>
    <row r="22" spans="1:10" s="53" customFormat="1" x14ac:dyDescent="0.2">
      <c r="A22" s="49" t="s">
        <v>515</v>
      </c>
      <c r="B22" s="50" t="s">
        <v>514</v>
      </c>
      <c r="C22" s="51" t="s">
        <v>455</v>
      </c>
      <c r="D22" s="52"/>
      <c r="E22" s="52"/>
      <c r="F22" s="52"/>
      <c r="G22" s="52"/>
      <c r="H22" s="52"/>
      <c r="I22" s="52"/>
      <c r="J22" s="52"/>
    </row>
    <row r="23" spans="1:10" s="53" customFormat="1" x14ac:dyDescent="0.2">
      <c r="A23" s="49" t="s">
        <v>513</v>
      </c>
      <c r="B23" s="50" t="s">
        <v>512</v>
      </c>
      <c r="C23" s="51" t="s">
        <v>455</v>
      </c>
      <c r="D23" s="52"/>
      <c r="E23" s="52"/>
      <c r="F23" s="52"/>
      <c r="G23" s="52"/>
      <c r="H23" s="52"/>
      <c r="I23" s="52"/>
      <c r="J23" s="52"/>
    </row>
    <row r="24" spans="1:10" s="53" customFormat="1" x14ac:dyDescent="0.2">
      <c r="A24" s="49" t="s">
        <v>511</v>
      </c>
      <c r="B24" s="50" t="s">
        <v>510</v>
      </c>
      <c r="C24" s="51" t="s">
        <v>455</v>
      </c>
      <c r="D24" s="52"/>
      <c r="E24" s="52"/>
      <c r="F24" s="52"/>
      <c r="G24" s="52"/>
      <c r="H24" s="52"/>
      <c r="I24" s="52"/>
      <c r="J24" s="52"/>
    </row>
    <row r="25" spans="1:10" s="53" customFormat="1" x14ac:dyDescent="0.2">
      <c r="A25" s="49" t="s">
        <v>509</v>
      </c>
      <c r="B25" s="50" t="s">
        <v>508</v>
      </c>
      <c r="C25" s="51" t="s">
        <v>455</v>
      </c>
      <c r="D25" s="52">
        <v>0</v>
      </c>
      <c r="E25" s="52">
        <v>24</v>
      </c>
      <c r="F25" s="52">
        <v>24</v>
      </c>
      <c r="G25" s="52"/>
      <c r="H25" s="52"/>
      <c r="I25" s="52"/>
      <c r="J25" s="52"/>
    </row>
    <row r="26" spans="1:10" s="53" customFormat="1" x14ac:dyDescent="0.2">
      <c r="A26" s="49" t="s">
        <v>507</v>
      </c>
      <c r="B26" s="50" t="s">
        <v>506</v>
      </c>
      <c r="C26" s="51" t="s">
        <v>455</v>
      </c>
      <c r="D26" s="52">
        <v>0</v>
      </c>
      <c r="E26" s="52"/>
      <c r="F26" s="52"/>
      <c r="G26" s="52">
        <v>8</v>
      </c>
      <c r="H26" s="52">
        <v>24</v>
      </c>
      <c r="I26" s="52">
        <v>8</v>
      </c>
      <c r="J26" s="52">
        <v>24</v>
      </c>
    </row>
    <row r="27" spans="1:10" s="53" customFormat="1" ht="22.5" x14ac:dyDescent="0.2">
      <c r="A27" s="49" t="s">
        <v>505</v>
      </c>
      <c r="B27" s="50" t="s">
        <v>504</v>
      </c>
      <c r="C27" s="51" t="s">
        <v>455</v>
      </c>
      <c r="D27" s="52">
        <v>0</v>
      </c>
      <c r="E27" s="52">
        <v>6</v>
      </c>
      <c r="F27" s="52">
        <v>6</v>
      </c>
      <c r="G27" s="52">
        <v>2</v>
      </c>
      <c r="H27" s="52">
        <v>6</v>
      </c>
      <c r="I27" s="52">
        <v>2</v>
      </c>
      <c r="J27" s="52">
        <v>6</v>
      </c>
    </row>
    <row r="28" spans="1:10" s="53" customFormat="1" ht="22.5" x14ac:dyDescent="0.2">
      <c r="A28" s="49" t="s">
        <v>503</v>
      </c>
      <c r="B28" s="50" t="s">
        <v>502</v>
      </c>
      <c r="C28" s="51" t="s">
        <v>455</v>
      </c>
      <c r="D28" s="52">
        <v>2</v>
      </c>
      <c r="E28" s="52">
        <v>0</v>
      </c>
      <c r="F28" s="52">
        <v>0</v>
      </c>
      <c r="G28" s="52">
        <v>-1</v>
      </c>
      <c r="H28" s="52">
        <v>-1</v>
      </c>
      <c r="I28" s="52"/>
      <c r="J28" s="52"/>
    </row>
    <row r="29" spans="1:10" x14ac:dyDescent="0.2">
      <c r="A29" s="19"/>
      <c r="B29" s="18" t="s">
        <v>501</v>
      </c>
      <c r="C29" s="26"/>
      <c r="D29" s="16"/>
      <c r="E29" s="16"/>
      <c r="F29" s="16"/>
      <c r="G29" s="16"/>
      <c r="H29" s="16"/>
      <c r="I29" s="16"/>
      <c r="J29" s="16"/>
    </row>
    <row r="30" spans="1:10" s="58" customFormat="1" ht="22.5" x14ac:dyDescent="0.25">
      <c r="A30" s="54" t="s">
        <v>73</v>
      </c>
      <c r="B30" s="55" t="s">
        <v>500</v>
      </c>
      <c r="C30" s="56" t="s">
        <v>496</v>
      </c>
      <c r="D30" s="72">
        <v>50</v>
      </c>
      <c r="E30" s="57">
        <v>5</v>
      </c>
      <c r="F30" s="57">
        <v>-32</v>
      </c>
      <c r="G30" s="57">
        <v>5</v>
      </c>
      <c r="H30" s="57">
        <v>5</v>
      </c>
      <c r="I30" s="57">
        <v>5</v>
      </c>
      <c r="J30" s="57">
        <v>5</v>
      </c>
    </row>
    <row r="31" spans="1:10" s="58" customFormat="1" ht="22.5" x14ac:dyDescent="0.25">
      <c r="A31" s="54" t="s">
        <v>76</v>
      </c>
      <c r="B31" s="55" t="s">
        <v>499</v>
      </c>
      <c r="C31" s="56" t="s">
        <v>496</v>
      </c>
      <c r="D31" s="72">
        <f>12+233</f>
        <v>245</v>
      </c>
      <c r="E31" s="57">
        <f>5+35</f>
        <v>40</v>
      </c>
      <c r="F31" s="57">
        <f>-6+40</f>
        <v>34</v>
      </c>
      <c r="G31" s="57">
        <f>5+46</f>
        <v>51</v>
      </c>
      <c r="H31" s="57">
        <f>5+53</f>
        <v>58</v>
      </c>
      <c r="I31" s="57">
        <f>5+61</f>
        <v>66</v>
      </c>
      <c r="J31" s="57">
        <f>5+70</f>
        <v>75</v>
      </c>
    </row>
    <row r="32" spans="1:10" s="58" customFormat="1" ht="22.5" x14ac:dyDescent="0.25">
      <c r="A32" s="54" t="s">
        <v>79</v>
      </c>
      <c r="B32" s="55" t="s">
        <v>498</v>
      </c>
      <c r="C32" s="56" t="s">
        <v>496</v>
      </c>
      <c r="D32" s="72"/>
      <c r="E32" s="57"/>
      <c r="F32" s="57"/>
      <c r="G32" s="57"/>
      <c r="H32" s="57"/>
      <c r="I32" s="57"/>
      <c r="J32" s="57"/>
    </row>
    <row r="33" spans="1:10" s="58" customFormat="1" ht="15" x14ac:dyDescent="0.25">
      <c r="A33" s="54" t="s">
        <v>82</v>
      </c>
      <c r="B33" s="55" t="s">
        <v>497</v>
      </c>
      <c r="C33" s="56" t="s">
        <v>496</v>
      </c>
      <c r="D33" s="72">
        <f>12+497.13</f>
        <v>509.13</v>
      </c>
      <c r="E33" s="57">
        <f>12+75</f>
        <v>87</v>
      </c>
      <c r="F33" s="57">
        <f>12+126</f>
        <v>138</v>
      </c>
      <c r="G33" s="57">
        <f>12+151</f>
        <v>163</v>
      </c>
      <c r="H33" s="57">
        <f>12+180</f>
        <v>192</v>
      </c>
      <c r="I33" s="57">
        <f>12+215</f>
        <v>227</v>
      </c>
      <c r="J33" s="57">
        <f>12+257</f>
        <v>269</v>
      </c>
    </row>
    <row r="34" spans="1:10" x14ac:dyDescent="0.2">
      <c r="A34" s="19"/>
      <c r="B34" s="27" t="s">
        <v>495</v>
      </c>
      <c r="C34" s="26"/>
      <c r="D34" s="16"/>
      <c r="E34" s="16"/>
      <c r="F34" s="16"/>
      <c r="G34" s="16"/>
      <c r="H34" s="16"/>
      <c r="I34" s="16"/>
      <c r="J34" s="16"/>
    </row>
    <row r="35" spans="1:10" s="63" customFormat="1" ht="22.5" x14ac:dyDescent="0.2">
      <c r="A35" s="59" t="s">
        <v>116</v>
      </c>
      <c r="B35" s="60" t="s">
        <v>494</v>
      </c>
      <c r="C35" s="61" t="s">
        <v>488</v>
      </c>
      <c r="D35" s="62">
        <f>4+6</f>
        <v>10</v>
      </c>
      <c r="E35" s="62">
        <f>10+1</f>
        <v>11</v>
      </c>
      <c r="F35" s="62">
        <f>12+1</f>
        <v>13</v>
      </c>
      <c r="G35" s="62">
        <f>4+1</f>
        <v>5</v>
      </c>
      <c r="H35" s="62">
        <f>4+1</f>
        <v>5</v>
      </c>
      <c r="I35" s="62">
        <f>4+2</f>
        <v>6</v>
      </c>
      <c r="J35" s="62">
        <f>4+2</f>
        <v>6</v>
      </c>
    </row>
    <row r="36" spans="1:10" s="63" customFormat="1" ht="22.5" x14ac:dyDescent="0.2">
      <c r="A36" s="59" t="s">
        <v>119</v>
      </c>
      <c r="B36" s="60" t="s">
        <v>493</v>
      </c>
      <c r="C36" s="61" t="s">
        <v>488</v>
      </c>
      <c r="D36" s="62"/>
      <c r="E36" s="62"/>
      <c r="F36" s="62"/>
      <c r="G36" s="62">
        <f>0+2</f>
        <v>2</v>
      </c>
      <c r="H36" s="62"/>
      <c r="I36" s="62">
        <f>0+2</f>
        <v>2</v>
      </c>
      <c r="J36" s="62"/>
    </row>
    <row r="37" spans="1:10" s="63" customFormat="1" ht="22.5" x14ac:dyDescent="0.2">
      <c r="A37" s="59" t="s">
        <v>123</v>
      </c>
      <c r="B37" s="60" t="s">
        <v>492</v>
      </c>
      <c r="C37" s="61" t="s">
        <v>488</v>
      </c>
      <c r="D37" s="62"/>
      <c r="E37" s="62"/>
      <c r="F37" s="62"/>
      <c r="G37" s="62"/>
      <c r="H37" s="62">
        <f>0+2</f>
        <v>2</v>
      </c>
      <c r="I37" s="62"/>
      <c r="J37" s="62">
        <f>0+2</f>
        <v>2</v>
      </c>
    </row>
    <row r="38" spans="1:10" s="63" customFormat="1" ht="33.75" x14ac:dyDescent="0.2">
      <c r="A38" s="59" t="s">
        <v>129</v>
      </c>
      <c r="B38" s="60" t="s">
        <v>491</v>
      </c>
      <c r="C38" s="61" t="s">
        <v>488</v>
      </c>
      <c r="D38" s="62">
        <f>0+26</f>
        <v>26</v>
      </c>
      <c r="E38" s="62">
        <f>0+3</f>
        <v>3</v>
      </c>
      <c r="F38" s="62">
        <f>0+4</f>
        <v>4</v>
      </c>
      <c r="G38" s="62">
        <f>0+5</f>
        <v>5</v>
      </c>
      <c r="H38" s="62">
        <f>0+6</f>
        <v>6</v>
      </c>
      <c r="I38" s="62">
        <f>0+7</f>
        <v>7</v>
      </c>
      <c r="J38" s="62">
        <f>0+8</f>
        <v>8</v>
      </c>
    </row>
    <row r="39" spans="1:10" s="63" customFormat="1" ht="33.75" x14ac:dyDescent="0.2">
      <c r="A39" s="59" t="s">
        <v>132</v>
      </c>
      <c r="B39" s="60" t="s">
        <v>490</v>
      </c>
      <c r="C39" s="61" t="s">
        <v>488</v>
      </c>
      <c r="D39" s="62">
        <f>6+4</f>
        <v>10</v>
      </c>
      <c r="E39" s="62">
        <f>10+1</f>
        <v>11</v>
      </c>
      <c r="F39" s="62">
        <f>12+1</f>
        <v>13</v>
      </c>
      <c r="G39" s="62">
        <f>4+1</f>
        <v>5</v>
      </c>
      <c r="H39" s="62">
        <f>4+1</f>
        <v>5</v>
      </c>
      <c r="I39" s="62">
        <f>4+1</f>
        <v>5</v>
      </c>
      <c r="J39" s="62">
        <f>4+1</f>
        <v>5</v>
      </c>
    </row>
    <row r="40" spans="1:10" s="63" customFormat="1" ht="22.5" x14ac:dyDescent="0.2">
      <c r="A40" s="59" t="s">
        <v>136</v>
      </c>
      <c r="B40" s="60" t="s">
        <v>489</v>
      </c>
      <c r="C40" s="61" t="s">
        <v>488</v>
      </c>
      <c r="D40" s="62">
        <v>81</v>
      </c>
      <c r="E40" s="62">
        <v>8</v>
      </c>
      <c r="F40" s="62">
        <v>13</v>
      </c>
      <c r="G40" s="62">
        <v>15</v>
      </c>
      <c r="H40" s="62">
        <v>18</v>
      </c>
      <c r="I40" s="62">
        <v>20</v>
      </c>
      <c r="J40" s="62">
        <v>23</v>
      </c>
    </row>
    <row r="41" spans="1:10" s="77" customFormat="1" x14ac:dyDescent="0.2">
      <c r="A41" s="73" t="s">
        <v>139</v>
      </c>
      <c r="B41" s="74" t="s">
        <v>487</v>
      </c>
      <c r="C41" s="75" t="s">
        <v>462</v>
      </c>
      <c r="D41" s="76">
        <f>200+50</f>
        <v>250</v>
      </c>
      <c r="E41" s="76">
        <f>100+5</f>
        <v>105</v>
      </c>
      <c r="F41" s="76">
        <f>100+8</f>
        <v>108</v>
      </c>
      <c r="G41" s="76">
        <f>100+9</f>
        <v>109</v>
      </c>
      <c r="H41" s="76">
        <f>100+11</f>
        <v>111</v>
      </c>
      <c r="I41" s="76">
        <f>100+12</f>
        <v>112</v>
      </c>
      <c r="J41" s="76">
        <f>100+14</f>
        <v>114</v>
      </c>
    </row>
    <row r="42" spans="1:10" s="77" customFormat="1" x14ac:dyDescent="0.2">
      <c r="A42" s="73" t="s">
        <v>141</v>
      </c>
      <c r="B42" s="74" t="s">
        <v>486</v>
      </c>
      <c r="C42" s="75" t="s">
        <v>462</v>
      </c>
      <c r="D42" s="76">
        <v>4</v>
      </c>
      <c r="E42" s="76">
        <v>1</v>
      </c>
      <c r="F42" s="76">
        <v>1</v>
      </c>
      <c r="G42" s="76">
        <v>1</v>
      </c>
      <c r="H42" s="76">
        <v>1</v>
      </c>
      <c r="I42" s="76">
        <v>1</v>
      </c>
      <c r="J42" s="76">
        <v>1</v>
      </c>
    </row>
    <row r="43" spans="1:10" x14ac:dyDescent="0.2">
      <c r="A43" s="19"/>
      <c r="B43" s="27" t="s">
        <v>485</v>
      </c>
      <c r="C43" s="26"/>
      <c r="D43" s="16"/>
      <c r="E43" s="16"/>
      <c r="F43" s="16"/>
      <c r="G43" s="16"/>
      <c r="H43" s="16"/>
      <c r="I43" s="16"/>
      <c r="J43" s="16"/>
    </row>
    <row r="44" spans="1:10" s="81" customFormat="1" ht="22.5" x14ac:dyDescent="0.25">
      <c r="A44" s="15" t="s">
        <v>159</v>
      </c>
      <c r="B44" s="21" t="s">
        <v>484</v>
      </c>
      <c r="C44" s="20" t="s">
        <v>462</v>
      </c>
      <c r="D44" s="80">
        <v>1</v>
      </c>
      <c r="E44" s="25"/>
      <c r="F44" s="25"/>
      <c r="G44" s="25"/>
      <c r="H44" s="25"/>
      <c r="I44" s="25"/>
      <c r="J44" s="25"/>
    </row>
    <row r="45" spans="1:10" s="77" customFormat="1" ht="22.5" x14ac:dyDescent="0.25">
      <c r="A45" s="73" t="s">
        <v>162</v>
      </c>
      <c r="B45" s="74" t="s">
        <v>483</v>
      </c>
      <c r="C45" s="75" t="s">
        <v>462</v>
      </c>
      <c r="D45" s="78">
        <v>2</v>
      </c>
      <c r="E45" s="76"/>
      <c r="F45" s="76"/>
      <c r="G45" s="76"/>
      <c r="H45" s="76"/>
      <c r="I45" s="76"/>
      <c r="J45" s="76"/>
    </row>
    <row r="46" spans="1:10" s="77" customFormat="1" ht="22.5" x14ac:dyDescent="0.25">
      <c r="A46" s="73" t="s">
        <v>165</v>
      </c>
      <c r="B46" s="74" t="s">
        <v>482</v>
      </c>
      <c r="C46" s="75" t="s">
        <v>462</v>
      </c>
      <c r="D46" s="78">
        <v>1</v>
      </c>
      <c r="E46" s="76"/>
      <c r="F46" s="76">
        <f>-1+2</f>
        <v>1</v>
      </c>
      <c r="G46" s="76"/>
      <c r="H46" s="76"/>
      <c r="I46" s="76"/>
      <c r="J46" s="76"/>
    </row>
    <row r="47" spans="1:10" s="77" customFormat="1" ht="22.5" x14ac:dyDescent="0.25">
      <c r="A47" s="73" t="s">
        <v>168</v>
      </c>
      <c r="B47" s="74" t="s">
        <v>481</v>
      </c>
      <c r="C47" s="75" t="s">
        <v>462</v>
      </c>
      <c r="D47" s="78"/>
      <c r="E47" s="76"/>
      <c r="F47" s="76">
        <v>1</v>
      </c>
      <c r="G47" s="76"/>
      <c r="H47" s="76">
        <v>2</v>
      </c>
      <c r="I47" s="76"/>
      <c r="J47" s="76"/>
    </row>
    <row r="48" spans="1:10" s="77" customFormat="1" ht="22.5" x14ac:dyDescent="0.25">
      <c r="A48" s="73" t="s">
        <v>169</v>
      </c>
      <c r="B48" s="74" t="s">
        <v>480</v>
      </c>
      <c r="C48" s="75" t="s">
        <v>462</v>
      </c>
      <c r="D48" s="78"/>
      <c r="E48" s="76">
        <v>1</v>
      </c>
      <c r="F48" s="76"/>
      <c r="G48" s="76"/>
      <c r="H48" s="76"/>
      <c r="I48" s="76"/>
      <c r="J48" s="76"/>
    </row>
    <row r="49" spans="1:10" s="77" customFormat="1" ht="22.5" x14ac:dyDescent="0.25">
      <c r="A49" s="73" t="s">
        <v>172</v>
      </c>
      <c r="B49" s="74" t="s">
        <v>479</v>
      </c>
      <c r="C49" s="75" t="s">
        <v>462</v>
      </c>
      <c r="D49" s="78"/>
      <c r="E49" s="76">
        <v>1</v>
      </c>
      <c r="F49" s="76">
        <v>2</v>
      </c>
      <c r="G49" s="76">
        <v>-1</v>
      </c>
      <c r="H49" s="76"/>
      <c r="I49" s="76"/>
      <c r="J49" s="76"/>
    </row>
    <row r="50" spans="1:10" s="77" customFormat="1" ht="22.5" x14ac:dyDescent="0.25">
      <c r="A50" s="73" t="s">
        <v>175</v>
      </c>
      <c r="B50" s="74" t="s">
        <v>478</v>
      </c>
      <c r="C50" s="75" t="s">
        <v>462</v>
      </c>
      <c r="D50" s="78"/>
      <c r="E50" s="76"/>
      <c r="F50" s="76"/>
      <c r="G50" s="76">
        <v>1</v>
      </c>
      <c r="H50" s="76">
        <v>2</v>
      </c>
      <c r="I50" s="76"/>
      <c r="J50" s="76"/>
    </row>
    <row r="51" spans="1:10" s="77" customFormat="1" ht="22.5" x14ac:dyDescent="0.25">
      <c r="A51" s="73" t="s">
        <v>389</v>
      </c>
      <c r="B51" s="74" t="s">
        <v>477</v>
      </c>
      <c r="C51" s="75" t="s">
        <v>462</v>
      </c>
      <c r="D51" s="78"/>
      <c r="E51" s="76"/>
      <c r="F51" s="76"/>
      <c r="H51" s="76"/>
      <c r="I51" s="76"/>
      <c r="J51" s="76"/>
    </row>
    <row r="52" spans="1:10" s="77" customFormat="1" ht="22.5" x14ac:dyDescent="0.25">
      <c r="A52" s="73" t="s">
        <v>386</v>
      </c>
      <c r="B52" s="74" t="s">
        <v>476</v>
      </c>
      <c r="C52" s="75" t="s">
        <v>462</v>
      </c>
      <c r="D52" s="78"/>
      <c r="E52" s="76">
        <v>1</v>
      </c>
      <c r="F52" s="76">
        <v>-1</v>
      </c>
      <c r="G52" s="76"/>
      <c r="H52" s="76"/>
      <c r="I52" s="76"/>
      <c r="J52" s="76"/>
    </row>
    <row r="53" spans="1:10" s="77" customFormat="1" ht="22.5" x14ac:dyDescent="0.25">
      <c r="A53" s="73" t="s">
        <v>383</v>
      </c>
      <c r="B53" s="74" t="s">
        <v>475</v>
      </c>
      <c r="C53" s="75" t="s">
        <v>462</v>
      </c>
      <c r="D53" s="78"/>
      <c r="E53" s="76"/>
      <c r="F53" s="76">
        <v>1</v>
      </c>
      <c r="G53" s="76">
        <v>-1</v>
      </c>
      <c r="H53" s="76"/>
      <c r="I53" s="76"/>
      <c r="J53" s="76"/>
    </row>
    <row r="54" spans="1:10" s="77" customFormat="1" ht="22.5" x14ac:dyDescent="0.25">
      <c r="A54" s="73" t="s">
        <v>380</v>
      </c>
      <c r="B54" s="74" t="s">
        <v>474</v>
      </c>
      <c r="C54" s="75" t="s">
        <v>462</v>
      </c>
      <c r="D54" s="78"/>
      <c r="E54" s="76"/>
      <c r="F54" s="76"/>
      <c r="G54" s="76">
        <v>1</v>
      </c>
      <c r="H54" s="76"/>
      <c r="I54" s="76"/>
      <c r="J54" s="76"/>
    </row>
    <row r="55" spans="1:10" s="77" customFormat="1" x14ac:dyDescent="0.2">
      <c r="A55" s="73" t="s">
        <v>377</v>
      </c>
      <c r="B55" s="74" t="s">
        <v>473</v>
      </c>
      <c r="C55" s="75" t="s">
        <v>462</v>
      </c>
      <c r="D55" s="79">
        <v>1</v>
      </c>
      <c r="E55" s="76"/>
      <c r="F55" s="76">
        <v>-1</v>
      </c>
      <c r="G55" s="76"/>
      <c r="H55" s="76"/>
      <c r="I55" s="76"/>
      <c r="J55" s="76"/>
    </row>
    <row r="56" spans="1:10" s="77" customFormat="1" x14ac:dyDescent="0.2">
      <c r="A56" s="73" t="s">
        <v>374</v>
      </c>
      <c r="B56" s="74" t="s">
        <v>472</v>
      </c>
      <c r="C56" s="75" t="s">
        <v>462</v>
      </c>
      <c r="D56" s="79"/>
      <c r="E56" s="76"/>
      <c r="F56" s="76">
        <v>1</v>
      </c>
      <c r="G56" s="76"/>
      <c r="H56" s="76">
        <v>-1</v>
      </c>
      <c r="I56" s="76"/>
      <c r="J56" s="76"/>
    </row>
    <row r="57" spans="1:10" s="77" customFormat="1" x14ac:dyDescent="0.2">
      <c r="A57" s="73" t="s">
        <v>471</v>
      </c>
      <c r="B57" s="74" t="s">
        <v>470</v>
      </c>
      <c r="C57" s="75" t="s">
        <v>462</v>
      </c>
      <c r="D57" s="79"/>
      <c r="E57" s="76"/>
      <c r="F57" s="76"/>
      <c r="G57" s="76"/>
      <c r="H57" s="76">
        <v>1</v>
      </c>
      <c r="I57" s="76"/>
      <c r="J57" s="76"/>
    </row>
    <row r="58" spans="1:10" s="77" customFormat="1" x14ac:dyDescent="0.2">
      <c r="A58" s="73" t="s">
        <v>469</v>
      </c>
      <c r="B58" s="74" t="s">
        <v>468</v>
      </c>
      <c r="C58" s="75" t="s">
        <v>455</v>
      </c>
      <c r="D58" s="79">
        <v>40</v>
      </c>
      <c r="E58" s="76">
        <v>25</v>
      </c>
      <c r="F58" s="76">
        <v>25</v>
      </c>
      <c r="G58" s="76">
        <v>25</v>
      </c>
      <c r="H58" s="76">
        <v>25</v>
      </c>
      <c r="I58" s="76">
        <v>25</v>
      </c>
      <c r="J58" s="76">
        <v>25</v>
      </c>
    </row>
    <row r="59" spans="1:10" x14ac:dyDescent="0.2">
      <c r="A59" s="19"/>
      <c r="B59" s="18" t="s">
        <v>467</v>
      </c>
      <c r="C59" s="17"/>
      <c r="D59" s="16"/>
      <c r="E59" s="16"/>
      <c r="F59" s="16"/>
      <c r="G59" s="16"/>
      <c r="H59" s="16"/>
      <c r="I59" s="16"/>
      <c r="J59" s="16"/>
    </row>
    <row r="60" spans="1:10" x14ac:dyDescent="0.2">
      <c r="A60" s="15" t="s">
        <v>187</v>
      </c>
      <c r="B60" s="24" t="s">
        <v>466</v>
      </c>
      <c r="C60" s="23" t="s">
        <v>462</v>
      </c>
      <c r="D60" s="11"/>
      <c r="E60" s="11">
        <v>5</v>
      </c>
      <c r="F60" s="11">
        <v>4</v>
      </c>
      <c r="G60" s="11">
        <v>5</v>
      </c>
      <c r="H60" s="11"/>
      <c r="I60" s="11">
        <v>5</v>
      </c>
      <c r="J60" s="11"/>
    </row>
    <row r="61" spans="1:10" x14ac:dyDescent="0.2">
      <c r="A61" s="15" t="s">
        <v>188</v>
      </c>
      <c r="B61" s="24" t="s">
        <v>465</v>
      </c>
      <c r="C61" s="23" t="s">
        <v>462</v>
      </c>
      <c r="D61" s="11">
        <v>3</v>
      </c>
      <c r="E61" s="11">
        <f>7+12</f>
        <v>19</v>
      </c>
      <c r="F61" s="11">
        <f>6+25</f>
        <v>31</v>
      </c>
      <c r="G61" s="11">
        <f>2+12</f>
        <v>14</v>
      </c>
      <c r="H61" s="11">
        <v>2</v>
      </c>
      <c r="I61" s="11">
        <f>2+12</f>
        <v>14</v>
      </c>
      <c r="J61" s="11"/>
    </row>
    <row r="62" spans="1:10" x14ac:dyDescent="0.2">
      <c r="A62" s="15" t="s">
        <v>189</v>
      </c>
      <c r="B62" s="24" t="s">
        <v>464</v>
      </c>
      <c r="C62" s="23" t="s">
        <v>462</v>
      </c>
      <c r="D62" s="11"/>
      <c r="E62" s="11">
        <v>6</v>
      </c>
      <c r="F62" s="11">
        <v>16</v>
      </c>
      <c r="G62" s="11">
        <v>6</v>
      </c>
      <c r="H62" s="11"/>
      <c r="I62" s="11">
        <v>6</v>
      </c>
      <c r="J62" s="11"/>
    </row>
    <row r="63" spans="1:10" x14ac:dyDescent="0.2">
      <c r="A63" s="15" t="s">
        <v>193</v>
      </c>
      <c r="B63" s="24" t="s">
        <v>463</v>
      </c>
      <c r="C63" s="23" t="s">
        <v>462</v>
      </c>
      <c r="D63" s="11">
        <v>3</v>
      </c>
      <c r="E63" s="11">
        <v>1</v>
      </c>
      <c r="F63" s="11"/>
      <c r="G63" s="11"/>
      <c r="H63" s="11"/>
      <c r="I63" s="11"/>
      <c r="J63" s="11"/>
    </row>
    <row r="64" spans="1:10" x14ac:dyDescent="0.2">
      <c r="A64" s="19"/>
      <c r="B64" s="18" t="s">
        <v>461</v>
      </c>
      <c r="C64" s="17"/>
      <c r="D64" s="16"/>
      <c r="E64" s="16"/>
      <c r="F64" s="16"/>
      <c r="G64" s="16"/>
      <c r="H64" s="16"/>
      <c r="I64" s="16"/>
      <c r="J64" s="16"/>
    </row>
    <row r="65" spans="1:10" ht="15" x14ac:dyDescent="0.25">
      <c r="A65" s="15" t="s">
        <v>218</v>
      </c>
      <c r="B65" s="21" t="s">
        <v>460</v>
      </c>
      <c r="C65" s="20" t="s">
        <v>455</v>
      </c>
      <c r="D65" s="22">
        <v>5</v>
      </c>
      <c r="E65" s="11"/>
      <c r="F65" s="11"/>
      <c r="G65" s="11"/>
      <c r="H65" s="11"/>
      <c r="I65" s="11"/>
      <c r="J65" s="11"/>
    </row>
    <row r="66" spans="1:10" ht="15" x14ac:dyDescent="0.25">
      <c r="A66" s="15" t="s">
        <v>221</v>
      </c>
      <c r="B66" s="21" t="s">
        <v>459</v>
      </c>
      <c r="C66" s="20" t="s">
        <v>455</v>
      </c>
      <c r="D66" s="22"/>
      <c r="E66" s="11">
        <v>10</v>
      </c>
      <c r="F66" s="11">
        <v>10</v>
      </c>
      <c r="G66" s="11">
        <v>2</v>
      </c>
      <c r="H66" s="11">
        <v>2</v>
      </c>
      <c r="I66" s="11">
        <v>2</v>
      </c>
      <c r="J66" s="11">
        <v>2</v>
      </c>
    </row>
    <row r="67" spans="1:10" ht="15" x14ac:dyDescent="0.25">
      <c r="A67" s="15" t="s">
        <v>224</v>
      </c>
      <c r="B67" s="21" t="s">
        <v>458</v>
      </c>
      <c r="C67" s="20" t="s">
        <v>455</v>
      </c>
      <c r="D67" s="22"/>
      <c r="E67" s="11"/>
      <c r="F67" s="11"/>
      <c r="G67" s="11"/>
      <c r="H67" s="11"/>
      <c r="I67" s="11"/>
      <c r="J67" s="11"/>
    </row>
    <row r="68" spans="1:10" ht="15" x14ac:dyDescent="0.25">
      <c r="A68" s="15" t="s">
        <v>227</v>
      </c>
      <c r="B68" s="21" t="s">
        <v>457</v>
      </c>
      <c r="C68" s="20" t="s">
        <v>455</v>
      </c>
      <c r="D68" s="22">
        <v>1</v>
      </c>
      <c r="E68" s="11">
        <v>1</v>
      </c>
      <c r="F68" s="11">
        <v>1</v>
      </c>
      <c r="G68" s="11"/>
      <c r="H68" s="11"/>
      <c r="I68" s="11"/>
      <c r="J68" s="11"/>
    </row>
    <row r="69" spans="1:10" x14ac:dyDescent="0.2">
      <c r="A69" s="15" t="s">
        <v>231</v>
      </c>
      <c r="B69" s="21" t="s">
        <v>456</v>
      </c>
      <c r="C69" s="20" t="s">
        <v>455</v>
      </c>
      <c r="D69" s="11"/>
      <c r="E69" s="11"/>
      <c r="F69" s="11"/>
      <c r="G69" s="11">
        <v>3</v>
      </c>
      <c r="H69" s="11"/>
      <c r="I69" s="11"/>
      <c r="J69" s="11"/>
    </row>
    <row r="70" spans="1:10" x14ac:dyDescent="0.2">
      <c r="A70" s="19"/>
      <c r="B70" s="18" t="s">
        <v>454</v>
      </c>
      <c r="C70" s="17"/>
      <c r="D70" s="16"/>
      <c r="E70" s="16"/>
      <c r="F70" s="16"/>
      <c r="G70" s="16"/>
      <c r="H70" s="16"/>
      <c r="I70" s="16"/>
      <c r="J70" s="16"/>
    </row>
    <row r="71" spans="1:10" x14ac:dyDescent="0.2">
      <c r="A71" s="15" t="s">
        <v>263</v>
      </c>
      <c r="B71" s="14" t="s">
        <v>453</v>
      </c>
      <c r="C71" s="13" t="s">
        <v>449</v>
      </c>
      <c r="D71" s="11"/>
      <c r="E71" s="11">
        <f>40+80</f>
        <v>120</v>
      </c>
      <c r="F71" s="11">
        <f>40+12</f>
        <v>52</v>
      </c>
      <c r="G71" s="11">
        <f>40+14</f>
        <v>54</v>
      </c>
      <c r="H71" s="11">
        <v>40</v>
      </c>
      <c r="I71" s="11">
        <f>40+16</f>
        <v>56</v>
      </c>
      <c r="J71" s="11">
        <v>40</v>
      </c>
    </row>
    <row r="72" spans="1:10" x14ac:dyDescent="0.2">
      <c r="A72" s="15" t="s">
        <v>265</v>
      </c>
      <c r="B72" s="14" t="s">
        <v>452</v>
      </c>
      <c r="C72" s="13" t="s">
        <v>449</v>
      </c>
      <c r="D72" s="11"/>
      <c r="E72" s="11">
        <f>40+80</f>
        <v>120</v>
      </c>
      <c r="F72" s="11">
        <f>40+12</f>
        <v>52</v>
      </c>
      <c r="G72" s="11">
        <f>40+14</f>
        <v>54</v>
      </c>
      <c r="H72" s="11">
        <v>40</v>
      </c>
      <c r="I72" s="11">
        <f>40+16</f>
        <v>56</v>
      </c>
      <c r="J72" s="11">
        <v>40</v>
      </c>
    </row>
    <row r="73" spans="1:10" x14ac:dyDescent="0.2">
      <c r="A73" s="15" t="s">
        <v>271</v>
      </c>
      <c r="B73" s="14" t="s">
        <v>451</v>
      </c>
      <c r="C73" s="13" t="s">
        <v>449</v>
      </c>
      <c r="D73" s="11">
        <f>800+80</f>
        <v>880</v>
      </c>
      <c r="E73" s="11">
        <f>400+12</f>
        <v>412</v>
      </c>
      <c r="F73" s="11">
        <v>250</v>
      </c>
      <c r="G73" s="11">
        <v>250</v>
      </c>
      <c r="H73" s="11">
        <v>250</v>
      </c>
      <c r="I73" s="11">
        <v>250</v>
      </c>
      <c r="J73" s="11">
        <v>250</v>
      </c>
    </row>
    <row r="74" spans="1:10" x14ac:dyDescent="0.2">
      <c r="A74" s="15" t="s">
        <v>274</v>
      </c>
      <c r="B74" s="14" t="s">
        <v>450</v>
      </c>
      <c r="C74" s="13" t="s">
        <v>449</v>
      </c>
      <c r="D74" s="11">
        <f>80+80</f>
        <v>160</v>
      </c>
      <c r="E74" s="11">
        <f>250+12</f>
        <v>262</v>
      </c>
      <c r="F74" s="11">
        <f>250+14</f>
        <v>264</v>
      </c>
      <c r="G74" s="11">
        <f>250+16</f>
        <v>266</v>
      </c>
      <c r="H74" s="11">
        <v>250</v>
      </c>
      <c r="I74" s="11">
        <f>250+18</f>
        <v>268</v>
      </c>
      <c r="J74" s="11">
        <v>250</v>
      </c>
    </row>
  </sheetData>
  <mergeCells count="1"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DC-BASE</vt:lpstr>
      <vt:lpstr>1HY16</vt:lpstr>
      <vt:lpstr>2HY16</vt:lpstr>
      <vt:lpstr>1HY2017</vt:lpstr>
      <vt:lpstr>2HY2017</vt:lpstr>
      <vt:lpstr>1HY2018</vt:lpstr>
      <vt:lpstr>2HY2018</vt:lpstr>
      <vt:lpstr>Summary</vt:lpstr>
      <vt:lpstr>Исходные данные</vt:lpstr>
      <vt:lpstr>Rack server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Polushkin (spolushk)</dc:creator>
  <cp:lastModifiedBy>Dmitry Khoroshikh</cp:lastModifiedBy>
  <dcterms:created xsi:type="dcterms:W3CDTF">2015-10-01T12:34:17Z</dcterms:created>
  <dcterms:modified xsi:type="dcterms:W3CDTF">2015-10-06T12:55:58Z</dcterms:modified>
</cp:coreProperties>
</file>