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75" windowWidth="9540" windowHeight="3195" activeTab="3"/>
  </bookViews>
  <sheets>
    <sheet name="Данные для оценки цены ПО" sheetId="1" r:id="rId1"/>
    <sheet name="расчет цены" sheetId="2" r:id="rId2"/>
    <sheet name="Данные для эк.эффекта" sheetId="3" r:id="rId3"/>
    <sheet name="Расчет" sheetId="4" r:id="rId4"/>
  </sheets>
  <calcPr calcId="124519"/>
</workbook>
</file>

<file path=xl/calcChain.xml><?xml version="1.0" encoding="utf-8"?>
<calcChain xmlns="http://schemas.openxmlformats.org/spreadsheetml/2006/main">
  <c r="C40" i="2"/>
  <c r="C45"/>
  <c r="C46" s="1"/>
  <c r="C15"/>
  <c r="C44"/>
  <c r="B4" i="4"/>
  <c r="G36" i="2"/>
  <c r="C26" i="4"/>
  <c r="B9"/>
  <c r="B8"/>
  <c r="B6"/>
  <c r="B3"/>
  <c r="D33"/>
  <c r="E33"/>
  <c r="F33"/>
  <c r="C32"/>
  <c r="C31"/>
  <c r="C30"/>
  <c r="B18"/>
  <c r="E38" s="1"/>
  <c r="C58" i="2"/>
  <c r="F37"/>
  <c r="G37" s="1"/>
  <c r="F36"/>
  <c r="F25"/>
  <c r="C26"/>
  <c r="C23"/>
  <c r="D23" s="1"/>
  <c r="E23" s="1"/>
  <c r="F23" s="1"/>
  <c r="G23" s="1"/>
  <c r="H21"/>
  <c r="C11"/>
  <c r="C14" s="1"/>
  <c r="B10" i="4" l="1"/>
  <c r="B5"/>
  <c r="B7" s="1"/>
  <c r="E34"/>
  <c r="B17"/>
  <c r="D38" s="1"/>
  <c r="D34" s="1"/>
  <c r="B19"/>
  <c r="F38" s="1"/>
  <c r="F34" s="1"/>
  <c r="B16"/>
  <c r="C38" s="1"/>
  <c r="C27" s="1"/>
  <c r="C49" i="2"/>
  <c r="C47"/>
  <c r="C41"/>
  <c r="C28"/>
  <c r="D26"/>
  <c r="XFD7" i="4" l="1"/>
  <c r="B12"/>
  <c r="B13" s="1"/>
  <c r="C48" i="2"/>
  <c r="C42"/>
  <c r="C43"/>
  <c r="E26"/>
  <c r="D28"/>
  <c r="F26" i="4" l="1"/>
  <c r="F27" s="1"/>
  <c r="F36" s="1"/>
  <c r="D26"/>
  <c r="D27" s="1"/>
  <c r="D36" s="1"/>
  <c r="E26"/>
  <c r="E27" s="1"/>
  <c r="E36" s="1"/>
  <c r="C50" i="2"/>
  <c r="C52" s="1"/>
  <c r="C53" s="1"/>
  <c r="F26"/>
  <c r="E28"/>
  <c r="E4" i="3" l="1"/>
  <c r="C29" i="4" s="1"/>
  <c r="C33" s="1"/>
  <c r="C36" s="1"/>
  <c r="C37" s="1"/>
  <c r="D37" s="1"/>
  <c r="G5" i="2"/>
  <c r="B2" i="4"/>
  <c r="C55" i="2"/>
  <c r="C56" s="1"/>
  <c r="G26"/>
  <c r="G28" s="1"/>
  <c r="F28"/>
  <c r="E37" i="4" l="1"/>
  <c r="F37" s="1"/>
  <c r="B40" s="1"/>
  <c r="C34"/>
  <c r="C59" i="2"/>
  <c r="H28"/>
  <c r="C31" s="1"/>
  <c r="G3" s="1"/>
  <c r="B41" i="4" l="1"/>
  <c r="G4" i="2" s="1"/>
  <c r="C60"/>
  <c r="C61" s="1"/>
</calcChain>
</file>

<file path=xl/sharedStrings.xml><?xml version="1.0" encoding="utf-8"?>
<sst xmlns="http://schemas.openxmlformats.org/spreadsheetml/2006/main" count="207" uniqueCount="153">
  <si>
    <t>1. Категория сложности ПО</t>
  </si>
  <si>
    <t>-</t>
  </si>
  <si>
    <t>единиц</t>
  </si>
  <si>
    <t xml:space="preserve">2. Дополнительный коэффициент сложности </t>
  </si>
  <si>
    <t>3. Коэффициент новизны</t>
  </si>
  <si>
    <t>4. Коэффициент, учитывающий использование типовых программ и модулей</t>
  </si>
  <si>
    <t>5. Тарифная ставка первого разряда</t>
  </si>
  <si>
    <t>руб. / мес.</t>
  </si>
  <si>
    <t>6. Коэффициент премирования</t>
  </si>
  <si>
    <t>7. Норматив дополнительной заработной платы исполнителей</t>
  </si>
  <si>
    <t>%</t>
  </si>
  <si>
    <t>8. Ставка отчислений в фонд социальной защиты населения и налог гос. страхования</t>
  </si>
  <si>
    <t>9. Норматив налога, уплачиваемый единым платежом</t>
  </si>
  <si>
    <t>10. Норма расхода материалов от основной заработной платы</t>
  </si>
  <si>
    <t>11. Норматив расхода машинного времени на отладку 100 строк исходного кода</t>
  </si>
  <si>
    <t>машино-часов</t>
  </si>
  <si>
    <t>12. Цена одного машино-часа</t>
  </si>
  <si>
    <t>руб.</t>
  </si>
  <si>
    <t>13. Норматив командировочных расходов</t>
  </si>
  <si>
    <t>14. Норматив прочих затрат</t>
  </si>
  <si>
    <t>15. Норматив накладных расходов</t>
  </si>
  <si>
    <t>16. Норматив на сопровождение и адаптацию ПС</t>
  </si>
  <si>
    <t>17. Уровень рентабельности</t>
  </si>
  <si>
    <t>18. Ставка налога на добавленную стоимость (НДС)</t>
  </si>
  <si>
    <t>19. Налог на прибыль</t>
  </si>
  <si>
    <t>Код функции</t>
  </si>
  <si>
    <t>Наименование (содержание) функции</t>
  </si>
  <si>
    <t>Объем функций (строк исходного текста)</t>
  </si>
  <si>
    <t>Организация ввода информации</t>
  </si>
  <si>
    <t>Контроль, предварительная обработка и ввод информации</t>
  </si>
  <si>
    <t>Формирование файла</t>
  </si>
  <si>
    <t>Генерация рабочих программ</t>
  </si>
  <si>
    <t>Управление внешними устройствами и объектами</t>
  </si>
  <si>
    <t>Управление внешней памятью</t>
  </si>
  <si>
    <t>Обеспечение интерфейса между компонентами</t>
  </si>
  <si>
    <t>Расчетные задачи (расчет режимов обработки)</t>
  </si>
  <si>
    <t>Итого</t>
  </si>
  <si>
    <t>нормативная трудоемкость Тн</t>
  </si>
  <si>
    <t>общая трудоемкость разработки То</t>
  </si>
  <si>
    <t>Показатели</t>
  </si>
  <si>
    <t>Стадии</t>
  </si>
  <si>
    <t>ТЗ</t>
  </si>
  <si>
    <t>ЭП</t>
  </si>
  <si>
    <t>ТП</t>
  </si>
  <si>
    <t>РП</t>
  </si>
  <si>
    <t>ВН</t>
  </si>
  <si>
    <t>1. Коэффициенты удельных весов трудоемкости стадии разработки ПО (</t>
  </si>
  <si>
    <t>)</t>
  </si>
  <si>
    <t>3. Коэффициент сложности ПО (</t>
  </si>
  <si>
    <t>4. Коэффициент, учитывающий использование стандартных модулей</t>
  </si>
  <si>
    <t>5. Коэффициент, учитывающий новизну ПО (</t>
  </si>
  <si>
    <t>6. Общая трудоемкость ПО (</t>
  </si>
  <si>
    <t>), чел./дн.</t>
  </si>
  <si>
    <t xml:space="preserve">Эффективный фонд времени </t>
  </si>
  <si>
    <t>Численность исполнителей проекта Чр:</t>
  </si>
  <si>
    <t>Срок разработки проекта</t>
  </si>
  <si>
    <t>года</t>
  </si>
  <si>
    <t>Должность</t>
  </si>
  <si>
    <t>Количество ставок</t>
  </si>
  <si>
    <t>Тарифный разряд</t>
  </si>
  <si>
    <t>Тарифный коэффициент</t>
  </si>
  <si>
    <t>Часовая тарифная ставка (руб.)</t>
  </si>
  <si>
    <t>Ведущий инженер-программист</t>
  </si>
  <si>
    <t>Инженер-программист 1-ой категории</t>
  </si>
  <si>
    <t>Месячная тарифная ставка (руб.)</t>
  </si>
  <si>
    <t>количество часов работы в день</t>
  </si>
  <si>
    <t>Дополнительная заработная плата Зд</t>
  </si>
  <si>
    <t>Основная заработная плата исполнителей Зо</t>
  </si>
  <si>
    <t>Отчисления в фонд социальной защиты Зсз</t>
  </si>
  <si>
    <t>Налог от фонда оплаты труда Не</t>
  </si>
  <si>
    <t>Расходы по статье «Материалы» М</t>
  </si>
  <si>
    <t>Расходы по статье «Машинное время» Рм</t>
  </si>
  <si>
    <t>Расходы по статье «Научные командировки» Рнк</t>
  </si>
  <si>
    <t>Расходы по статье «Прочие затраты» Пз</t>
  </si>
  <si>
    <t>Затраты по статье «Накладные расходы» Рн</t>
  </si>
  <si>
    <t>Общая сумма расходов по смете Сп</t>
  </si>
  <si>
    <t>Затраты на сопровождение и адаптацию ПО Рс</t>
  </si>
  <si>
    <t>Прибыль от создаваемого ПО По</t>
  </si>
  <si>
    <t>Затраты на производство и продвижение программ Спп</t>
  </si>
  <si>
    <t>Прогнозируемая цена ПО без налогов Цп</t>
  </si>
  <si>
    <t>Отчисления и налоги в местный… Омр</t>
  </si>
  <si>
    <t>норматив отчислений в местный и республиканский бюджеты (%)</t>
  </si>
  <si>
    <t>Прогнозируемая отпускная цена Цо</t>
  </si>
  <si>
    <t>Налог на добавленную стоимость (НДС)</t>
  </si>
  <si>
    <t>Наименование показателей</t>
  </si>
  <si>
    <t>Значения показателя</t>
  </si>
  <si>
    <t>Обозначение</t>
  </si>
  <si>
    <t>Единицы измерения</t>
  </si>
  <si>
    <t>В базовом варианте</t>
  </si>
  <si>
    <t>В новом варианте</t>
  </si>
  <si>
    <t>1. Капитальные вложения, включая затраты пользователя на приобретение ПО</t>
  </si>
  <si>
    <t>2. Затраты на освоение ПО</t>
  </si>
  <si>
    <t>3. Затраты на сопровождение ПО</t>
  </si>
  <si>
    <t>4. Затраты на укомплектование ВТ техническими средствами в связи с внедрением нового ПО</t>
  </si>
  <si>
    <t>5. Затраты на пополнением оборотных средств в связи с эксплуатацией нового ПО</t>
  </si>
  <si>
    <t>6. Время простоя сервиса, обусловленное ПО, в день</t>
  </si>
  <si>
    <t>мин.</t>
  </si>
  <si>
    <t>7. Стоимость одного часа простоя</t>
  </si>
  <si>
    <t>8. Среднемесячная ЗП одного программиста</t>
  </si>
  <si>
    <t>9. Коэффициент начислений на зарплату</t>
  </si>
  <si>
    <t>10. Среднемесячное количество рабочих дней</t>
  </si>
  <si>
    <t>день</t>
  </si>
  <si>
    <t>11. Количество типовых задач, решаемых за год</t>
  </si>
  <si>
    <t>задача</t>
  </si>
  <si>
    <t>12. Объем выполняемых работ</t>
  </si>
  <si>
    <t>13. Средняя трудоемкость работ в расчете на 1 задачу</t>
  </si>
  <si>
    <t>человеко-часов на 1 задачу</t>
  </si>
  <si>
    <t>14. Количество часов работы в день</t>
  </si>
  <si>
    <t>часов</t>
  </si>
  <si>
    <t>15. Ставка налога на прибыль</t>
  </si>
  <si>
    <t>Общие капитальные вложения Ко</t>
  </si>
  <si>
    <t>Экономия затрат на заработную плату в расчете на 1 задачу Сзе</t>
  </si>
  <si>
    <t>Экономия затрат на заработную плату Сз</t>
  </si>
  <si>
    <t>чистая прибыль  Пч</t>
  </si>
  <si>
    <t>alpha1</t>
  </si>
  <si>
    <t>alpha2</t>
  </si>
  <si>
    <t>alpha3</t>
  </si>
  <si>
    <t>alpha4</t>
  </si>
  <si>
    <t>Норматив дисконтирования</t>
  </si>
  <si>
    <t>Единица измерения</t>
  </si>
  <si>
    <t>Годы</t>
  </si>
  <si>
    <t>Затраты:</t>
  </si>
  <si>
    <t>Экономический эффект:</t>
  </si>
  <si>
    <t>Коэффициент приведения</t>
  </si>
  <si>
    <t>Результат:</t>
  </si>
  <si>
    <t>2. То же с учетом фактора времени</t>
  </si>
  <si>
    <t>7. Всего затрат:</t>
  </si>
  <si>
    <t>8. То же с учетом фактора времени</t>
  </si>
  <si>
    <t>9. Чистый дисконтированный доход по годам</t>
  </si>
  <si>
    <t>10. ЧДД с нарастающим итогом</t>
  </si>
  <si>
    <t>1. Прирост прибыли за счет экономии затрат (     )</t>
  </si>
  <si>
    <t>4. Освоение ПО (       )</t>
  </si>
  <si>
    <t>5. Доукомплектование ВТ техническими средствами (      )</t>
  </si>
  <si>
    <t>3. Приобретение ПО (            )</t>
  </si>
  <si>
    <t>6. Пополнение оборотных средств (            )</t>
  </si>
  <si>
    <t>На практике убран</t>
  </si>
  <si>
    <t>не используется</t>
  </si>
  <si>
    <t>общее время работы над проектом (часов) Т0</t>
  </si>
  <si>
    <t>удалено из расмотрения</t>
  </si>
  <si>
    <t>Объем выполненных работ с использованием нового ПС А2</t>
  </si>
  <si>
    <t>Кнз</t>
  </si>
  <si>
    <t>Машинное время</t>
  </si>
  <si>
    <t>Соз</t>
  </si>
  <si>
    <t>Сме</t>
  </si>
  <si>
    <t>Цена 1 часа</t>
  </si>
  <si>
    <t>См</t>
  </si>
  <si>
    <t>С0</t>
  </si>
  <si>
    <t>тыс.руб.</t>
  </si>
  <si>
    <t>Пчср</t>
  </si>
  <si>
    <t>тыс.руб</t>
  </si>
  <si>
    <t>Ри</t>
  </si>
  <si>
    <t>численность</t>
  </si>
  <si>
    <t>Себестоимость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</si>
</sst>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NumberFormat="1" applyFont="1" applyBorder="1" applyAlignment="1">
      <alignment horizontal="justify" vertical="top" wrapText="1"/>
    </xf>
    <xf numFmtId="0" fontId="1" fillId="0" borderId="2" xfId="0" applyNumberFormat="1" applyFont="1" applyBorder="1" applyAlignment="1">
      <alignment horizontal="center" wrapText="1"/>
    </xf>
    <xf numFmtId="0" fontId="0" fillId="0" borderId="0" xfId="0" applyNumberFormat="1"/>
    <xf numFmtId="0" fontId="1" fillId="0" borderId="3" xfId="0" applyNumberFormat="1" applyFont="1" applyBorder="1" applyAlignment="1">
      <alignment horizontal="justify" vertical="top" wrapText="1"/>
    </xf>
    <xf numFmtId="0" fontId="1" fillId="0" borderId="4" xfId="0" applyNumberFormat="1" applyFont="1" applyBorder="1" applyAlignment="1">
      <alignment wrapText="1"/>
    </xf>
    <xf numFmtId="0" fontId="1" fillId="0" borderId="4" xfId="0" applyNumberFormat="1" applyFont="1" applyBorder="1" applyAlignment="1">
      <alignment horizontal="center" wrapText="1"/>
    </xf>
    <xf numFmtId="0" fontId="1" fillId="0" borderId="4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vertical="top" wrapText="1"/>
    </xf>
    <xf numFmtId="2" fontId="0" fillId="0" borderId="0" xfId="0" applyNumberFormat="1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wrapText="1"/>
    </xf>
    <xf numFmtId="0" fontId="1" fillId="0" borderId="0" xfId="0" applyFont="1"/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10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1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" Type="http://schemas.openxmlformats.org/officeDocument/2006/relationships/image" Target="../media/image25.png"/><Relationship Id="rId16" Type="http://schemas.openxmlformats.org/officeDocument/2006/relationships/image" Target="../media/image38.png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42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182880</xdr:colOff>
      <xdr:row>1</xdr:row>
      <xdr:rowOff>236220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379220"/>
          <a:ext cx="1828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182880</xdr:colOff>
      <xdr:row>2</xdr:row>
      <xdr:rowOff>236220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215640"/>
          <a:ext cx="1828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205740</xdr:colOff>
      <xdr:row>3</xdr:row>
      <xdr:rowOff>236220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4366260"/>
          <a:ext cx="2057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274320</xdr:colOff>
      <xdr:row>4</xdr:row>
      <xdr:rowOff>236220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7802880"/>
          <a:ext cx="27432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114300</xdr:colOff>
      <xdr:row>5</xdr:row>
      <xdr:rowOff>236220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9639300"/>
          <a:ext cx="11430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198120</xdr:colOff>
      <xdr:row>6</xdr:row>
      <xdr:rowOff>259080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1018520"/>
          <a:ext cx="198120" cy="25908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243840</xdr:colOff>
      <xdr:row>7</xdr:row>
      <xdr:rowOff>236220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354074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266700</xdr:colOff>
      <xdr:row>8</xdr:row>
      <xdr:rowOff>236220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6977360"/>
          <a:ext cx="26670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281940</xdr:colOff>
      <xdr:row>10</xdr:row>
      <xdr:rowOff>236220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2250400"/>
          <a:ext cx="2819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259080</xdr:colOff>
      <xdr:row>11</xdr:row>
      <xdr:rowOff>236220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5687020"/>
          <a:ext cx="2590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342900</xdr:colOff>
      <xdr:row>12</xdr:row>
      <xdr:rowOff>266700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6837640"/>
          <a:ext cx="34290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259080</xdr:colOff>
      <xdr:row>13</xdr:row>
      <xdr:rowOff>236220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8674060"/>
          <a:ext cx="2590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274320</xdr:colOff>
      <xdr:row>14</xdr:row>
      <xdr:rowOff>266700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9824680"/>
          <a:ext cx="27432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259080</xdr:colOff>
      <xdr:row>16</xdr:row>
      <xdr:rowOff>266700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3497520"/>
          <a:ext cx="25908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259080</xdr:colOff>
      <xdr:row>17</xdr:row>
      <xdr:rowOff>259080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4876740"/>
          <a:ext cx="259080" cy="25908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274320</xdr:colOff>
      <xdr:row>18</xdr:row>
      <xdr:rowOff>236220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6941760"/>
          <a:ext cx="27432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320040</xdr:colOff>
      <xdr:row>16</xdr:row>
      <xdr:rowOff>30480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242560" y="4229100"/>
          <a:ext cx="32004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281940</xdr:colOff>
      <xdr:row>20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242560" y="5173980"/>
          <a:ext cx="28194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213360</xdr:colOff>
      <xdr:row>10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242560" y="2583180"/>
          <a:ext cx="213360" cy="2362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929640</xdr:colOff>
      <xdr:row>20</xdr:row>
      <xdr:rowOff>441960</xdr:rowOff>
    </xdr:from>
    <xdr:to>
      <xdr:col>1</xdr:col>
      <xdr:colOff>1158240</xdr:colOff>
      <xdr:row>21</xdr:row>
      <xdr:rowOff>220980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96440" y="6134100"/>
          <a:ext cx="22860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289560</xdr:colOff>
      <xdr:row>22</xdr:row>
      <xdr:rowOff>213360</xdr:rowOff>
    </xdr:from>
    <xdr:to>
      <xdr:col>1</xdr:col>
      <xdr:colOff>464820</xdr:colOff>
      <xdr:row>23</xdr:row>
      <xdr:rowOff>220980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6360" y="7292340"/>
          <a:ext cx="17526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594360</xdr:colOff>
      <xdr:row>25</xdr:row>
      <xdr:rowOff>259080</xdr:rowOff>
    </xdr:from>
    <xdr:to>
      <xdr:col>1</xdr:col>
      <xdr:colOff>792480</xdr:colOff>
      <xdr:row>26</xdr:row>
      <xdr:rowOff>38100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61160" y="8267700"/>
          <a:ext cx="19812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967740</xdr:colOff>
      <xdr:row>27</xdr:row>
      <xdr:rowOff>205740</xdr:rowOff>
    </xdr:from>
    <xdr:to>
      <xdr:col>1</xdr:col>
      <xdr:colOff>1203960</xdr:colOff>
      <xdr:row>28</xdr:row>
      <xdr:rowOff>213360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34540" y="8907780"/>
          <a:ext cx="236220" cy="23622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844040"/>
          <a:ext cx="26670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243840</xdr:colOff>
      <xdr:row>4</xdr:row>
      <xdr:rowOff>236220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528066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175260</xdr:colOff>
      <xdr:row>5</xdr:row>
      <xdr:rowOff>236220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6431280"/>
          <a:ext cx="17526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243840</xdr:colOff>
      <xdr:row>6</xdr:row>
      <xdr:rowOff>236220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781050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259080</xdr:colOff>
      <xdr:row>7</xdr:row>
      <xdr:rowOff>236220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1475720"/>
          <a:ext cx="2590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198120</xdr:colOff>
      <xdr:row>8</xdr:row>
      <xdr:rowOff>236220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4912340"/>
          <a:ext cx="19812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</xdr:colOff>
      <xdr:row>9</xdr:row>
      <xdr:rowOff>0</xdr:rowOff>
    </xdr:from>
    <xdr:to>
      <xdr:col>1</xdr:col>
      <xdr:colOff>205740</xdr:colOff>
      <xdr:row>9</xdr:row>
      <xdr:rowOff>228600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65220" y="3261360"/>
          <a:ext cx="198120" cy="228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182880</xdr:colOff>
      <xdr:row>10</xdr:row>
      <xdr:rowOff>236220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7198340"/>
          <a:ext cx="1828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243840</xdr:colOff>
      <xdr:row>11</xdr:row>
      <xdr:rowOff>236220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1880616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259080</xdr:colOff>
      <xdr:row>12</xdr:row>
      <xdr:rowOff>236220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0642580"/>
          <a:ext cx="2590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198120</xdr:colOff>
      <xdr:row>13</xdr:row>
      <xdr:rowOff>266700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2479000"/>
          <a:ext cx="198120" cy="2667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243840</xdr:colOff>
      <xdr:row>14</xdr:row>
      <xdr:rowOff>236220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431542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426720</xdr:rowOff>
    </xdr:from>
    <xdr:to>
      <xdr:col>1</xdr:col>
      <xdr:colOff>243840</xdr:colOff>
      <xdr:row>15</xdr:row>
      <xdr:rowOff>198120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486918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190500</xdr:colOff>
      <xdr:row>16</xdr:row>
      <xdr:rowOff>236220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6380440"/>
          <a:ext cx="19050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7620</xdr:colOff>
      <xdr:row>17</xdr:row>
      <xdr:rowOff>7620</xdr:rowOff>
    </xdr:from>
    <xdr:to>
      <xdr:col>1</xdr:col>
      <xdr:colOff>198120</xdr:colOff>
      <xdr:row>18</xdr:row>
      <xdr:rowOff>7620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65220" y="5387340"/>
          <a:ext cx="19050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243840</xdr:colOff>
      <xdr:row>18</xdr:row>
      <xdr:rowOff>236220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2775966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22860</xdr:colOff>
      <xdr:row>18</xdr:row>
      <xdr:rowOff>685800</xdr:rowOff>
    </xdr:from>
    <xdr:to>
      <xdr:col>1</xdr:col>
      <xdr:colOff>266700</xdr:colOff>
      <xdr:row>19</xdr:row>
      <xdr:rowOff>228600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80460" y="630174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182880</xdr:colOff>
      <xdr:row>20</xdr:row>
      <xdr:rowOff>236220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0053280"/>
          <a:ext cx="182880" cy="2362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198120</xdr:colOff>
      <xdr:row>21</xdr:row>
      <xdr:rowOff>236220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1432500"/>
          <a:ext cx="198120" cy="23622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3543300</xdr:colOff>
      <xdr:row>25</xdr:row>
      <xdr:rowOff>15240</xdr:rowOff>
    </xdr:from>
    <xdr:to>
      <xdr:col>0</xdr:col>
      <xdr:colOff>3741420</xdr:colOff>
      <xdr:row>26</xdr:row>
      <xdr:rowOff>0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543300" y="4876800"/>
          <a:ext cx="198120" cy="22098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1744980</xdr:colOff>
      <xdr:row>28</xdr:row>
      <xdr:rowOff>15240</xdr:rowOff>
    </xdr:from>
    <xdr:to>
      <xdr:col>0</xdr:col>
      <xdr:colOff>2011680</xdr:colOff>
      <xdr:row>29</xdr:row>
      <xdr:rowOff>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44980" y="5814060"/>
          <a:ext cx="266700" cy="266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1379220</xdr:colOff>
      <xdr:row>29</xdr:row>
      <xdr:rowOff>0</xdr:rowOff>
    </xdr:from>
    <xdr:to>
      <xdr:col>0</xdr:col>
      <xdr:colOff>1623060</xdr:colOff>
      <xdr:row>30</xdr:row>
      <xdr:rowOff>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9220" y="602742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4145280</xdr:colOff>
      <xdr:row>30</xdr:row>
      <xdr:rowOff>22860</xdr:rowOff>
    </xdr:from>
    <xdr:to>
      <xdr:col>0</xdr:col>
      <xdr:colOff>4389120</xdr:colOff>
      <xdr:row>31</xdr:row>
      <xdr:rowOff>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145280" y="6751320"/>
          <a:ext cx="243840" cy="2362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2842260</xdr:colOff>
      <xdr:row>31</xdr:row>
      <xdr:rowOff>7620</xdr:rowOff>
    </xdr:from>
    <xdr:to>
      <xdr:col>0</xdr:col>
      <xdr:colOff>3101340</xdr:colOff>
      <xdr:row>32</xdr:row>
      <xdr:rowOff>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42260" y="7200900"/>
          <a:ext cx="259080" cy="2362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10" sqref="D10"/>
    </sheetView>
  </sheetViews>
  <sheetFormatPr defaultRowHeight="15"/>
  <cols>
    <col min="1" max="1" width="76.42578125" customWidth="1"/>
    <col min="2" max="2" width="8.5703125" customWidth="1"/>
    <col min="3" max="3" width="15.7109375" customWidth="1"/>
    <col min="4" max="4" width="11" style="11" bestFit="1" customWidth="1"/>
  </cols>
  <sheetData>
    <row r="1" spans="1:5" s="3" customFormat="1" ht="19.5" thickBot="1">
      <c r="A1" s="1" t="s">
        <v>0</v>
      </c>
      <c r="B1" s="2" t="s">
        <v>1</v>
      </c>
      <c r="C1" s="2" t="s">
        <v>2</v>
      </c>
      <c r="D1" s="8">
        <v>1</v>
      </c>
    </row>
    <row r="2" spans="1:5" s="3" customFormat="1" ht="19.5" thickBot="1">
      <c r="A2" s="4" t="s">
        <v>3</v>
      </c>
      <c r="B2" s="5"/>
      <c r="C2" s="6" t="s">
        <v>2</v>
      </c>
      <c r="D2" s="9">
        <v>1.1200000000000001</v>
      </c>
    </row>
    <row r="3" spans="1:5" s="3" customFormat="1" ht="19.5" thickBot="1">
      <c r="A3" s="4" t="s">
        <v>4</v>
      </c>
      <c r="B3" s="5"/>
      <c r="C3" s="6" t="s">
        <v>2</v>
      </c>
      <c r="D3" s="9">
        <v>0.9</v>
      </c>
    </row>
    <row r="4" spans="1:5" s="3" customFormat="1" ht="38.25" thickBot="1">
      <c r="A4" s="4" t="s">
        <v>5</v>
      </c>
      <c r="B4" s="5"/>
      <c r="C4" s="6" t="s">
        <v>2</v>
      </c>
      <c r="D4" s="9">
        <v>0.8</v>
      </c>
    </row>
    <row r="5" spans="1:5" s="3" customFormat="1" ht="19.5" thickBot="1">
      <c r="A5" s="4" t="s">
        <v>6</v>
      </c>
      <c r="B5" s="5"/>
      <c r="C5" s="6" t="s">
        <v>7</v>
      </c>
      <c r="D5" s="10">
        <v>81000</v>
      </c>
    </row>
    <row r="6" spans="1:5" s="3" customFormat="1" ht="19.5" thickBot="1">
      <c r="A6" s="4" t="s">
        <v>8</v>
      </c>
      <c r="B6" s="5"/>
      <c r="C6" s="6" t="s">
        <v>2</v>
      </c>
      <c r="D6" s="9">
        <v>0.3</v>
      </c>
    </row>
    <row r="7" spans="1:5" s="3" customFormat="1" ht="19.5" thickBot="1">
      <c r="A7" s="4" t="s">
        <v>9</v>
      </c>
      <c r="B7" s="5"/>
      <c r="C7" s="6" t="s">
        <v>10</v>
      </c>
      <c r="D7" s="9">
        <v>15</v>
      </c>
    </row>
    <row r="8" spans="1:5" s="3" customFormat="1" ht="38.25" thickBot="1">
      <c r="A8" s="4" t="s">
        <v>11</v>
      </c>
      <c r="B8" s="5"/>
      <c r="C8" s="6" t="s">
        <v>10</v>
      </c>
      <c r="D8" s="9">
        <v>35</v>
      </c>
    </row>
    <row r="9" spans="1:5" s="3" customFormat="1" ht="19.5" thickBot="1">
      <c r="A9" s="4" t="s">
        <v>12</v>
      </c>
      <c r="B9" s="5"/>
      <c r="C9" s="6" t="s">
        <v>10</v>
      </c>
      <c r="D9" s="9">
        <v>0</v>
      </c>
      <c r="E9" s="3" t="s">
        <v>135</v>
      </c>
    </row>
    <row r="10" spans="1:5" s="3" customFormat="1" ht="19.5" thickBot="1">
      <c r="A10" s="4" t="s">
        <v>13</v>
      </c>
      <c r="B10"/>
      <c r="C10" s="6" t="s">
        <v>10</v>
      </c>
      <c r="D10" s="9">
        <v>0.46</v>
      </c>
    </row>
    <row r="11" spans="1:5" s="3" customFormat="1" ht="38.25" thickBot="1">
      <c r="A11" s="4" t="s">
        <v>14</v>
      </c>
      <c r="B11" s="5"/>
      <c r="C11" s="6" t="s">
        <v>15</v>
      </c>
      <c r="D11" s="9"/>
      <c r="E11" s="3" t="s">
        <v>138</v>
      </c>
    </row>
    <row r="12" spans="1:5" s="3" customFormat="1" ht="19.5" thickBot="1">
      <c r="A12" s="4" t="s">
        <v>16</v>
      </c>
      <c r="B12" s="5"/>
      <c r="C12" s="6" t="s">
        <v>17</v>
      </c>
      <c r="D12" s="9">
        <v>2500</v>
      </c>
    </row>
    <row r="13" spans="1:5" s="3" customFormat="1" ht="19.5" thickBot="1">
      <c r="A13" s="4" t="s">
        <v>18</v>
      </c>
      <c r="B13" s="5"/>
      <c r="C13" s="6" t="s">
        <v>10</v>
      </c>
      <c r="D13" s="9">
        <v>10</v>
      </c>
    </row>
    <row r="14" spans="1:5" s="3" customFormat="1" ht="19.5" thickBot="1">
      <c r="A14" s="4" t="s">
        <v>19</v>
      </c>
      <c r="B14" s="5"/>
      <c r="C14" s="6" t="s">
        <v>10</v>
      </c>
      <c r="D14" s="9">
        <v>20</v>
      </c>
    </row>
    <row r="15" spans="1:5" s="3" customFormat="1" ht="19.5" thickBot="1">
      <c r="A15" s="4" t="s">
        <v>20</v>
      </c>
      <c r="B15" s="5"/>
      <c r="C15" s="6" t="s">
        <v>10</v>
      </c>
      <c r="D15" s="9">
        <v>50</v>
      </c>
    </row>
    <row r="16" spans="1:5" s="3" customFormat="1" ht="19.5" thickBot="1">
      <c r="A16" s="4" t="s">
        <v>21</v>
      </c>
      <c r="B16"/>
      <c r="C16" s="6" t="s">
        <v>10</v>
      </c>
      <c r="D16" s="9">
        <v>5</v>
      </c>
    </row>
    <row r="17" spans="1:4" s="3" customFormat="1" ht="19.5" thickBot="1">
      <c r="A17" s="4" t="s">
        <v>22</v>
      </c>
      <c r="B17" s="5"/>
      <c r="C17" s="6" t="s">
        <v>10</v>
      </c>
      <c r="D17" s="9">
        <v>15</v>
      </c>
    </row>
    <row r="18" spans="1:4" s="3" customFormat="1" ht="19.5" thickBot="1">
      <c r="A18" s="4" t="s">
        <v>23</v>
      </c>
      <c r="B18" s="5"/>
      <c r="C18" s="6" t="s">
        <v>10</v>
      </c>
      <c r="D18" s="9">
        <v>20</v>
      </c>
    </row>
    <row r="19" spans="1:4" s="3" customFormat="1" ht="19.5" thickBot="1">
      <c r="A19" s="4" t="s">
        <v>24</v>
      </c>
      <c r="B19" s="5"/>
      <c r="C19" s="6" t="s">
        <v>10</v>
      </c>
      <c r="D19" s="9"/>
    </row>
    <row r="20" spans="1:4" ht="18.75">
      <c r="A20" s="17" t="s">
        <v>81</v>
      </c>
      <c r="C20" s="28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3"/>
  <sheetViews>
    <sheetView topLeftCell="A42" workbookViewId="0">
      <selection activeCell="C63" sqref="C63"/>
    </sheetView>
  </sheetViews>
  <sheetFormatPr defaultRowHeight="15"/>
  <cols>
    <col min="1" max="1" width="15.5703125" bestFit="1" customWidth="1"/>
    <col min="2" max="2" width="75.140625" bestFit="1" customWidth="1"/>
    <col min="3" max="3" width="24.7109375" customWidth="1"/>
    <col min="6" max="6" width="10.28515625" bestFit="1" customWidth="1"/>
    <col min="7" max="7" width="14" bestFit="1" customWidth="1"/>
  </cols>
  <sheetData>
    <row r="1" spans="1:7" ht="57" thickBot="1">
      <c r="A1" s="14" t="s">
        <v>25</v>
      </c>
      <c r="B1" s="2" t="s">
        <v>26</v>
      </c>
      <c r="C1" s="2" t="s">
        <v>27</v>
      </c>
    </row>
    <row r="2" spans="1:7" ht="19.5" thickBot="1">
      <c r="A2" s="15">
        <v>1</v>
      </c>
      <c r="B2" s="7">
        <v>2</v>
      </c>
      <c r="C2" s="7">
        <v>3</v>
      </c>
    </row>
    <row r="3" spans="1:7" ht="19.5" thickBot="1">
      <c r="A3" s="16">
        <v>101</v>
      </c>
      <c r="B3" s="6" t="s">
        <v>28</v>
      </c>
      <c r="C3" s="6">
        <v>150</v>
      </c>
      <c r="E3" t="s">
        <v>151</v>
      </c>
      <c r="G3" s="11">
        <f>C31</f>
        <v>2.8273676962025323</v>
      </c>
    </row>
    <row r="4" spans="1:7" ht="19.5" thickBot="1">
      <c r="A4" s="16">
        <v>102</v>
      </c>
      <c r="B4" s="6" t="s">
        <v>29</v>
      </c>
      <c r="C4" s="6">
        <v>450</v>
      </c>
      <c r="E4" t="s">
        <v>150</v>
      </c>
      <c r="G4">
        <f>Расчет!B41</f>
        <v>27.256445433222556</v>
      </c>
    </row>
    <row r="5" spans="1:7" ht="19.5" thickBot="1">
      <c r="A5" s="16">
        <v>309</v>
      </c>
      <c r="B5" s="6" t="s">
        <v>30</v>
      </c>
      <c r="C5" s="6">
        <v>1020</v>
      </c>
      <c r="E5" t="s">
        <v>152</v>
      </c>
      <c r="G5">
        <f>C53</f>
        <v>15446956.633685295</v>
      </c>
    </row>
    <row r="6" spans="1:7" ht="19.5" thickBot="1">
      <c r="A6" s="16">
        <v>401</v>
      </c>
      <c r="B6" s="6" t="s">
        <v>31</v>
      </c>
      <c r="C6" s="6">
        <v>3360</v>
      </c>
    </row>
    <row r="7" spans="1:7" ht="19.5" thickBot="1">
      <c r="A7" s="16">
        <v>503</v>
      </c>
      <c r="B7" s="6" t="s">
        <v>32</v>
      </c>
      <c r="C7" s="6">
        <v>5900</v>
      </c>
    </row>
    <row r="8" spans="1:7" ht="19.5" thickBot="1">
      <c r="A8" s="16">
        <v>505</v>
      </c>
      <c r="B8" s="6" t="s">
        <v>33</v>
      </c>
      <c r="C8" s="6">
        <v>200</v>
      </c>
    </row>
    <row r="9" spans="1:7" ht="19.5" thickBot="1">
      <c r="A9" s="16">
        <v>507</v>
      </c>
      <c r="B9" s="6" t="s">
        <v>34</v>
      </c>
      <c r="C9" s="6">
        <v>970</v>
      </c>
    </row>
    <row r="10" spans="1:7" ht="19.5" thickBot="1">
      <c r="A10" s="16">
        <v>702</v>
      </c>
      <c r="B10" s="6" t="s">
        <v>35</v>
      </c>
      <c r="C10" s="6">
        <v>0</v>
      </c>
    </row>
    <row r="11" spans="1:7" ht="19.5" thickBot="1">
      <c r="A11" s="16"/>
      <c r="B11" s="6" t="s">
        <v>36</v>
      </c>
      <c r="C11" s="6">
        <f>SUM(C3:C10)</f>
        <v>12050</v>
      </c>
    </row>
    <row r="13" spans="1:7" ht="18.75">
      <c r="B13" s="17" t="s">
        <v>37</v>
      </c>
      <c r="C13" s="11">
        <v>376</v>
      </c>
    </row>
    <row r="14" spans="1:7" ht="18.75">
      <c r="B14" s="17" t="s">
        <v>38</v>
      </c>
      <c r="C14" s="11">
        <f>C13*'Данные для оценки цены ПО'!D2*'Данные для оценки цены ПО'!D4*'Данные для оценки цены ПО'!D3</f>
        <v>303.20640000000009</v>
      </c>
    </row>
    <row r="15" spans="1:7" ht="18.75">
      <c r="B15" s="17" t="s">
        <v>53</v>
      </c>
      <c r="C15" s="11">
        <f>365-8-105-15</f>
        <v>237</v>
      </c>
    </row>
    <row r="16" spans="1:7" ht="18.75">
      <c r="B16" s="17" t="s">
        <v>55</v>
      </c>
      <c r="C16" s="11">
        <v>0.5</v>
      </c>
      <c r="D16" t="s">
        <v>56</v>
      </c>
    </row>
    <row r="17" spans="2:8" ht="15.75" thickBot="1">
      <c r="C17" s="11"/>
    </row>
    <row r="18" spans="2:8" ht="19.5" thickBot="1">
      <c r="B18" s="42" t="s">
        <v>39</v>
      </c>
      <c r="C18" s="44" t="s">
        <v>40</v>
      </c>
      <c r="D18" s="45"/>
      <c r="E18" s="45"/>
      <c r="F18" s="45"/>
      <c r="G18" s="46"/>
      <c r="H18" s="42" t="s">
        <v>36</v>
      </c>
    </row>
    <row r="19" spans="2:8" ht="19.5" thickBot="1">
      <c r="B19" s="43"/>
      <c r="C19" s="13" t="s">
        <v>41</v>
      </c>
      <c r="D19" s="13" t="s">
        <v>42</v>
      </c>
      <c r="E19" s="13" t="s">
        <v>43</v>
      </c>
      <c r="F19" s="13" t="s">
        <v>44</v>
      </c>
      <c r="G19" s="13" t="s">
        <v>45</v>
      </c>
      <c r="H19" s="43"/>
    </row>
    <row r="20" spans="2:8" ht="19.5" thickBot="1">
      <c r="B20" s="12">
        <v>1</v>
      </c>
      <c r="C20" s="13">
        <v>2</v>
      </c>
      <c r="D20" s="13">
        <v>3</v>
      </c>
      <c r="E20" s="13">
        <v>4</v>
      </c>
      <c r="F20" s="13">
        <v>5</v>
      </c>
      <c r="G20" s="13">
        <v>6</v>
      </c>
      <c r="H20" s="13">
        <v>7</v>
      </c>
    </row>
    <row r="21" spans="2:8" ht="37.5">
      <c r="B21" s="18" t="s">
        <v>46</v>
      </c>
      <c r="C21" s="47">
        <v>0.1</v>
      </c>
      <c r="D21" s="47">
        <v>0.08</v>
      </c>
      <c r="E21" s="47">
        <v>0.09</v>
      </c>
      <c r="F21" s="47">
        <v>0.57999999999999996</v>
      </c>
      <c r="G21" s="47">
        <v>0.15</v>
      </c>
      <c r="H21" s="49">
        <f>SUM(C21:G22)</f>
        <v>1</v>
      </c>
    </row>
    <row r="22" spans="2:8" ht="19.5" thickBot="1">
      <c r="B22" s="19" t="s">
        <v>47</v>
      </c>
      <c r="C22" s="48"/>
      <c r="D22" s="48"/>
      <c r="E22" s="48"/>
      <c r="F22" s="48"/>
      <c r="G22" s="48"/>
      <c r="H22" s="50"/>
    </row>
    <row r="23" spans="2:8" ht="18.75">
      <c r="B23" s="18" t="s">
        <v>48</v>
      </c>
      <c r="C23" s="49">
        <f>'Данные для оценки цены ПО'!D2</f>
        <v>1.1200000000000001</v>
      </c>
      <c r="D23" s="49">
        <f>C23</f>
        <v>1.1200000000000001</v>
      </c>
      <c r="E23" s="49">
        <f t="shared" ref="E23:G23" si="0">D23</f>
        <v>1.1200000000000001</v>
      </c>
      <c r="F23" s="49">
        <f t="shared" si="0"/>
        <v>1.1200000000000001</v>
      </c>
      <c r="G23" s="49">
        <f t="shared" si="0"/>
        <v>1.1200000000000001</v>
      </c>
      <c r="H23" s="49"/>
    </row>
    <row r="24" spans="2:8" ht="19.5" thickBot="1">
      <c r="B24" s="19" t="s">
        <v>47</v>
      </c>
      <c r="C24" s="50"/>
      <c r="D24" s="50"/>
      <c r="E24" s="50"/>
      <c r="F24" s="50"/>
      <c r="G24" s="50"/>
      <c r="H24" s="50"/>
    </row>
    <row r="25" spans="2:8" ht="38.25" thickBot="1">
      <c r="B25" s="19" t="s">
        <v>49</v>
      </c>
      <c r="C25" s="10"/>
      <c r="D25" s="10"/>
      <c r="E25" s="10"/>
      <c r="F25" s="10">
        <f>'Данные для оценки цены ПО'!D4</f>
        <v>0.8</v>
      </c>
      <c r="G25" s="10"/>
      <c r="H25" s="10"/>
    </row>
    <row r="26" spans="2:8" ht="18.75">
      <c r="B26" s="18" t="s">
        <v>50</v>
      </c>
      <c r="C26" s="49">
        <f>'Данные для оценки цены ПО'!D3</f>
        <v>0.9</v>
      </c>
      <c r="D26" s="49">
        <f>C26</f>
        <v>0.9</v>
      </c>
      <c r="E26" s="49">
        <f t="shared" ref="E26:G26" si="1">D26</f>
        <v>0.9</v>
      </c>
      <c r="F26" s="49">
        <f t="shared" si="1"/>
        <v>0.9</v>
      </c>
      <c r="G26" s="49">
        <f t="shared" si="1"/>
        <v>0.9</v>
      </c>
      <c r="H26" s="49"/>
    </row>
    <row r="27" spans="2:8" ht="19.5" thickBot="1">
      <c r="B27" s="19" t="s">
        <v>47</v>
      </c>
      <c r="C27" s="50"/>
      <c r="D27" s="50"/>
      <c r="E27" s="50"/>
      <c r="F27" s="50"/>
      <c r="G27" s="50"/>
      <c r="H27" s="50"/>
    </row>
    <row r="28" spans="2:8" ht="18.75">
      <c r="B28" s="18" t="s">
        <v>51</v>
      </c>
      <c r="C28" s="49">
        <f>C26*C23*C21*C13</f>
        <v>37.900800000000011</v>
      </c>
      <c r="D28" s="49">
        <f>D26*D23*D21*C13</f>
        <v>30.320640000000008</v>
      </c>
      <c r="E28" s="49">
        <f>E26*E23*E21*C13</f>
        <v>34.110720000000008</v>
      </c>
      <c r="F28" s="49">
        <f>F26*F23*F21*F25*C13</f>
        <v>175.85971200000003</v>
      </c>
      <c r="G28" s="49">
        <f>G26*G23*G21*C13</f>
        <v>56.851200000000013</v>
      </c>
      <c r="H28" s="49">
        <f>SUM(C28:G29)</f>
        <v>335.04307200000005</v>
      </c>
    </row>
    <row r="29" spans="2:8" ht="19.5" thickBot="1">
      <c r="B29" s="19" t="s">
        <v>52</v>
      </c>
      <c r="C29" s="50"/>
      <c r="D29" s="50"/>
      <c r="E29" s="50"/>
      <c r="F29" s="50"/>
      <c r="G29" s="50"/>
      <c r="H29" s="50"/>
    </row>
    <row r="30" spans="2:8">
      <c r="C30" s="11"/>
    </row>
    <row r="31" spans="2:8" ht="18.75">
      <c r="B31" s="23" t="s">
        <v>54</v>
      </c>
      <c r="C31" s="11">
        <f>H28/(C15*C16)</f>
        <v>2.8273676962025323</v>
      </c>
    </row>
    <row r="32" spans="2:8">
      <c r="C32" s="11"/>
    </row>
    <row r="33" spans="2:7" ht="15.75" thickBot="1">
      <c r="C33" s="11"/>
    </row>
    <row r="34" spans="2:7" ht="113.25" thickBot="1">
      <c r="B34" s="20" t="s">
        <v>57</v>
      </c>
      <c r="C34" s="24" t="s">
        <v>58</v>
      </c>
      <c r="D34" s="24" t="s">
        <v>59</v>
      </c>
      <c r="E34" s="24" t="s">
        <v>60</v>
      </c>
      <c r="F34" s="22" t="s">
        <v>64</v>
      </c>
      <c r="G34" s="24" t="s">
        <v>61</v>
      </c>
    </row>
    <row r="35" spans="2:7" ht="19.5" thickBot="1">
      <c r="B35" s="21">
        <v>1</v>
      </c>
      <c r="C35" s="25">
        <v>2</v>
      </c>
      <c r="D35" s="25">
        <v>3</v>
      </c>
      <c r="E35" s="25">
        <v>4</v>
      </c>
      <c r="F35" s="25">
        <v>5</v>
      </c>
      <c r="G35" s="25">
        <v>6</v>
      </c>
    </row>
    <row r="36" spans="2:7" ht="19.5" thickBot="1">
      <c r="B36" s="21" t="s">
        <v>62</v>
      </c>
      <c r="C36" s="25">
        <v>1</v>
      </c>
      <c r="D36" s="25">
        <v>14</v>
      </c>
      <c r="E36" s="25">
        <v>3.25</v>
      </c>
      <c r="F36" s="25">
        <f>'Данные для оценки цены ПО'!D5*'расчет цены'!E36</f>
        <v>263250</v>
      </c>
      <c r="G36" s="9">
        <f>F36/170</f>
        <v>1548.5294117647059</v>
      </c>
    </row>
    <row r="37" spans="2:7" ht="19.5" thickBot="1">
      <c r="B37" s="21" t="s">
        <v>63</v>
      </c>
      <c r="C37" s="25">
        <v>2</v>
      </c>
      <c r="D37" s="25">
        <v>12</v>
      </c>
      <c r="E37" s="25">
        <v>2.84</v>
      </c>
      <c r="F37" s="25">
        <f>E37*'Данные для оценки цены ПО'!D5</f>
        <v>230040</v>
      </c>
      <c r="G37" s="9">
        <f>F37/170</f>
        <v>1353.1764705882354</v>
      </c>
    </row>
    <row r="39" spans="2:7" ht="18.75">
      <c r="B39" s="26" t="s">
        <v>65</v>
      </c>
      <c r="C39" s="27">
        <v>8</v>
      </c>
    </row>
    <row r="40" spans="2:7" ht="18.75">
      <c r="B40" s="17" t="s">
        <v>67</v>
      </c>
      <c r="C40" s="32">
        <f>(G36*C36+G37*C37)*C39*C15*C16*(1+'Данные для оценки цены ПО'!D6)</f>
        <v>5243717.0117647061</v>
      </c>
      <c r="D40" t="s">
        <v>17</v>
      </c>
    </row>
    <row r="41" spans="2:7" ht="18.75">
      <c r="B41" s="17" t="s">
        <v>66</v>
      </c>
      <c r="C41" s="32">
        <f>C40*'Данные для оценки цены ПО'!D7/100</f>
        <v>786557.55176470592</v>
      </c>
      <c r="D41" t="s">
        <v>17</v>
      </c>
    </row>
    <row r="42" spans="2:7" ht="18.75">
      <c r="B42" s="17" t="s">
        <v>68</v>
      </c>
      <c r="C42" s="32">
        <f>(C41+C40)*'Данные для оценки цены ПО'!D8/100</f>
        <v>2110596.0972352941</v>
      </c>
      <c r="D42" t="s">
        <v>17</v>
      </c>
    </row>
    <row r="43" spans="2:7" ht="18.75">
      <c r="B43" s="17" t="s">
        <v>69</v>
      </c>
      <c r="C43" s="32">
        <f>(C41+C40)*'Данные для оценки цены ПО'!D9/100</f>
        <v>0</v>
      </c>
      <c r="D43" t="s">
        <v>17</v>
      </c>
      <c r="E43" t="s">
        <v>136</v>
      </c>
    </row>
    <row r="44" spans="2:7" ht="18.75">
      <c r="B44" s="17" t="s">
        <v>70</v>
      </c>
      <c r="C44" s="32">
        <f>C11*'Данные для оценки цены ПО'!D10</f>
        <v>5543</v>
      </c>
      <c r="D44" t="s">
        <v>17</v>
      </c>
    </row>
    <row r="45" spans="2:7" ht="18.75">
      <c r="B45" s="17" t="s">
        <v>137</v>
      </c>
      <c r="C45" s="32">
        <f>C39*C15*C16</f>
        <v>948</v>
      </c>
    </row>
    <row r="46" spans="2:7" ht="18.75">
      <c r="B46" s="17" t="s">
        <v>71</v>
      </c>
      <c r="C46" s="32">
        <f>C45*'Данные для оценки цены ПО'!D12</f>
        <v>2370000</v>
      </c>
      <c r="D46" t="s">
        <v>17</v>
      </c>
    </row>
    <row r="47" spans="2:7" ht="18.75">
      <c r="B47" s="17" t="s">
        <v>72</v>
      </c>
      <c r="C47" s="32">
        <f>C40*'Данные для оценки цены ПО'!D13/100</f>
        <v>524371.70117647061</v>
      </c>
      <c r="D47" t="s">
        <v>17</v>
      </c>
    </row>
    <row r="48" spans="2:7" ht="18.75">
      <c r="B48" s="17" t="s">
        <v>73</v>
      </c>
      <c r="C48" s="32">
        <f>C40*'Данные для оценки цены ПО'!D14/100</f>
        <v>1048743.4023529412</v>
      </c>
      <c r="D48" t="s">
        <v>17</v>
      </c>
    </row>
    <row r="49" spans="2:4" ht="18.75">
      <c r="B49" s="17" t="s">
        <v>74</v>
      </c>
      <c r="C49" s="32">
        <f>C40*'Данные для оценки цены ПО'!D15/100</f>
        <v>2621858.5058823531</v>
      </c>
      <c r="D49" t="s">
        <v>17</v>
      </c>
    </row>
    <row r="50" spans="2:4" ht="18.75">
      <c r="B50" s="17" t="s">
        <v>75</v>
      </c>
      <c r="C50" s="32">
        <f>C40+C41+C42+C43+C44+C46+C47+C48+C49</f>
        <v>14711387.27017647</v>
      </c>
      <c r="D50" t="s">
        <v>17</v>
      </c>
    </row>
    <row r="51" spans="2:4">
      <c r="C51" s="32"/>
    </row>
    <row r="52" spans="2:4" ht="18.75">
      <c r="B52" s="17" t="s">
        <v>76</v>
      </c>
      <c r="C52" s="32">
        <f>C50*'Данные для оценки цены ПО'!D16/100</f>
        <v>735569.36350882356</v>
      </c>
    </row>
    <row r="53" spans="2:4" ht="18.75">
      <c r="B53" s="17" t="s">
        <v>78</v>
      </c>
      <c r="C53" s="32">
        <f>C52+C50</f>
        <v>15446956.633685295</v>
      </c>
    </row>
    <row r="54" spans="2:4" ht="18.75">
      <c r="B54" s="17"/>
      <c r="C54" s="32"/>
    </row>
    <row r="55" spans="2:4" ht="18.75">
      <c r="B55" s="17" t="s">
        <v>77</v>
      </c>
      <c r="C55" s="32">
        <f>C53*'Данные для оценки цены ПО'!D17/100</f>
        <v>2317043.495052794</v>
      </c>
    </row>
    <row r="56" spans="2:4" ht="18.75">
      <c r="B56" s="17" t="s">
        <v>79</v>
      </c>
      <c r="C56" s="32">
        <f>C53+C55</f>
        <v>17764000.12873809</v>
      </c>
    </row>
    <row r="57" spans="2:4">
      <c r="C57" s="32"/>
    </row>
    <row r="58" spans="2:4" ht="18.75">
      <c r="B58" s="17" t="s">
        <v>81</v>
      </c>
      <c r="C58" s="32">
        <f>'Данные для оценки цены ПО'!D20</f>
        <v>0</v>
      </c>
    </row>
    <row r="59" spans="2:4" ht="18.75">
      <c r="B59" s="17" t="s">
        <v>80</v>
      </c>
      <c r="C59" s="32">
        <f>C56*C58/(100-C58)</f>
        <v>0</v>
      </c>
    </row>
    <row r="60" spans="2:4" ht="18.75">
      <c r="B60" s="17" t="s">
        <v>83</v>
      </c>
      <c r="C60" s="32">
        <f>(C56+C59)*'Данные для оценки цены ПО'!D18/100</f>
        <v>3552800.0257476182</v>
      </c>
    </row>
    <row r="61" spans="2:4" ht="18.75">
      <c r="B61" s="17" t="s">
        <v>82</v>
      </c>
      <c r="C61" s="32">
        <f>C56+C59+C60</f>
        <v>21316800.15448571</v>
      </c>
    </row>
    <row r="63" spans="2:4" ht="18.75">
      <c r="B63" s="17"/>
    </row>
  </sheetData>
  <mergeCells count="27">
    <mergeCell ref="H28:H29"/>
    <mergeCell ref="C28:C29"/>
    <mergeCell ref="D28:D29"/>
    <mergeCell ref="E28:E29"/>
    <mergeCell ref="F28:F29"/>
    <mergeCell ref="G28:G29"/>
    <mergeCell ref="H26:H27"/>
    <mergeCell ref="C23:C24"/>
    <mergeCell ref="D23:D24"/>
    <mergeCell ref="E23:E24"/>
    <mergeCell ref="F23:F24"/>
    <mergeCell ref="G23:G24"/>
    <mergeCell ref="H23:H24"/>
    <mergeCell ref="C26:C27"/>
    <mergeCell ref="D26:D27"/>
    <mergeCell ref="E26:E27"/>
    <mergeCell ref="F26:F27"/>
    <mergeCell ref="G26:G27"/>
    <mergeCell ref="B18:B19"/>
    <mergeCell ref="C18:G18"/>
    <mergeCell ref="H18:H19"/>
    <mergeCell ref="C21:C22"/>
    <mergeCell ref="D21:D22"/>
    <mergeCell ref="E21:E22"/>
    <mergeCell ref="F21:F22"/>
    <mergeCell ref="G21:G22"/>
    <mergeCell ref="H21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opLeftCell="A9" workbookViewId="0">
      <selection activeCell="E16" sqref="E16"/>
    </sheetView>
  </sheetViews>
  <sheetFormatPr defaultRowHeight="15"/>
  <cols>
    <col min="1" max="1" width="53.28515625" customWidth="1"/>
    <col min="2" max="2" width="8.28515625" bestFit="1" customWidth="1"/>
    <col min="3" max="3" width="12.7109375" customWidth="1"/>
    <col min="4" max="4" width="14.28515625" customWidth="1"/>
    <col min="5" max="5" width="16.7109375" customWidth="1"/>
  </cols>
  <sheetData>
    <row r="1" spans="1:5" ht="18.600000000000001" customHeight="1" thickBot="1">
      <c r="A1" s="42" t="s">
        <v>84</v>
      </c>
      <c r="B1" s="33"/>
      <c r="C1" s="33"/>
      <c r="D1" s="44" t="s">
        <v>85</v>
      </c>
      <c r="E1" s="46"/>
    </row>
    <row r="2" spans="1:5" ht="57" thickBot="1">
      <c r="A2" s="43"/>
      <c r="B2" s="13" t="s">
        <v>86</v>
      </c>
      <c r="C2" s="13" t="s">
        <v>87</v>
      </c>
      <c r="D2" s="13" t="s">
        <v>88</v>
      </c>
      <c r="E2" s="13" t="s">
        <v>89</v>
      </c>
    </row>
    <row r="3" spans="1:5" ht="19.5" thickBot="1">
      <c r="A3" s="34">
        <v>1</v>
      </c>
      <c r="B3" s="13">
        <v>2</v>
      </c>
      <c r="C3" s="13">
        <v>3</v>
      </c>
      <c r="D3" s="13">
        <v>4</v>
      </c>
      <c r="E3" s="13">
        <v>5</v>
      </c>
    </row>
    <row r="4" spans="1:5" ht="38.25" thickBot="1">
      <c r="A4" s="35" t="s">
        <v>90</v>
      </c>
      <c r="B4" s="29"/>
      <c r="C4" s="13" t="s">
        <v>17</v>
      </c>
      <c r="D4" s="13"/>
      <c r="E4" s="13">
        <f>'расчет цены'!C53</f>
        <v>15446956.633685295</v>
      </c>
    </row>
    <row r="5" spans="1:5" ht="19.5" thickBot="1">
      <c r="A5" s="35" t="s">
        <v>91</v>
      </c>
      <c r="B5" s="29"/>
      <c r="C5" s="13" t="s">
        <v>17</v>
      </c>
      <c r="D5" s="13"/>
      <c r="E5" s="13">
        <v>0</v>
      </c>
    </row>
    <row r="6" spans="1:5" ht="19.5" thickBot="1">
      <c r="A6" s="35" t="s">
        <v>92</v>
      </c>
      <c r="B6" s="29"/>
      <c r="C6" s="13" t="s">
        <v>17</v>
      </c>
      <c r="D6" s="13"/>
      <c r="E6" s="13">
        <v>0</v>
      </c>
    </row>
    <row r="7" spans="1:5" ht="57" thickBot="1">
      <c r="A7" s="35" t="s">
        <v>93</v>
      </c>
      <c r="B7" s="29"/>
      <c r="C7" s="13" t="s">
        <v>17</v>
      </c>
      <c r="D7" s="13"/>
      <c r="E7" s="13">
        <v>0</v>
      </c>
    </row>
    <row r="8" spans="1:5" ht="57" thickBot="1">
      <c r="A8" s="35" t="s">
        <v>94</v>
      </c>
      <c r="B8" s="29"/>
      <c r="C8" s="13" t="s">
        <v>17</v>
      </c>
      <c r="D8" s="13"/>
      <c r="E8" s="13">
        <v>0</v>
      </c>
    </row>
    <row r="9" spans="1:5" ht="18" customHeight="1">
      <c r="A9" s="51" t="s">
        <v>95</v>
      </c>
      <c r="B9" s="51"/>
      <c r="C9" s="47" t="s">
        <v>96</v>
      </c>
      <c r="D9" s="30" t="s">
        <v>1</v>
      </c>
      <c r="E9" s="30" t="s">
        <v>1</v>
      </c>
    </row>
    <row r="10" spans="1:5" ht="19.5" thickBot="1">
      <c r="A10" s="52"/>
      <c r="B10" s="52"/>
      <c r="C10" s="48"/>
      <c r="D10" s="13" t="s">
        <v>1</v>
      </c>
      <c r="E10" s="13" t="s">
        <v>1</v>
      </c>
    </row>
    <row r="11" spans="1:5" ht="19.5" thickBot="1">
      <c r="A11" s="35" t="s">
        <v>97</v>
      </c>
      <c r="B11" s="29"/>
      <c r="C11" s="13" t="s">
        <v>17</v>
      </c>
      <c r="D11" s="13"/>
      <c r="E11" s="13"/>
    </row>
    <row r="12" spans="1:5" ht="38.25" thickBot="1">
      <c r="A12" s="35" t="s">
        <v>98</v>
      </c>
      <c r="B12" s="29"/>
      <c r="C12" s="13" t="s">
        <v>17</v>
      </c>
      <c r="D12" s="13"/>
      <c r="E12" s="13">
        <v>500000</v>
      </c>
    </row>
    <row r="13" spans="1:5" ht="19.5" thickBot="1">
      <c r="A13" s="35" t="s">
        <v>99</v>
      </c>
      <c r="B13" s="29"/>
      <c r="C13" s="13"/>
      <c r="D13" s="13">
        <v>1.5</v>
      </c>
      <c r="E13" s="13">
        <v>1.4</v>
      </c>
    </row>
    <row r="14" spans="1:5" ht="38.25" thickBot="1">
      <c r="A14" s="35" t="s">
        <v>100</v>
      </c>
      <c r="B14" s="29"/>
      <c r="C14" s="13" t="s">
        <v>101</v>
      </c>
      <c r="D14" s="13"/>
      <c r="E14" s="13">
        <v>21.5</v>
      </c>
    </row>
    <row r="15" spans="1:5" ht="38.25" thickBot="1">
      <c r="A15" s="35" t="s">
        <v>102</v>
      </c>
      <c r="B15" s="29"/>
      <c r="C15" s="13" t="s">
        <v>103</v>
      </c>
      <c r="D15" s="13">
        <v>900</v>
      </c>
      <c r="E15" s="13">
        <v>350</v>
      </c>
    </row>
    <row r="16" spans="1:5" ht="19.5" thickBot="1">
      <c r="A16" s="35"/>
      <c r="B16" s="29"/>
      <c r="C16" s="13"/>
      <c r="D16" s="13"/>
      <c r="E16" s="13"/>
    </row>
    <row r="17" spans="1:5" ht="19.5" thickBot="1">
      <c r="A17" s="35" t="s">
        <v>104</v>
      </c>
      <c r="B17" s="29"/>
      <c r="C17" s="13" t="s">
        <v>103</v>
      </c>
      <c r="D17" s="13">
        <v>120</v>
      </c>
      <c r="E17" s="13">
        <v>120</v>
      </c>
    </row>
    <row r="18" spans="1:5" ht="19.5" thickBot="1">
      <c r="A18" s="35"/>
      <c r="B18" s="29"/>
      <c r="C18" s="13"/>
      <c r="D18" s="13"/>
      <c r="E18" s="13"/>
    </row>
    <row r="19" spans="1:5" ht="20.45" customHeight="1" thickBot="1">
      <c r="A19" s="35" t="s">
        <v>105</v>
      </c>
      <c r="B19" s="29"/>
      <c r="C19" s="13" t="s">
        <v>106</v>
      </c>
      <c r="D19" s="13">
        <v>1</v>
      </c>
      <c r="E19" s="13">
        <v>0.9</v>
      </c>
    </row>
    <row r="20" spans="1:5" ht="19.5" thickBot="1">
      <c r="A20" s="35"/>
      <c r="B20" s="29"/>
      <c r="C20" s="13"/>
      <c r="D20" s="13"/>
      <c r="E20" s="13"/>
    </row>
    <row r="21" spans="1:5" ht="19.5" thickBot="1">
      <c r="A21" s="35" t="s">
        <v>107</v>
      </c>
      <c r="B21" s="29"/>
      <c r="C21" s="13" t="s">
        <v>108</v>
      </c>
      <c r="D21" s="13">
        <v>8</v>
      </c>
      <c r="E21" s="13">
        <v>8</v>
      </c>
    </row>
    <row r="22" spans="1:5" ht="19.5" thickBot="1">
      <c r="A22" s="35" t="s">
        <v>109</v>
      </c>
      <c r="B22" s="29"/>
      <c r="C22" s="13" t="s">
        <v>10</v>
      </c>
      <c r="D22" s="13"/>
      <c r="E22" s="13">
        <v>24</v>
      </c>
    </row>
    <row r="24" spans="1:5" ht="18.75">
      <c r="A24" s="23" t="s">
        <v>141</v>
      </c>
      <c r="D24">
        <v>0.08</v>
      </c>
      <c r="E24" s="40">
        <v>0.02</v>
      </c>
    </row>
  </sheetData>
  <mergeCells count="5">
    <mergeCell ref="A1:A2"/>
    <mergeCell ref="D1:E1"/>
    <mergeCell ref="A9:A10"/>
    <mergeCell ref="B9:B10"/>
    <mergeCell ref="C9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XFD41"/>
  <sheetViews>
    <sheetView tabSelected="1" topLeftCell="A22" workbookViewId="0">
      <selection activeCell="B41" sqref="B41"/>
    </sheetView>
  </sheetViews>
  <sheetFormatPr defaultRowHeight="15"/>
  <cols>
    <col min="1" max="1" width="97.28515625" bestFit="1" customWidth="1"/>
    <col min="2" max="2" width="12.42578125" bestFit="1" customWidth="1"/>
    <col min="3" max="3" width="14.85546875" bestFit="1" customWidth="1"/>
    <col min="4" max="6" width="16.42578125" bestFit="1" customWidth="1"/>
  </cols>
  <sheetData>
    <row r="2" spans="1:4 16384:16384" ht="18.75">
      <c r="A2" s="17" t="s">
        <v>110</v>
      </c>
      <c r="B2">
        <f>'Данные для эк.эффекта'!E4+'Данные для эк.эффекта'!E5+'Данные для эк.эффекта'!E6+'Данные для эк.эффекта'!E8</f>
        <v>15446956.633685295</v>
      </c>
    </row>
    <row r="3" spans="1:4 16384:16384" ht="18.75">
      <c r="A3" s="17" t="s">
        <v>111</v>
      </c>
      <c r="B3">
        <f>'Данные для эк.эффекта'!E12*('Данные для эк.эффекта'!D19-'Данные для эк.эффекта'!E19)/('Данные для эк.эффекта'!E21*'Данные для эк.эффекта'!E14)</f>
        <v>290.69767441860455</v>
      </c>
    </row>
    <row r="4" spans="1:4 16384:16384" ht="18.75">
      <c r="A4" s="17" t="s">
        <v>139</v>
      </c>
      <c r="B4">
        <f>'Данные для эк.эффекта'!D17*'Данные для эк.эффекта'!E15</f>
        <v>42000</v>
      </c>
      <c r="C4">
        <v>120</v>
      </c>
      <c r="D4">
        <v>3900</v>
      </c>
    </row>
    <row r="5" spans="1:4 16384:16384" ht="18.75">
      <c r="A5" s="17" t="s">
        <v>112</v>
      </c>
      <c r="B5">
        <f>B4*B3</f>
        <v>12209302.32558139</v>
      </c>
    </row>
    <row r="6" spans="1:4 16384:16384" ht="18.75">
      <c r="A6" s="17" t="s">
        <v>140</v>
      </c>
      <c r="B6">
        <f>'Данные для эк.эффекта'!E13</f>
        <v>1.4</v>
      </c>
    </row>
    <row r="7" spans="1:4 16384:16384" ht="18.75">
      <c r="A7" s="17" t="s">
        <v>142</v>
      </c>
      <c r="B7">
        <f>B6*B5</f>
        <v>17093023.255813945</v>
      </c>
      <c r="XFD7">
        <f>SUM(B7:XFC7)</f>
        <v>17093023.255813945</v>
      </c>
    </row>
    <row r="8" spans="1:4 16384:16384" ht="18.75">
      <c r="A8" s="17" t="s">
        <v>144</v>
      </c>
      <c r="B8">
        <f>2500</f>
        <v>2500</v>
      </c>
    </row>
    <row r="9" spans="1:4 16384:16384" ht="18.75">
      <c r="A9" s="31" t="s">
        <v>143</v>
      </c>
      <c r="B9">
        <f>B8*('Данные для эк.эффекта'!D24-'Данные для эк.эффекта'!E24)</f>
        <v>150</v>
      </c>
    </row>
    <row r="10" spans="1:4 16384:16384" ht="18.75">
      <c r="A10" s="17" t="s">
        <v>145</v>
      </c>
      <c r="B10">
        <f>B9*B4</f>
        <v>6300000</v>
      </c>
    </row>
    <row r="11" spans="1:4 16384:16384" ht="18.75">
      <c r="A11" s="17"/>
    </row>
    <row r="12" spans="1:4 16384:16384" ht="18.75">
      <c r="A12" s="17" t="s">
        <v>146</v>
      </c>
      <c r="B12">
        <f>B10+B7</f>
        <v>23393023.255813945</v>
      </c>
    </row>
    <row r="13" spans="1:4 16384:16384" ht="18.75">
      <c r="A13" s="17" t="s">
        <v>113</v>
      </c>
      <c r="B13">
        <f>B12-B12*'Данные для эк.эффекта'!E22/100</f>
        <v>17778697.674418598</v>
      </c>
    </row>
    <row r="15" spans="1:4 16384:16384" ht="18.75">
      <c r="A15" s="17" t="s">
        <v>118</v>
      </c>
      <c r="B15">
        <v>0.3</v>
      </c>
    </row>
    <row r="16" spans="1:4 16384:16384" ht="18.75">
      <c r="A16" s="17" t="s">
        <v>114</v>
      </c>
      <c r="B16">
        <f>POWER((1+B$15), 1-1)</f>
        <v>1</v>
      </c>
    </row>
    <row r="17" spans="1:6" ht="18.75">
      <c r="A17" s="17" t="s">
        <v>115</v>
      </c>
      <c r="B17" s="32">
        <f>POWER((1+B$15), 1-2)</f>
        <v>0.76923076923076916</v>
      </c>
    </row>
    <row r="18" spans="1:6" ht="18.75">
      <c r="A18" s="17" t="s">
        <v>116</v>
      </c>
      <c r="B18" s="32">
        <f>POWER((1+B$15), 1-3)</f>
        <v>0.59171597633136086</v>
      </c>
    </row>
    <row r="19" spans="1:6" ht="18.75">
      <c r="A19" s="17" t="s">
        <v>117</v>
      </c>
      <c r="B19" s="32">
        <f>POWER((1+B$15), 1-4)</f>
        <v>0.45516613563950831</v>
      </c>
    </row>
    <row r="22" spans="1:6" ht="53.45" customHeight="1">
      <c r="A22" s="56" t="s">
        <v>39</v>
      </c>
      <c r="B22" s="56" t="s">
        <v>119</v>
      </c>
      <c r="C22" s="56" t="s">
        <v>120</v>
      </c>
      <c r="D22" s="56"/>
      <c r="E22" s="56"/>
      <c r="F22" s="56"/>
    </row>
    <row r="23" spans="1:6" ht="18.75">
      <c r="A23" s="56"/>
      <c r="B23" s="56"/>
      <c r="C23" s="37">
        <v>2010</v>
      </c>
      <c r="D23" s="37">
        <v>2011</v>
      </c>
      <c r="E23" s="37">
        <v>2012</v>
      </c>
      <c r="F23" s="37">
        <v>2013</v>
      </c>
    </row>
    <row r="24" spans="1:6" ht="18.75">
      <c r="A24" s="37">
        <v>1</v>
      </c>
      <c r="B24" s="37">
        <v>2</v>
      </c>
      <c r="C24" s="37">
        <v>3</v>
      </c>
      <c r="D24" s="37">
        <v>4</v>
      </c>
      <c r="E24" s="37">
        <v>5</v>
      </c>
      <c r="F24" s="37">
        <v>6</v>
      </c>
    </row>
    <row r="25" spans="1:6" ht="18.75">
      <c r="A25" s="53" t="s">
        <v>124</v>
      </c>
      <c r="B25" s="54"/>
      <c r="C25" s="54"/>
      <c r="D25" s="54"/>
      <c r="E25" s="54"/>
      <c r="F25" s="55"/>
    </row>
    <row r="26" spans="1:6" ht="18.75">
      <c r="A26" s="36" t="s">
        <v>130</v>
      </c>
      <c r="B26" s="39" t="s">
        <v>147</v>
      </c>
      <c r="C26" s="39">
        <f>0/1000</f>
        <v>0</v>
      </c>
      <c r="D26" s="37">
        <f>B13/1000</f>
        <v>17778.697674418599</v>
      </c>
      <c r="E26" s="37">
        <f>B13/1000</f>
        <v>17778.697674418599</v>
      </c>
      <c r="F26" s="37">
        <f>B13/1000</f>
        <v>17778.697674418599</v>
      </c>
    </row>
    <row r="27" spans="1:6" ht="18.75">
      <c r="A27" s="36" t="s">
        <v>125</v>
      </c>
      <c r="B27" s="39" t="s">
        <v>147</v>
      </c>
      <c r="C27" s="38">
        <f>C26*C38</f>
        <v>0</v>
      </c>
      <c r="D27" s="38">
        <f>D26*D38</f>
        <v>13675.921288014306</v>
      </c>
      <c r="E27" s="38">
        <f>E26*E38</f>
        <v>10519.939452318697</v>
      </c>
      <c r="F27" s="38">
        <f>F26*F38</f>
        <v>8092.2611171682274</v>
      </c>
    </row>
    <row r="28" spans="1:6" ht="18.75">
      <c r="A28" s="53" t="s">
        <v>121</v>
      </c>
      <c r="B28" s="54"/>
      <c r="C28" s="54"/>
      <c r="D28" s="54"/>
      <c r="E28" s="54"/>
      <c r="F28" s="55"/>
    </row>
    <row r="29" spans="1:6" ht="18.75">
      <c r="A29" s="36" t="s">
        <v>133</v>
      </c>
      <c r="B29" s="39" t="s">
        <v>147</v>
      </c>
      <c r="C29" s="37">
        <f>'Данные для эк.эффекта'!E4/1000</f>
        <v>15446.956633685295</v>
      </c>
      <c r="D29" s="37">
        <v>0</v>
      </c>
      <c r="E29" s="37">
        <v>0</v>
      </c>
      <c r="F29" s="37">
        <v>0</v>
      </c>
    </row>
    <row r="30" spans="1:6" ht="18.75">
      <c r="A30" s="36" t="s">
        <v>131</v>
      </c>
      <c r="B30" s="39" t="s">
        <v>147</v>
      </c>
      <c r="C30" s="37">
        <f>'Данные для эк.эффекта'!E5</f>
        <v>0</v>
      </c>
      <c r="D30" s="37">
        <v>0</v>
      </c>
      <c r="E30" s="37">
        <v>0</v>
      </c>
      <c r="F30" s="37">
        <v>0</v>
      </c>
    </row>
    <row r="31" spans="1:6" ht="18.75">
      <c r="A31" s="36" t="s">
        <v>132</v>
      </c>
      <c r="B31" s="39" t="s">
        <v>147</v>
      </c>
      <c r="C31" s="37">
        <f>'Данные для эк.эффекта'!E7</f>
        <v>0</v>
      </c>
      <c r="D31" s="37">
        <v>0</v>
      </c>
      <c r="E31" s="37">
        <v>0</v>
      </c>
      <c r="F31" s="37">
        <v>0</v>
      </c>
    </row>
    <row r="32" spans="1:6" ht="18.75">
      <c r="A32" s="36" t="s">
        <v>134</v>
      </c>
      <c r="B32" s="39" t="s">
        <v>147</v>
      </c>
      <c r="C32" s="37">
        <f>'Данные для эк.эффекта'!E8</f>
        <v>0</v>
      </c>
      <c r="D32" s="37">
        <v>0</v>
      </c>
      <c r="E32" s="37">
        <v>0</v>
      </c>
      <c r="F32" s="37">
        <v>0</v>
      </c>
    </row>
    <row r="33" spans="1:6" ht="18.75">
      <c r="A33" s="36" t="s">
        <v>126</v>
      </c>
      <c r="B33" s="39" t="s">
        <v>147</v>
      </c>
      <c r="C33" s="37">
        <f>C29+C30+C31+C32</f>
        <v>15446.956633685295</v>
      </c>
      <c r="D33" s="37">
        <f>D29+D30+D31+D32</f>
        <v>0</v>
      </c>
      <c r="E33" s="37">
        <f>E29+E30+E31+E32</f>
        <v>0</v>
      </c>
      <c r="F33" s="37">
        <f>F29+F30+F31+F32</f>
        <v>0</v>
      </c>
    </row>
    <row r="34" spans="1:6" ht="18.75">
      <c r="A34" s="36" t="s">
        <v>127</v>
      </c>
      <c r="B34" s="39" t="s">
        <v>147</v>
      </c>
      <c r="C34" s="37">
        <f>C33*C38</f>
        <v>15446.956633685295</v>
      </c>
      <c r="D34" s="37">
        <f t="shared" ref="D34:E34" si="0">D33*D38</f>
        <v>0</v>
      </c>
      <c r="E34" s="37">
        <f t="shared" si="0"/>
        <v>0</v>
      </c>
      <c r="F34" s="37">
        <f>F33*F38</f>
        <v>0</v>
      </c>
    </row>
    <row r="35" spans="1:6" ht="18.75">
      <c r="A35" s="53" t="s">
        <v>122</v>
      </c>
      <c r="B35" s="54"/>
      <c r="C35" s="54"/>
      <c r="D35" s="54"/>
      <c r="E35" s="54"/>
      <c r="F35" s="55"/>
    </row>
    <row r="36" spans="1:6" ht="18.75">
      <c r="A36" s="36" t="s">
        <v>128</v>
      </c>
      <c r="B36" s="39" t="s">
        <v>147</v>
      </c>
      <c r="C36" s="37">
        <f>C27-C33</f>
        <v>-15446.956633685295</v>
      </c>
      <c r="D36" s="37">
        <f>D27-D33</f>
        <v>13675.921288014306</v>
      </c>
      <c r="E36" s="37">
        <f>E27-E33</f>
        <v>10519.939452318697</v>
      </c>
      <c r="F36" s="37">
        <f>F27-F33</f>
        <v>8092.2611171682274</v>
      </c>
    </row>
    <row r="37" spans="1:6" ht="18.75">
      <c r="A37" s="36" t="s">
        <v>129</v>
      </c>
      <c r="B37" s="39" t="s">
        <v>147</v>
      </c>
      <c r="C37" s="37">
        <f>C36</f>
        <v>-15446.956633685295</v>
      </c>
      <c r="D37" s="37">
        <f>C37+D36</f>
        <v>-1771.035345670989</v>
      </c>
      <c r="E37" s="37">
        <f>D37+E36</f>
        <v>8748.9041066477075</v>
      </c>
      <c r="F37" s="37">
        <f>E37+F36</f>
        <v>16841.165223815937</v>
      </c>
    </row>
    <row r="38" spans="1:6" ht="18.75">
      <c r="A38" s="36" t="s">
        <v>123</v>
      </c>
      <c r="B38" s="37" t="s">
        <v>2</v>
      </c>
      <c r="C38" s="38">
        <f>B16</f>
        <v>1</v>
      </c>
      <c r="D38" s="38">
        <f>B17</f>
        <v>0.76923076923076916</v>
      </c>
      <c r="E38" s="38">
        <f>B18</f>
        <v>0.59171597633136086</v>
      </c>
      <c r="F38" s="38">
        <f>B19</f>
        <v>0.45516613563950831</v>
      </c>
    </row>
    <row r="40" spans="1:6" ht="18.75">
      <c r="A40" s="41" t="s">
        <v>148</v>
      </c>
      <c r="B40">
        <f>F37/4</f>
        <v>4210.2913059539842</v>
      </c>
      <c r="C40" t="s">
        <v>149</v>
      </c>
    </row>
    <row r="41" spans="1:6" ht="18.75">
      <c r="A41" s="41" t="s">
        <v>150</v>
      </c>
      <c r="B41">
        <f>B40*100/C34</f>
        <v>27.256445433222556</v>
      </c>
    </row>
  </sheetData>
  <mergeCells count="6">
    <mergeCell ref="A35:F35"/>
    <mergeCell ref="A28:F28"/>
    <mergeCell ref="A25:F25"/>
    <mergeCell ref="A22:A23"/>
    <mergeCell ref="B22:B23"/>
    <mergeCell ref="C22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для оценки цены ПО</vt:lpstr>
      <vt:lpstr>расчет цены</vt:lpstr>
      <vt:lpstr>Данные для эк.эффекта</vt:lpstr>
      <vt:lpstr>Расчет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NightFamily )</dc:creator>
  <cp:lastModifiedBy>NightWolf</cp:lastModifiedBy>
  <dcterms:created xsi:type="dcterms:W3CDTF">2010-04-11T17:02:35Z</dcterms:created>
  <dcterms:modified xsi:type="dcterms:W3CDTF">2010-05-02T11:45:41Z</dcterms:modified>
</cp:coreProperties>
</file>