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2" sheetId="1" r:id="rId4"/>
    <sheet state="visible" name="Лист1" sheetId="2" r:id="rId5"/>
  </sheets>
  <definedNames/>
  <calcPr/>
</workbook>
</file>

<file path=xl/sharedStrings.xml><?xml version="1.0" encoding="utf-8"?>
<sst xmlns="http://schemas.openxmlformats.org/spreadsheetml/2006/main" count="36" uniqueCount="35">
  <si>
    <t>Ticker</t>
  </si>
  <si>
    <t>Название</t>
  </si>
  <si>
    <t>Количество акций</t>
  </si>
  <si>
    <t>Текущая цена</t>
  </si>
  <si>
    <t>Годовой див, $</t>
  </si>
  <si>
    <t>Див на акцию, %</t>
  </si>
  <si>
    <t>Ожидаемый див за год, $</t>
  </si>
  <si>
    <t>Next Earning Date</t>
  </si>
  <si>
    <t>PEG</t>
  </si>
  <si>
    <t>PEG - взять с гуруфокуса</t>
  </si>
  <si>
    <t>INTC</t>
  </si>
  <si>
    <t>Сделать для русских компаний</t>
  </si>
  <si>
    <t>MRK</t>
  </si>
  <si>
    <t>IXC</t>
  </si>
  <si>
    <t>AAXJ</t>
  </si>
  <si>
    <t>HYEM</t>
  </si>
  <si>
    <t>EWU</t>
  </si>
  <si>
    <t>COG</t>
  </si>
  <si>
    <t>MSFT</t>
  </si>
  <si>
    <t>TOT</t>
  </si>
  <si>
    <t>RDS-A</t>
  </si>
  <si>
    <t>JNJ</t>
  </si>
  <si>
    <t>BUD</t>
  </si>
  <si>
    <t>PFE</t>
  </si>
  <si>
    <t>INGR</t>
  </si>
  <si>
    <t>UNM</t>
  </si>
  <si>
    <t>ECH</t>
  </si>
  <si>
    <t>VNQI</t>
  </si>
  <si>
    <t>PICK</t>
  </si>
  <si>
    <t>LYB</t>
  </si>
  <si>
    <t>AGRO</t>
  </si>
  <si>
    <t>SBERP</t>
  </si>
  <si>
    <t>FB</t>
  </si>
  <si>
    <t>Table</t>
  </si>
  <si>
    <t>https://finviz.com/quote.ashx?t=AAPL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</si>
</sst>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rgb="FF000000"/>
      <name val="Inconsolata"/>
    </font>
    <font>
      <u/>
      <color rgb="FF1155CC"/>
      <name val="Arial"/>
    </font>
    <font>
      <sz val="12.0"/>
      <color theme="1"/>
      <name val="Monospace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Font="1"/>
    <xf borderId="0" fillId="3" fontId="3" numFmtId="0" xfId="0" applyAlignment="1" applyFill="1" applyFont="1">
      <alignment horizontal="right"/>
    </xf>
    <xf borderId="0" fillId="0" fontId="2" numFmtId="10" xfId="0" applyAlignment="1" applyFont="1" applyNumberFormat="1">
      <alignment horizontal="right" readingOrder="0"/>
    </xf>
    <xf borderId="0" fillId="3" fontId="3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1" fillId="0" fontId="4" numFmtId="49" xfId="0" applyAlignment="1" applyBorder="1" applyFont="1" applyNumberFormat="1">
      <alignment shrinkToFit="0" vertical="bottom" wrapText="0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finviz.com/quote.ashx?t=AAPL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57"/>
    <col customWidth="1" min="2" max="2" width="32.71"/>
    <col customWidth="1" min="3" max="3" width="13.71"/>
    <col customWidth="1" min="4" max="4" width="12.71"/>
    <col customWidth="1" min="5" max="5" width="12.43"/>
    <col customWidth="1" min="6" max="6" width="12.57"/>
    <col customWidth="1" min="7" max="7" width="15.0"/>
    <col customWidth="1" min="8" max="9" width="15.14"/>
    <col customWidth="1" min="10" max="10" width="20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s="2" t="s">
        <v>9</v>
      </c>
    </row>
    <row r="2">
      <c r="A2" s="2" t="s">
        <v>10</v>
      </c>
      <c r="B2" s="2" t="str">
        <f>IFERROR(__xludf.DUMMYFUNCTION("REGEXREPLACE(INDEX(IMPORTHTML(""https://finviz.com/quote.ashx?t=""&amp;A2, ""table"", 6),2), ""\*"", """")"),"Intel Corporation")</f>
        <v>Intel Corporation</v>
      </c>
      <c r="C2" s="2">
        <v>469.0</v>
      </c>
      <c r="D2" s="3" t="str">
        <f>IFERROR(__xludf.DUMMYFUNCTION("SUBSTITUTE(REGEXREPLACE(INDEX(IMPORTHTML(""https://finviz.com/quote.ashx?t=""&amp;A2, ""table"", 8),11,12),""\*"", """"),""."","","")"),"56,75")</f>
        <v>56,75</v>
      </c>
      <c r="E2" s="3" t="str">
        <f>IFERROR(__xludf.DUMMYFUNCTION("SUBSTITUTE(REGEXREPLACE(INDEX(IMPORTHTML(""https://finviz.com/quote.ashx?t=""&amp;A2, ""table"", 8),7,2),""\*"", """"),""."","","")"),"1,39")</f>
        <v>1,39</v>
      </c>
      <c r="F2" s="3" t="str">
        <f>IFERROR(__xludf.DUMMYFUNCTION("SUBSTITUTE(REGEXREPLACE(INDEX(IMPORTHTML(""https://finviz.com/quote.ashx?t=""&amp;A2, ""table"", 8),8,2),""\*"", """"),""."","","")"),"2,45%")</f>
        <v>2,45%</v>
      </c>
      <c r="G2" s="4">
        <f t="shared" ref="G2:G20" si="1">E2*C2</f>
        <v>651.91</v>
      </c>
      <c r="H2" s="3" t="str">
        <f>IFERROR(__xludf.DUMMYFUNCTION("SUBSTITUTE(SUBSTITUTE(REGEXREPLACE(INDEX(IMPORTHTML(""https://finviz.com/screener.ashx?v=312&amp;ft=4&amp;t=""&amp;A2, ""table"", 11),10,4),""\*"",""""),""/a"",""""),""/b"","""")"),"Apr 22")</f>
        <v>Apr 22</v>
      </c>
      <c r="I2" s="3" t="str">
        <f>IFERROR(__xludf.DUMMYFUNCTION("SUBSTITUTE(REGEXREPLACE(INDEX(IMPORTHTML(""https://www.gurufocus.com/stock/INTC/summary"", ""table"", 15),13,2),""\*"", """"),""."","","")"),"#N/A")</f>
        <v>#N/A</v>
      </c>
      <c r="J2" s="5" t="str">
        <f>IFERROR(__xludf.DUMMYFUNCTION("REGEXREPLACE(INDEX(IMPORTHTML(""https://finviz.com/quote.ashx?t=""&amp;A2, ""table"", 8),11,6), ""\*"", """")"),"Apr 22 AMC")</f>
        <v>Apr 22 AMC</v>
      </c>
      <c r="L2" s="2" t="s">
        <v>11</v>
      </c>
    </row>
    <row r="3">
      <c r="A3" s="2" t="s">
        <v>12</v>
      </c>
      <c r="B3" s="2" t="str">
        <f>IFERROR(__xludf.DUMMYFUNCTION("REGEXREPLACE(INDEX(IMPORTHTML(""https://finviz.com/quote.ashx?t=""&amp;A3, ""table"", 6),2), ""\*"", """")"),"Merck &amp; Co., Inc.")</f>
        <v>Merck &amp; Co., Inc.</v>
      </c>
      <c r="C3" s="2">
        <v>125.0</v>
      </c>
      <c r="D3" s="3" t="str">
        <f>IFERROR(__xludf.DUMMYFUNCTION("SUBSTITUTE(REGEXREPLACE(INDEX(IMPORTHTML(""https://finviz.com/quote.ashx?t=""&amp;A3, ""table"", 8),11,12),""\*"", """"),""."","","")"),"77,21")</f>
        <v>77,21</v>
      </c>
      <c r="E3" s="3" t="str">
        <f>IFERROR(__xludf.DUMMYFUNCTION("SUBSTITUTE(REGEXREPLACE(INDEX(IMPORTHTML(""https://finviz.com/quote.ashx?t=""&amp;A3, ""table"", 8),7,2),""\*"", """"),""."","","")"),"2,60")</f>
        <v>2,60</v>
      </c>
      <c r="F3" s="3" t="str">
        <f>IFERROR(__xludf.DUMMYFUNCTION("SUBSTITUTE(REGEXREPLACE(INDEX(IMPORTHTML(""https://finviz.com/quote.ashx?t=""&amp;A3, ""table"", 8),8,2),""\*"", """"),""."","","")"),"3,37%")</f>
        <v>3,37%</v>
      </c>
      <c r="G3" s="4">
        <f t="shared" si="1"/>
        <v>325</v>
      </c>
      <c r="H3" s="3" t="str">
        <f>IFERROR(__xludf.DUMMYFUNCTION("SUBSTITUTE(SUBSTITUTE(REGEXREPLACE(INDEX(IMPORTHTML(""https://finviz.com/screener.ashx?v=312&amp;ft=4&amp;t=""&amp;A3, ""table"", 11),10,4),""\*"",""""),""/a"",""""),""/b"","""")"),"Apr 29")</f>
        <v>Apr 29</v>
      </c>
      <c r="I3" s="3" t="str">
        <f>IFERROR(__xludf.DUMMYFUNCTION("SUBSTITUTE(REGEXREPLACE(INDEX(IMPORTHTML(""https://finviz.com/quote.ashx?t=""&amp;A3, ""table"", 8),3,4),""\*"", """"),""."","","")"),"3,02")</f>
        <v>3,02</v>
      </c>
      <c r="J3" s="5" t="str">
        <f>IFERROR(__xludf.DUMMYFUNCTION("REGEXREPLACE(INDEX(IMPORTHTML(""https://finviz.com/quote.ashx?t=""&amp;A3, ""table"", 8),11,6), ""\*"", """")"),"Apr 29 BMO")</f>
        <v>Apr 29 BMO</v>
      </c>
    </row>
    <row r="4">
      <c r="A4" s="2" t="s">
        <v>13</v>
      </c>
      <c r="B4" s="2" t="str">
        <f>IFERROR(__xludf.DUMMYFUNCTION("REGEXREPLACE(INDEX(IMPORTHTML(""https://finviz.com/quote.ashx?t=""&amp;A4, ""table"", 6),2), ""\*"", """")"),"iShares Global Energy ETF")</f>
        <v>iShares Global Energy ETF</v>
      </c>
      <c r="C4" s="2">
        <v>400.0</v>
      </c>
      <c r="D4" s="3" t="str">
        <f>IFERROR(__xludf.DUMMYFUNCTION("SUBSTITUTE(REGEXREPLACE(INDEX(IMPORTHTML(""https://finviz.com/quote.ashx?t=""&amp;A4, ""table"", 8),11,12),""\*"", """"),""."","","")"),"26,42")</f>
        <v>26,42</v>
      </c>
      <c r="E4" s="3" t="str">
        <f>IFERROR(__xludf.DUMMYFUNCTION("SUBSTITUTE(REGEXREPLACE(INDEX(IMPORTHTML(""https://finviz.com/quote.ashx?t=""&amp;A4, ""table"", 8),7,2),""\*"", """"),""."","","")"),"1,03")</f>
        <v>1,03</v>
      </c>
      <c r="F4" s="3" t="str">
        <f>IFERROR(__xludf.DUMMYFUNCTION("SUBSTITUTE(REGEXREPLACE(INDEX(IMPORTHTML(""https://finviz.com/quote.ashx?t=""&amp;A4, ""table"", 8),8,2),""\*"", """"),""."","","")"),"3,90%")</f>
        <v>3,90%</v>
      </c>
      <c r="G4" s="4">
        <f t="shared" si="1"/>
        <v>412</v>
      </c>
      <c r="H4" s="3" t="str">
        <f>IFERROR(__xludf.DUMMYFUNCTION("SUBSTITUTE(SUBSTITUTE(REGEXREPLACE(INDEX(IMPORTHTML(""https://finviz.com/screener.ashx?v=312&amp;ft=4&amp;t=""&amp;A4, ""table"", 11),10,4),""\*"",""""),""/a"",""""),""/b"","""")"),"-")</f>
        <v>-</v>
      </c>
      <c r="I4" s="3" t="str">
        <f>IFERROR(__xludf.DUMMYFUNCTION("SUBSTITUTE(REGEXREPLACE(INDEX(IMPORTHTML(""https://finviz.com/quote.ashx?t=""&amp;A4, ""table"", 8),3,4),""\*"", """"),""."","","")"),"-")</f>
        <v>-</v>
      </c>
      <c r="J4" s="5" t="str">
        <f>IFERROR(__xludf.DUMMYFUNCTION("REGEXREPLACE(INDEX(IMPORTHTML(""https://finviz.com/quote.ashx?t=""&amp;A4, ""table"", 8),11,6), ""\*"", """")"),"-")</f>
        <v>-</v>
      </c>
    </row>
    <row r="5">
      <c r="A5" s="2" t="s">
        <v>14</v>
      </c>
      <c r="B5" s="2" t="str">
        <f>IFERROR(__xludf.DUMMYFUNCTION("REGEXREPLACE(INDEX(IMPORTHTML(""https://finviz.com/quote.ashx?t=""&amp;A5, ""table"", 6),2), ""\*"", """")"),"iShares MSCI All Country Asia ex Japan ETF")</f>
        <v>iShares MSCI All Country Asia ex Japan ETF</v>
      </c>
      <c r="C5" s="2">
        <v>80.0</v>
      </c>
      <c r="D5" s="3" t="str">
        <f>IFERROR(__xludf.DUMMYFUNCTION("SUBSTITUTE(REGEXREPLACE(INDEX(IMPORTHTML(""https://finviz.com/quote.ashx?t=""&amp;A5, ""table"", 8),11,12),""\*"", """"),""."","","")"),"95,03")</f>
        <v>95,03</v>
      </c>
      <c r="E5" s="3" t="str">
        <f>IFERROR(__xludf.DUMMYFUNCTION("SUBSTITUTE(REGEXREPLACE(INDEX(IMPORTHTML(""https://finviz.com/quote.ashx?t=""&amp;A5, ""table"", 8),7,2),""\*"", """"),""."","","")"),"0,96")</f>
        <v>0,96</v>
      </c>
      <c r="F5" s="3" t="str">
        <f>IFERROR(__xludf.DUMMYFUNCTION("SUBSTITUTE(REGEXREPLACE(INDEX(IMPORTHTML(""https://finviz.com/quote.ashx?t=""&amp;A5, ""table"", 8),8,2),""\*"", """"),""."","","")"),"1,01%")</f>
        <v>1,01%</v>
      </c>
      <c r="G5" s="4">
        <f t="shared" si="1"/>
        <v>76.8</v>
      </c>
      <c r="H5" s="3" t="str">
        <f>IFERROR(__xludf.DUMMYFUNCTION("SUBSTITUTE(SUBSTITUTE(REGEXREPLACE(INDEX(IMPORTHTML(""https://finviz.com/screener.ashx?v=312&amp;ft=4&amp;t=""&amp;A5, ""table"", 11),10,4),""\*"",""""),""/a"",""""),""/b"","""")"),"-")</f>
        <v>-</v>
      </c>
      <c r="I5" s="3" t="str">
        <f>IFERROR(__xludf.DUMMYFUNCTION("SUBSTITUTE(REGEXREPLACE(INDEX(IMPORTHTML(""https://finviz.com/quote.ashx?t=""&amp;A5, ""table"", 8),3,4),""\*"", """"),""."","","")"),"-")</f>
        <v>-</v>
      </c>
      <c r="J5" s="5" t="str">
        <f>IFERROR(__xludf.DUMMYFUNCTION("REGEXREPLACE(INDEX(IMPORTHTML(""https://finviz.com/quote.ashx?t=""&amp;A5, ""table"", 8),11,6), ""\*"", """")"),"-")</f>
        <v>-</v>
      </c>
    </row>
    <row r="6">
      <c r="A6" s="2" t="s">
        <v>15</v>
      </c>
      <c r="B6" s="2" t="str">
        <f>IFERROR(__xludf.DUMMYFUNCTION("REGEXREPLACE(INDEX(IMPORTHTML(""https://finviz.com/quote.ashx?t=""&amp;A6, ""table"", 6),2), ""\*"", """")"),"VanEck Vectors Emerging Markets High Yield Bond ETF")</f>
        <v>VanEck Vectors Emerging Markets High Yield Bond ETF</v>
      </c>
      <c r="C6" s="2">
        <v>270.0</v>
      </c>
      <c r="D6" s="3" t="str">
        <f>IFERROR(__xludf.DUMMYFUNCTION("SUBSTITUTE(REGEXREPLACE(INDEX(IMPORTHTML(""https://finviz.com/quote.ashx?t=""&amp;A6, ""table"", 8),11,12),""\*"", """"),""."","","")"),"23,89")</f>
        <v>23,89</v>
      </c>
      <c r="E6" s="3" t="str">
        <f>IFERROR(__xludf.DUMMYFUNCTION("SUBSTITUTE(REGEXREPLACE(INDEX(IMPORTHTML(""https://finviz.com/quote.ashx?t=""&amp;A6, ""table"", 8),7,2),""\*"", """"),""."","","")"),"1,27")</f>
        <v>1,27</v>
      </c>
      <c r="F6" s="3" t="str">
        <f>IFERROR(__xludf.DUMMYFUNCTION("SUBSTITUTE(REGEXREPLACE(INDEX(IMPORTHTML(""https://finviz.com/quote.ashx?t=""&amp;A6, ""table"", 8),8,2),""\*"", """"),""."","","")"),"5,32%")</f>
        <v>5,32%</v>
      </c>
      <c r="G6" s="4">
        <f t="shared" si="1"/>
        <v>342.9</v>
      </c>
      <c r="H6" s="3" t="str">
        <f>IFERROR(__xludf.DUMMYFUNCTION("SUBSTITUTE(SUBSTITUTE(REGEXREPLACE(INDEX(IMPORTHTML(""https://finviz.com/screener.ashx?v=312&amp;ft=4&amp;t=""&amp;A6, ""table"", 11),10,4),""\*"",""""),""/a"",""""),""/b"","""")"),"-")</f>
        <v>-</v>
      </c>
      <c r="I6" s="3" t="str">
        <f>IFERROR(__xludf.DUMMYFUNCTION("SUBSTITUTE(REGEXREPLACE(INDEX(IMPORTHTML(""https://finviz.com/quote.ashx?t=""&amp;A6, ""table"", 8),3,4),""\*"", """"),""."","","")"),"-")</f>
        <v>-</v>
      </c>
      <c r="J6" s="5" t="str">
        <f>IFERROR(__xludf.DUMMYFUNCTION("REGEXREPLACE(INDEX(IMPORTHTML(""https://finviz.com/quote.ashx?t=""&amp;A6, ""table"", 8),11,6), ""\*"", """")"),"-")</f>
        <v>-</v>
      </c>
    </row>
    <row r="7">
      <c r="A7" s="2" t="s">
        <v>16</v>
      </c>
      <c r="B7" s="2" t="str">
        <f>IFERROR(__xludf.DUMMYFUNCTION("REGEXREPLACE(INDEX(IMPORTHTML(""https://finviz.com/quote.ashx?t=""&amp;A7, ""table"", 6),2), ""\*"", """")"),"iShares MSCI United Kingdom ETF")</f>
        <v>iShares MSCI United Kingdom ETF</v>
      </c>
      <c r="C7" s="2">
        <v>150.0</v>
      </c>
      <c r="D7" s="3" t="str">
        <f>IFERROR(__xludf.DUMMYFUNCTION("SUBSTITUTE(REGEXREPLACE(INDEX(IMPORTHTML(""https://finviz.com/quote.ashx?t=""&amp;A7, ""table"", 8),11,12),""\*"", """"),""."","","")"),"32,80")</f>
        <v>32,80</v>
      </c>
      <c r="E7" s="3" t="str">
        <f>IFERROR(__xludf.DUMMYFUNCTION("SUBSTITUTE(REGEXREPLACE(INDEX(IMPORTHTML(""https://finviz.com/quote.ashx?t=""&amp;A7, ""table"", 8),7,2),""\*"", """"),""."","","")"),"0,71")</f>
        <v>0,71</v>
      </c>
      <c r="F7" s="3" t="str">
        <f>IFERROR(__xludf.DUMMYFUNCTION("SUBSTITUTE(REGEXREPLACE(INDEX(IMPORTHTML(""https://finviz.com/quote.ashx?t=""&amp;A7, ""table"", 8),8,2),""\*"", """"),""."","","")"),"2,16%")</f>
        <v>2,16%</v>
      </c>
      <c r="G7" s="4">
        <f t="shared" si="1"/>
        <v>106.5</v>
      </c>
      <c r="H7" s="3" t="str">
        <f>IFERROR(__xludf.DUMMYFUNCTION("SUBSTITUTE(SUBSTITUTE(REGEXREPLACE(INDEX(IMPORTHTML(""https://finviz.com/screener.ashx?v=312&amp;ft=4&amp;t=""&amp;A7, ""table"", 11),10,4),""\*"",""""),""/a"",""""),""/b"","""")"),"-")</f>
        <v>-</v>
      </c>
      <c r="I7" s="3" t="str">
        <f>IFERROR(__xludf.DUMMYFUNCTION("SUBSTITUTE(REGEXREPLACE(INDEX(IMPORTHTML(""https://finviz.com/quote.ashx?t=""&amp;A7, ""table"", 8),3,4),""\*"", """"),""."","","")"),"-")</f>
        <v>-</v>
      </c>
    </row>
    <row r="8">
      <c r="A8" s="2" t="s">
        <v>17</v>
      </c>
      <c r="B8" s="2" t="str">
        <f>IFERROR(__xludf.DUMMYFUNCTION("REGEXREPLACE(INDEX(IMPORTHTML(""https://finviz.com/quote.ashx?t=""&amp;A8, ""table"", 6),2), ""\*"", """")"),"Cabot Oil &amp; Gas Corporation")</f>
        <v>Cabot Oil &amp; Gas Corporation</v>
      </c>
      <c r="C8" s="2">
        <v>212.0</v>
      </c>
      <c r="D8" s="3" t="str">
        <f>IFERROR(__xludf.DUMMYFUNCTION("SUBSTITUTE(REGEXREPLACE(INDEX(IMPORTHTML(""https://finviz.com/quote.ashx?t=""&amp;A8, ""table"", 8),11,12),""\*"", """"),""."","","")"),"16,28")</f>
        <v>16,28</v>
      </c>
      <c r="E8" s="3" t="str">
        <f>IFERROR(__xludf.DUMMYFUNCTION("SUBSTITUTE(REGEXREPLACE(INDEX(IMPORTHTML(""https://finviz.com/quote.ashx?t=""&amp;A8, ""table"", 8),7,2),""\*"", """"),""."","","")"),"0,44")</f>
        <v>0,44</v>
      </c>
      <c r="F8" s="3" t="str">
        <f>IFERROR(__xludf.DUMMYFUNCTION("SUBSTITUTE(REGEXREPLACE(INDEX(IMPORTHTML(""https://finviz.com/quote.ashx?t=""&amp;A8, ""table"", 8),8,2),""\*"", """"),""."","","")"),"2,70%")</f>
        <v>2,70%</v>
      </c>
      <c r="G8" s="4">
        <f t="shared" si="1"/>
        <v>93.28</v>
      </c>
      <c r="H8" s="3" t="str">
        <f>IFERROR(__xludf.DUMMYFUNCTION("SUBSTITUTE(SUBSTITUTE(REGEXREPLACE(INDEX(IMPORTHTML(""https://finviz.com/screener.ashx?v=312&amp;ft=4&amp;t=""&amp;A8, ""table"", 11),10,4),""\*"",""""),""/a"",""""),""/b"","""")"),"Apr 29")</f>
        <v>Apr 29</v>
      </c>
      <c r="I8" s="3" t="str">
        <f>IFERROR(__xludf.DUMMYFUNCTION("SUBSTITUTE(REGEXREPLACE(INDEX(IMPORTHTML(""https://finviz.com/quote.ashx?t=""&amp;A8, ""table"", 8),3,4),""\*"", """"),""."","","")"),"0,59")</f>
        <v>0,59</v>
      </c>
    </row>
    <row r="9">
      <c r="A9" s="2" t="s">
        <v>18</v>
      </c>
      <c r="B9" s="2" t="str">
        <f>IFERROR(__xludf.DUMMYFUNCTION("REGEXREPLACE(INDEX(IMPORTHTML(""https://finviz.com/quote.ashx?t=""&amp;A9, ""table"", 6),2), ""\*"", """")"),"Microsoft Corporation")</f>
        <v>Microsoft Corporation</v>
      </c>
      <c r="C9" s="2">
        <v>11.0</v>
      </c>
      <c r="D9" s="3" t="str">
        <f>IFERROR(__xludf.DUMMYFUNCTION("SUBSTITUTE(REGEXREPLACE(INDEX(IMPORTHTML(""https://finviz.com/quote.ashx?t=""&amp;A9, ""table"", 8),11,12),""\*"", """"),""."","","")"),"271,40")</f>
        <v>271,40</v>
      </c>
      <c r="E9" s="3" t="str">
        <f>IFERROR(__xludf.DUMMYFUNCTION("SUBSTITUTE(REGEXREPLACE(INDEX(IMPORTHTML(""https://finviz.com/quote.ashx?t=""&amp;A9, ""table"", 8),7,2),""\*"", """"),""."","","")"),"2,24")</f>
        <v>2,24</v>
      </c>
      <c r="F9" s="3" t="str">
        <f>IFERROR(__xludf.DUMMYFUNCTION("SUBSTITUTE(REGEXREPLACE(INDEX(IMPORTHTML(""https://finviz.com/quote.ashx?t=""&amp;A9, ""table"", 8),8,2),""\*"", """"),""."","","")"),"0,83%")</f>
        <v>0,83%</v>
      </c>
      <c r="G9" s="4">
        <f t="shared" si="1"/>
        <v>24.64</v>
      </c>
      <c r="H9" s="3" t="str">
        <f>IFERROR(__xludf.DUMMYFUNCTION("SUBSTITUTE(SUBSTITUTE(REGEXREPLACE(INDEX(IMPORTHTML(""https://finviz.com/screener.ashx?v=312&amp;ft=4&amp;t=""&amp;A9, ""table"", 11),10,4),""\*"",""""),""/a"",""""),""/b"","""")"),"Apr 27")</f>
        <v>Apr 27</v>
      </c>
      <c r="I9" s="3" t="str">
        <f>IFERROR(__xludf.DUMMYFUNCTION("SUBSTITUTE(REGEXREPLACE(INDEX(IMPORTHTML(""https://finviz.com/quote.ashx?t=""&amp;A9, ""table"", 8),3,4),""\*"", """"),""."","","")"),"2,14")</f>
        <v>2,14</v>
      </c>
    </row>
    <row r="10">
      <c r="A10" s="2" t="s">
        <v>19</v>
      </c>
      <c r="B10" s="2" t="str">
        <f>IFERROR(__xludf.DUMMYFUNCTION("REGEXREPLACE(INDEX(IMPORTHTML(""https://finviz.com/quote.ashx?t=""&amp;A10, ""table"", 6),2), ""\*"", """")"),"#N/A")</f>
        <v>#N/A</v>
      </c>
      <c r="C10" s="2">
        <v>50.0</v>
      </c>
      <c r="D10" s="3" t="str">
        <f>IFERROR(__xludf.DUMMYFUNCTION("SUBSTITUTE(REGEXREPLACE(INDEX(IMPORTHTML(""https://finviz.com/quote.ashx?t=""&amp;A10, ""table"", 8),11,12),""\*"", """"),""."","","")"),"#N/A")</f>
        <v>#N/A</v>
      </c>
      <c r="E10" s="3" t="str">
        <f>IFERROR(__xludf.DUMMYFUNCTION("SUBSTITUTE(REGEXREPLACE(INDEX(IMPORTHTML(""https://finviz.com/quote.ashx?t=""&amp;A10, ""table"", 8),7,2),""\*"", """"),""."","","")"),"#N/A")</f>
        <v>#N/A</v>
      </c>
      <c r="F10" s="3" t="str">
        <f>IFERROR(__xludf.DUMMYFUNCTION("SUBSTITUTE(REGEXREPLACE(INDEX(IMPORTHTML(""https://finviz.com/quote.ashx?t=""&amp;A10, ""table"", 8),8,2),""\*"", """"),""."","","")"),"#N/A")</f>
        <v>#N/A</v>
      </c>
      <c r="G10" s="4" t="str">
        <f t="shared" si="1"/>
        <v>#N/A</v>
      </c>
      <c r="H10" s="3" t="str">
        <f>IFERROR(__xludf.DUMMYFUNCTION("SUBSTITUTE(SUBSTITUTE(REGEXREPLACE(INDEX(IMPORTHTML(""https://finviz.com/screener.ashx?v=312&amp;ft=4&amp;t=""&amp;A10, ""table"", 11),10,4),""\*"",""""),""/a"",""""),""/b"","""")"),"#N/A")</f>
        <v>#N/A</v>
      </c>
      <c r="I10" s="3" t="str">
        <f>IFERROR(__xludf.DUMMYFUNCTION("SUBSTITUTE(REGEXREPLACE(INDEX(IMPORTHTML(""https://finviz.com/quote.ashx?t=""&amp;A10, ""table"", 8),3,4),""\*"", """"),""."","","")"),"#N/A")</f>
        <v>#N/A</v>
      </c>
    </row>
    <row r="11">
      <c r="A11" s="2" t="s">
        <v>20</v>
      </c>
      <c r="B11" s="2" t="str">
        <f>IFERROR(__xludf.DUMMYFUNCTION("REGEXREPLACE(INDEX(IMPORTHTML(""https://finviz.com/quote.ashx?t=""&amp;A11, ""table"", 6),2), ""\*"", """")"),"Royal Dutch Shell plc")</f>
        <v>Royal Dutch Shell plc</v>
      </c>
      <c r="C11" s="2">
        <v>61.0</v>
      </c>
      <c r="D11" s="3" t="str">
        <f>IFERROR(__xludf.DUMMYFUNCTION("SUBSTITUTE(REGEXREPLACE(INDEX(IMPORTHTML(""https://finviz.com/quote.ashx?t=""&amp;A11, ""table"", 8),11,12),""\*"", """"),""."","","")"),"40,09")</f>
        <v>40,09</v>
      </c>
      <c r="E11" s="3" t="str">
        <f>IFERROR(__xludf.DUMMYFUNCTION("SUBSTITUTE(REGEXREPLACE(INDEX(IMPORTHTML(""https://finviz.com/quote.ashx?t=""&amp;A11, ""table"", 8),7,2),""\*"", """"),""."","","")"),"1,39")</f>
        <v>1,39</v>
      </c>
      <c r="F11" s="3" t="str">
        <f>IFERROR(__xludf.DUMMYFUNCTION("SUBSTITUTE(REGEXREPLACE(INDEX(IMPORTHTML(""https://finviz.com/quote.ashx?t=""&amp;A11, ""table"", 8),8,2),""\*"", """"),""."","","")"),"3,47%")</f>
        <v>3,47%</v>
      </c>
      <c r="G11" s="4">
        <f t="shared" si="1"/>
        <v>84.79</v>
      </c>
      <c r="H11" s="3" t="str">
        <f>IFERROR(__xludf.DUMMYFUNCTION("SUBSTITUTE(SUBSTITUTE(REGEXREPLACE(INDEX(IMPORTHTML(""https://finviz.com/screener.ashx?v=312&amp;ft=4&amp;t=""&amp;A11, ""table"", 11),10,4),""\*"",""""),""/a"",""""),""/b"","""")"),"Apr 29")</f>
        <v>Apr 29</v>
      </c>
      <c r="I11" s="3" t="str">
        <f>IFERROR(__xludf.DUMMYFUNCTION("SUBSTITUTE(REGEXREPLACE(INDEX(IMPORTHTML(""https://finviz.com/quote.ashx?t=""&amp;A11, ""table"", 8),3,4),""\*"", """"),""."","","")"),"-")</f>
        <v>-</v>
      </c>
    </row>
    <row r="12">
      <c r="A12" s="2" t="s">
        <v>21</v>
      </c>
      <c r="B12" s="2" t="str">
        <f>IFERROR(__xludf.DUMMYFUNCTION("REGEXREPLACE(INDEX(IMPORTHTML(""https://finviz.com/quote.ashx?t=""&amp;A12, ""table"", 6),2), ""\*"", """")"),"Johnson &amp; Johnson")</f>
        <v>Johnson &amp; Johnson</v>
      </c>
      <c r="C12" s="2">
        <v>15.0</v>
      </c>
      <c r="D12" s="3" t="str">
        <f>IFERROR(__xludf.DUMMYFUNCTION("SUBSTITUTE(REGEXREPLACE(INDEX(IMPORTHTML(""https://finviz.com/quote.ashx?t=""&amp;A12, ""table"", 8),11,12),""\*"", """"),""."","","")"),"164,03")</f>
        <v>164,03</v>
      </c>
      <c r="E12" s="3" t="str">
        <f>IFERROR(__xludf.DUMMYFUNCTION("SUBSTITUTE(REGEXREPLACE(INDEX(IMPORTHTML(""https://finviz.com/quote.ashx?t=""&amp;A12, ""table"", 8),7,2),""\*"", """"),""."","","")"),"4,24")</f>
        <v>4,24</v>
      </c>
      <c r="F12" s="3" t="str">
        <f>IFERROR(__xludf.DUMMYFUNCTION("SUBSTITUTE(REGEXREPLACE(INDEX(IMPORTHTML(""https://finviz.com/quote.ashx?t=""&amp;A12, ""table"", 8),8,2),""\*"", """"),""."","","")"),"2,58%")</f>
        <v>2,58%</v>
      </c>
      <c r="G12" s="4">
        <f t="shared" si="1"/>
        <v>63.6</v>
      </c>
      <c r="H12" s="3" t="str">
        <f>IFERROR(__xludf.DUMMYFUNCTION("SUBSTITUTE(SUBSTITUTE(REGEXREPLACE(INDEX(IMPORTHTML(""https://finviz.com/screener.ashx?v=312&amp;ft=4&amp;t=""&amp;A12, ""table"", 11),10,4),""\*"",""""),""/a"",""""),""/b"","""")"),"Jul 21")</f>
        <v>Jul 21</v>
      </c>
      <c r="I12" s="3" t="str">
        <f>IFERROR(__xludf.DUMMYFUNCTION("SUBSTITUTE(REGEXREPLACE(INDEX(IMPORTHTML(""https://finviz.com/quote.ashx?t=""&amp;A12, ""table"", 8),3,4),""\*"", """"),""."","","")"),"3,89")</f>
        <v>3,89</v>
      </c>
    </row>
    <row r="13">
      <c r="A13" s="2" t="s">
        <v>22</v>
      </c>
      <c r="B13" s="2" t="str">
        <f>IFERROR(__xludf.DUMMYFUNCTION("REGEXREPLACE(INDEX(IMPORTHTML(""https://finviz.com/quote.ashx?t=""&amp;A13, ""table"", 6),2), ""\*"", """")"),"Anheuser-Busch InBev SA/NV")</f>
        <v>Anheuser-Busch InBev SA/NV</v>
      </c>
      <c r="C13" s="2">
        <v>30.0</v>
      </c>
      <c r="D13" s="3" t="str">
        <f>IFERROR(__xludf.DUMMYFUNCTION("SUBSTITUTE(REGEXREPLACE(INDEX(IMPORTHTML(""https://finviz.com/quote.ashx?t=""&amp;A13, ""table"", 8),11,12),""\*"", """"),""."","","")"),"72,79")</f>
        <v>72,79</v>
      </c>
      <c r="E13" s="3" t="str">
        <f>IFERROR(__xludf.DUMMYFUNCTION("SUBSTITUTE(REGEXREPLACE(INDEX(IMPORTHTML(""https://finviz.com/quote.ashx?t=""&amp;A13, ""table"", 8),7,2),""\*"", """"),""."","","")"),"1,17")</f>
        <v>1,17</v>
      </c>
      <c r="F13" s="3" t="str">
        <f>IFERROR(__xludf.DUMMYFUNCTION("SUBSTITUTE(REGEXREPLACE(INDEX(IMPORTHTML(""https://finviz.com/quote.ashx?t=""&amp;A13, ""table"", 8),8,2),""\*"", """"),""."","","")"),"1,61%")</f>
        <v>1,61%</v>
      </c>
      <c r="G13" s="4">
        <f t="shared" si="1"/>
        <v>35.1</v>
      </c>
      <c r="H13" s="3" t="str">
        <f>IFERROR(__xludf.DUMMYFUNCTION("SUBSTITUTE(SUBSTITUTE(REGEXREPLACE(INDEX(IMPORTHTML(""https://finviz.com/screener.ashx?v=312&amp;ft=4&amp;t=""&amp;A13, ""table"", 11),10,4),""\*"",""""),""/a"",""""),""/b"","""")"),"May 06")</f>
        <v>May 06</v>
      </c>
      <c r="I13" s="3" t="str">
        <f>IFERROR(__xludf.DUMMYFUNCTION("SUBSTITUTE(REGEXREPLACE(INDEX(IMPORTHTML(""https://finviz.com/quote.ashx?t=""&amp;A13, ""table"", 8),3,4),""\*"", """"),""."","","")"),"31,29")</f>
        <v>31,29</v>
      </c>
    </row>
    <row r="14">
      <c r="A14" s="2" t="s">
        <v>23</v>
      </c>
      <c r="B14" s="2" t="str">
        <f>IFERROR(__xludf.DUMMYFUNCTION("REGEXREPLACE(INDEX(IMPORTHTML(""https://finviz.com/quote.ashx?t=""&amp;A14, ""table"", 6),2), ""\*"", """")"),"Pfizer Inc.")</f>
        <v>Pfizer Inc.</v>
      </c>
      <c r="C14" s="2">
        <v>19.0</v>
      </c>
      <c r="D14" s="3" t="str">
        <f>IFERROR(__xludf.DUMMYFUNCTION("SUBSTITUTE(REGEXREPLACE(INDEX(IMPORTHTML(""https://finviz.com/quote.ashx?t=""&amp;A14, ""table"", 8),11,12),""\*"", """"),""."","","")"),"39,10")</f>
        <v>39,10</v>
      </c>
      <c r="E14" s="3" t="str">
        <f>IFERROR(__xludf.DUMMYFUNCTION("SUBSTITUTE(REGEXREPLACE(INDEX(IMPORTHTML(""https://finviz.com/quote.ashx?t=""&amp;A14, ""table"", 8),7,2),""\*"", """"),""."","","")"),"1,56")</f>
        <v>1,56</v>
      </c>
      <c r="F14" s="3" t="str">
        <f>IFERROR(__xludf.DUMMYFUNCTION("SUBSTITUTE(REGEXREPLACE(INDEX(IMPORTHTML(""https://finviz.com/quote.ashx?t=""&amp;A14, ""table"", 8),8,2),""\*"", """"),""."","","")"),"3,99%")</f>
        <v>3,99%</v>
      </c>
      <c r="G14" s="4">
        <f t="shared" si="1"/>
        <v>29.64</v>
      </c>
      <c r="H14" s="3" t="str">
        <f>IFERROR(__xludf.DUMMYFUNCTION("SUBSTITUTE(SUBSTITUTE(REGEXREPLACE(INDEX(IMPORTHTML(""https://finviz.com/screener.ashx?v=312&amp;ft=4&amp;t=""&amp;A14, ""table"", 11),10,4),""\*"",""""),""/a"",""""),""/b"","""")"),"May 04")</f>
        <v>May 04</v>
      </c>
      <c r="I14" s="3" t="str">
        <f>IFERROR(__xludf.DUMMYFUNCTION("SUBSTITUTE(REGEXREPLACE(INDEX(IMPORTHTML(""https://finviz.com/quote.ashx?t=""&amp;A14, ""table"", 8),3,4),""\*"", """"),""."","","")"),"1,86")</f>
        <v>1,86</v>
      </c>
    </row>
    <row r="15">
      <c r="A15" s="2" t="s">
        <v>24</v>
      </c>
      <c r="B15" s="2" t="str">
        <f>IFERROR(__xludf.DUMMYFUNCTION("REGEXREPLACE(INDEX(IMPORTHTML(""https://finviz.com/quote.ashx?t=""&amp;A15, ""table"", 6),2), ""\*"", """")"),"Ingredion Incorporated")</f>
        <v>Ingredion Incorporated</v>
      </c>
      <c r="C15" s="2">
        <v>16.0</v>
      </c>
      <c r="D15" s="3" t="str">
        <f>IFERROR(__xludf.DUMMYFUNCTION("SUBSTITUTE(REGEXREPLACE(INDEX(IMPORTHTML(""https://finviz.com/quote.ashx?t=""&amp;A15, ""table"", 8),11,12),""\*"", """"),""."","","")"),"89,99")</f>
        <v>89,99</v>
      </c>
      <c r="E15" s="3" t="str">
        <f>IFERROR(__xludf.DUMMYFUNCTION("SUBSTITUTE(REGEXREPLACE(INDEX(IMPORTHTML(""https://finviz.com/quote.ashx?t=""&amp;A15, ""table"", 8),7,2),""\*"", """"),""."","","")"),"2,56")</f>
        <v>2,56</v>
      </c>
      <c r="F15" s="3" t="str">
        <f>IFERROR(__xludf.DUMMYFUNCTION("SUBSTITUTE(REGEXREPLACE(INDEX(IMPORTHTML(""https://finviz.com/quote.ashx?t=""&amp;A15, ""table"", 8),8,2),""\*"", """"),""."","","")"),"2,84%")</f>
        <v>2,84%</v>
      </c>
      <c r="G15" s="4">
        <f t="shared" si="1"/>
        <v>40.96</v>
      </c>
      <c r="H15" s="3" t="str">
        <f>IFERROR(__xludf.DUMMYFUNCTION("SUBSTITUTE(SUBSTITUTE(REGEXREPLACE(INDEX(IMPORTHTML(""https://finviz.com/screener.ashx?v=312&amp;ft=4&amp;t=""&amp;A15, ""table"", 11),10,4),""\*"",""""),""/a"",""""),""/b"","""")"),"May 04")</f>
        <v>May 04</v>
      </c>
      <c r="I15" s="3" t="str">
        <f>IFERROR(__xludf.DUMMYFUNCTION("SUBSTITUTE(REGEXREPLACE(INDEX(IMPORTHTML(""https://finviz.com/quote.ashx?t=""&amp;A15, ""table"", 8),3,4),""\*"", """"),""."","","")"),"123,66")</f>
        <v>123,66</v>
      </c>
    </row>
    <row r="16">
      <c r="A16" s="2" t="s">
        <v>25</v>
      </c>
      <c r="B16" s="2" t="str">
        <f>IFERROR(__xludf.DUMMYFUNCTION("REGEXREPLACE(INDEX(IMPORTHTML(""https://finviz.com/quote.ashx?t=""&amp;A16, ""table"", 6),2), ""\*"", """")"),"Unum Group")</f>
        <v>Unum Group</v>
      </c>
      <c r="C16" s="2">
        <v>107.0</v>
      </c>
      <c r="D16" s="3" t="str">
        <f>IFERROR(__xludf.DUMMYFUNCTION("SUBSTITUTE(REGEXREPLACE(INDEX(IMPORTHTML(""https://finviz.com/quote.ashx?t=""&amp;A16, ""table"", 8),11,12),""\*"", """"),""."","","")"),"28,18")</f>
        <v>28,18</v>
      </c>
      <c r="E16" s="3" t="str">
        <f>IFERROR(__xludf.DUMMYFUNCTION("SUBSTITUTE(REGEXREPLACE(INDEX(IMPORTHTML(""https://finviz.com/quote.ashx?t=""&amp;A16, ""table"", 8),7,2),""\*"", """"),""."","","")"),"1,20")</f>
        <v>1,20</v>
      </c>
      <c r="F16" s="3" t="str">
        <f>IFERROR(__xludf.DUMMYFUNCTION("SUBSTITUTE(REGEXREPLACE(INDEX(IMPORTHTML(""https://finviz.com/quote.ashx?t=""&amp;A16, ""table"", 8),8,2),""\*"", """"),""."","","")"),"4,26%")</f>
        <v>4,26%</v>
      </c>
      <c r="G16" s="4">
        <f t="shared" si="1"/>
        <v>128.4</v>
      </c>
      <c r="H16" s="3" t="str">
        <f>IFERROR(__xludf.DUMMYFUNCTION("SUBSTITUTE(SUBSTITUTE(REGEXREPLACE(INDEX(IMPORTHTML(""https://finviz.com/screener.ashx?v=312&amp;ft=4&amp;t=""&amp;A16, ""table"", 11),10,4),""\*"",""""),""/a"",""""),""/b"","""")"),"May 05")</f>
        <v>May 05</v>
      </c>
      <c r="I16" s="3" t="str">
        <f>IFERROR(__xludf.DUMMYFUNCTION("SUBSTITUTE(REGEXREPLACE(INDEX(IMPORTHTML(""https://finviz.com/quote.ashx?t=""&amp;A16, ""table"", 8),3,4),""\*"", """"),""."","","")"),"2,47")</f>
        <v>2,47</v>
      </c>
    </row>
    <row r="17">
      <c r="A17" s="2" t="s">
        <v>26</v>
      </c>
      <c r="B17" s="2" t="str">
        <f>IFERROR(__xludf.DUMMYFUNCTION("REGEXREPLACE(INDEX(IMPORTHTML(""https://finviz.com/quote.ashx?t=""&amp;A17, ""table"", 6),2), ""\*"", """")"),"iShares MSCI Chile ETF")</f>
        <v>iShares MSCI Chile ETF</v>
      </c>
      <c r="C17" s="2">
        <v>100.0</v>
      </c>
      <c r="D17" s="3" t="str">
        <f>IFERROR(__xludf.DUMMYFUNCTION("SUBSTITUTE(REGEXREPLACE(INDEX(IMPORTHTML(""https://finviz.com/quote.ashx?t=""&amp;A17, ""table"", 8),11,12),""\*"", """"),""."","","")"),"28,85")</f>
        <v>28,85</v>
      </c>
      <c r="E17" s="3" t="str">
        <f>IFERROR(__xludf.DUMMYFUNCTION("SUBSTITUTE(REGEXREPLACE(INDEX(IMPORTHTML(""https://finviz.com/quote.ashx?t=""&amp;A17, ""table"", 8),7,2),""\*"", """"),""."","","")"),"0,60")</f>
        <v>0,60</v>
      </c>
      <c r="F17" s="3" t="str">
        <f>IFERROR(__xludf.DUMMYFUNCTION("SUBSTITUTE(REGEXREPLACE(INDEX(IMPORTHTML(""https://finviz.com/quote.ashx?t=""&amp;A17, ""table"", 8),8,2),""\*"", """"),""."","","")"),"2,08%")</f>
        <v>2,08%</v>
      </c>
      <c r="G17" s="4">
        <f t="shared" si="1"/>
        <v>60</v>
      </c>
      <c r="H17" s="3" t="str">
        <f>IFERROR(__xludf.DUMMYFUNCTION("SUBSTITUTE(SUBSTITUTE(REGEXREPLACE(INDEX(IMPORTHTML(""https://finviz.com/screener.ashx?v=312&amp;ft=4&amp;t=""&amp;A17, ""table"", 11),10,4),""\*"",""""),""/a"",""""),""/b"","""")"),"-")</f>
        <v>-</v>
      </c>
      <c r="I17" s="3" t="str">
        <f>IFERROR(__xludf.DUMMYFUNCTION("SUBSTITUTE(REGEXREPLACE(INDEX(IMPORTHTML(""https://finviz.com/quote.ashx?t=""&amp;A17, ""table"", 8),3,4),""\*"", """"),""."","","")"),"-")</f>
        <v>-</v>
      </c>
    </row>
    <row r="18">
      <c r="A18" s="2" t="s">
        <v>27</v>
      </c>
      <c r="B18" s="2" t="str">
        <f>IFERROR(__xludf.DUMMYFUNCTION("REGEXREPLACE(INDEX(IMPORTHTML(""https://finviz.com/quote.ashx?t=""&amp;A18, ""table"", 6),2), ""\*"", """")"),"Vanguard Global ex-U.S. Real Estate Index Fund ETF Shares")</f>
        <v>Vanguard Global ex-U.S. Real Estate Index Fund ETF Shares</v>
      </c>
      <c r="C18" s="2">
        <v>60.0</v>
      </c>
      <c r="D18" s="3" t="str">
        <f>IFERROR(__xludf.DUMMYFUNCTION("SUBSTITUTE(REGEXREPLACE(INDEX(IMPORTHTML(""https://finviz.com/quote.ashx?t=""&amp;A18, ""table"", 8),11,12),""\*"", """"),""."","","")"),"58,68")</f>
        <v>58,68</v>
      </c>
      <c r="E18" s="3" t="str">
        <f>IFERROR(__xludf.DUMMYFUNCTION("SUBSTITUTE(REGEXREPLACE(INDEX(IMPORTHTML(""https://finviz.com/quote.ashx?t=""&amp;A18, ""table"", 8),7,2),""\*"", """"),""."","","")"),"0,51")</f>
        <v>0,51</v>
      </c>
      <c r="F18" s="3" t="str">
        <f>IFERROR(__xludf.DUMMYFUNCTION("SUBSTITUTE(REGEXREPLACE(INDEX(IMPORTHTML(""https://finviz.com/quote.ashx?t=""&amp;A18, ""table"", 8),8,2),""\*"", """"),""."","","")"),"0,87%")</f>
        <v>0,87%</v>
      </c>
      <c r="G18" s="4">
        <f t="shared" si="1"/>
        <v>30.6</v>
      </c>
      <c r="H18" s="3" t="str">
        <f>IFERROR(__xludf.DUMMYFUNCTION("SUBSTITUTE(SUBSTITUTE(REGEXREPLACE(INDEX(IMPORTHTML(""https://finviz.com/screener.ashx?v=312&amp;ft=4&amp;t=""&amp;A18, ""table"", 11),10,4),""\*"",""""),""/a"",""""),""/b"","""")"),"-")</f>
        <v>-</v>
      </c>
      <c r="I18" s="3" t="str">
        <f>IFERROR(__xludf.DUMMYFUNCTION("SUBSTITUTE(REGEXREPLACE(INDEX(IMPORTHTML(""https://finviz.com/quote.ashx?t=""&amp;A18, ""table"", 8),3,4),""\*"", """"),""."","","")"),"-")</f>
        <v>-</v>
      </c>
    </row>
    <row r="19">
      <c r="A19" s="2" t="s">
        <v>28</v>
      </c>
      <c r="B19" s="2" t="str">
        <f>IFERROR(__xludf.DUMMYFUNCTION("REGEXREPLACE(INDEX(IMPORTHTML(""https://finviz.com/quote.ashx?t=""&amp;A19, ""table"", 6),2), ""\*"", """")"),"iShares MSCI Global Metals &amp; Mining Producers ETF")</f>
        <v>iShares MSCI Global Metals &amp; Mining Producers ETF</v>
      </c>
      <c r="C19" s="2">
        <v>140.0</v>
      </c>
      <c r="D19" s="3" t="str">
        <f>IFERROR(__xludf.DUMMYFUNCTION("SUBSTITUTE(REGEXREPLACE(INDEX(IMPORTHTML(""https://finviz.com/quote.ashx?t=""&amp;A19, ""table"", 8),11,12),""\*"", """"),""."","","")"),"45,20")</f>
        <v>45,20</v>
      </c>
      <c r="E19" s="3" t="str">
        <f>IFERROR(__xludf.DUMMYFUNCTION("SUBSTITUTE(REGEXREPLACE(INDEX(IMPORTHTML(""https://finviz.com/quote.ashx?t=""&amp;A19, ""table"", 8),7,2),""\*"", """"),""."","","")"),"0,83")</f>
        <v>0,83</v>
      </c>
      <c r="F19" s="3" t="str">
        <f>IFERROR(__xludf.DUMMYFUNCTION("SUBSTITUTE(REGEXREPLACE(INDEX(IMPORTHTML(""https://finviz.com/quote.ashx?t=""&amp;A19, ""table"", 8),8,2),""\*"", """"),""."","","")"),"1,84%")</f>
        <v>1,84%</v>
      </c>
      <c r="G19" s="4">
        <f t="shared" si="1"/>
        <v>116.2</v>
      </c>
      <c r="H19" s="3" t="str">
        <f>IFERROR(__xludf.DUMMYFUNCTION("SUBSTITUTE(SUBSTITUTE(REGEXREPLACE(INDEX(IMPORTHTML(""https://finviz.com/screener.ashx?v=312&amp;ft=4&amp;t=""&amp;A19, ""table"", 11),10,4),""\*"",""""),""/a"",""""),""/b"","""")"),"-")</f>
        <v>-</v>
      </c>
      <c r="I19" s="3" t="str">
        <f>IFERROR(__xludf.DUMMYFUNCTION("SUBSTITUTE(REGEXREPLACE(INDEX(IMPORTHTML(""https://finviz.com/quote.ashx?t=""&amp;A19, ""table"", 8),3,4),""\*"", """"),""."","","")"),"-")</f>
        <v>-</v>
      </c>
    </row>
    <row r="20">
      <c r="A20" s="2" t="s">
        <v>29</v>
      </c>
      <c r="B20" s="2" t="str">
        <f>IFERROR(__xludf.DUMMYFUNCTION("REGEXREPLACE(INDEX(IMPORTHTML(""https://finviz.com/quote.ashx?t=""&amp;A20, ""table"", 6),2), ""\*"", """")"),"LyondellBasell Industries N.V.")</f>
        <v>LyondellBasell Industries N.V.</v>
      </c>
      <c r="C20" s="2">
        <v>64.0</v>
      </c>
      <c r="D20" s="3" t="str">
        <f>IFERROR(__xludf.DUMMYFUNCTION("SUBSTITUTE(REGEXREPLACE(INDEX(IMPORTHTML(""https://finviz.com/quote.ashx?t=""&amp;A20, ""table"", 8),11,12),""\*"", """"),""."","","")"),"102,25")</f>
        <v>102,25</v>
      </c>
      <c r="E20" s="3" t="str">
        <f>IFERROR(__xludf.DUMMYFUNCTION("SUBSTITUTE(REGEXREPLACE(INDEX(IMPORTHTML(""https://finviz.com/quote.ashx?t=""&amp;A20, ""table"", 8),7,2),""\*"", """"),""."","","")"),"4,52")</f>
        <v>4,52</v>
      </c>
      <c r="F20" s="3" t="str">
        <f>IFERROR(__xludf.DUMMYFUNCTION("SUBSTITUTE(REGEXREPLACE(INDEX(IMPORTHTML(""https://finviz.com/quote.ashx?t=""&amp;A20, ""table"", 8),8,2),""\*"", """"),""."","","")"),"4,42%")</f>
        <v>4,42%</v>
      </c>
      <c r="G20" s="4">
        <f t="shared" si="1"/>
        <v>289.28</v>
      </c>
      <c r="H20" s="3" t="str">
        <f>IFERROR(__xludf.DUMMYFUNCTION("SUBSTITUTE(SUBSTITUTE(REGEXREPLACE(INDEX(IMPORTHTML(""https://finviz.com/screener.ashx?v=312&amp;ft=4&amp;t=""&amp;A20, ""table"", 11),10,4),""\*"",""""),""/a"",""""),""/b"","""")"),"Apr 30")</f>
        <v>Apr 30</v>
      </c>
      <c r="I20" s="3" t="str">
        <f>IFERROR(__xludf.DUMMYFUNCTION("SUBSTITUTE(REGEXREPLACE(INDEX(IMPORTHTML(""https://finviz.com/quote.ashx?t=""&amp;A20, ""table"", 8),3,4),""\*"", """"),""."","","")"),"0,29")</f>
        <v>0,29</v>
      </c>
    </row>
    <row r="21">
      <c r="A21" s="2" t="s">
        <v>30</v>
      </c>
      <c r="E21" s="6" t="str">
        <f>IFERROR(__xludf.DUMMYFUNCTION("SUBSTITUTE(REGEXREPLACE(INDEX(IMPORTHTML(""https://www.dohod.ru/ik/analytics/dividend/""&amp;LOWER(A21), ""table"", 2),2,2),""\*"", """"),""."","","")"),"78,27")</f>
        <v>78,27</v>
      </c>
      <c r="F21" s="3" t="str">
        <f>IFERROR(__xludf.DUMMYFUNCTION("SUBSTITUTE(REGEXREPLACE(INDEX(IMPORTHTML(""https://www.dohod.ru/ik/analytics/dividend/""&amp;LOWER(A21), ""table"", 1),1,1),""\*"", """"),""."","","")"),"7,93%")</f>
        <v>7,93%</v>
      </c>
    </row>
    <row r="22">
      <c r="A22" s="2" t="s">
        <v>31</v>
      </c>
      <c r="E22" s="3">
        <f>IFERROR(__xludf.DUMMYFUNCTION("(INDEX(IMPORTHTML(""https://www.dohod.ru/ik/analytics/dividend/""&amp;LOWER(A22), ""table"", 2),3,2))"),44395.0)</f>
        <v>44395</v>
      </c>
      <c r="F22" s="3" t="str">
        <f>IFERROR(__xludf.DUMMYFUNCTION("SUBSTITUTE(REGEXREPLACE(INDEX(IMPORTHTML(""https://www.dohod.ru/ik/analytics/dividend/""&amp;LOWER(A22), ""table"", 1),1,1),""\*"", """"),""."","","")"),"8,3%")</f>
        <v>8,3%</v>
      </c>
    </row>
    <row r="26">
      <c r="D26" s="7" t="str">
        <f>IFERROR(__xludf.DUMMYFUNCTION("IMPORTHTML(""https://www.gurufocus.com/stock/AAPL/summary"", ""table"", 3)"),"#N/A")</f>
        <v>#N/A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 t="s">
        <v>0</v>
      </c>
      <c r="B1" s="9" t="s">
        <v>32</v>
      </c>
    </row>
    <row r="2">
      <c r="A2" s="8" t="s">
        <v>33</v>
      </c>
      <c r="B2" s="10" t="s">
        <v>34</v>
      </c>
    </row>
    <row r="3">
      <c r="A3" s="8"/>
    </row>
    <row r="4">
      <c r="A4" s="11" t="str">
        <f>IFERROR(__xludf.DUMMYFUNCTION("IMPORTHTML(""https://finviz.com/quote.ashx?t=""&amp;B1, ""table"", 8)"),"Index")</f>
        <v>Index</v>
      </c>
      <c r="B4" s="4" t="str">
        <f>IFERROR(__xludf.DUMMYFUNCTION("""COMPUTED_VALUE"""),"*S&amp;P 500*")</f>
        <v>*S&amp;P 500*</v>
      </c>
      <c r="C4" s="4" t="str">
        <f>IFERROR(__xludf.DUMMYFUNCTION("""COMPUTED_VALUE"""),"P/E")</f>
        <v>P/E</v>
      </c>
      <c r="D4" s="4" t="str">
        <f>IFERROR(__xludf.DUMMYFUNCTION("""COMPUTED_VALUE"""),"*30.15*")</f>
        <v>*30.15*</v>
      </c>
      <c r="E4" s="4" t="str">
        <f>IFERROR(__xludf.DUMMYFUNCTION("""COMPUTED_VALUE"""),"EPS (ttm)")</f>
        <v>EPS (ttm)</v>
      </c>
      <c r="F4" s="4" t="str">
        <f>IFERROR(__xludf.DUMMYFUNCTION("""COMPUTED_VALUE"""),"*11.67*")</f>
        <v>*11.67*</v>
      </c>
      <c r="G4" s="4" t="str">
        <f>IFERROR(__xludf.DUMMYFUNCTION("""COMPUTED_VALUE"""),"Insider Own")</f>
        <v>Insider Own</v>
      </c>
      <c r="H4" s="4" t="str">
        <f>IFERROR(__xludf.DUMMYFUNCTION("""COMPUTED_VALUE"""),"*0.58%*")</f>
        <v>*0.58%*</v>
      </c>
      <c r="I4" s="4" t="str">
        <f>IFERROR(__xludf.DUMMYFUNCTION("""COMPUTED_VALUE"""),"Shs Outstand")</f>
        <v>Shs Outstand</v>
      </c>
      <c r="J4" s="4" t="str">
        <f>IFERROR(__xludf.DUMMYFUNCTION("""COMPUTED_VALUE"""),"*2.85B*")</f>
        <v>*2.85B*</v>
      </c>
      <c r="K4" s="4" t="str">
        <f>IFERROR(__xludf.DUMMYFUNCTION("""COMPUTED_VALUE"""),"Perf Week")</f>
        <v>Perf Week</v>
      </c>
      <c r="L4" s="4" t="str">
        <f>IFERROR(__xludf.DUMMYFUNCTION("""COMPUTED_VALUE"""),"*3.79%*")</f>
        <v>*3.79%*</v>
      </c>
    </row>
    <row r="5">
      <c r="A5" s="4" t="str">
        <f>IFERROR(__xludf.DUMMYFUNCTION("""COMPUTED_VALUE"""),"Market Cap")</f>
        <v>Market Cap</v>
      </c>
      <c r="B5" s="4" t="str">
        <f>IFERROR(__xludf.DUMMYFUNCTION("""COMPUTED_VALUE"""),"*1003.06B*")</f>
        <v>*1003.06B*</v>
      </c>
      <c r="C5" s="4" t="str">
        <f>IFERROR(__xludf.DUMMYFUNCTION("""COMPUTED_VALUE"""),"Forward P/E")</f>
        <v>Forward P/E</v>
      </c>
      <c r="D5" s="4" t="str">
        <f>IFERROR(__xludf.DUMMYFUNCTION("""COMPUTED_VALUE"""),"*23.15*")</f>
        <v>*23.15*</v>
      </c>
      <c r="E5" s="4" t="str">
        <f>IFERROR(__xludf.DUMMYFUNCTION("""COMPUTED_VALUE"""),"EPS next Y")</f>
        <v>EPS next Y</v>
      </c>
      <c r="F5" s="4" t="str">
        <f>IFERROR(__xludf.DUMMYFUNCTION("""COMPUTED_VALUE"""),"*15.20*")</f>
        <v>*15.20*</v>
      </c>
      <c r="G5" s="4" t="str">
        <f>IFERROR(__xludf.DUMMYFUNCTION("""COMPUTED_VALUE"""),"Insider Trans")</f>
        <v>Insider Trans</v>
      </c>
      <c r="H5" s="4" t="str">
        <f>IFERROR(__xludf.DUMMYFUNCTION("""COMPUTED_VALUE"""),"*-29.76%*")</f>
        <v>*-29.76%*</v>
      </c>
      <c r="I5" s="4" t="str">
        <f>IFERROR(__xludf.DUMMYFUNCTION("""COMPUTED_VALUE"""),"Shs Float")</f>
        <v>Shs Float</v>
      </c>
      <c r="J5" s="4" t="str">
        <f>IFERROR(__xludf.DUMMYFUNCTION("""COMPUTED_VALUE"""),"*2.38B*")</f>
        <v>*2.38B*</v>
      </c>
      <c r="K5" s="4" t="str">
        <f>IFERROR(__xludf.DUMMYFUNCTION("""COMPUTED_VALUE"""),"Perf Month")</f>
        <v>Perf Month</v>
      </c>
      <c r="L5" s="4" t="str">
        <f>IFERROR(__xludf.DUMMYFUNCTION("""COMPUTED_VALUE"""),"*7.05%*")</f>
        <v>*7.05%*</v>
      </c>
    </row>
    <row r="6">
      <c r="A6" s="4" t="str">
        <f>IFERROR(__xludf.DUMMYFUNCTION("""COMPUTED_VALUE"""),"Income")</f>
        <v>Income</v>
      </c>
      <c r="B6" s="4" t="str">
        <f>IFERROR(__xludf.DUMMYFUNCTION("""COMPUTED_VALUE"""),"*33.74B*")</f>
        <v>*33.74B*</v>
      </c>
      <c r="C6" s="4" t="str">
        <f>IFERROR(__xludf.DUMMYFUNCTION("""COMPUTED_VALUE"""),"PEG")</f>
        <v>PEG</v>
      </c>
      <c r="D6" s="4" t="str">
        <f>IFERROR(__xludf.DUMMYFUNCTION("""COMPUTED_VALUE"""),"*1.27*")</f>
        <v>*1.27*</v>
      </c>
      <c r="E6" s="4" t="str">
        <f>IFERROR(__xludf.DUMMYFUNCTION("""COMPUTED_VALUE"""),"EPS next Q")</f>
        <v>EPS next Q</v>
      </c>
      <c r="F6" s="4" t="str">
        <f>IFERROR(__xludf.DUMMYFUNCTION("""COMPUTED_VALUE"""),"*3.02*")</f>
        <v>*3.02*</v>
      </c>
      <c r="G6" s="4" t="str">
        <f>IFERROR(__xludf.DUMMYFUNCTION("""COMPUTED_VALUE"""),"Inst Own")</f>
        <v>Inst Own</v>
      </c>
      <c r="H6" s="4" t="str">
        <f>IFERROR(__xludf.DUMMYFUNCTION("""COMPUTED_VALUE"""),"*80.30%*")</f>
        <v>*80.30%*</v>
      </c>
      <c r="I6" s="4" t="str">
        <f>IFERROR(__xludf.DUMMYFUNCTION("""COMPUTED_VALUE"""),"Short Float")</f>
        <v>Short Float</v>
      </c>
      <c r="J6" s="4" t="str">
        <f>IFERROR(__xludf.DUMMYFUNCTION("""COMPUTED_VALUE"""),"*1.11%*")</f>
        <v>*1.11%*</v>
      </c>
      <c r="K6" s="4" t="str">
        <f>IFERROR(__xludf.DUMMYFUNCTION("""COMPUTED_VALUE"""),"Perf Quarter")</f>
        <v>Perf Quarter</v>
      </c>
      <c r="L6" s="4" t="str">
        <f>IFERROR(__xludf.DUMMYFUNCTION("""COMPUTED_VALUE"""),"*22.18%*")</f>
        <v>*22.18%*</v>
      </c>
    </row>
    <row r="7">
      <c r="A7" s="4" t="str">
        <f>IFERROR(__xludf.DUMMYFUNCTION("""COMPUTED_VALUE"""),"Sales")</f>
        <v>Sales</v>
      </c>
      <c r="B7" s="4" t="str">
        <f>IFERROR(__xludf.DUMMYFUNCTION("""COMPUTED_VALUE"""),"*94.40B*")</f>
        <v>*94.40B*</v>
      </c>
      <c r="C7" s="4" t="str">
        <f>IFERROR(__xludf.DUMMYFUNCTION("""COMPUTED_VALUE"""),"P/S")</f>
        <v>P/S</v>
      </c>
      <c r="D7" s="4" t="str">
        <f>IFERROR(__xludf.DUMMYFUNCTION("""COMPUTED_VALUE"""),"*10.63*")</f>
        <v>*10.63*</v>
      </c>
      <c r="E7" s="4" t="str">
        <f>IFERROR(__xludf.DUMMYFUNCTION("""COMPUTED_VALUE"""),"EPS this Y")</f>
        <v>EPS this Y</v>
      </c>
      <c r="F7" s="4" t="str">
        <f>IFERROR(__xludf.DUMMYFUNCTION("""COMPUTED_VALUE"""),"*57.00%*")</f>
        <v>*57.00%*</v>
      </c>
      <c r="G7" s="4" t="str">
        <f>IFERROR(__xludf.DUMMYFUNCTION("""COMPUTED_VALUE"""),"Inst Trans")</f>
        <v>Inst Trans</v>
      </c>
      <c r="H7" s="4" t="str">
        <f>IFERROR(__xludf.DUMMYFUNCTION("""COMPUTED_VALUE"""),"*-0.40%*")</f>
        <v>*-0.40%*</v>
      </c>
      <c r="I7" s="4" t="str">
        <f>IFERROR(__xludf.DUMMYFUNCTION("""COMPUTED_VALUE"""),"Short Ratio")</f>
        <v>Short Ratio</v>
      </c>
      <c r="J7" s="4" t="str">
        <f>IFERROR(__xludf.DUMMYFUNCTION("""COMPUTED_VALUE"""),"*1.48*")</f>
        <v>*1.48*</v>
      </c>
      <c r="K7" s="4" t="str">
        <f>IFERROR(__xludf.DUMMYFUNCTION("""COMPUTED_VALUE"""),"Perf Half Y")</f>
        <v>Perf Half Y</v>
      </c>
      <c r="L7" s="4" t="str">
        <f>IFERROR(__xludf.DUMMYFUNCTION("""COMPUTED_VALUE"""),"*27.04%*")</f>
        <v>*27.04%*</v>
      </c>
    </row>
    <row r="8">
      <c r="A8" s="4" t="str">
        <f>IFERROR(__xludf.DUMMYFUNCTION("""COMPUTED_VALUE"""),"Book/sh")</f>
        <v>Book/sh</v>
      </c>
      <c r="B8" s="4" t="str">
        <f>IFERROR(__xludf.DUMMYFUNCTION("""COMPUTED_VALUE"""),"*46.95*")</f>
        <v>*46.95*</v>
      </c>
      <c r="C8" s="4" t="str">
        <f>IFERROR(__xludf.DUMMYFUNCTION("""COMPUTED_VALUE"""),"P/B")</f>
        <v>P/B</v>
      </c>
      <c r="D8" s="4" t="str">
        <f>IFERROR(__xludf.DUMMYFUNCTION("""COMPUTED_VALUE"""),"*7.49*")</f>
        <v>*7.49*</v>
      </c>
      <c r="E8" s="4" t="str">
        <f>IFERROR(__xludf.DUMMYFUNCTION("""COMPUTED_VALUE"""),"EPS next Y")</f>
        <v>EPS next Y</v>
      </c>
      <c r="F8" s="4" t="str">
        <f>IFERROR(__xludf.DUMMYFUNCTION("""COMPUTED_VALUE"""),"*15.86%*")</f>
        <v>*15.86%*</v>
      </c>
      <c r="G8" s="4" t="str">
        <f>IFERROR(__xludf.DUMMYFUNCTION("""COMPUTED_VALUE"""),"ROA")</f>
        <v>ROA</v>
      </c>
      <c r="H8" s="4" t="str">
        <f>IFERROR(__xludf.DUMMYFUNCTION("""COMPUTED_VALUE"""),"*22.20%*")</f>
        <v>*22.20%*</v>
      </c>
      <c r="I8" s="4" t="str">
        <f>IFERROR(__xludf.DUMMYFUNCTION("""COMPUTED_VALUE"""),"Target Price")</f>
        <v>Target Price</v>
      </c>
      <c r="J8" s="4" t="str">
        <f>IFERROR(__xludf.DUMMYFUNCTION("""COMPUTED_VALUE"""),"*386.26*")</f>
        <v>*386.26*</v>
      </c>
      <c r="K8" s="4" t="str">
        <f>IFERROR(__xludf.DUMMYFUNCTION("""COMPUTED_VALUE"""),"Perf Year")</f>
        <v>Perf Year</v>
      </c>
      <c r="L8" s="4" t="str">
        <f>IFERROR(__xludf.DUMMYFUNCTION("""COMPUTED_VALUE"""),"*59.49%*")</f>
        <v>*59.49%*</v>
      </c>
    </row>
    <row r="9">
      <c r="A9" s="4" t="str">
        <f>IFERROR(__xludf.DUMMYFUNCTION("""COMPUTED_VALUE"""),"Cash/sh")</f>
        <v>Cash/sh</v>
      </c>
      <c r="B9" s="4" t="str">
        <f>IFERROR(__xludf.DUMMYFUNCTION("""COMPUTED_VALUE"""),"*22.53*")</f>
        <v>*22.53*</v>
      </c>
      <c r="C9" s="4" t="str">
        <f>IFERROR(__xludf.DUMMYFUNCTION("""COMPUTED_VALUE"""),"P/C")</f>
        <v>P/C</v>
      </c>
      <c r="D9" s="4" t="str">
        <f>IFERROR(__xludf.DUMMYFUNCTION("""COMPUTED_VALUE"""),"*15.62*")</f>
        <v>*15.62*</v>
      </c>
      <c r="E9" s="4" t="str">
        <f>IFERROR(__xludf.DUMMYFUNCTION("""COMPUTED_VALUE"""),"EPS next 5Y")</f>
        <v>EPS next 5Y</v>
      </c>
      <c r="F9" s="4" t="str">
        <f>IFERROR(__xludf.DUMMYFUNCTION("""COMPUTED_VALUE"""),"*23.70%*")</f>
        <v>*23.70%*</v>
      </c>
      <c r="G9" s="4" t="str">
        <f>IFERROR(__xludf.DUMMYFUNCTION("""COMPUTED_VALUE"""),"ROE")</f>
        <v>ROE</v>
      </c>
      <c r="H9" s="4" t="str">
        <f>IFERROR(__xludf.DUMMYFUNCTION("""COMPUTED_VALUE"""),"*27.50%*")</f>
        <v>*27.50%*</v>
      </c>
      <c r="I9" s="4" t="str">
        <f>IFERROR(__xludf.DUMMYFUNCTION("""COMPUTED_VALUE"""),"52W Range")</f>
        <v>52W Range</v>
      </c>
      <c r="J9" s="4" t="str">
        <f>IFERROR(__xludf.DUMMYFUNCTION("""COMPUTED_VALUE"""),"*207.11 - 358.14*")</f>
        <v>*207.11 - 358.14*</v>
      </c>
      <c r="K9" s="4" t="str">
        <f>IFERROR(__xludf.DUMMYFUNCTION("""COMPUTED_VALUE"""),"Perf YTD")</f>
        <v>Perf YTD</v>
      </c>
      <c r="L9" s="4" t="str">
        <f>IFERROR(__xludf.DUMMYFUNCTION("""COMPUTED_VALUE"""),"*28.82%*")</f>
        <v>*28.82%*</v>
      </c>
    </row>
    <row r="10">
      <c r="A10" s="4" t="str">
        <f>IFERROR(__xludf.DUMMYFUNCTION("""COMPUTED_VALUE"""),"Dividend")</f>
        <v>Dividend</v>
      </c>
      <c r="B10" s="4" t="str">
        <f>IFERROR(__xludf.DUMMYFUNCTION("""COMPUTED_VALUE"""),"*-*")</f>
        <v>*-*</v>
      </c>
      <c r="C10" s="4" t="str">
        <f>IFERROR(__xludf.DUMMYFUNCTION("""COMPUTED_VALUE"""),"P/FCF")</f>
        <v>P/FCF</v>
      </c>
      <c r="D10" s="4" t="str">
        <f>IFERROR(__xludf.DUMMYFUNCTION("""COMPUTED_VALUE"""),"*41.52*")</f>
        <v>*41.52*</v>
      </c>
      <c r="E10" s="4" t="str">
        <f>IFERROR(__xludf.DUMMYFUNCTION("""COMPUTED_VALUE"""),"EPS past 5Y")</f>
        <v>EPS past 5Y</v>
      </c>
      <c r="F10" s="4" t="str">
        <f>IFERROR(__xludf.DUMMYFUNCTION("""COMPUTED_VALUE"""),"*50.80%*")</f>
        <v>*50.80%*</v>
      </c>
      <c r="G10" s="4" t="str">
        <f>IFERROR(__xludf.DUMMYFUNCTION("""COMPUTED_VALUE"""),"ROI")</f>
        <v>ROI</v>
      </c>
      <c r="H10" s="4" t="str">
        <f>IFERROR(__xludf.DUMMYFUNCTION("""COMPUTED_VALUE"""),"*22.20%*")</f>
        <v>*22.20%*</v>
      </c>
      <c r="I10" s="4" t="str">
        <f>IFERROR(__xludf.DUMMYFUNCTION("""COMPUTED_VALUE"""),"52W High")</f>
        <v>52W High</v>
      </c>
      <c r="J10" s="4" t="str">
        <f>IFERROR(__xludf.DUMMYFUNCTION("""COMPUTED_VALUE"""),"*-1.75%*")</f>
        <v>*-1.75%*</v>
      </c>
      <c r="K10" s="4" t="str">
        <f>IFERROR(__xludf.DUMMYFUNCTION("""COMPUTED_VALUE"""),"Beta")</f>
        <v>Beta</v>
      </c>
      <c r="L10" s="4" t="str">
        <f>IFERROR(__xludf.DUMMYFUNCTION("""COMPUTED_VALUE"""),"*1.30*")</f>
        <v>*1.30*</v>
      </c>
    </row>
    <row r="11">
      <c r="A11" s="4" t="str">
        <f>IFERROR(__xludf.DUMMYFUNCTION("""COMPUTED_VALUE"""),"Dividend %")</f>
        <v>Dividend %</v>
      </c>
      <c r="B11" s="4" t="str">
        <f>IFERROR(__xludf.DUMMYFUNCTION("""COMPUTED_VALUE"""),"*-*")</f>
        <v>*-*</v>
      </c>
      <c r="C11" s="4" t="str">
        <f>IFERROR(__xludf.DUMMYFUNCTION("""COMPUTED_VALUE"""),"Quick Ratio")</f>
        <v>Quick Ratio</v>
      </c>
      <c r="D11" s="4" t="str">
        <f>IFERROR(__xludf.DUMMYFUNCTION("""COMPUTED_VALUE"""),"*6.10*")</f>
        <v>*6.10*</v>
      </c>
      <c r="E11" s="4" t="str">
        <f>IFERROR(__xludf.DUMMYFUNCTION("""COMPUTED_VALUE"""),"Sales past 5Y")</f>
        <v>Sales past 5Y</v>
      </c>
      <c r="F11" s="4" t="str">
        <f>IFERROR(__xludf.DUMMYFUNCTION("""COMPUTED_VALUE"""),"*36.80%*")</f>
        <v>*36.80%*</v>
      </c>
      <c r="G11" s="4" t="str">
        <f>IFERROR(__xludf.DUMMYFUNCTION("""COMPUTED_VALUE"""),"Gross Margin")</f>
        <v>Gross Margin</v>
      </c>
      <c r="H11" s="4" t="str">
        <f>IFERROR(__xludf.DUMMYFUNCTION("""COMPUTED_VALUE"""),"*80.50%*")</f>
        <v>*80.50%*</v>
      </c>
      <c r="I11" s="4" t="str">
        <f>IFERROR(__xludf.DUMMYFUNCTION("""COMPUTED_VALUE"""),"52W Low")</f>
        <v>52W Low</v>
      </c>
      <c r="J11" s="4" t="str">
        <f>IFERROR(__xludf.DUMMYFUNCTION("""COMPUTED_VALUE"""),"*69.90%*")</f>
        <v>*69.90%*</v>
      </c>
      <c r="K11" s="4" t="str">
        <f>IFERROR(__xludf.DUMMYFUNCTION("""COMPUTED_VALUE"""),"ATR")</f>
        <v>ATR</v>
      </c>
      <c r="L11" s="4" t="str">
        <f>IFERROR(__xludf.DUMMYFUNCTION("""COMPUTED_VALUE"""),"*6.81*")</f>
        <v>*6.81*</v>
      </c>
    </row>
    <row r="12">
      <c r="A12" s="4" t="str">
        <f>IFERROR(__xludf.DUMMYFUNCTION("""COMPUTED_VALUE"""),"Employees")</f>
        <v>Employees</v>
      </c>
      <c r="B12" s="4" t="str">
        <f>IFERROR(__xludf.DUMMYFUNCTION("""COMPUTED_VALUE"""),"*60654*")</f>
        <v>*60654*</v>
      </c>
      <c r="C12" s="4" t="str">
        <f>IFERROR(__xludf.DUMMYFUNCTION("""COMPUTED_VALUE"""),"Current Ratio")</f>
        <v>Current Ratio</v>
      </c>
      <c r="D12" s="4" t="str">
        <f>IFERROR(__xludf.DUMMYFUNCTION("""COMPUTED_VALUE"""),"*6.10*")</f>
        <v>*6.10*</v>
      </c>
      <c r="E12" s="4" t="str">
        <f>IFERROR(__xludf.DUMMYFUNCTION("""COMPUTED_VALUE"""),"Sales Q/Q")</f>
        <v>Sales Q/Q</v>
      </c>
      <c r="F12" s="4" t="str">
        <f>IFERROR(__xludf.DUMMYFUNCTION("""COMPUTED_VALUE"""),"*47.60%*")</f>
        <v>*47.60%*</v>
      </c>
      <c r="G12" s="4" t="str">
        <f>IFERROR(__xludf.DUMMYFUNCTION("""COMPUTED_VALUE"""),"Oper. Margin")</f>
        <v>Oper. Margin</v>
      </c>
      <c r="H12" s="4" t="str">
        <f>IFERROR(__xludf.DUMMYFUNCTION("""COMPUTED_VALUE"""),"*40.40%*")</f>
        <v>*40.40%*</v>
      </c>
      <c r="I12" s="4" t="str">
        <f>IFERROR(__xludf.DUMMYFUNCTION("""COMPUTED_VALUE"""),"RSI (14)")</f>
        <v>RSI (14)</v>
      </c>
      <c r="J12" s="4" t="str">
        <f>IFERROR(__xludf.DUMMYFUNCTION("""COMPUTED_VALUE"""),"*66.02*")</f>
        <v>*66.02*</v>
      </c>
      <c r="K12" s="4" t="str">
        <f>IFERROR(__xludf.DUMMYFUNCTION("""COMPUTED_VALUE"""),"Volatility")</f>
        <v>Volatility</v>
      </c>
      <c r="L12" s="4" t="str">
        <f>IFERROR(__xludf.DUMMYFUNCTION("""COMPUTED_VALUE"""),"*2.15% 1.96%*")</f>
        <v>*2.15% 1.96%*</v>
      </c>
    </row>
    <row r="13">
      <c r="A13" s="4" t="str">
        <f>IFERROR(__xludf.DUMMYFUNCTION("""COMPUTED_VALUE"""),"Optionable")</f>
        <v>Optionable</v>
      </c>
      <c r="B13" s="4" t="str">
        <f>IFERROR(__xludf.DUMMYFUNCTION("""COMPUTED_VALUE"""),"*Yes*")</f>
        <v>*Yes*</v>
      </c>
      <c r="C13" s="4" t="str">
        <f>IFERROR(__xludf.DUMMYFUNCTION("""COMPUTED_VALUE"""),"Debt/Eq")</f>
        <v>Debt/Eq</v>
      </c>
      <c r="D13" s="4" t="str">
        <f>IFERROR(__xludf.DUMMYFUNCTION("""COMPUTED_VALUE"""),"*0.00*")</f>
        <v>*0.00*</v>
      </c>
      <c r="E13" s="4" t="str">
        <f>IFERROR(__xludf.DUMMYFUNCTION("""COMPUTED_VALUE"""),"EPS Q/Q")</f>
        <v>EPS Q/Q</v>
      </c>
      <c r="F13" s="4" t="str">
        <f>IFERROR(__xludf.DUMMYFUNCTION("""COMPUTED_VALUE"""),"*92.80%*")</f>
        <v>*92.80%*</v>
      </c>
      <c r="G13" s="4" t="str">
        <f>IFERROR(__xludf.DUMMYFUNCTION("""COMPUTED_VALUE"""),"Profit Margin")</f>
        <v>Profit Margin</v>
      </c>
      <c r="H13" s="4" t="str">
        <f>IFERROR(__xludf.DUMMYFUNCTION("""COMPUTED_VALUE"""),"*35.70%*")</f>
        <v>*35.70%*</v>
      </c>
      <c r="I13" s="4" t="str">
        <f>IFERROR(__xludf.DUMMYFUNCTION("""COMPUTED_VALUE"""),"Rel Volume")</f>
        <v>Rel Volume</v>
      </c>
      <c r="J13" s="4" t="str">
        <f>IFERROR(__xludf.DUMMYFUNCTION("""COMPUTED_VALUE"""),"*1.20*")</f>
        <v>*1.20*</v>
      </c>
      <c r="K13" s="4" t="str">
        <f>IFERROR(__xludf.DUMMYFUNCTION("""COMPUTED_VALUE"""),"Prev Close")</f>
        <v>Prev Close</v>
      </c>
      <c r="L13" s="4" t="str">
        <f>IFERROR(__xludf.DUMMYFUNCTION("""COMPUTED_VALUE"""),"*355.64*")</f>
        <v>*355.64*</v>
      </c>
    </row>
    <row r="14">
      <c r="A14" s="4" t="str">
        <f>IFERROR(__xludf.DUMMYFUNCTION("""COMPUTED_VALUE"""),"Shortable")</f>
        <v>Shortable</v>
      </c>
      <c r="B14" s="4" t="str">
        <f>IFERROR(__xludf.DUMMYFUNCTION("""COMPUTED_VALUE"""),"*Yes*")</f>
        <v>*Yes*</v>
      </c>
      <c r="C14" s="4" t="str">
        <f>IFERROR(__xludf.DUMMYFUNCTION("""COMPUTED_VALUE"""),"LT Debt/Eq")</f>
        <v>LT Debt/Eq</v>
      </c>
      <c r="D14" s="4" t="str">
        <f>IFERROR(__xludf.DUMMYFUNCTION("""COMPUTED_VALUE"""),"*0.00*")</f>
        <v>*0.00*</v>
      </c>
      <c r="E14" s="4" t="str">
        <f>IFERROR(__xludf.DUMMYFUNCTION("""COMPUTED_VALUE"""),"Earnings")</f>
        <v>Earnings</v>
      </c>
      <c r="F14" s="4" t="str">
        <f>IFERROR(__xludf.DUMMYFUNCTION("""COMPUTED_VALUE"""),"*Apr 28 AMC*")</f>
        <v>*Apr 28 AMC*</v>
      </c>
      <c r="G14" s="4" t="str">
        <f>IFERROR(__xludf.DUMMYFUNCTION("""COMPUTED_VALUE"""),"Payout")</f>
        <v>Payout</v>
      </c>
      <c r="H14" s="4" t="str">
        <f>IFERROR(__xludf.DUMMYFUNCTION("""COMPUTED_VALUE"""),"*0.00%*")</f>
        <v>*0.00%*</v>
      </c>
      <c r="I14" s="4" t="str">
        <f>IFERROR(__xludf.DUMMYFUNCTION("""COMPUTED_VALUE"""),"Avg Volume")</f>
        <v>Avg Volume</v>
      </c>
      <c r="J14" s="4" t="str">
        <f>IFERROR(__xludf.DUMMYFUNCTION("""COMPUTED_VALUE"""),"*17.84M*")</f>
        <v>*17.84M*</v>
      </c>
      <c r="K14" s="4" t="str">
        <f>IFERROR(__xludf.DUMMYFUNCTION("""COMPUTED_VALUE"""),"Price")</f>
        <v>Price</v>
      </c>
      <c r="L14" s="4" t="str">
        <f>IFERROR(__xludf.DUMMYFUNCTION("""COMPUTED_VALUE"""),"*351.89*")</f>
        <v>*351.89*</v>
      </c>
    </row>
    <row r="15">
      <c r="A15" s="4" t="str">
        <f>IFERROR(__xludf.DUMMYFUNCTION("""COMPUTED_VALUE"""),"Recom")</f>
        <v>Recom</v>
      </c>
      <c r="B15" s="4" t="str">
        <f>IFERROR(__xludf.DUMMYFUNCTION("""COMPUTED_VALUE"""),"*1.80*")</f>
        <v>*1.80*</v>
      </c>
      <c r="C15" s="4" t="str">
        <f>IFERROR(__xludf.DUMMYFUNCTION("""COMPUTED_VALUE"""),"SMA20")</f>
        <v>SMA20</v>
      </c>
      <c r="D15" s="4" t="str">
        <f>IFERROR(__xludf.DUMMYFUNCTION("""COMPUTED_VALUE"""),"*5.01%*")</f>
        <v>*5.01%*</v>
      </c>
      <c r="E15" s="4" t="str">
        <f>IFERROR(__xludf.DUMMYFUNCTION("""COMPUTED_VALUE"""),"SMA50")</f>
        <v>SMA50</v>
      </c>
      <c r="F15" s="4" t="str">
        <f>IFERROR(__xludf.DUMMYFUNCTION("""COMPUTED_VALUE"""),"*9.14%*")</f>
        <v>*9.14%*</v>
      </c>
      <c r="G15" s="4" t="str">
        <f>IFERROR(__xludf.DUMMYFUNCTION("""COMPUTED_VALUE"""),"SMA200")</f>
        <v>SMA200</v>
      </c>
      <c r="H15" s="4" t="str">
        <f>IFERROR(__xludf.DUMMYFUNCTION("""COMPUTED_VALUE"""),"*23.27%*")</f>
        <v>*23.27%*</v>
      </c>
      <c r="I15" s="4" t="str">
        <f>IFERROR(__xludf.DUMMYFUNCTION("""COMPUTED_VALUE"""),"Volume")</f>
        <v>Volume</v>
      </c>
      <c r="J15" s="4" t="str">
        <f>IFERROR(__xludf.DUMMYFUNCTION("""COMPUTED_VALUE"""),"*21,334,702*")</f>
        <v>*21,334,702*</v>
      </c>
      <c r="K15" s="4" t="str">
        <f>IFERROR(__xludf.DUMMYFUNCTION("""COMPUTED_VALUE"""),"Change")</f>
        <v>Change</v>
      </c>
      <c r="L15" s="4" t="str">
        <f>IFERROR(__xludf.DUMMYFUNCTION("""COMPUTED_VALUE"""),"*-1.05%*")</f>
        <v>*-1.05%*</v>
      </c>
    </row>
  </sheetData>
  <hyperlinks>
    <hyperlink r:id="rId1" ref="B2"/>
  </hyperlinks>
  <drawing r:id="rId2"/>
</worksheet>
</file>