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itryvasilkov/Desktop/"/>
    </mc:Choice>
  </mc:AlternateContent>
  <xr:revisionPtr revIDLastSave="0" documentId="8_{9764796B-9126-E842-B027-5F394AAC6ED1}" xr6:coauthVersionLast="47" xr6:coauthVersionMax="47" xr10:uidLastSave="{00000000-0000-0000-0000-000000000000}"/>
  <bookViews>
    <workbookView xWindow="0" yWindow="500" windowWidth="35840" windowHeight="20260" xr2:uid="{075F10A5-3869-254F-9234-1C17E1A82D63}"/>
  </bookViews>
  <sheets>
    <sheet name="Лист1" sheetId="1" r:id="rId1"/>
    <sheet name="Лист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2" l="1"/>
  <c r="B24" i="2"/>
  <c r="B23" i="2"/>
  <c r="D18" i="2"/>
  <c r="D17" i="2"/>
  <c r="D16" i="2"/>
  <c r="F16" i="2" s="1"/>
  <c r="G16" i="2" s="1"/>
  <c r="D15" i="2"/>
  <c r="D14" i="2"/>
  <c r="F18" i="2"/>
  <c r="G18" i="2" s="1"/>
  <c r="D13" i="2"/>
  <c r="H6" i="2"/>
  <c r="M26" i="2"/>
  <c r="N3" i="2"/>
  <c r="E14" i="2"/>
  <c r="E15" i="2"/>
  <c r="E16" i="2"/>
  <c r="E17" i="2"/>
  <c r="E18" i="2"/>
  <c r="H31" i="2"/>
  <c r="H28" i="2"/>
  <c r="H26" i="2"/>
  <c r="I26" i="2"/>
  <c r="J26" i="2"/>
  <c r="K26" i="2"/>
  <c r="L26" i="2"/>
  <c r="G26" i="2"/>
  <c r="Q35" i="1"/>
  <c r="F13" i="2"/>
  <c r="J26" i="1"/>
  <c r="K15" i="1" s="1"/>
  <c r="O4" i="2"/>
  <c r="P4" i="2"/>
  <c r="Q4" i="2"/>
  <c r="R4" i="2"/>
  <c r="S4" i="2"/>
  <c r="N4" i="2"/>
  <c r="O3" i="2"/>
  <c r="P3" i="2"/>
  <c r="Q3" i="2"/>
  <c r="R3" i="2"/>
  <c r="S3" i="2"/>
  <c r="C35" i="1"/>
  <c r="L33" i="1"/>
  <c r="L34" i="1"/>
  <c r="L35" i="1"/>
  <c r="L32" i="1"/>
  <c r="G38" i="1"/>
  <c r="D38" i="1"/>
  <c r="D35" i="1"/>
  <c r="D36" i="1"/>
  <c r="D37" i="1"/>
  <c r="D34" i="1"/>
  <c r="G35" i="1"/>
  <c r="G36" i="1"/>
  <c r="G37" i="1"/>
  <c r="G34" i="1"/>
  <c r="F35" i="1"/>
  <c r="F36" i="1"/>
  <c r="F37" i="1"/>
  <c r="F34" i="1"/>
  <c r="E35" i="1"/>
  <c r="E36" i="1"/>
  <c r="E37" i="1"/>
  <c r="E34" i="1"/>
  <c r="F32" i="1"/>
  <c r="E32" i="1"/>
  <c r="M47" i="1"/>
  <c r="N47" i="1"/>
  <c r="O47" i="1"/>
  <c r="P47" i="1"/>
  <c r="M45" i="1"/>
  <c r="N45" i="1"/>
  <c r="O45" i="1"/>
  <c r="P45" i="1"/>
  <c r="N5" i="1"/>
  <c r="K5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L5" i="1"/>
  <c r="K33" i="1" s="1"/>
  <c r="M5" i="1"/>
  <c r="L31" i="1" s="1"/>
  <c r="O5" i="1"/>
  <c r="N32" i="1" s="1"/>
  <c r="P32" i="1" s="1"/>
  <c r="P5" i="1"/>
  <c r="Q5" i="1"/>
  <c r="R5" i="1"/>
  <c r="S5" i="1"/>
  <c r="T5" i="1"/>
  <c r="U5" i="1"/>
  <c r="V5" i="1"/>
  <c r="W5" i="1"/>
  <c r="X5" i="1"/>
  <c r="Y5" i="1"/>
  <c r="Z5" i="1"/>
  <c r="AA5" i="1"/>
  <c r="AB5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F14" i="2"/>
  <c r="G14" i="2" s="1"/>
  <c r="F15" i="2"/>
  <c r="G15" i="2" s="1"/>
  <c r="F17" i="2"/>
  <c r="G17" i="2" s="1"/>
  <c r="H3" i="2"/>
  <c r="H2" i="2"/>
  <c r="M43" i="1"/>
  <c r="AE29" i="1"/>
  <c r="AE31" i="1" s="1"/>
  <c r="AG31" i="1" s="1"/>
  <c r="W29" i="1"/>
  <c r="W34" i="1" s="1"/>
  <c r="Y34" i="1" s="1"/>
  <c r="AF32" i="1"/>
  <c r="AF33" i="1"/>
  <c r="AF34" i="1"/>
  <c r="AF31" i="1"/>
  <c r="AD32" i="1"/>
  <c r="AD33" i="1"/>
  <c r="AD34" i="1"/>
  <c r="AD31" i="1"/>
  <c r="AD29" i="1"/>
  <c r="AB32" i="1"/>
  <c r="AB33" i="1"/>
  <c r="AB34" i="1"/>
  <c r="AB31" i="1"/>
  <c r="AB35" i="1" s="1"/>
  <c r="Z32" i="1"/>
  <c r="Z33" i="1"/>
  <c r="Z34" i="1"/>
  <c r="Z31" i="1"/>
  <c r="AA29" i="1"/>
  <c r="AA33" i="1" s="1"/>
  <c r="AC33" i="1" s="1"/>
  <c r="Z29" i="1"/>
  <c r="AF35" i="1"/>
  <c r="X35" i="1"/>
  <c r="X32" i="1"/>
  <c r="X33" i="1"/>
  <c r="X34" i="1"/>
  <c r="X31" i="1"/>
  <c r="V32" i="1"/>
  <c r="V33" i="1"/>
  <c r="V34" i="1"/>
  <c r="V31" i="1"/>
  <c r="V29" i="1"/>
  <c r="T35" i="1"/>
  <c r="T32" i="1"/>
  <c r="T33" i="1"/>
  <c r="T34" i="1"/>
  <c r="T31" i="1"/>
  <c r="R32" i="1"/>
  <c r="R33" i="1"/>
  <c r="R34" i="1"/>
  <c r="R31" i="1"/>
  <c r="S29" i="1"/>
  <c r="R29" i="1"/>
  <c r="N33" i="1"/>
  <c r="P33" i="1" s="1"/>
  <c r="O29" i="1"/>
  <c r="O33" i="1" s="1"/>
  <c r="N29" i="1"/>
  <c r="N34" i="1" s="1"/>
  <c r="P34" i="1" s="1"/>
  <c r="K31" i="1"/>
  <c r="K35" i="1" s="1"/>
  <c r="F3" i="1"/>
  <c r="B6" i="1"/>
  <c r="B3" i="2"/>
  <c r="C2" i="2"/>
  <c r="B6" i="2"/>
  <c r="B2" i="2" s="1"/>
  <c r="J20" i="1"/>
  <c r="L20" i="1" s="1"/>
  <c r="J23" i="1" s="1"/>
  <c r="K13" i="1" s="1"/>
  <c r="C18" i="1"/>
  <c r="D18" i="1"/>
  <c r="E18" i="1"/>
  <c r="F18" i="1"/>
  <c r="G18" i="1"/>
  <c r="B18" i="1"/>
  <c r="G14" i="1"/>
  <c r="C14" i="1"/>
  <c r="D14" i="1"/>
  <c r="E14" i="1"/>
  <c r="F14" i="1"/>
  <c r="B14" i="1"/>
  <c r="C10" i="1"/>
  <c r="D10" i="1"/>
  <c r="E10" i="1"/>
  <c r="F10" i="1"/>
  <c r="G10" i="1"/>
  <c r="B10" i="1"/>
  <c r="C6" i="1"/>
  <c r="D6" i="1"/>
  <c r="E6" i="1"/>
  <c r="F6" i="1"/>
  <c r="G6" i="1"/>
  <c r="G13" i="2" l="1"/>
  <c r="F11" i="2"/>
  <c r="N31" i="1"/>
  <c r="P31" i="1" s="1"/>
  <c r="P35" i="1" s="1"/>
  <c r="Q33" i="1"/>
  <c r="K32" i="1"/>
  <c r="K37" i="1" s="1"/>
  <c r="K34" i="1"/>
  <c r="AE32" i="1"/>
  <c r="AG32" i="1" s="1"/>
  <c r="AE33" i="1"/>
  <c r="AG33" i="1" s="1"/>
  <c r="AE34" i="1"/>
  <c r="AG34" i="1" s="1"/>
  <c r="AG35" i="1" s="1"/>
  <c r="AD37" i="1" s="1"/>
  <c r="P40" i="1" s="1"/>
  <c r="G4" i="2" s="1"/>
  <c r="H9" i="2" s="1"/>
  <c r="AA32" i="1"/>
  <c r="AC32" i="1" s="1"/>
  <c r="AA34" i="1"/>
  <c r="AC34" i="1" s="1"/>
  <c r="AA31" i="1"/>
  <c r="AC31" i="1" s="1"/>
  <c r="W31" i="1"/>
  <c r="Y31" i="1" s="1"/>
  <c r="W33" i="1"/>
  <c r="Y33" i="1" s="1"/>
  <c r="W32" i="1"/>
  <c r="Y32" i="1" s="1"/>
  <c r="S34" i="1"/>
  <c r="U34" i="1" s="1"/>
  <c r="S33" i="1"/>
  <c r="U33" i="1" s="1"/>
  <c r="S31" i="1"/>
  <c r="U31" i="1" s="1"/>
  <c r="S32" i="1"/>
  <c r="U32" i="1" s="1"/>
  <c r="O32" i="1"/>
  <c r="Q32" i="1" s="1"/>
  <c r="O31" i="1"/>
  <c r="Q31" i="1" s="1"/>
  <c r="O34" i="1"/>
  <c r="Q34" i="1" s="1"/>
  <c r="M33" i="1"/>
  <c r="J32" i="1"/>
  <c r="M35" i="1"/>
  <c r="J33" i="1"/>
  <c r="J35" i="1"/>
  <c r="J34" i="1"/>
  <c r="N20" i="1"/>
  <c r="K14" i="1" s="1"/>
  <c r="C3" i="2"/>
  <c r="D2" i="2"/>
  <c r="J37" i="1" l="1"/>
  <c r="P43" i="1"/>
  <c r="AC35" i="1"/>
  <c r="Z37" i="1" s="1"/>
  <c r="O40" i="1" s="1"/>
  <c r="F4" i="2"/>
  <c r="G9" i="2" s="1"/>
  <c r="O43" i="1"/>
  <c r="Y35" i="1"/>
  <c r="V37" i="1" s="1"/>
  <c r="N40" i="1" s="1"/>
  <c r="U35" i="1"/>
  <c r="R37" i="1" s="1"/>
  <c r="M40" i="1" s="1"/>
  <c r="D4" i="2" s="1"/>
  <c r="E9" i="2" s="1"/>
  <c r="N37" i="1"/>
  <c r="L40" i="1" s="1"/>
  <c r="M32" i="1"/>
  <c r="L37" i="1"/>
  <c r="M34" i="1"/>
  <c r="M37" i="1" s="1"/>
  <c r="K40" i="1" s="1"/>
  <c r="K47" i="1" s="1"/>
  <c r="D3" i="2"/>
  <c r="E2" i="2"/>
  <c r="C4" i="2" l="1"/>
  <c r="L47" i="1"/>
  <c r="L43" i="1"/>
  <c r="E4" i="2"/>
  <c r="F9" i="2" s="1"/>
  <c r="N43" i="1"/>
  <c r="K43" i="1"/>
  <c r="K45" i="1" s="1"/>
  <c r="B4" i="2"/>
  <c r="C9" i="2" s="1"/>
  <c r="E3" i="2"/>
  <c r="F2" i="2"/>
  <c r="Q43" i="1" l="1"/>
  <c r="L45" i="1"/>
  <c r="D9" i="2"/>
  <c r="H4" i="2"/>
  <c r="E13" i="2" s="1"/>
  <c r="C13" i="2" s="1"/>
  <c r="F3" i="2"/>
  <c r="G2" i="2"/>
  <c r="G3" i="2" s="1"/>
  <c r="C16" i="2" l="1"/>
  <c r="C15" i="2"/>
  <c r="C14" i="2"/>
  <c r="C17" i="2"/>
  <c r="C18" i="2"/>
  <c r="C11" i="2" l="1"/>
  <c r="D21" i="2" s="1"/>
  <c r="A13" i="2" s="1"/>
  <c r="K24" i="2" l="1"/>
  <c r="K25" i="2" s="1"/>
  <c r="L24" i="2"/>
  <c r="L25" i="2" s="1"/>
  <c r="J24" i="2"/>
  <c r="J25" i="2" s="1"/>
  <c r="G24" i="2"/>
  <c r="G25" i="2" s="1"/>
  <c r="I24" i="2"/>
  <c r="I25" i="2" s="1"/>
  <c r="H24" i="2"/>
  <c r="H25" i="2" s="1"/>
  <c r="M25" i="2" l="1"/>
  <c r="H27" i="2" l="1"/>
  <c r="H29" i="2" s="1"/>
  <c r="F28" i="2" s="1"/>
  <c r="J28" i="2" s="1"/>
  <c r="C32" i="2" s="1"/>
  <c r="H32" i="2"/>
  <c r="H33" i="2" s="1"/>
  <c r="H34" i="2" s="1"/>
  <c r="F32" i="2" s="1"/>
  <c r="J32" i="2" s="1"/>
  <c r="B32" i="2" s="1"/>
</calcChain>
</file>

<file path=xl/sharedStrings.xml><?xml version="1.0" encoding="utf-8"?>
<sst xmlns="http://schemas.openxmlformats.org/spreadsheetml/2006/main" count="96" uniqueCount="47">
  <si>
    <t>Масса груза, г</t>
  </si>
  <si>
    <t>Положение утяжелителей</t>
  </si>
  <si>
    <t>положение утяжелителей</t>
  </si>
  <si>
    <t>1 риска</t>
  </si>
  <si>
    <t>2 риска</t>
  </si>
  <si>
    <t>3 риска</t>
  </si>
  <si>
    <t>4 риска</t>
  </si>
  <si>
    <t>5 риска</t>
  </si>
  <si>
    <t>6 риска</t>
  </si>
  <si>
    <t>m1</t>
  </si>
  <si>
    <t>t1</t>
  </si>
  <si>
    <t>m = 220 г</t>
  </si>
  <si>
    <t>a</t>
  </si>
  <si>
    <t>M</t>
  </si>
  <si>
    <t>t2</t>
  </si>
  <si>
    <t>t3</t>
  </si>
  <si>
    <t>m2</t>
  </si>
  <si>
    <t>tср</t>
  </si>
  <si>
    <t>m3</t>
  </si>
  <si>
    <t>m4</t>
  </si>
  <si>
    <t>d</t>
  </si>
  <si>
    <t>m - масса шайбы (кг)</t>
  </si>
  <si>
    <t>g - ускорение свободного падения в спб</t>
  </si>
  <si>
    <t>Погрешности</t>
  </si>
  <si>
    <t>риска</t>
  </si>
  <si>
    <t>R</t>
  </si>
  <si>
    <t>R^2</t>
  </si>
  <si>
    <t>I</t>
  </si>
  <si>
    <t>р между рисками</t>
  </si>
  <si>
    <t>ср</t>
  </si>
  <si>
    <t>сумма</t>
  </si>
  <si>
    <t>1I</t>
  </si>
  <si>
    <t>2I</t>
  </si>
  <si>
    <t>3I</t>
  </si>
  <si>
    <t>4I</t>
  </si>
  <si>
    <t>5I</t>
  </si>
  <si>
    <t>6I</t>
  </si>
  <si>
    <t>mk - масса каретки</t>
  </si>
  <si>
    <t>для первой</t>
  </si>
  <si>
    <t>n</t>
  </si>
  <si>
    <t>b</t>
  </si>
  <si>
    <t>I1</t>
  </si>
  <si>
    <t>m_ут</t>
  </si>
  <si>
    <t>I_0</t>
  </si>
  <si>
    <t>d^2</t>
  </si>
  <si>
    <t>D</t>
  </si>
  <si>
    <t>погрешности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</si>
</sst>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000"/>
  </numFmts>
  <fonts count="3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color rgb="FF6A8759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2" borderId="1" xfId="0" applyNumberFormat="1" applyFill="1" applyBorder="1"/>
    <xf numFmtId="0" fontId="0" fillId="2" borderId="1" xfId="0" applyFill="1" applyBorder="1"/>
    <xf numFmtId="164" fontId="0" fillId="0" borderId="1" xfId="0" applyNumberFormat="1" applyBorder="1"/>
    <xf numFmtId="0" fontId="0" fillId="0" borderId="5" xfId="0" applyBorder="1"/>
    <xf numFmtId="164" fontId="0" fillId="0" borderId="5" xfId="0" applyNumberFormat="1" applyBorder="1"/>
    <xf numFmtId="164" fontId="0" fillId="0" borderId="9" xfId="0" applyNumberFormat="1" applyBorder="1"/>
    <xf numFmtId="0" fontId="0" fillId="0" borderId="10" xfId="0" applyBorder="1"/>
    <xf numFmtId="164" fontId="0" fillId="0" borderId="0" xfId="0" applyNumberFormat="1"/>
    <xf numFmtId="0" fontId="2" fillId="0" borderId="11" xfId="0" applyFont="1" applyBorder="1"/>
    <xf numFmtId="0" fontId="0" fillId="0" borderId="2" xfId="0" applyBorder="1"/>
    <xf numFmtId="0" fontId="0" fillId="0" borderId="12" xfId="0" applyBorder="1"/>
    <xf numFmtId="0" fontId="0" fillId="0" borderId="6" xfId="0" applyBorder="1"/>
    <xf numFmtId="0" fontId="0" fillId="0" borderId="13" xfId="0" applyBorder="1"/>
    <xf numFmtId="0" fontId="0" fillId="0" borderId="7" xfId="0" applyBorder="1"/>
    <xf numFmtId="0" fontId="0" fillId="0" borderId="16" xfId="0" applyBorder="1"/>
    <xf numFmtId="0" fontId="0" fillId="0" borderId="17" xfId="0" applyBorder="1"/>
    <xf numFmtId="164" fontId="0" fillId="0" borderId="18" xfId="0" applyNumberFormat="1" applyBorder="1"/>
    <xf numFmtId="164" fontId="0" fillId="0" borderId="20" xfId="0" applyNumberFormat="1" applyBorder="1"/>
    <xf numFmtId="164" fontId="0" fillId="0" borderId="11" xfId="0" applyNumberFormat="1" applyBorder="1"/>
    <xf numFmtId="164" fontId="0" fillId="0" borderId="16" xfId="0" applyNumberFormat="1" applyBorder="1"/>
    <xf numFmtId="0" fontId="0" fillId="0" borderId="21" xfId="0" applyBorder="1"/>
    <xf numFmtId="164" fontId="0" fillId="0" borderId="22" xfId="0" applyNumberFormat="1" applyBorder="1"/>
    <xf numFmtId="164" fontId="0" fillId="0" borderId="12" xfId="0" applyNumberFormat="1" applyBorder="1"/>
    <xf numFmtId="164" fontId="0" fillId="0" borderId="19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16" fontId="0" fillId="0" borderId="0" xfId="0" applyNumberFormat="1"/>
    <xf numFmtId="2" fontId="0" fillId="0" borderId="0" xfId="0" applyNumberFormat="1"/>
    <xf numFmtId="165" fontId="0" fillId="0" borderId="1" xfId="0" applyNumberFormat="1" applyBorder="1"/>
    <xf numFmtId="0" fontId="0" fillId="0" borderId="32" xfId="0" applyBorder="1"/>
    <xf numFmtId="164" fontId="0" fillId="0" borderId="2" xfId="0" applyNumberFormat="1" applyBorder="1"/>
    <xf numFmtId="164" fontId="0" fillId="0" borderId="33" xfId="0" applyNumberFormat="1" applyBorder="1"/>
    <xf numFmtId="164" fontId="0" fillId="0" borderId="34" xfId="0" applyNumberFormat="1" applyBorder="1"/>
    <xf numFmtId="0" fontId="0" fillId="0" borderId="4" xfId="0" applyBorder="1"/>
    <xf numFmtId="0" fontId="0" fillId="0" borderId="11" xfId="0" applyBorder="1"/>
    <xf numFmtId="0" fontId="0" fillId="0" borderId="35" xfId="0" applyBorder="1"/>
    <xf numFmtId="164" fontId="0" fillId="0" borderId="36" xfId="0" applyNumberFormat="1" applyBorder="1"/>
    <xf numFmtId="0" fontId="0" fillId="0" borderId="29" xfId="0" applyBorder="1"/>
    <xf numFmtId="164" fontId="0" fillId="0" borderId="30" xfId="0" applyNumberFormat="1" applyBorder="1"/>
    <xf numFmtId="164" fontId="0" fillId="0" borderId="31" xfId="0" applyNumberFormat="1" applyBorder="1"/>
    <xf numFmtId="165" fontId="0" fillId="0" borderId="0" xfId="0" applyNumberFormat="1"/>
    <xf numFmtId="166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2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26" Type="http://schemas.openxmlformats.org/officeDocument/2006/relationships/image" Target="../media/image44.png"/><Relationship Id="rId3" Type="http://schemas.openxmlformats.org/officeDocument/2006/relationships/image" Target="../media/image21.png"/><Relationship Id="rId21" Type="http://schemas.openxmlformats.org/officeDocument/2006/relationships/image" Target="../media/image39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5" Type="http://schemas.openxmlformats.org/officeDocument/2006/relationships/image" Target="../media/image43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20" Type="http://schemas.openxmlformats.org/officeDocument/2006/relationships/image" Target="../media/image38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24" Type="http://schemas.openxmlformats.org/officeDocument/2006/relationships/image" Target="../media/image42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23" Type="http://schemas.openxmlformats.org/officeDocument/2006/relationships/image" Target="../media/image41.png"/><Relationship Id="rId10" Type="http://schemas.openxmlformats.org/officeDocument/2006/relationships/image" Target="../media/image28.png"/><Relationship Id="rId19" Type="http://schemas.openxmlformats.org/officeDocument/2006/relationships/image" Target="../media/image37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Relationship Id="rId22" Type="http://schemas.openxmlformats.org/officeDocument/2006/relationships/image" Target="../media/image4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301712</xdr:colOff>
      <xdr:row>2</xdr:row>
      <xdr:rowOff>28066</xdr:rowOff>
    </xdr:from>
    <xdr:to>
      <xdr:col>11</xdr:col>
      <xdr:colOff>431377</xdr:colOff>
      <xdr:row>2</xdr:row>
      <xdr:rowOff>169519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F40DDA2-44D2-8CC3-6410-F2445AE83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729" y="435027"/>
          <a:ext cx="129665" cy="141453"/>
        </a:xfrm>
        <a:prstGeom prst="rect">
          <a:avLst/>
        </a:prstGeom>
      </xdr:spPr>
    </xdr:pic>
    <xdr:clientData/>
  </xdr:twoCellAnchor>
  <xdr:oneCellAnchor>
    <xdr:from>
      <xdr:col>14</xdr:col>
      <xdr:colOff>301712</xdr:colOff>
      <xdr:row>2</xdr:row>
      <xdr:rowOff>28066</xdr:rowOff>
    </xdr:from>
    <xdr:ext cx="129665" cy="141453"/>
    <xdr:pic>
      <xdr:nvPicPr>
        <xdr:cNvPr id="4" name="Рисунок 3">
          <a:extLst>
            <a:ext uri="{FF2B5EF4-FFF2-40B4-BE49-F238E27FC236}">
              <a16:creationId xmlns:a16="http://schemas.microsoft.com/office/drawing/2014/main" id="{757C3E1C-026F-3443-9D36-20798F21E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729" y="435027"/>
          <a:ext cx="129665" cy="141453"/>
        </a:xfrm>
        <a:prstGeom prst="rect">
          <a:avLst/>
        </a:prstGeom>
      </xdr:spPr>
    </xdr:pic>
    <xdr:clientData/>
  </xdr:oneCellAnchor>
  <xdr:oneCellAnchor>
    <xdr:from>
      <xdr:col>17</xdr:col>
      <xdr:colOff>301712</xdr:colOff>
      <xdr:row>2</xdr:row>
      <xdr:rowOff>28066</xdr:rowOff>
    </xdr:from>
    <xdr:ext cx="129665" cy="141453"/>
    <xdr:pic>
      <xdr:nvPicPr>
        <xdr:cNvPr id="5" name="Рисунок 4">
          <a:extLst>
            <a:ext uri="{FF2B5EF4-FFF2-40B4-BE49-F238E27FC236}">
              <a16:creationId xmlns:a16="http://schemas.microsoft.com/office/drawing/2014/main" id="{A8E5B02E-C6FA-4F40-93DB-53B6DBBCF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729" y="435027"/>
          <a:ext cx="129665" cy="141453"/>
        </a:xfrm>
        <a:prstGeom prst="rect">
          <a:avLst/>
        </a:prstGeom>
      </xdr:spPr>
    </xdr:pic>
    <xdr:clientData/>
  </xdr:oneCellAnchor>
  <xdr:oneCellAnchor>
    <xdr:from>
      <xdr:col>20</xdr:col>
      <xdr:colOff>301712</xdr:colOff>
      <xdr:row>2</xdr:row>
      <xdr:rowOff>28066</xdr:rowOff>
    </xdr:from>
    <xdr:ext cx="129665" cy="141453"/>
    <xdr:pic>
      <xdr:nvPicPr>
        <xdr:cNvPr id="6" name="Рисунок 5">
          <a:extLst>
            <a:ext uri="{FF2B5EF4-FFF2-40B4-BE49-F238E27FC236}">
              <a16:creationId xmlns:a16="http://schemas.microsoft.com/office/drawing/2014/main" id="{8026B542-3672-2A4A-B064-858F2F79B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2596" y="435027"/>
          <a:ext cx="129665" cy="141453"/>
        </a:xfrm>
        <a:prstGeom prst="rect">
          <a:avLst/>
        </a:prstGeom>
      </xdr:spPr>
    </xdr:pic>
    <xdr:clientData/>
  </xdr:oneCellAnchor>
  <xdr:oneCellAnchor>
    <xdr:from>
      <xdr:col>23</xdr:col>
      <xdr:colOff>301712</xdr:colOff>
      <xdr:row>2</xdr:row>
      <xdr:rowOff>28066</xdr:rowOff>
    </xdr:from>
    <xdr:ext cx="129665" cy="141453"/>
    <xdr:pic>
      <xdr:nvPicPr>
        <xdr:cNvPr id="7" name="Рисунок 6">
          <a:extLst>
            <a:ext uri="{FF2B5EF4-FFF2-40B4-BE49-F238E27FC236}">
              <a16:creationId xmlns:a16="http://schemas.microsoft.com/office/drawing/2014/main" id="{C9A9420F-9D7D-2842-B75F-03CAEB471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729" y="435027"/>
          <a:ext cx="129665" cy="141453"/>
        </a:xfrm>
        <a:prstGeom prst="rect">
          <a:avLst/>
        </a:prstGeom>
      </xdr:spPr>
    </xdr:pic>
    <xdr:clientData/>
  </xdr:oneCellAnchor>
  <xdr:oneCellAnchor>
    <xdr:from>
      <xdr:col>26</xdr:col>
      <xdr:colOff>301712</xdr:colOff>
      <xdr:row>2</xdr:row>
      <xdr:rowOff>28066</xdr:rowOff>
    </xdr:from>
    <xdr:ext cx="129665" cy="141453"/>
    <xdr:pic>
      <xdr:nvPicPr>
        <xdr:cNvPr id="8" name="Рисунок 7">
          <a:extLst>
            <a:ext uri="{FF2B5EF4-FFF2-40B4-BE49-F238E27FC236}">
              <a16:creationId xmlns:a16="http://schemas.microsoft.com/office/drawing/2014/main" id="{DD577C14-A642-064C-BD9B-78C01BAE4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2596" y="435027"/>
          <a:ext cx="129665" cy="141453"/>
        </a:xfrm>
        <a:prstGeom prst="rect">
          <a:avLst/>
        </a:prstGeom>
      </xdr:spPr>
    </xdr:pic>
    <xdr:clientData/>
  </xdr:oneCellAnchor>
  <xdr:oneCellAnchor>
    <xdr:from>
      <xdr:col>9</xdr:col>
      <xdr:colOff>7017</xdr:colOff>
      <xdr:row>13</xdr:row>
      <xdr:rowOff>35083</xdr:rowOff>
    </xdr:from>
    <xdr:ext cx="129665" cy="141453"/>
    <xdr:pic>
      <xdr:nvPicPr>
        <xdr:cNvPr id="11" name="Рисунок 8">
          <a:extLst>
            <a:ext uri="{FF2B5EF4-FFF2-40B4-BE49-F238E27FC236}">
              <a16:creationId xmlns:a16="http://schemas.microsoft.com/office/drawing/2014/main" id="{B9C7E9FE-8712-204C-9717-5D70B6FE8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741" y="2708398"/>
          <a:ext cx="129665" cy="141453"/>
        </a:xfrm>
        <a:prstGeom prst="rect">
          <a:avLst/>
        </a:prstGeom>
      </xdr:spPr>
    </xdr:pic>
    <xdr:clientData/>
  </xdr:oneCellAnchor>
  <xdr:twoCellAnchor editAs="oneCell">
    <xdr:from>
      <xdr:col>9</xdr:col>
      <xdr:colOff>7017</xdr:colOff>
      <xdr:row>16</xdr:row>
      <xdr:rowOff>196464</xdr:rowOff>
    </xdr:from>
    <xdr:to>
      <xdr:col>11</xdr:col>
      <xdr:colOff>26</xdr:colOff>
      <xdr:row>18</xdr:row>
      <xdr:rowOff>175414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5D498A3A-6E1D-7346-80C8-D379E2029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741" y="3480221"/>
          <a:ext cx="2097955" cy="413978"/>
        </a:xfrm>
        <a:prstGeom prst="rect">
          <a:avLst/>
        </a:prstGeom>
      </xdr:spPr>
    </xdr:pic>
    <xdr:clientData/>
  </xdr:twoCellAnchor>
  <xdr:twoCellAnchor editAs="oneCell">
    <xdr:from>
      <xdr:col>11</xdr:col>
      <xdr:colOff>14033</xdr:colOff>
      <xdr:row>16</xdr:row>
      <xdr:rowOff>196464</xdr:rowOff>
    </xdr:from>
    <xdr:to>
      <xdr:col>13</xdr:col>
      <xdr:colOff>6722</xdr:colOff>
      <xdr:row>18</xdr:row>
      <xdr:rowOff>182429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7B4D4846-D3E5-51C5-17D8-066E40E6B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729" y="3480221"/>
          <a:ext cx="2073945" cy="420993"/>
        </a:xfrm>
        <a:prstGeom prst="rect">
          <a:avLst/>
        </a:prstGeom>
      </xdr:spPr>
    </xdr:pic>
    <xdr:clientData/>
  </xdr:twoCellAnchor>
  <xdr:twoCellAnchor editAs="oneCell">
    <xdr:from>
      <xdr:col>8</xdr:col>
      <xdr:colOff>813923</xdr:colOff>
      <xdr:row>20</xdr:row>
      <xdr:rowOff>7016</xdr:rowOff>
    </xdr:from>
    <xdr:to>
      <xdr:col>12</xdr:col>
      <xdr:colOff>939801</xdr:colOff>
      <xdr:row>21</xdr:row>
      <xdr:rowOff>147036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F248D68D-7A4A-8A66-AF9F-5A1CF1A86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5691" y="4118729"/>
          <a:ext cx="4174862" cy="343501"/>
        </a:xfrm>
        <a:prstGeom prst="rect">
          <a:avLst/>
        </a:prstGeom>
      </xdr:spPr>
    </xdr:pic>
    <xdr:clientData/>
  </xdr:twoCellAnchor>
  <xdr:twoCellAnchor editAs="oneCell">
    <xdr:from>
      <xdr:col>13</xdr:col>
      <xdr:colOff>42099</xdr:colOff>
      <xdr:row>16</xdr:row>
      <xdr:rowOff>168625</xdr:rowOff>
    </xdr:from>
    <xdr:to>
      <xdr:col>17</xdr:col>
      <xdr:colOff>564141</xdr:colOff>
      <xdr:row>18</xdr:row>
      <xdr:rowOff>190957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B5D7D879-1083-3C17-E634-1CD5A396C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82651" y="3452382"/>
          <a:ext cx="4111713" cy="457360"/>
        </a:xfrm>
        <a:prstGeom prst="rect">
          <a:avLst/>
        </a:prstGeom>
      </xdr:spPr>
    </xdr:pic>
    <xdr:clientData/>
  </xdr:twoCellAnchor>
  <xdr:twoCellAnchor editAs="oneCell">
    <xdr:from>
      <xdr:col>9</xdr:col>
      <xdr:colOff>14034</xdr:colOff>
      <xdr:row>23</xdr:row>
      <xdr:rowOff>4149</xdr:rowOff>
    </xdr:from>
    <xdr:to>
      <xdr:col>14</xdr:col>
      <xdr:colOff>578202</xdr:colOff>
      <xdr:row>25</xdr:row>
      <xdr:rowOff>3738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DF895C20-0170-4E2E-6BD3-404A9DEF2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3758" y="4754370"/>
          <a:ext cx="5662375" cy="406550"/>
        </a:xfrm>
        <a:prstGeom prst="rect">
          <a:avLst/>
        </a:prstGeom>
      </xdr:spPr>
    </xdr:pic>
    <xdr:clientData/>
  </xdr:twoCellAnchor>
  <xdr:oneCellAnchor>
    <xdr:from>
      <xdr:col>10</xdr:col>
      <xdr:colOff>7017</xdr:colOff>
      <xdr:row>29</xdr:row>
      <xdr:rowOff>35083</xdr:rowOff>
    </xdr:from>
    <xdr:ext cx="129665" cy="141453"/>
    <xdr:pic>
      <xdr:nvPicPr>
        <xdr:cNvPr id="15" name="Рисунок 1">
          <a:extLst>
            <a:ext uri="{FF2B5EF4-FFF2-40B4-BE49-F238E27FC236}">
              <a16:creationId xmlns:a16="http://schemas.microsoft.com/office/drawing/2014/main" id="{5E8F8E9B-C7B6-E844-A850-ADA3E7D38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6605" y="2687142"/>
          <a:ext cx="129665" cy="141453"/>
        </a:xfrm>
        <a:prstGeom prst="rect">
          <a:avLst/>
        </a:prstGeom>
      </xdr:spPr>
    </xdr:pic>
    <xdr:clientData/>
  </xdr:oneCellAnchor>
  <xdr:twoCellAnchor editAs="oneCell">
    <xdr:from>
      <xdr:col>13</xdr:col>
      <xdr:colOff>282224</xdr:colOff>
      <xdr:row>29</xdr:row>
      <xdr:rowOff>22737</xdr:rowOff>
    </xdr:from>
    <xdr:to>
      <xdr:col>13</xdr:col>
      <xdr:colOff>686742</xdr:colOff>
      <xdr:row>30</xdr:row>
      <xdr:rowOff>4230</xdr:rowOff>
    </xdr:to>
    <xdr:pic>
      <xdr:nvPicPr>
        <xdr:cNvPr id="43" name="Рисунок 12">
          <a:extLst>
            <a:ext uri="{FF2B5EF4-FFF2-40B4-BE49-F238E27FC236}">
              <a16:creationId xmlns:a16="http://schemas.microsoft.com/office/drawing/2014/main" id="{8CACAEDF-AED9-A604-A473-7BA46225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4076" y="6071700"/>
          <a:ext cx="404518" cy="179049"/>
        </a:xfrm>
        <a:prstGeom prst="rect">
          <a:avLst/>
        </a:prstGeom>
      </xdr:spPr>
    </xdr:pic>
    <xdr:clientData/>
  </xdr:twoCellAnchor>
  <xdr:twoCellAnchor editAs="oneCell">
    <xdr:from>
      <xdr:col>14</xdr:col>
      <xdr:colOff>159924</xdr:colOff>
      <xdr:row>29</xdr:row>
      <xdr:rowOff>37630</xdr:rowOff>
    </xdr:from>
    <xdr:to>
      <xdr:col>14</xdr:col>
      <xdr:colOff>677332</xdr:colOff>
      <xdr:row>30</xdr:row>
      <xdr:rowOff>10993</xdr:rowOff>
    </xdr:to>
    <xdr:pic>
      <xdr:nvPicPr>
        <xdr:cNvPr id="89" name="Рисунок 16">
          <a:extLst>
            <a:ext uri="{FF2B5EF4-FFF2-40B4-BE49-F238E27FC236}">
              <a16:creationId xmlns:a16="http://schemas.microsoft.com/office/drawing/2014/main" id="{A0AC63CB-ADC9-1D57-CED9-0C44305CB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42517" y="6086593"/>
          <a:ext cx="517408" cy="179103"/>
        </a:xfrm>
        <a:prstGeom prst="rect">
          <a:avLst/>
        </a:prstGeom>
      </xdr:spPr>
    </xdr:pic>
    <xdr:clientData/>
  </xdr:twoCellAnchor>
  <xdr:twoCellAnchor editAs="oneCell">
    <xdr:from>
      <xdr:col>15</xdr:col>
      <xdr:colOff>94074</xdr:colOff>
      <xdr:row>29</xdr:row>
      <xdr:rowOff>18815</xdr:rowOff>
    </xdr:from>
    <xdr:to>
      <xdr:col>15</xdr:col>
      <xdr:colOff>637613</xdr:colOff>
      <xdr:row>30</xdr:row>
      <xdr:rowOff>1223</xdr:rowOff>
    </xdr:to>
    <xdr:pic>
      <xdr:nvPicPr>
        <xdr:cNvPr id="33" name="Рисунок 19">
          <a:extLst>
            <a:ext uri="{FF2B5EF4-FFF2-40B4-BE49-F238E27FC236}">
              <a16:creationId xmlns:a16="http://schemas.microsoft.com/office/drawing/2014/main" id="{85E3142E-06DE-FD30-06D3-FFDC78377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04518" y="6067778"/>
          <a:ext cx="543539" cy="188148"/>
        </a:xfrm>
        <a:prstGeom prst="rect">
          <a:avLst/>
        </a:prstGeom>
      </xdr:spPr>
    </xdr:pic>
    <xdr:clientData/>
  </xdr:twoCellAnchor>
  <xdr:twoCellAnchor editAs="oneCell">
    <xdr:from>
      <xdr:col>16</xdr:col>
      <xdr:colOff>18813</xdr:colOff>
      <xdr:row>29</xdr:row>
      <xdr:rowOff>9407</xdr:rowOff>
    </xdr:from>
    <xdr:to>
      <xdr:col>16</xdr:col>
      <xdr:colOff>780814</xdr:colOff>
      <xdr:row>29</xdr:row>
      <xdr:rowOff>151297</xdr:rowOff>
    </xdr:to>
    <xdr:pic>
      <xdr:nvPicPr>
        <xdr:cNvPr id="52" name="Рисунок 21">
          <a:extLst>
            <a:ext uri="{FF2B5EF4-FFF2-40B4-BE49-F238E27FC236}">
              <a16:creationId xmlns:a16="http://schemas.microsoft.com/office/drawing/2014/main" id="{0DB06C47-B3EA-4B2D-DF24-67F7ED8CC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7109" y="6058370"/>
          <a:ext cx="762001" cy="141890"/>
        </a:xfrm>
        <a:prstGeom prst="rect">
          <a:avLst/>
        </a:prstGeom>
      </xdr:spPr>
    </xdr:pic>
    <xdr:clientData/>
  </xdr:twoCellAnchor>
  <xdr:twoCellAnchor editAs="oneCell">
    <xdr:from>
      <xdr:col>13</xdr:col>
      <xdr:colOff>498592</xdr:colOff>
      <xdr:row>34</xdr:row>
      <xdr:rowOff>0</xdr:rowOff>
    </xdr:from>
    <xdr:to>
      <xdr:col>14</xdr:col>
      <xdr:colOff>507905</xdr:colOff>
      <xdr:row>35</xdr:row>
      <xdr:rowOff>180606</xdr:rowOff>
    </xdr:to>
    <xdr:pic>
      <xdr:nvPicPr>
        <xdr:cNvPr id="42" name="Рисунок 23">
          <a:extLst>
            <a:ext uri="{FF2B5EF4-FFF2-40B4-BE49-F238E27FC236}">
              <a16:creationId xmlns:a16="http://schemas.microsoft.com/office/drawing/2014/main" id="{E3574FD4-6E71-7DA4-0173-81C27F1A2C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40444" y="7112000"/>
          <a:ext cx="931333" cy="386346"/>
        </a:xfrm>
        <a:prstGeom prst="rect">
          <a:avLst/>
        </a:prstGeom>
      </xdr:spPr>
    </xdr:pic>
    <xdr:clientData/>
  </xdr:twoCellAnchor>
  <xdr:twoCellAnchor editAs="oneCell">
    <xdr:from>
      <xdr:col>17</xdr:col>
      <xdr:colOff>178740</xdr:colOff>
      <xdr:row>29</xdr:row>
      <xdr:rowOff>28222</xdr:rowOff>
    </xdr:from>
    <xdr:to>
      <xdr:col>17</xdr:col>
      <xdr:colOff>583258</xdr:colOff>
      <xdr:row>30</xdr:row>
      <xdr:rowOff>1531</xdr:rowOff>
    </xdr:to>
    <xdr:pic>
      <xdr:nvPicPr>
        <xdr:cNvPr id="45" name="Рисунок 24">
          <a:extLst>
            <a:ext uri="{FF2B5EF4-FFF2-40B4-BE49-F238E27FC236}">
              <a16:creationId xmlns:a16="http://schemas.microsoft.com/office/drawing/2014/main" id="{A4F1860D-4CBF-A147-9352-29EF6F667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44888" y="6077185"/>
          <a:ext cx="404518" cy="179049"/>
        </a:xfrm>
        <a:prstGeom prst="rect">
          <a:avLst/>
        </a:prstGeom>
      </xdr:spPr>
    </xdr:pic>
    <xdr:clientData/>
  </xdr:twoCellAnchor>
  <xdr:twoCellAnchor editAs="oneCell">
    <xdr:from>
      <xdr:col>18</xdr:col>
      <xdr:colOff>75260</xdr:colOff>
      <xdr:row>28</xdr:row>
      <xdr:rowOff>197555</xdr:rowOff>
    </xdr:from>
    <xdr:to>
      <xdr:col>18</xdr:col>
      <xdr:colOff>592668</xdr:colOff>
      <xdr:row>29</xdr:row>
      <xdr:rowOff>178538</xdr:rowOff>
    </xdr:to>
    <xdr:pic>
      <xdr:nvPicPr>
        <xdr:cNvPr id="47" name="Рисунок 25">
          <a:extLst>
            <a:ext uri="{FF2B5EF4-FFF2-40B4-BE49-F238E27FC236}">
              <a16:creationId xmlns:a16="http://schemas.microsoft.com/office/drawing/2014/main" id="{3E7BABAF-6ADF-C947-973F-7B75E4955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69260" y="6039555"/>
          <a:ext cx="517408" cy="179103"/>
        </a:xfrm>
        <a:prstGeom prst="rect">
          <a:avLst/>
        </a:prstGeom>
      </xdr:spPr>
    </xdr:pic>
    <xdr:clientData/>
  </xdr:twoCellAnchor>
  <xdr:twoCellAnchor editAs="oneCell">
    <xdr:from>
      <xdr:col>19</xdr:col>
      <xdr:colOff>75260</xdr:colOff>
      <xdr:row>29</xdr:row>
      <xdr:rowOff>18815</xdr:rowOff>
    </xdr:from>
    <xdr:to>
      <xdr:col>19</xdr:col>
      <xdr:colOff>618799</xdr:colOff>
      <xdr:row>30</xdr:row>
      <xdr:rowOff>1223</xdr:rowOff>
    </xdr:to>
    <xdr:pic>
      <xdr:nvPicPr>
        <xdr:cNvPr id="50" name="Рисунок 26">
          <a:extLst>
            <a:ext uri="{FF2B5EF4-FFF2-40B4-BE49-F238E27FC236}">
              <a16:creationId xmlns:a16="http://schemas.microsoft.com/office/drawing/2014/main" id="{5B195A91-3C0C-8845-9752-1C98725C7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97112" y="6067778"/>
          <a:ext cx="543539" cy="188148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29</xdr:row>
      <xdr:rowOff>0</xdr:rowOff>
    </xdr:from>
    <xdr:to>
      <xdr:col>20</xdr:col>
      <xdr:colOff>827852</xdr:colOff>
      <xdr:row>29</xdr:row>
      <xdr:rowOff>154152</xdr:rowOff>
    </xdr:to>
    <xdr:pic>
      <xdr:nvPicPr>
        <xdr:cNvPr id="49" name="Рисунок 27">
          <a:extLst>
            <a:ext uri="{FF2B5EF4-FFF2-40B4-BE49-F238E27FC236}">
              <a16:creationId xmlns:a16="http://schemas.microsoft.com/office/drawing/2014/main" id="{A91A491E-F6CA-294A-9F35-481F8F770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9704" y="6048963"/>
          <a:ext cx="827852" cy="154152"/>
        </a:xfrm>
        <a:prstGeom prst="rect">
          <a:avLst/>
        </a:prstGeom>
      </xdr:spPr>
    </xdr:pic>
    <xdr:clientData/>
  </xdr:twoCellAnchor>
  <xdr:twoCellAnchor editAs="oneCell">
    <xdr:from>
      <xdr:col>17</xdr:col>
      <xdr:colOff>282223</xdr:colOff>
      <xdr:row>33</xdr:row>
      <xdr:rowOff>216369</xdr:rowOff>
    </xdr:from>
    <xdr:to>
      <xdr:col>18</xdr:col>
      <xdr:colOff>431800</xdr:colOff>
      <xdr:row>36</xdr:row>
      <xdr:rowOff>100</xdr:rowOff>
    </xdr:to>
    <xdr:pic>
      <xdr:nvPicPr>
        <xdr:cNvPr id="56" name="Рисунок 28">
          <a:extLst>
            <a:ext uri="{FF2B5EF4-FFF2-40B4-BE49-F238E27FC236}">
              <a16:creationId xmlns:a16="http://schemas.microsoft.com/office/drawing/2014/main" id="{3E31C4B5-192D-8349-AEB2-00E321AAD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8371" y="7111999"/>
          <a:ext cx="987777" cy="409761"/>
        </a:xfrm>
        <a:prstGeom prst="rect">
          <a:avLst/>
        </a:prstGeom>
      </xdr:spPr>
    </xdr:pic>
    <xdr:clientData/>
  </xdr:twoCellAnchor>
  <xdr:twoCellAnchor editAs="oneCell">
    <xdr:from>
      <xdr:col>21</xdr:col>
      <xdr:colOff>112889</xdr:colOff>
      <xdr:row>29</xdr:row>
      <xdr:rowOff>9407</xdr:rowOff>
    </xdr:from>
    <xdr:to>
      <xdr:col>21</xdr:col>
      <xdr:colOff>517407</xdr:colOff>
      <xdr:row>29</xdr:row>
      <xdr:rowOff>188456</xdr:rowOff>
    </xdr:to>
    <xdr:pic>
      <xdr:nvPicPr>
        <xdr:cNvPr id="58" name="Рисунок 29">
          <a:extLst>
            <a:ext uri="{FF2B5EF4-FFF2-40B4-BE49-F238E27FC236}">
              <a16:creationId xmlns:a16="http://schemas.microsoft.com/office/drawing/2014/main" id="{77EE1710-9827-264E-B3B3-30521C39B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0445" y="6058370"/>
          <a:ext cx="404518" cy="179049"/>
        </a:xfrm>
        <a:prstGeom prst="rect">
          <a:avLst/>
        </a:prstGeom>
      </xdr:spPr>
    </xdr:pic>
    <xdr:clientData/>
  </xdr:twoCellAnchor>
  <xdr:twoCellAnchor editAs="oneCell">
    <xdr:from>
      <xdr:col>22</xdr:col>
      <xdr:colOff>71255</xdr:colOff>
      <xdr:row>29</xdr:row>
      <xdr:rowOff>27022</xdr:rowOff>
    </xdr:from>
    <xdr:to>
      <xdr:col>22</xdr:col>
      <xdr:colOff>584961</xdr:colOff>
      <xdr:row>30</xdr:row>
      <xdr:rowOff>385</xdr:rowOff>
    </xdr:to>
    <xdr:pic>
      <xdr:nvPicPr>
        <xdr:cNvPr id="90" name="Рисунок 30">
          <a:extLst>
            <a:ext uri="{FF2B5EF4-FFF2-40B4-BE49-F238E27FC236}">
              <a16:creationId xmlns:a16="http://schemas.microsoft.com/office/drawing/2014/main" id="{1DF22260-3EB5-C04B-B3E5-B48A4884A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37532" y="5971703"/>
          <a:ext cx="513706" cy="179103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29</xdr:row>
      <xdr:rowOff>0</xdr:rowOff>
    </xdr:from>
    <xdr:to>
      <xdr:col>23</xdr:col>
      <xdr:colOff>543539</xdr:colOff>
      <xdr:row>29</xdr:row>
      <xdr:rowOff>188148</xdr:rowOff>
    </xdr:to>
    <xdr:pic>
      <xdr:nvPicPr>
        <xdr:cNvPr id="60" name="Рисунок 31">
          <a:extLst>
            <a:ext uri="{FF2B5EF4-FFF2-40B4-BE49-F238E27FC236}">
              <a16:creationId xmlns:a16="http://schemas.microsoft.com/office/drawing/2014/main" id="{1C54316C-DC40-FC4E-9E4F-4B1125053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33259" y="6048963"/>
          <a:ext cx="543539" cy="188148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29</xdr:row>
      <xdr:rowOff>0</xdr:rowOff>
    </xdr:from>
    <xdr:to>
      <xdr:col>24</xdr:col>
      <xdr:colOff>827852</xdr:colOff>
      <xdr:row>29</xdr:row>
      <xdr:rowOff>154152</xdr:rowOff>
    </xdr:to>
    <xdr:pic>
      <xdr:nvPicPr>
        <xdr:cNvPr id="61" name="Рисунок 32">
          <a:extLst>
            <a:ext uri="{FF2B5EF4-FFF2-40B4-BE49-F238E27FC236}">
              <a16:creationId xmlns:a16="http://schemas.microsoft.com/office/drawing/2014/main" id="{2B621B71-97AF-FA45-A47B-C3E8ADF05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61111" y="6048963"/>
          <a:ext cx="827852" cy="154152"/>
        </a:xfrm>
        <a:prstGeom prst="rect">
          <a:avLst/>
        </a:prstGeom>
      </xdr:spPr>
    </xdr:pic>
    <xdr:clientData/>
  </xdr:twoCellAnchor>
  <xdr:twoCellAnchor editAs="oneCell">
    <xdr:from>
      <xdr:col>21</xdr:col>
      <xdr:colOff>413925</xdr:colOff>
      <xdr:row>34</xdr:row>
      <xdr:rowOff>9407</xdr:rowOff>
    </xdr:from>
    <xdr:to>
      <xdr:col>22</xdr:col>
      <xdr:colOff>563502</xdr:colOff>
      <xdr:row>36</xdr:row>
      <xdr:rowOff>7688</xdr:rowOff>
    </xdr:to>
    <xdr:pic>
      <xdr:nvPicPr>
        <xdr:cNvPr id="63" name="Рисунок 33">
          <a:extLst>
            <a:ext uri="{FF2B5EF4-FFF2-40B4-BE49-F238E27FC236}">
              <a16:creationId xmlns:a16="http://schemas.microsoft.com/office/drawing/2014/main" id="{D6A555D1-8728-9D45-8277-E92BB03C2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91481" y="7121407"/>
          <a:ext cx="987777" cy="409761"/>
        </a:xfrm>
        <a:prstGeom prst="rect">
          <a:avLst/>
        </a:prstGeom>
      </xdr:spPr>
    </xdr:pic>
    <xdr:clientData/>
  </xdr:twoCellAnchor>
  <xdr:twoCellAnchor editAs="oneCell">
    <xdr:from>
      <xdr:col>25</xdr:col>
      <xdr:colOff>112889</xdr:colOff>
      <xdr:row>29</xdr:row>
      <xdr:rowOff>9408</xdr:rowOff>
    </xdr:from>
    <xdr:to>
      <xdr:col>25</xdr:col>
      <xdr:colOff>517407</xdr:colOff>
      <xdr:row>29</xdr:row>
      <xdr:rowOff>188457</xdr:rowOff>
    </xdr:to>
    <xdr:pic>
      <xdr:nvPicPr>
        <xdr:cNvPr id="67" name="Рисунок 34">
          <a:extLst>
            <a:ext uri="{FF2B5EF4-FFF2-40B4-BE49-F238E27FC236}">
              <a16:creationId xmlns:a16="http://schemas.microsoft.com/office/drawing/2014/main" id="{08A60CDD-8F59-4841-BAC2-0F79E640F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01852" y="6058371"/>
          <a:ext cx="404518" cy="179049"/>
        </a:xfrm>
        <a:prstGeom prst="rect">
          <a:avLst/>
        </a:prstGeom>
      </xdr:spPr>
    </xdr:pic>
    <xdr:clientData/>
  </xdr:twoCellAnchor>
  <xdr:twoCellAnchor editAs="oneCell">
    <xdr:from>
      <xdr:col>26</xdr:col>
      <xdr:colOff>65852</xdr:colOff>
      <xdr:row>29</xdr:row>
      <xdr:rowOff>9408</xdr:rowOff>
    </xdr:from>
    <xdr:to>
      <xdr:col>26</xdr:col>
      <xdr:colOff>583260</xdr:colOff>
      <xdr:row>29</xdr:row>
      <xdr:rowOff>188511</xdr:rowOff>
    </xdr:to>
    <xdr:pic>
      <xdr:nvPicPr>
        <xdr:cNvPr id="69" name="Рисунок 35">
          <a:extLst>
            <a:ext uri="{FF2B5EF4-FFF2-40B4-BE49-F238E27FC236}">
              <a16:creationId xmlns:a16="http://schemas.microsoft.com/office/drawing/2014/main" id="{B99C5A85-B325-D443-93E0-4B7950F0B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82667" y="6058371"/>
          <a:ext cx="517408" cy="179103"/>
        </a:xfrm>
        <a:prstGeom prst="rect">
          <a:avLst/>
        </a:prstGeom>
      </xdr:spPr>
    </xdr:pic>
    <xdr:clientData/>
  </xdr:twoCellAnchor>
  <xdr:twoCellAnchor editAs="oneCell">
    <xdr:from>
      <xdr:col>27</xdr:col>
      <xdr:colOff>84667</xdr:colOff>
      <xdr:row>29</xdr:row>
      <xdr:rowOff>18814</xdr:rowOff>
    </xdr:from>
    <xdr:to>
      <xdr:col>27</xdr:col>
      <xdr:colOff>628206</xdr:colOff>
      <xdr:row>30</xdr:row>
      <xdr:rowOff>1222</xdr:rowOff>
    </xdr:to>
    <xdr:pic>
      <xdr:nvPicPr>
        <xdr:cNvPr id="71" name="Рисунок 36">
          <a:extLst>
            <a:ext uri="{FF2B5EF4-FFF2-40B4-BE49-F238E27FC236}">
              <a16:creationId xmlns:a16="http://schemas.microsoft.com/office/drawing/2014/main" id="{CA9DFBAA-132E-E24D-A171-D61689346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29334" y="6067777"/>
          <a:ext cx="543539" cy="188148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29</xdr:row>
      <xdr:rowOff>0</xdr:rowOff>
    </xdr:from>
    <xdr:to>
      <xdr:col>28</xdr:col>
      <xdr:colOff>827852</xdr:colOff>
      <xdr:row>29</xdr:row>
      <xdr:rowOff>154152</xdr:rowOff>
    </xdr:to>
    <xdr:pic>
      <xdr:nvPicPr>
        <xdr:cNvPr id="72" name="Рисунок 37">
          <a:extLst>
            <a:ext uri="{FF2B5EF4-FFF2-40B4-BE49-F238E27FC236}">
              <a16:creationId xmlns:a16="http://schemas.microsoft.com/office/drawing/2014/main" id="{56CE4FBF-5778-C34D-9413-21A577130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72519" y="6048963"/>
          <a:ext cx="827852" cy="154152"/>
        </a:xfrm>
        <a:prstGeom prst="rect">
          <a:avLst/>
        </a:prstGeom>
      </xdr:spPr>
    </xdr:pic>
    <xdr:clientData/>
  </xdr:twoCellAnchor>
  <xdr:twoCellAnchor editAs="oneCell">
    <xdr:from>
      <xdr:col>25</xdr:col>
      <xdr:colOff>282223</xdr:colOff>
      <xdr:row>33</xdr:row>
      <xdr:rowOff>206963</xdr:rowOff>
    </xdr:from>
    <xdr:to>
      <xdr:col>26</xdr:col>
      <xdr:colOff>431800</xdr:colOff>
      <xdr:row>36</xdr:row>
      <xdr:rowOff>90</xdr:rowOff>
    </xdr:to>
    <xdr:pic>
      <xdr:nvPicPr>
        <xdr:cNvPr id="74" name="Рисунок 38">
          <a:extLst>
            <a:ext uri="{FF2B5EF4-FFF2-40B4-BE49-F238E27FC236}">
              <a16:creationId xmlns:a16="http://schemas.microsoft.com/office/drawing/2014/main" id="{C151C9A6-86DF-9D49-891A-2CB3617A0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71186" y="7102593"/>
          <a:ext cx="987777" cy="409761"/>
        </a:xfrm>
        <a:prstGeom prst="rect">
          <a:avLst/>
        </a:prstGeom>
      </xdr:spPr>
    </xdr:pic>
    <xdr:clientData/>
  </xdr:twoCellAnchor>
  <xdr:twoCellAnchor editAs="oneCell">
    <xdr:from>
      <xdr:col>29</xdr:col>
      <xdr:colOff>310445</xdr:colOff>
      <xdr:row>33</xdr:row>
      <xdr:rowOff>206962</xdr:rowOff>
    </xdr:from>
    <xdr:to>
      <xdr:col>30</xdr:col>
      <xdr:colOff>460022</xdr:colOff>
      <xdr:row>36</xdr:row>
      <xdr:rowOff>89</xdr:rowOff>
    </xdr:to>
    <xdr:pic>
      <xdr:nvPicPr>
        <xdr:cNvPr id="76" name="Рисунок 39">
          <a:extLst>
            <a:ext uri="{FF2B5EF4-FFF2-40B4-BE49-F238E27FC236}">
              <a16:creationId xmlns:a16="http://schemas.microsoft.com/office/drawing/2014/main" id="{798190EE-B912-5B47-B16D-8BC79F451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10815" y="7102592"/>
          <a:ext cx="987777" cy="409761"/>
        </a:xfrm>
        <a:prstGeom prst="rect">
          <a:avLst/>
        </a:prstGeom>
      </xdr:spPr>
    </xdr:pic>
    <xdr:clientData/>
  </xdr:twoCellAnchor>
  <xdr:twoCellAnchor editAs="oneCell">
    <xdr:from>
      <xdr:col>29</xdr:col>
      <xdr:colOff>94074</xdr:colOff>
      <xdr:row>29</xdr:row>
      <xdr:rowOff>9408</xdr:rowOff>
    </xdr:from>
    <xdr:to>
      <xdr:col>29</xdr:col>
      <xdr:colOff>498592</xdr:colOff>
      <xdr:row>29</xdr:row>
      <xdr:rowOff>188457</xdr:rowOff>
    </xdr:to>
    <xdr:pic>
      <xdr:nvPicPr>
        <xdr:cNvPr id="78" name="Рисунок 40">
          <a:extLst>
            <a:ext uri="{FF2B5EF4-FFF2-40B4-BE49-F238E27FC236}">
              <a16:creationId xmlns:a16="http://schemas.microsoft.com/office/drawing/2014/main" id="{BB810937-B158-1A4D-BE55-0E9C69DFB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94444" y="6058371"/>
          <a:ext cx="404518" cy="179049"/>
        </a:xfrm>
        <a:prstGeom prst="rect">
          <a:avLst/>
        </a:prstGeom>
      </xdr:spPr>
    </xdr:pic>
    <xdr:clientData/>
  </xdr:twoCellAnchor>
  <xdr:twoCellAnchor editAs="oneCell">
    <xdr:from>
      <xdr:col>30</xdr:col>
      <xdr:colOff>126400</xdr:colOff>
      <xdr:row>29</xdr:row>
      <xdr:rowOff>36429</xdr:rowOff>
    </xdr:from>
    <xdr:to>
      <xdr:col>30</xdr:col>
      <xdr:colOff>643808</xdr:colOff>
      <xdr:row>30</xdr:row>
      <xdr:rowOff>9792</xdr:rowOff>
    </xdr:to>
    <xdr:pic>
      <xdr:nvPicPr>
        <xdr:cNvPr id="91" name="Рисунок 41">
          <a:extLst>
            <a:ext uri="{FF2B5EF4-FFF2-40B4-BE49-F238E27FC236}">
              <a16:creationId xmlns:a16="http://schemas.microsoft.com/office/drawing/2014/main" id="{672EAA5D-2714-2948-955C-B9A9C5F27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85868" y="5981110"/>
          <a:ext cx="517408" cy="179103"/>
        </a:xfrm>
        <a:prstGeom prst="rect">
          <a:avLst/>
        </a:prstGeom>
      </xdr:spPr>
    </xdr:pic>
    <xdr:clientData/>
  </xdr:twoCellAnchor>
  <xdr:twoCellAnchor editAs="oneCell">
    <xdr:from>
      <xdr:col>31</xdr:col>
      <xdr:colOff>150518</xdr:colOff>
      <xdr:row>29</xdr:row>
      <xdr:rowOff>28222</xdr:rowOff>
    </xdr:from>
    <xdr:to>
      <xdr:col>31</xdr:col>
      <xdr:colOff>694057</xdr:colOff>
      <xdr:row>30</xdr:row>
      <xdr:rowOff>10630</xdr:rowOff>
    </xdr:to>
    <xdr:pic>
      <xdr:nvPicPr>
        <xdr:cNvPr id="82" name="Рисунок 42">
          <a:extLst>
            <a:ext uri="{FF2B5EF4-FFF2-40B4-BE49-F238E27FC236}">
              <a16:creationId xmlns:a16="http://schemas.microsoft.com/office/drawing/2014/main" id="{50A87C44-91A0-C04F-9C33-E4EA4D416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06592" y="6077185"/>
          <a:ext cx="543539" cy="188148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29</xdr:row>
      <xdr:rowOff>0</xdr:rowOff>
    </xdr:from>
    <xdr:to>
      <xdr:col>32</xdr:col>
      <xdr:colOff>827852</xdr:colOff>
      <xdr:row>29</xdr:row>
      <xdr:rowOff>154152</xdr:rowOff>
    </xdr:to>
    <xdr:pic>
      <xdr:nvPicPr>
        <xdr:cNvPr id="83" name="Рисунок 43">
          <a:extLst>
            <a:ext uri="{FF2B5EF4-FFF2-40B4-BE49-F238E27FC236}">
              <a16:creationId xmlns:a16="http://schemas.microsoft.com/office/drawing/2014/main" id="{F287FF35-5981-604E-86A0-7232E24A6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83926" y="6048963"/>
          <a:ext cx="827852" cy="154152"/>
        </a:xfrm>
        <a:prstGeom prst="rect">
          <a:avLst/>
        </a:prstGeom>
      </xdr:spPr>
    </xdr:pic>
    <xdr:clientData/>
  </xdr:twoCellAnchor>
  <xdr:twoCellAnchor editAs="oneCell">
    <xdr:from>
      <xdr:col>9</xdr:col>
      <xdr:colOff>2</xdr:colOff>
      <xdr:row>41</xdr:row>
      <xdr:rowOff>37630</xdr:rowOff>
    </xdr:from>
    <xdr:to>
      <xdr:col>10</xdr:col>
      <xdr:colOff>1252</xdr:colOff>
      <xdr:row>42</xdr:row>
      <xdr:rowOff>46474</xdr:rowOff>
    </xdr:to>
    <xdr:pic>
      <xdr:nvPicPr>
        <xdr:cNvPr id="88" name="Рисунок 44">
          <a:extLst>
            <a:ext uri="{FF2B5EF4-FFF2-40B4-BE49-F238E27FC236}">
              <a16:creationId xmlns:a16="http://schemas.microsoft.com/office/drawing/2014/main" id="{F955EA1C-97AB-3647-9497-473D6B8EE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4372" y="8626593"/>
          <a:ext cx="984476" cy="206964"/>
        </a:xfrm>
        <a:prstGeom prst="rect">
          <a:avLst/>
        </a:prstGeom>
      </xdr:spPr>
    </xdr:pic>
    <xdr:clientData/>
  </xdr:twoCellAnchor>
  <xdr:twoCellAnchor editAs="oneCell">
    <xdr:from>
      <xdr:col>4</xdr:col>
      <xdr:colOff>125432</xdr:colOff>
      <xdr:row>32</xdr:row>
      <xdr:rowOff>7841</xdr:rowOff>
    </xdr:from>
    <xdr:to>
      <xdr:col>4</xdr:col>
      <xdr:colOff>517408</xdr:colOff>
      <xdr:row>33</xdr:row>
      <xdr:rowOff>246</xdr:rowOff>
    </xdr:to>
    <xdr:pic>
      <xdr:nvPicPr>
        <xdr:cNvPr id="2" name="Рисунок 12">
          <a:extLst>
            <a:ext uri="{FF2B5EF4-FFF2-40B4-BE49-F238E27FC236}">
              <a16:creationId xmlns:a16="http://schemas.microsoft.com/office/drawing/2014/main" id="{82A8FFAF-7D90-2E42-97A2-6EEEFDDA4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2407" y="6640063"/>
          <a:ext cx="391976" cy="194767"/>
        </a:xfrm>
        <a:prstGeom prst="rect">
          <a:avLst/>
        </a:prstGeom>
      </xdr:spPr>
    </xdr:pic>
    <xdr:clientData/>
  </xdr:twoCellAnchor>
  <xdr:twoCellAnchor editAs="oneCell">
    <xdr:from>
      <xdr:col>5</xdr:col>
      <xdr:colOff>141113</xdr:colOff>
      <xdr:row>32</xdr:row>
      <xdr:rowOff>37063</xdr:rowOff>
    </xdr:from>
    <xdr:to>
      <xdr:col>5</xdr:col>
      <xdr:colOff>580124</xdr:colOff>
      <xdr:row>33</xdr:row>
      <xdr:rowOff>546</xdr:rowOff>
    </xdr:to>
    <xdr:pic>
      <xdr:nvPicPr>
        <xdr:cNvPr id="9" name="Рисунок 16">
          <a:extLst>
            <a:ext uri="{FF2B5EF4-FFF2-40B4-BE49-F238E27FC236}">
              <a16:creationId xmlns:a16="http://schemas.microsoft.com/office/drawing/2014/main" id="{2C0F5089-CB29-B344-8C94-5C8AE6D21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6915" y="6669285"/>
          <a:ext cx="439011" cy="163646"/>
        </a:xfrm>
        <a:prstGeom prst="rect">
          <a:avLst/>
        </a:prstGeom>
      </xdr:spPr>
    </xdr:pic>
    <xdr:clientData/>
  </xdr:twoCellAnchor>
  <xdr:twoCellAnchor editAs="oneCell">
    <xdr:from>
      <xdr:col>6</xdr:col>
      <xdr:colOff>70556</xdr:colOff>
      <xdr:row>32</xdr:row>
      <xdr:rowOff>15679</xdr:rowOff>
    </xdr:from>
    <xdr:to>
      <xdr:col>6</xdr:col>
      <xdr:colOff>614095</xdr:colOff>
      <xdr:row>33</xdr:row>
      <xdr:rowOff>13766</xdr:rowOff>
    </xdr:to>
    <xdr:pic>
      <xdr:nvPicPr>
        <xdr:cNvPr id="13" name="Рисунок 19">
          <a:extLst>
            <a:ext uri="{FF2B5EF4-FFF2-40B4-BE49-F238E27FC236}">
              <a16:creationId xmlns:a16="http://schemas.microsoft.com/office/drawing/2014/main" id="{1A7D6286-FEB0-9F4B-BEE7-AAA0740D5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5186" y="6647901"/>
          <a:ext cx="543539" cy="201914"/>
        </a:xfrm>
        <a:prstGeom prst="rect">
          <a:avLst/>
        </a:prstGeom>
      </xdr:spPr>
    </xdr:pic>
    <xdr:clientData/>
  </xdr:twoCellAnchor>
  <xdr:twoCellAnchor editAs="oneCell">
    <xdr:from>
      <xdr:col>3</xdr:col>
      <xdr:colOff>54877</xdr:colOff>
      <xdr:row>32</xdr:row>
      <xdr:rowOff>23518</xdr:rowOff>
    </xdr:from>
    <xdr:to>
      <xdr:col>3</xdr:col>
      <xdr:colOff>816878</xdr:colOff>
      <xdr:row>32</xdr:row>
      <xdr:rowOff>165408</xdr:rowOff>
    </xdr:to>
    <xdr:pic>
      <xdr:nvPicPr>
        <xdr:cNvPr id="17" name="Рисунок 21">
          <a:extLst>
            <a:ext uri="{FF2B5EF4-FFF2-40B4-BE49-F238E27FC236}">
              <a16:creationId xmlns:a16="http://schemas.microsoft.com/office/drawing/2014/main" id="{ED5C83F9-2416-DC44-842A-335E992E5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3025" y="6655740"/>
          <a:ext cx="762001" cy="141890"/>
        </a:xfrm>
        <a:prstGeom prst="rect">
          <a:avLst/>
        </a:prstGeom>
      </xdr:spPr>
    </xdr:pic>
    <xdr:clientData/>
  </xdr:twoCellAnchor>
  <xdr:twoCellAnchor editAs="oneCell">
    <xdr:from>
      <xdr:col>1</xdr:col>
      <xdr:colOff>666357</xdr:colOff>
      <xdr:row>31</xdr:row>
      <xdr:rowOff>94074</xdr:rowOff>
    </xdr:from>
    <xdr:to>
      <xdr:col>2</xdr:col>
      <xdr:colOff>761905</xdr:colOff>
      <xdr:row>33</xdr:row>
      <xdr:rowOff>86532</xdr:rowOff>
    </xdr:to>
    <xdr:pic>
      <xdr:nvPicPr>
        <xdr:cNvPr id="19" name="Рисунок 23">
          <a:extLst>
            <a:ext uri="{FF2B5EF4-FFF2-40B4-BE49-F238E27FC236}">
              <a16:creationId xmlns:a16="http://schemas.microsoft.com/office/drawing/2014/main" id="{08C94B2B-096A-6A4A-BD9F-BCF97C2CC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6851" y="6522469"/>
          <a:ext cx="934375" cy="4001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14001</xdr:colOff>
      <xdr:row>0</xdr:row>
      <xdr:rowOff>19050</xdr:rowOff>
    </xdr:from>
    <xdr:to>
      <xdr:col>11</xdr:col>
      <xdr:colOff>807138</xdr:colOff>
      <xdr:row>21</xdr:row>
      <xdr:rowOff>162231</xdr:rowOff>
    </xdr:to>
    <xdr:pic>
      <xdr:nvPicPr>
        <xdr:cNvPr id="8" name="Рисунок 1">
          <a:extLst>
            <a:ext uri="{FF2B5EF4-FFF2-40B4-BE49-F238E27FC236}">
              <a16:creationId xmlns:a16="http://schemas.microsoft.com/office/drawing/2014/main" id="{497050D9-7E1C-6213-2D98-DB7C708A2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8001" y="19050"/>
          <a:ext cx="3307738" cy="4343706"/>
        </a:xfrm>
        <a:prstGeom prst="rect">
          <a:avLst/>
        </a:prstGeom>
      </xdr:spPr>
    </xdr:pic>
    <xdr:clientData/>
  </xdr:twoCellAnchor>
  <xdr:twoCellAnchor editAs="oneCell">
    <xdr:from>
      <xdr:col>0</xdr:col>
      <xdr:colOff>88092</xdr:colOff>
      <xdr:row>8</xdr:row>
      <xdr:rowOff>29364</xdr:rowOff>
    </xdr:from>
    <xdr:to>
      <xdr:col>1</xdr:col>
      <xdr:colOff>600643</xdr:colOff>
      <xdr:row>9</xdr:row>
      <xdr:rowOff>115209</xdr:rowOff>
    </xdr:to>
    <xdr:pic>
      <xdr:nvPicPr>
        <xdr:cNvPr id="3" name="Рисунок 3">
          <a:extLst>
            <a:ext uri="{FF2B5EF4-FFF2-40B4-BE49-F238E27FC236}">
              <a16:creationId xmlns:a16="http://schemas.microsoft.com/office/drawing/2014/main" id="{93485214-6399-5D65-BA4A-4E6084653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92" y="1673757"/>
          <a:ext cx="1350751" cy="283965"/>
        </a:xfrm>
        <a:prstGeom prst="rect">
          <a:avLst/>
        </a:prstGeom>
      </xdr:spPr>
    </xdr:pic>
    <xdr:clientData/>
  </xdr:twoCellAnchor>
  <xdr:twoCellAnchor editAs="oneCell">
    <xdr:from>
      <xdr:col>5</xdr:col>
      <xdr:colOff>166510</xdr:colOff>
      <xdr:row>11</xdr:row>
      <xdr:rowOff>41696</xdr:rowOff>
    </xdr:from>
    <xdr:to>
      <xdr:col>5</xdr:col>
      <xdr:colOff>577849</xdr:colOff>
      <xdr:row>11</xdr:row>
      <xdr:rowOff>181471</xdr:rowOff>
    </xdr:to>
    <xdr:pic>
      <xdr:nvPicPr>
        <xdr:cNvPr id="70" name="Рисунок 7">
          <a:extLst>
            <a:ext uri="{FF2B5EF4-FFF2-40B4-BE49-F238E27FC236}">
              <a16:creationId xmlns:a16="http://schemas.microsoft.com/office/drawing/2014/main" id="{12159DE1-239C-C4D6-E418-0F7988308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4810" y="2276896"/>
          <a:ext cx="411339" cy="139775"/>
        </a:xfrm>
        <a:prstGeom prst="rect">
          <a:avLst/>
        </a:prstGeom>
      </xdr:spPr>
    </xdr:pic>
    <xdr:clientData/>
  </xdr:twoCellAnchor>
  <xdr:twoCellAnchor editAs="oneCell">
    <xdr:from>
      <xdr:col>4</xdr:col>
      <xdr:colOff>103204</xdr:colOff>
      <xdr:row>11</xdr:row>
      <xdr:rowOff>14182</xdr:rowOff>
    </xdr:from>
    <xdr:to>
      <xdr:col>4</xdr:col>
      <xdr:colOff>540648</xdr:colOff>
      <xdr:row>11</xdr:row>
      <xdr:rowOff>170744</xdr:rowOff>
    </xdr:to>
    <xdr:pic>
      <xdr:nvPicPr>
        <xdr:cNvPr id="69" name="Рисунок 9">
          <a:extLst>
            <a:ext uri="{FF2B5EF4-FFF2-40B4-BE49-F238E27FC236}">
              <a16:creationId xmlns:a16="http://schemas.microsoft.com/office/drawing/2014/main" id="{2D0C15CF-4032-BFC7-BEE8-9C183987B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5204" y="2249382"/>
          <a:ext cx="437444" cy="156562"/>
        </a:xfrm>
        <a:prstGeom prst="rect">
          <a:avLst/>
        </a:prstGeom>
      </xdr:spPr>
    </xdr:pic>
    <xdr:clientData/>
  </xdr:twoCellAnchor>
  <xdr:twoCellAnchor editAs="oneCell">
    <xdr:from>
      <xdr:col>2</xdr:col>
      <xdr:colOff>27515</xdr:colOff>
      <xdr:row>11</xdr:row>
      <xdr:rowOff>50800</xdr:rowOff>
    </xdr:from>
    <xdr:to>
      <xdr:col>2</xdr:col>
      <xdr:colOff>824230</xdr:colOff>
      <xdr:row>11</xdr:row>
      <xdr:rowOff>153029</xdr:rowOff>
    </xdr:to>
    <xdr:pic>
      <xdr:nvPicPr>
        <xdr:cNvPr id="67" name="Рисунок 11">
          <a:extLst>
            <a:ext uri="{FF2B5EF4-FFF2-40B4-BE49-F238E27FC236}">
              <a16:creationId xmlns:a16="http://schemas.microsoft.com/office/drawing/2014/main" id="{8AC18F6C-CB91-A97D-83D0-109FD61C4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8515" y="2286000"/>
          <a:ext cx="804335" cy="102229"/>
        </a:xfrm>
        <a:prstGeom prst="rect">
          <a:avLst/>
        </a:prstGeom>
      </xdr:spPr>
    </xdr:pic>
    <xdr:clientData/>
  </xdr:twoCellAnchor>
  <xdr:twoCellAnchor editAs="oneCell">
    <xdr:from>
      <xdr:col>0</xdr:col>
      <xdr:colOff>135659</xdr:colOff>
      <xdr:row>10</xdr:row>
      <xdr:rowOff>4041</xdr:rowOff>
    </xdr:from>
    <xdr:to>
      <xdr:col>1</xdr:col>
      <xdr:colOff>740641</xdr:colOff>
      <xdr:row>11</xdr:row>
      <xdr:rowOff>155077</xdr:rowOff>
    </xdr:to>
    <xdr:pic>
      <xdr:nvPicPr>
        <xdr:cNvPr id="76" name="Рисунок 13">
          <a:extLst>
            <a:ext uri="{FF2B5EF4-FFF2-40B4-BE49-F238E27FC236}">
              <a16:creationId xmlns:a16="http://schemas.microsoft.com/office/drawing/2014/main" id="{D611D1E1-68DF-2191-241E-2D36F543A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659" y="2036041"/>
          <a:ext cx="1443182" cy="34915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11</xdr:row>
      <xdr:rowOff>12700</xdr:rowOff>
    </xdr:from>
    <xdr:to>
      <xdr:col>3</xdr:col>
      <xdr:colOff>638811</xdr:colOff>
      <xdr:row>11</xdr:row>
      <xdr:rowOff>177800</xdr:rowOff>
    </xdr:to>
    <xdr:pic>
      <xdr:nvPicPr>
        <xdr:cNvPr id="75" name="Рисунок 15">
          <a:extLst>
            <a:ext uri="{FF2B5EF4-FFF2-40B4-BE49-F238E27FC236}">
              <a16:creationId xmlns:a16="http://schemas.microsoft.com/office/drawing/2014/main" id="{A85406AE-5155-4037-2C81-C3A8F5EF7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0" y="2247900"/>
          <a:ext cx="511811" cy="165100"/>
        </a:xfrm>
        <a:prstGeom prst="rect">
          <a:avLst/>
        </a:prstGeom>
      </xdr:spPr>
    </xdr:pic>
    <xdr:clientData/>
  </xdr:twoCellAnchor>
  <xdr:twoCellAnchor editAs="oneCell">
    <xdr:from>
      <xdr:col>0</xdr:col>
      <xdr:colOff>222250</xdr:colOff>
      <xdr:row>18</xdr:row>
      <xdr:rowOff>195036</xdr:rowOff>
    </xdr:from>
    <xdr:to>
      <xdr:col>2</xdr:col>
      <xdr:colOff>263071</xdr:colOff>
      <xdr:row>20</xdr:row>
      <xdr:rowOff>2977</xdr:rowOff>
    </xdr:to>
    <xdr:pic>
      <xdr:nvPicPr>
        <xdr:cNvPr id="40" name="Рисунок 17">
          <a:extLst>
            <a:ext uri="{FF2B5EF4-FFF2-40B4-BE49-F238E27FC236}">
              <a16:creationId xmlns:a16="http://schemas.microsoft.com/office/drawing/2014/main" id="{0B3CB3CD-98CF-E057-3E6F-C89DFD7BD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250" y="3787322"/>
          <a:ext cx="1717221" cy="214341"/>
        </a:xfrm>
        <a:prstGeom prst="rect">
          <a:avLst/>
        </a:prstGeom>
      </xdr:spPr>
    </xdr:pic>
    <xdr:clientData/>
  </xdr:twoCellAnchor>
  <xdr:twoCellAnchor editAs="oneCell">
    <xdr:from>
      <xdr:col>20</xdr:col>
      <xdr:colOff>304800</xdr:colOff>
      <xdr:row>0</xdr:row>
      <xdr:rowOff>0</xdr:rowOff>
    </xdr:from>
    <xdr:to>
      <xdr:col>20</xdr:col>
      <xdr:colOff>448733</xdr:colOff>
      <xdr:row>0</xdr:row>
      <xdr:rowOff>177148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B6C2194-FBDB-123E-5EDE-859311C4F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26467" y="0"/>
          <a:ext cx="143933" cy="177148"/>
        </a:xfrm>
        <a:prstGeom prst="rect">
          <a:avLst/>
        </a:prstGeom>
      </xdr:spPr>
    </xdr:pic>
    <xdr:clientData/>
  </xdr:twoCellAnchor>
  <xdr:twoCellAnchor editAs="oneCell">
    <xdr:from>
      <xdr:col>12</xdr:col>
      <xdr:colOff>16932</xdr:colOff>
      <xdr:row>2</xdr:row>
      <xdr:rowOff>25399</xdr:rowOff>
    </xdr:from>
    <xdr:to>
      <xdr:col>13</xdr:col>
      <xdr:colOff>655</xdr:colOff>
      <xdr:row>3</xdr:row>
      <xdr:rowOff>3850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83C06632-A767-CF6F-F91B-3EB999004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2999" y="431799"/>
          <a:ext cx="821266" cy="181651"/>
        </a:xfrm>
        <a:prstGeom prst="rect">
          <a:avLst/>
        </a:prstGeom>
      </xdr:spPr>
    </xdr:pic>
    <xdr:clientData/>
  </xdr:twoCellAnchor>
  <xdr:twoCellAnchor editAs="oneCell">
    <xdr:from>
      <xdr:col>4</xdr:col>
      <xdr:colOff>41367</xdr:colOff>
      <xdr:row>23</xdr:row>
      <xdr:rowOff>57423</xdr:rowOff>
    </xdr:from>
    <xdr:to>
      <xdr:col>4</xdr:col>
      <xdr:colOff>684833</xdr:colOff>
      <xdr:row>23</xdr:row>
      <xdr:rowOff>162241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7CC774F8-BE8A-005A-EE49-EAB0B00BB4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3333" y="4652254"/>
          <a:ext cx="643466" cy="104818"/>
        </a:xfrm>
        <a:prstGeom prst="rect">
          <a:avLst/>
        </a:prstGeom>
      </xdr:spPr>
    </xdr:pic>
    <xdr:clientData/>
  </xdr:twoCellAnchor>
  <xdr:twoCellAnchor editAs="oneCell">
    <xdr:from>
      <xdr:col>5</xdr:col>
      <xdr:colOff>54742</xdr:colOff>
      <xdr:row>23</xdr:row>
      <xdr:rowOff>38319</xdr:rowOff>
    </xdr:from>
    <xdr:to>
      <xdr:col>5</xdr:col>
      <xdr:colOff>779018</xdr:colOff>
      <xdr:row>23</xdr:row>
      <xdr:rowOff>147803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322B56E9-6FA3-FDA7-8790-DE04AB74E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3190" y="4696810"/>
          <a:ext cx="724276" cy="109484"/>
        </a:xfrm>
        <a:prstGeom prst="rect">
          <a:avLst/>
        </a:prstGeom>
      </xdr:spPr>
    </xdr:pic>
    <xdr:clientData/>
  </xdr:twoCellAnchor>
  <xdr:twoCellAnchor editAs="oneCell">
    <xdr:from>
      <xdr:col>5</xdr:col>
      <xdr:colOff>71349</xdr:colOff>
      <xdr:row>26</xdr:row>
      <xdr:rowOff>21405</xdr:rowOff>
    </xdr:from>
    <xdr:to>
      <xdr:col>5</xdr:col>
      <xdr:colOff>742023</xdr:colOff>
      <xdr:row>26</xdr:row>
      <xdr:rowOff>196856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93D4AABE-9F6D-928D-3364-30AAC9DBD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2416" y="5215562"/>
          <a:ext cx="670674" cy="175451"/>
        </a:xfrm>
        <a:prstGeom prst="rect">
          <a:avLst/>
        </a:prstGeom>
      </xdr:spPr>
    </xdr:pic>
    <xdr:clientData/>
  </xdr:twoCellAnchor>
  <xdr:twoCellAnchor editAs="oneCell">
    <xdr:from>
      <xdr:col>6</xdr:col>
      <xdr:colOff>356741</xdr:colOff>
      <xdr:row>26</xdr:row>
      <xdr:rowOff>14270</xdr:rowOff>
    </xdr:from>
    <xdr:to>
      <xdr:col>6</xdr:col>
      <xdr:colOff>520842</xdr:colOff>
      <xdr:row>26</xdr:row>
      <xdr:rowOff>184935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EA7BD30F-8F5D-C39E-F17D-20424987F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2584" y="5208427"/>
          <a:ext cx="164101" cy="170665"/>
        </a:xfrm>
        <a:prstGeom prst="rect">
          <a:avLst/>
        </a:prstGeom>
      </xdr:spPr>
    </xdr:pic>
    <xdr:clientData/>
  </xdr:twoCellAnchor>
  <xdr:twoCellAnchor editAs="oneCell">
    <xdr:from>
      <xdr:col>6</xdr:col>
      <xdr:colOff>278258</xdr:colOff>
      <xdr:row>27</xdr:row>
      <xdr:rowOff>21405</xdr:rowOff>
    </xdr:from>
    <xdr:to>
      <xdr:col>6</xdr:col>
      <xdr:colOff>556517</xdr:colOff>
      <xdr:row>27</xdr:row>
      <xdr:rowOff>178682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2DD11225-13D2-9283-3693-7D7121D5B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4101" y="5415338"/>
          <a:ext cx="278259" cy="157277"/>
        </a:xfrm>
        <a:prstGeom prst="rect">
          <a:avLst/>
        </a:prstGeom>
      </xdr:spPr>
    </xdr:pic>
    <xdr:clientData/>
  </xdr:twoCellAnchor>
  <xdr:twoCellAnchor editAs="oneCell">
    <xdr:from>
      <xdr:col>6</xdr:col>
      <xdr:colOff>214045</xdr:colOff>
      <xdr:row>28</xdr:row>
      <xdr:rowOff>28540</xdr:rowOff>
    </xdr:from>
    <xdr:to>
      <xdr:col>6</xdr:col>
      <xdr:colOff>593831</xdr:colOff>
      <xdr:row>28</xdr:row>
      <xdr:rowOff>175170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4EED9289-7DF8-C775-EA51-427377858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9888" y="5650787"/>
          <a:ext cx="379786" cy="146630"/>
        </a:xfrm>
        <a:prstGeom prst="rect">
          <a:avLst/>
        </a:prstGeom>
      </xdr:spPr>
    </xdr:pic>
    <xdr:clientData/>
  </xdr:twoCellAnchor>
  <xdr:twoCellAnchor editAs="oneCell">
    <xdr:from>
      <xdr:col>6</xdr:col>
      <xdr:colOff>235450</xdr:colOff>
      <xdr:row>30</xdr:row>
      <xdr:rowOff>7135</xdr:rowOff>
    </xdr:from>
    <xdr:to>
      <xdr:col>6</xdr:col>
      <xdr:colOff>291393</xdr:colOff>
      <xdr:row>30</xdr:row>
      <xdr:rowOff>171236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B0B52CAA-45B9-F451-DBEE-BF4BE6E1E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1293" y="6043202"/>
          <a:ext cx="55943" cy="164101"/>
        </a:xfrm>
        <a:prstGeom prst="rect">
          <a:avLst/>
        </a:prstGeom>
      </xdr:spPr>
    </xdr:pic>
    <xdr:clientData/>
  </xdr:twoCellAnchor>
  <xdr:twoCellAnchor editAs="oneCell">
    <xdr:from>
      <xdr:col>6</xdr:col>
      <xdr:colOff>107022</xdr:colOff>
      <xdr:row>31</xdr:row>
      <xdr:rowOff>7135</xdr:rowOff>
    </xdr:from>
    <xdr:to>
      <xdr:col>6</xdr:col>
      <xdr:colOff>278258</xdr:colOff>
      <xdr:row>31</xdr:row>
      <xdr:rowOff>182014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E65E8513-1D5C-99D9-54B7-1F62E7FA8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2865" y="6242978"/>
          <a:ext cx="171236" cy="174879"/>
        </a:xfrm>
        <a:prstGeom prst="rect">
          <a:avLst/>
        </a:prstGeom>
      </xdr:spPr>
    </xdr:pic>
    <xdr:clientData/>
  </xdr:twoCellAnchor>
  <xdr:twoCellAnchor editAs="oneCell">
    <xdr:from>
      <xdr:col>6</xdr:col>
      <xdr:colOff>78483</xdr:colOff>
      <xdr:row>32</xdr:row>
      <xdr:rowOff>21405</xdr:rowOff>
    </xdr:from>
    <xdr:to>
      <xdr:col>6</xdr:col>
      <xdr:colOff>321067</xdr:colOff>
      <xdr:row>32</xdr:row>
      <xdr:rowOff>174616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DF1CC56-526E-D040-5263-5CC8D5AEA2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4326" y="6457023"/>
          <a:ext cx="242584" cy="153211"/>
        </a:xfrm>
        <a:prstGeom prst="rect">
          <a:avLst/>
        </a:prstGeom>
      </xdr:spPr>
    </xdr:pic>
    <xdr:clientData/>
  </xdr:twoCellAnchor>
  <xdr:twoCellAnchor editAs="oneCell">
    <xdr:from>
      <xdr:col>6</xdr:col>
      <xdr:colOff>42809</xdr:colOff>
      <xdr:row>33</xdr:row>
      <xdr:rowOff>14269</xdr:rowOff>
    </xdr:from>
    <xdr:to>
      <xdr:col>6</xdr:col>
      <xdr:colOff>328202</xdr:colOff>
      <xdr:row>33</xdr:row>
      <xdr:rowOff>185505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9842C095-C6E5-3419-6467-B3B9149C1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8652" y="6649662"/>
          <a:ext cx="285393" cy="171236"/>
        </a:xfrm>
        <a:prstGeom prst="rect">
          <a:avLst/>
        </a:prstGeom>
      </xdr:spPr>
    </xdr:pic>
    <xdr:clientData/>
  </xdr:twoCellAnchor>
  <xdr:twoCellAnchor editAs="oneCell">
    <xdr:from>
      <xdr:col>5</xdr:col>
      <xdr:colOff>121293</xdr:colOff>
      <xdr:row>30</xdr:row>
      <xdr:rowOff>14270</xdr:rowOff>
    </xdr:from>
    <xdr:to>
      <xdr:col>5</xdr:col>
      <xdr:colOff>606462</xdr:colOff>
      <xdr:row>30</xdr:row>
      <xdr:rowOff>166219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5B50217C-A8A6-4984-C52A-5DF96B29F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2360" y="6064607"/>
          <a:ext cx="485169" cy="151949"/>
        </a:xfrm>
        <a:prstGeom prst="rect">
          <a:avLst/>
        </a:prstGeom>
      </xdr:spPr>
    </xdr:pic>
    <xdr:clientData/>
  </xdr:twoCellAnchor>
  <xdr:twoCellAnchor editAs="oneCell">
    <xdr:from>
      <xdr:col>9</xdr:col>
      <xdr:colOff>49944</xdr:colOff>
      <xdr:row>30</xdr:row>
      <xdr:rowOff>49944</xdr:rowOff>
    </xdr:from>
    <xdr:to>
      <xdr:col>9</xdr:col>
      <xdr:colOff>717764</xdr:colOff>
      <xdr:row>30</xdr:row>
      <xdr:rowOff>178371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E77DB2AC-F3BF-D36D-61BF-40C5CA683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0113" y="6100281"/>
          <a:ext cx="667820" cy="128427"/>
        </a:xfrm>
        <a:prstGeom prst="rect">
          <a:avLst/>
        </a:prstGeom>
      </xdr:spPr>
    </xdr:pic>
    <xdr:clientData/>
  </xdr:twoCellAnchor>
  <xdr:twoCellAnchor editAs="oneCell">
    <xdr:from>
      <xdr:col>9</xdr:col>
      <xdr:colOff>85617</xdr:colOff>
      <xdr:row>26</xdr:row>
      <xdr:rowOff>57079</xdr:rowOff>
    </xdr:from>
    <xdr:to>
      <xdr:col>9</xdr:col>
      <xdr:colOff>734886</xdr:colOff>
      <xdr:row>26</xdr:row>
      <xdr:rowOff>187867</xdr:rowOff>
    </xdr:to>
    <xdr:pic>
      <xdr:nvPicPr>
        <xdr:cNvPr id="33" name="Рисунок 32">
          <a:extLst>
            <a:ext uri="{FF2B5EF4-FFF2-40B4-BE49-F238E27FC236}">
              <a16:creationId xmlns:a16="http://schemas.microsoft.com/office/drawing/2014/main" id="{6FACF275-18D1-5E3D-15E2-0C8761B39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5786" y="5279776"/>
          <a:ext cx="649269" cy="130788"/>
        </a:xfrm>
        <a:prstGeom prst="rect">
          <a:avLst/>
        </a:prstGeom>
      </xdr:spPr>
    </xdr:pic>
    <xdr:clientData/>
  </xdr:twoCellAnchor>
  <xdr:twoCellAnchor editAs="oneCell">
    <xdr:from>
      <xdr:col>1</xdr:col>
      <xdr:colOff>299663</xdr:colOff>
      <xdr:row>30</xdr:row>
      <xdr:rowOff>28539</xdr:rowOff>
    </xdr:from>
    <xdr:to>
      <xdr:col>1</xdr:col>
      <xdr:colOff>585057</xdr:colOff>
      <xdr:row>30</xdr:row>
      <xdr:rowOff>173830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AE10EFF7-AAD3-5624-9726-460768A55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438" y="6078876"/>
          <a:ext cx="285394" cy="145291"/>
        </a:xfrm>
        <a:prstGeom prst="rect">
          <a:avLst/>
        </a:prstGeom>
      </xdr:spPr>
    </xdr:pic>
    <xdr:clientData/>
  </xdr:twoCellAnchor>
  <xdr:twoCellAnchor editAs="oneCell">
    <xdr:from>
      <xdr:col>2</xdr:col>
      <xdr:colOff>206910</xdr:colOff>
      <xdr:row>30</xdr:row>
      <xdr:rowOff>14269</xdr:rowOff>
    </xdr:from>
    <xdr:to>
      <xdr:col>2</xdr:col>
      <xdr:colOff>447201</xdr:colOff>
      <xdr:row>30</xdr:row>
      <xdr:rowOff>178370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id="{7258A2C3-BB26-978A-59FD-2F0A4B0BE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461" y="6064606"/>
          <a:ext cx="240291" cy="164101"/>
        </a:xfrm>
        <a:prstGeom prst="rect">
          <a:avLst/>
        </a:prstGeom>
      </xdr:spPr>
    </xdr:pic>
    <xdr:clientData/>
  </xdr:twoCellAnchor>
  <xdr:twoCellAnchor editAs="oneCell">
    <xdr:from>
      <xdr:col>13</xdr:col>
      <xdr:colOff>57079</xdr:colOff>
      <xdr:row>25</xdr:row>
      <xdr:rowOff>35674</xdr:rowOff>
    </xdr:from>
    <xdr:to>
      <xdr:col>14</xdr:col>
      <xdr:colOff>57079</xdr:colOff>
      <xdr:row>25</xdr:row>
      <xdr:rowOff>156781</xdr:rowOff>
    </xdr:to>
    <xdr:pic>
      <xdr:nvPicPr>
        <xdr:cNvPr id="42" name="Рисунок 41">
          <a:extLst>
            <a:ext uri="{FF2B5EF4-FFF2-40B4-BE49-F238E27FC236}">
              <a16:creationId xmlns:a16="http://schemas.microsoft.com/office/drawing/2014/main" id="{726B2208-602B-2E16-25D3-2316A6586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73034" y="5044326"/>
          <a:ext cx="834775" cy="1211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385F7-50E0-F946-8758-9ED491A8526F}">
  <dimension ref="A1:AG51"/>
  <sheetViews>
    <sheetView tabSelected="1" zoomScale="125" zoomScaleNormal="100" workbookViewId="0">
      <selection activeCell="P11" sqref="P11"/>
    </sheetView>
  </sheetViews>
  <sheetFormatPr baseColWidth="10" defaultColWidth="11" defaultRowHeight="16" x14ac:dyDescent="0.2"/>
  <cols>
    <col min="1" max="1" width="13.83203125" customWidth="1"/>
    <col min="8" max="8" width="3" customWidth="1"/>
    <col min="10" max="10" width="13" customWidth="1"/>
    <col min="11" max="12" width="14.6640625" bestFit="1" customWidth="1"/>
    <col min="13" max="13" width="12.6640625" bestFit="1" customWidth="1"/>
    <col min="14" max="14" width="12.1640625" bestFit="1" customWidth="1"/>
    <col min="16" max="16" width="13.6640625" bestFit="1" customWidth="1"/>
  </cols>
  <sheetData>
    <row r="1" spans="1:28" x14ac:dyDescent="0.2">
      <c r="A1" s="67" t="s">
        <v>0</v>
      </c>
      <c r="B1" s="67" t="s">
        <v>1</v>
      </c>
      <c r="C1" s="67"/>
      <c r="D1" s="67"/>
      <c r="E1" s="67"/>
      <c r="F1" s="67"/>
      <c r="G1" s="67"/>
      <c r="H1" s="1"/>
      <c r="J1" s="49" t="s">
        <v>0</v>
      </c>
      <c r="K1" s="46" t="s">
        <v>2</v>
      </c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</row>
    <row r="2" spans="1:28" x14ac:dyDescent="0.2">
      <c r="A2" s="67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/>
      <c r="J2" s="50"/>
      <c r="K2" s="46" t="s">
        <v>3</v>
      </c>
      <c r="L2" s="47"/>
      <c r="M2" s="48"/>
      <c r="N2" s="46" t="s">
        <v>4</v>
      </c>
      <c r="O2" s="47"/>
      <c r="P2" s="48"/>
      <c r="Q2" s="46" t="s">
        <v>5</v>
      </c>
      <c r="R2" s="47"/>
      <c r="S2" s="48"/>
      <c r="T2" s="46" t="s">
        <v>6</v>
      </c>
      <c r="U2" s="47"/>
      <c r="V2" s="48"/>
      <c r="W2" s="46" t="s">
        <v>7</v>
      </c>
      <c r="X2" s="47"/>
      <c r="Y2" s="48"/>
      <c r="Z2" s="46" t="s">
        <v>8</v>
      </c>
      <c r="AA2" s="47"/>
      <c r="AB2" s="48"/>
    </row>
    <row r="3" spans="1:28" x14ac:dyDescent="0.2">
      <c r="A3" s="67" t="s">
        <v>9</v>
      </c>
      <c r="B3" s="2">
        <v>4.99</v>
      </c>
      <c r="C3" s="2">
        <v>5.21</v>
      </c>
      <c r="D3" s="2">
        <v>6.2</v>
      </c>
      <c r="E3" s="2">
        <v>7.39</v>
      </c>
      <c r="F3" s="2">
        <f>AVERAGE(B3:B5)</f>
        <v>4.8633333333333333</v>
      </c>
      <c r="G3" s="2">
        <v>8.91</v>
      </c>
      <c r="H3" s="1" t="s">
        <v>10</v>
      </c>
      <c r="J3" s="1" t="s">
        <v>11</v>
      </c>
      <c r="K3" s="1" t="s">
        <v>12</v>
      </c>
      <c r="L3" s="1"/>
      <c r="M3" s="1" t="s">
        <v>13</v>
      </c>
      <c r="N3" s="1" t="s">
        <v>12</v>
      </c>
      <c r="O3" s="1"/>
      <c r="P3" s="1" t="s">
        <v>13</v>
      </c>
      <c r="Q3" s="1" t="s">
        <v>12</v>
      </c>
      <c r="R3" s="1"/>
      <c r="S3" s="1" t="s">
        <v>13</v>
      </c>
      <c r="T3" s="1" t="s">
        <v>12</v>
      </c>
      <c r="U3" s="1"/>
      <c r="V3" s="1" t="s">
        <v>13</v>
      </c>
      <c r="W3" s="1" t="s">
        <v>12</v>
      </c>
      <c r="X3" s="1"/>
      <c r="Y3" s="1" t="s">
        <v>13</v>
      </c>
      <c r="Z3" s="1" t="s">
        <v>12</v>
      </c>
      <c r="AA3" s="1"/>
      <c r="AB3" s="1" t="s">
        <v>13</v>
      </c>
    </row>
    <row r="4" spans="1:28" x14ac:dyDescent="0.2">
      <c r="A4" s="67"/>
      <c r="B4" s="2">
        <v>4.74</v>
      </c>
      <c r="C4" s="2">
        <v>5.45</v>
      </c>
      <c r="D4" s="2">
        <v>6.45</v>
      </c>
      <c r="E4" s="2">
        <v>7.28</v>
      </c>
      <c r="F4" s="2">
        <v>8.0299999999999994</v>
      </c>
      <c r="G4" s="2">
        <v>9.0500000000000007</v>
      </c>
      <c r="H4" s="1" t="s">
        <v>14</v>
      </c>
      <c r="J4" s="1" t="s">
        <v>9</v>
      </c>
      <c r="K4" s="5">
        <f>(2*0.7)/((B6)^2)</f>
        <v>5.9191583896318893E-2</v>
      </c>
      <c r="L4" s="5">
        <f>(2*K4)/$J$10</f>
        <v>2.5735471259269085</v>
      </c>
      <c r="M4" s="5">
        <f>((($K$10 + $N$10)*$J$10)/2)*($L$10-K4)</f>
        <v>5.9941124483292717E-2</v>
      </c>
      <c r="N4" s="5">
        <f>(2*0.7)/((C6)^2)</f>
        <v>4.684711481261155E-2</v>
      </c>
      <c r="O4" s="5">
        <f>(2*N4)/$J$10</f>
        <v>2.0368310788091977</v>
      </c>
      <c r="P4" s="5">
        <f>((($K$10 +  $N$10)*$J$10)/2)*($L$10-N4)</f>
        <v>6.0016931867935754E-2</v>
      </c>
      <c r="Q4" s="5">
        <f>(2*0.7)/((D6)^2)</f>
        <v>3.5839999999999997E-2</v>
      </c>
      <c r="R4" s="5">
        <f>(2*Q4)/$J$10</f>
        <v>1.5582608695652174</v>
      </c>
      <c r="S4" s="5">
        <f>((($K$10 +  $N$10)*$J$10)/2)*($L$10-Q4)</f>
        <v>6.0084526560000004E-2</v>
      </c>
      <c r="T4" s="5">
        <f>(2*0.7)/((E6)^2)</f>
        <v>2.6223426927380247E-2</v>
      </c>
      <c r="U4" s="5">
        <f>(2*T4)/$J$10</f>
        <v>1.1401489968426195</v>
      </c>
      <c r="V4" s="5">
        <f>((($K$10+ $N$10)*$J$10)/2)*($L$10-T4)</f>
        <v>6.0143581935238964E-2</v>
      </c>
      <c r="W4" s="5">
        <f>(2*0.7)/((F6)^2)</f>
        <v>2.905828926266232E-2</v>
      </c>
      <c r="X4" s="5">
        <f>(2*W4)/$J$10</f>
        <v>1.2634038809853183</v>
      </c>
      <c r="Y4" s="5">
        <f>((($K$10+ $N$10)*$J$10)/2)*($L$10-W4)</f>
        <v>6.0126173045637998E-2</v>
      </c>
      <c r="Z4" s="5">
        <f>(2*0.7)/((G6)^2)</f>
        <v>1.7634884825307569E-2</v>
      </c>
      <c r="AA4" s="5">
        <f>(2*Z4)/$J$10</f>
        <v>0.76673412283945952</v>
      </c>
      <c r="AB4" s="5">
        <f>((($K$10+ $N$10)*$J$10)/2)*($L$10-Z4)</f>
        <v>6.0196324172287798E-2</v>
      </c>
    </row>
    <row r="5" spans="1:28" x14ac:dyDescent="0.2">
      <c r="A5" s="67"/>
      <c r="B5" s="2">
        <v>4.8600000000000003</v>
      </c>
      <c r="C5" s="2">
        <v>5.74</v>
      </c>
      <c r="D5" s="2">
        <v>6.1</v>
      </c>
      <c r="E5" s="2">
        <v>7.25</v>
      </c>
      <c r="F5" s="2">
        <v>7.93</v>
      </c>
      <c r="G5" s="2">
        <v>8.77</v>
      </c>
      <c r="H5" s="1" t="s">
        <v>15</v>
      </c>
      <c r="J5" s="1" t="s">
        <v>16</v>
      </c>
      <c r="K5" s="5">
        <f>(2*0.7)/((B10)^2)</f>
        <v>0.1328166834620039</v>
      </c>
      <c r="L5" s="5">
        <f t="shared" ref="L5:L7" si="0">(2*K5)/$J$10</f>
        <v>5.7746384113914742</v>
      </c>
      <c r="M5" s="5">
        <f>(((($K$10*2)+ $N$10)*$J$10)/2)*($L$10-K5)</f>
        <v>0.1085061403285421</v>
      </c>
      <c r="N5" s="5">
        <f>(2*0.7)/((C10)^2)</f>
        <v>8.9427091724516267E-2</v>
      </c>
      <c r="O5" s="5">
        <f t="shared" ref="O5:O7" si="1">(2*N5)/$J$10</f>
        <v>3.8881344228050549</v>
      </c>
      <c r="P5" s="5">
        <f>((($K$10*2 +  $N$10)*$J$10)/2)*($L$10-N5)</f>
        <v>0.10899214714559369</v>
      </c>
      <c r="Q5" s="5">
        <f>(2*0.7)/((D10)^2)</f>
        <v>6.832364149826152E-2</v>
      </c>
      <c r="R5" s="5">
        <f t="shared" ref="R5:R7" si="2">(2*Q5)/$J$10</f>
        <v>2.9705931086200663</v>
      </c>
      <c r="S5" s="5">
        <f>((($K$10*2 +  $N$10)*$J$10)/2)*($L$10-Q5)</f>
        <v>0.10922852689157796</v>
      </c>
      <c r="T5" s="5">
        <f>(2*0.7)/((E10)^2)</f>
        <v>4.9652256872404349E-2</v>
      </c>
      <c r="U5" s="5">
        <f t="shared" ref="U5:U7" si="3">(2*T5)/$J$10</f>
        <v>2.1587937770610588</v>
      </c>
      <c r="V5" s="5">
        <f>((($K$10*2+ $N$10)*$J$10)/2)*($L$10-T5)</f>
        <v>0.1094376650707722</v>
      </c>
      <c r="W5" s="5">
        <f>(2*0.7)/((F10)^2)</f>
        <v>4.0127593006843348E-2</v>
      </c>
      <c r="X5" s="5">
        <f t="shared" ref="X5:X7" si="4">(2*W5)/$J$10</f>
        <v>1.7446779568192761</v>
      </c>
      <c r="Y5" s="5">
        <f>((($K$10*2+ $N$10)*$J$10)/2)*($L$10-W5)</f>
        <v>0.10954435083073034</v>
      </c>
      <c r="Z5" s="5">
        <f>(2*0.7)/((G10)^2)</f>
        <v>3.153152364075984E-2</v>
      </c>
      <c r="AA5" s="5">
        <f t="shared" ref="AA5:AA7" si="5">(2*Z5)/$J$10</f>
        <v>1.3709358104678191</v>
      </c>
      <c r="AB5" s="5">
        <f>((($K$10*2+ $N$10)*$J$10)/2)*($L$10-Z5)</f>
        <v>0.10964063540369984</v>
      </c>
    </row>
    <row r="6" spans="1:28" x14ac:dyDescent="0.2">
      <c r="A6" s="67"/>
      <c r="B6" s="3">
        <f>AVERAGE(B3:B5)</f>
        <v>4.8633333333333333</v>
      </c>
      <c r="C6" s="3">
        <f t="shared" ref="C6:G6" si="6">AVERAGE(C3:C5)</f>
        <v>5.4666666666666659</v>
      </c>
      <c r="D6" s="3">
        <f t="shared" si="6"/>
        <v>6.25</v>
      </c>
      <c r="E6" s="3">
        <f t="shared" si="6"/>
        <v>7.3066666666666675</v>
      </c>
      <c r="F6" s="3">
        <f t="shared" si="6"/>
        <v>6.9411111111111099</v>
      </c>
      <c r="G6" s="3">
        <f t="shared" si="6"/>
        <v>8.91</v>
      </c>
      <c r="H6" s="4" t="s">
        <v>17</v>
      </c>
      <c r="J6" s="1" t="s">
        <v>18</v>
      </c>
      <c r="K6" s="5">
        <f>(2*0.7)/((B14)^2)</f>
        <v>0.17942481530636079</v>
      </c>
      <c r="L6" s="5">
        <f t="shared" si="0"/>
        <v>7.8010789263635125</v>
      </c>
      <c r="M6" s="5">
        <f>((($K$10*3 +  $N$10)*$J$10)/2)*($L$10-K6)</f>
        <v>0.15676539307830328</v>
      </c>
      <c r="N6" s="5">
        <f>(2*0.7)/(((C14)^2))</f>
        <v>0.13990657349925212</v>
      </c>
      <c r="O6" s="5">
        <f t="shared" si="1"/>
        <v>6.0828944999674839</v>
      </c>
      <c r="P6" s="5">
        <f>((($K$10*3 +  $N$10)*$J$10)/2)*($L$10-N6)</f>
        <v>0.15740799920832868</v>
      </c>
      <c r="Q6" s="5">
        <f>(2*0.7)/(((D14)^2))</f>
        <v>9.4451003541912618E-2</v>
      </c>
      <c r="R6" s="5">
        <f t="shared" si="2"/>
        <v>4.1065653713875054</v>
      </c>
      <c r="S6" s="5">
        <f>((($K$10*3+ $N$10)*$J$10)/2)*($L$10-Q6)</f>
        <v>0.15814715223140496</v>
      </c>
      <c r="T6" s="5">
        <f>(2*0.7)/(((E14)^2))</f>
        <v>7.1877766723560388E-2</v>
      </c>
      <c r="U6" s="5">
        <f t="shared" si="3"/>
        <v>3.1251202923287127</v>
      </c>
      <c r="V6" s="5">
        <f>((($K$10*3+ $N$10)*$J$10)/2)*($L$10-T6)</f>
        <v>0.15851421563530821</v>
      </c>
      <c r="W6" s="5">
        <f>(2*0.7)/(((F14)^2))</f>
        <v>5.5480969367019378E-2</v>
      </c>
      <c r="X6" s="5">
        <f t="shared" si="4"/>
        <v>2.4122160594356252</v>
      </c>
      <c r="Y6" s="5">
        <f>((($K$10*3+ $N$10)*$J$10)/2)*($L$10-W6)</f>
        <v>0.15878084395712291</v>
      </c>
      <c r="Z6" s="5">
        <f>(2*0.7)/(((G14)^2))</f>
        <v>4.3039827895342171E-2</v>
      </c>
      <c r="AA6" s="5">
        <f t="shared" si="5"/>
        <v>1.8712968650148771</v>
      </c>
      <c r="AB6" s="5">
        <f>((($K$10*3+ $N$10)*$J$10)/2)*($L$10-Z6)</f>
        <v>0.15898314935859387</v>
      </c>
    </row>
    <row r="7" spans="1:28" ht="17" thickBot="1" x14ac:dyDescent="0.25">
      <c r="A7" s="67" t="s">
        <v>16</v>
      </c>
      <c r="B7" s="2">
        <v>3.22</v>
      </c>
      <c r="C7" s="2">
        <v>4.04</v>
      </c>
      <c r="D7" s="2">
        <v>4.41</v>
      </c>
      <c r="E7" s="2">
        <v>5.26</v>
      </c>
      <c r="F7" s="2">
        <v>5.92</v>
      </c>
      <c r="G7" s="2">
        <v>6.57</v>
      </c>
      <c r="H7" s="1" t="s">
        <v>10</v>
      </c>
      <c r="J7" s="6" t="s">
        <v>19</v>
      </c>
      <c r="K7" s="5">
        <f>(2*0.7)/((B18)^2)</f>
        <v>0.22580280963210267</v>
      </c>
      <c r="L7" s="7">
        <f t="shared" si="0"/>
        <v>9.8175134622653335</v>
      </c>
      <c r="M7" s="5">
        <f>((($K$10*4 +  $N$10)*$J$10)/2)*($L$10-K7)</f>
        <v>0.20455787829583394</v>
      </c>
      <c r="N7" s="7">
        <f>(2*0.7)/((C18)^2)</f>
        <v>0.1798538045503012</v>
      </c>
      <c r="O7" s="7">
        <f t="shared" si="1"/>
        <v>7.8197306326217912</v>
      </c>
      <c r="P7" s="5">
        <f>((($K$10*4+ $N$10)*$J$10)/2)*($L$10-N7)</f>
        <v>0.20553755703318302</v>
      </c>
      <c r="Q7" s="5">
        <f>(2*0.7)/((D18)^2)</f>
        <v>0.12599999999999997</v>
      </c>
      <c r="R7" s="5">
        <f t="shared" si="2"/>
        <v>5.478260869565216</v>
      </c>
      <c r="S7" s="5">
        <f>((($K$10*4+ $N$10)*$J$10)/2)*($L$10-Q7)</f>
        <v>0.20668577400000002</v>
      </c>
      <c r="T7" s="5">
        <f>(2*0.7)/((E18)^2)</f>
        <v>9.902670891806245E-2</v>
      </c>
      <c r="U7" s="5">
        <f t="shared" si="3"/>
        <v>4.3055090833940195</v>
      </c>
      <c r="V7" s="5">
        <f>((($K$10*4+ $N$10)*$J$10)/2)*($L$10-T7)</f>
        <v>0.20726087153915801</v>
      </c>
      <c r="W7" s="5">
        <f>(2*0.7)/((F18)^2)</f>
        <v>7.4213294899485138E-2</v>
      </c>
      <c r="X7" s="5">
        <f t="shared" si="4"/>
        <v>3.2266649956297888</v>
      </c>
      <c r="Y7" s="5">
        <f>((($K$10*4+ $N$10)*$J$10)/2)*($L$10-W7)</f>
        <v>0.2077899183394481</v>
      </c>
      <c r="Z7" s="5">
        <f>(2*0.7)/((G18)^2)</f>
        <v>6.0344105075370268E-2</v>
      </c>
      <c r="AA7" s="5">
        <f t="shared" si="5"/>
        <v>2.6236567424074031</v>
      </c>
      <c r="AB7" s="5">
        <f>((($K$10*4+ $N$10)*$J$10)/2)*($L$10-Z7)</f>
        <v>0.20808562333568806</v>
      </c>
    </row>
    <row r="8" spans="1:28" ht="16" customHeight="1" x14ac:dyDescent="0.2">
      <c r="A8" s="67"/>
      <c r="B8" s="2">
        <v>3.29</v>
      </c>
      <c r="C8" s="2">
        <v>3.91</v>
      </c>
      <c r="D8" s="2">
        <v>4.53</v>
      </c>
      <c r="E8" s="2">
        <v>5.31</v>
      </c>
      <c r="F8" s="2">
        <v>5.9</v>
      </c>
      <c r="G8" s="2">
        <v>6.77</v>
      </c>
      <c r="H8" s="1" t="s">
        <v>14</v>
      </c>
      <c r="J8" s="71" t="s">
        <v>20</v>
      </c>
      <c r="K8" s="68" t="s">
        <v>21</v>
      </c>
      <c r="L8" s="68" t="s">
        <v>22</v>
      </c>
      <c r="M8" s="68"/>
      <c r="N8" s="51" t="s">
        <v>37</v>
      </c>
      <c r="O8" s="52"/>
    </row>
    <row r="9" spans="1:28" x14ac:dyDescent="0.2">
      <c r="A9" s="67"/>
      <c r="B9" s="2">
        <v>3.23</v>
      </c>
      <c r="C9" s="2">
        <v>3.92</v>
      </c>
      <c r="D9" s="2">
        <v>4.6399999999999997</v>
      </c>
      <c r="E9" s="2">
        <v>5.36</v>
      </c>
      <c r="F9" s="2">
        <v>5.9</v>
      </c>
      <c r="G9" s="2">
        <v>6.65</v>
      </c>
      <c r="H9" s="1" t="s">
        <v>15</v>
      </c>
      <c r="J9" s="72"/>
      <c r="K9" s="69"/>
      <c r="L9" s="69"/>
      <c r="M9" s="69"/>
      <c r="N9" s="53"/>
      <c r="O9" s="54"/>
    </row>
    <row r="10" spans="1:28" ht="17" thickBot="1" x14ac:dyDescent="0.25">
      <c r="A10" s="67"/>
      <c r="B10" s="3">
        <f>AVERAGE(B7:B9)</f>
        <v>3.2466666666666666</v>
      </c>
      <c r="C10" s="3">
        <f t="shared" ref="C10:G10" si="7">AVERAGE(C7:C9)</f>
        <v>3.956666666666667</v>
      </c>
      <c r="D10" s="3">
        <f t="shared" si="7"/>
        <v>4.5266666666666673</v>
      </c>
      <c r="E10" s="3">
        <f t="shared" si="7"/>
        <v>5.31</v>
      </c>
      <c r="F10" s="3">
        <f t="shared" si="7"/>
        <v>5.9066666666666663</v>
      </c>
      <c r="G10" s="3">
        <f t="shared" si="7"/>
        <v>6.663333333333334</v>
      </c>
      <c r="H10" s="4" t="s">
        <v>17</v>
      </c>
      <c r="J10" s="8">
        <v>4.5999999999999999E-2</v>
      </c>
      <c r="K10" s="9">
        <v>0.22</v>
      </c>
      <c r="L10" s="70">
        <v>9.82</v>
      </c>
      <c r="M10" s="70"/>
      <c r="N10" s="55">
        <v>4.7E-2</v>
      </c>
      <c r="O10" s="56"/>
    </row>
    <row r="11" spans="1:28" x14ac:dyDescent="0.2">
      <c r="A11" s="67" t="s">
        <v>18</v>
      </c>
      <c r="B11" s="2">
        <v>2.75</v>
      </c>
      <c r="C11" s="2">
        <v>3.16</v>
      </c>
      <c r="D11" s="2">
        <v>3.89</v>
      </c>
      <c r="E11" s="2">
        <v>4.49</v>
      </c>
      <c r="F11" s="2">
        <v>4.96</v>
      </c>
      <c r="G11" s="2">
        <v>5.78</v>
      </c>
      <c r="H11" s="1" t="s">
        <v>10</v>
      </c>
    </row>
    <row r="12" spans="1:28" x14ac:dyDescent="0.2">
      <c r="A12" s="67"/>
      <c r="B12" s="2">
        <v>2.83</v>
      </c>
      <c r="C12" s="2">
        <v>3.18</v>
      </c>
      <c r="D12" s="2">
        <v>3.81</v>
      </c>
      <c r="E12" s="2">
        <v>4.3499999999999996</v>
      </c>
      <c r="F12" s="2">
        <v>5.15</v>
      </c>
      <c r="G12" s="2">
        <v>5.74</v>
      </c>
      <c r="H12" s="1" t="s">
        <v>14</v>
      </c>
      <c r="J12" s="67" t="s">
        <v>23</v>
      </c>
      <c r="K12" s="67"/>
    </row>
    <row r="13" spans="1:28" x14ac:dyDescent="0.2">
      <c r="A13" s="67"/>
      <c r="B13" s="2">
        <v>2.8</v>
      </c>
      <c r="C13" s="2">
        <v>3.15</v>
      </c>
      <c r="D13" s="2">
        <v>3.85</v>
      </c>
      <c r="E13" s="2">
        <v>4.4000000000000004</v>
      </c>
      <c r="F13" s="2">
        <v>4.96</v>
      </c>
      <c r="G13" s="2">
        <v>5.59</v>
      </c>
      <c r="H13" s="1" t="s">
        <v>15</v>
      </c>
      <c r="J13" s="1" t="s">
        <v>12</v>
      </c>
      <c r="K13" s="5">
        <f>J23</f>
        <v>7.5578188269781431E-3</v>
      </c>
    </row>
    <row r="14" spans="1:28" x14ac:dyDescent="0.2">
      <c r="A14" s="67"/>
      <c r="B14" s="3">
        <f>AVERAGE(B11:B13)</f>
        <v>2.793333333333333</v>
      </c>
      <c r="C14" s="3">
        <f t="shared" ref="C14:F14" si="8">AVERAGE(C11:C13)</f>
        <v>3.1633333333333336</v>
      </c>
      <c r="D14" s="3">
        <f t="shared" si="8"/>
        <v>3.85</v>
      </c>
      <c r="E14" s="3">
        <f t="shared" si="8"/>
        <v>4.4133333333333331</v>
      </c>
      <c r="F14" s="3">
        <f t="shared" si="8"/>
        <v>5.0233333333333334</v>
      </c>
      <c r="G14" s="3">
        <f>AVERAGE(G11:G13)</f>
        <v>5.7033333333333331</v>
      </c>
      <c r="H14" s="4" t="s">
        <v>17</v>
      </c>
      <c r="J14" s="1"/>
      <c r="K14" s="5">
        <f>N20</f>
        <v>0.32978933520986947</v>
      </c>
    </row>
    <row r="15" spans="1:28" x14ac:dyDescent="0.2">
      <c r="A15" s="67" t="s">
        <v>19</v>
      </c>
      <c r="B15" s="2">
        <v>2.39</v>
      </c>
      <c r="C15" s="2">
        <v>2.8</v>
      </c>
      <c r="D15" s="2">
        <v>3.29</v>
      </c>
      <c r="E15" s="2">
        <v>3.59</v>
      </c>
      <c r="F15" s="2">
        <v>4.43</v>
      </c>
      <c r="G15" s="2">
        <v>4.78</v>
      </c>
      <c r="H15" s="1" t="s">
        <v>10</v>
      </c>
      <c r="J15" s="1" t="s">
        <v>13</v>
      </c>
      <c r="K15" s="5">
        <f>J26</f>
        <v>6.6275978619967021E-4</v>
      </c>
    </row>
    <row r="16" spans="1:28" x14ac:dyDescent="0.2">
      <c r="A16" s="67"/>
      <c r="B16" s="2">
        <v>2.65</v>
      </c>
      <c r="C16" s="2">
        <v>2.78</v>
      </c>
      <c r="D16" s="2">
        <v>3.42</v>
      </c>
      <c r="E16" s="2">
        <v>3.89</v>
      </c>
      <c r="F16" s="2">
        <v>4.32</v>
      </c>
      <c r="G16" s="2">
        <v>4.88</v>
      </c>
      <c r="H16" s="1" t="s">
        <v>14</v>
      </c>
    </row>
    <row r="17" spans="1:33" ht="17" thickBot="1" x14ac:dyDescent="0.25">
      <c r="A17" s="67"/>
      <c r="B17" s="2">
        <v>2.4300000000000002</v>
      </c>
      <c r="C17" s="2">
        <v>2.79</v>
      </c>
      <c r="D17" s="2">
        <v>3.29</v>
      </c>
      <c r="E17" s="2">
        <v>3.8</v>
      </c>
      <c r="F17" s="2">
        <v>4.28</v>
      </c>
      <c r="G17" s="2">
        <v>4.79</v>
      </c>
      <c r="H17" s="1" t="s">
        <v>15</v>
      </c>
    </row>
    <row r="18" spans="1:33" ht="17" x14ac:dyDescent="0.25">
      <c r="A18" s="67"/>
      <c r="B18" s="3">
        <f>AVERAGE(B15:B17)</f>
        <v>2.4900000000000002</v>
      </c>
      <c r="C18" s="3">
        <f t="shared" ref="C18:G18" si="9">AVERAGE(C15:C17)</f>
        <v>2.7900000000000005</v>
      </c>
      <c r="D18" s="3">
        <f t="shared" si="9"/>
        <v>3.3333333333333335</v>
      </c>
      <c r="E18" s="3">
        <f t="shared" si="9"/>
        <v>3.7600000000000002</v>
      </c>
      <c r="F18" s="3">
        <f t="shared" si="9"/>
        <v>4.3433333333333337</v>
      </c>
      <c r="G18" s="3">
        <f t="shared" si="9"/>
        <v>4.8166666666666664</v>
      </c>
      <c r="H18" s="4" t="s">
        <v>17</v>
      </c>
      <c r="J18" s="11"/>
      <c r="K18" s="13"/>
      <c r="L18" s="14"/>
      <c r="M18" s="16"/>
      <c r="N18" s="1"/>
      <c r="O18" s="1"/>
      <c r="P18" s="1"/>
      <c r="Q18" s="1"/>
      <c r="R18" s="1"/>
    </row>
    <row r="19" spans="1:33" x14ac:dyDescent="0.2">
      <c r="J19" s="1"/>
      <c r="K19" s="12"/>
      <c r="L19" s="15"/>
      <c r="M19" s="12"/>
      <c r="N19" s="1"/>
      <c r="O19" s="1"/>
      <c r="P19" s="1"/>
      <c r="Q19" s="1"/>
      <c r="R19" s="1"/>
    </row>
    <row r="20" spans="1:33" ht="17" thickBot="1" x14ac:dyDescent="0.25">
      <c r="J20" s="62">
        <f>4.3*SQRT(((B3-B6)^2+(B4-B6)^2+(B5-B6)^2)/6)</f>
        <v>0.31040851219714394</v>
      </c>
      <c r="K20" s="63"/>
      <c r="L20" s="64">
        <f>SQRT(J20^2 + ((2/3)*0.01)^2)</f>
        <v>0.31048009419105904</v>
      </c>
      <c r="M20" s="65"/>
      <c r="N20" s="62">
        <f>SQRT(((2/J10)*K13)^2 + (-((2*K4)/(J10)^2)*0.0005)^2)</f>
        <v>0.32978933520986947</v>
      </c>
      <c r="O20" s="63"/>
      <c r="P20" s="63"/>
      <c r="Q20" s="63"/>
      <c r="R20" s="66"/>
    </row>
    <row r="23" spans="1:33" x14ac:dyDescent="0.2">
      <c r="J23" s="10">
        <f>SQRT((2/B6^2 * 0.0005)^2+(-(4*0.7/B6^3)*L20)^2)</f>
        <v>7.5578188269781431E-3</v>
      </c>
    </row>
    <row r="26" spans="1:33" x14ac:dyDescent="0.2">
      <c r="J26" s="10">
        <f>SQRT(((J10*(L10-K4))/2*0.0005)^2+((0.267*(L10-K4))/2 * 0.0005)^2 + (-(0.267*J10)/2 * K13)^2)</f>
        <v>6.6275978619967021E-4</v>
      </c>
    </row>
    <row r="28" spans="1:33" x14ac:dyDescent="0.2">
      <c r="K28" s="57">
        <v>1</v>
      </c>
      <c r="L28" s="57"/>
      <c r="M28" s="57"/>
      <c r="N28" s="57">
        <v>2</v>
      </c>
      <c r="O28" s="57"/>
      <c r="P28" s="57"/>
      <c r="Q28" s="57"/>
      <c r="R28" s="57">
        <v>3</v>
      </c>
      <c r="S28" s="57"/>
      <c r="T28" s="57"/>
      <c r="U28" s="57"/>
      <c r="V28" s="57">
        <v>4</v>
      </c>
      <c r="W28" s="57"/>
      <c r="X28" s="57"/>
      <c r="Y28" s="57"/>
      <c r="Z28" s="57">
        <v>5</v>
      </c>
      <c r="AA28" s="57"/>
      <c r="AB28" s="57"/>
      <c r="AC28" s="57"/>
      <c r="AD28" s="57">
        <v>6</v>
      </c>
      <c r="AE28" s="57"/>
      <c r="AF28" s="57"/>
      <c r="AG28" s="57"/>
    </row>
    <row r="29" spans="1:33" x14ac:dyDescent="0.2">
      <c r="J29" s="17"/>
      <c r="K29" t="s">
        <v>29</v>
      </c>
      <c r="L29" t="s">
        <v>29</v>
      </c>
      <c r="N29" s="10">
        <f>AVERAGE(O4:O7)</f>
        <v>4.9568976585508819</v>
      </c>
      <c r="O29" s="10">
        <f>AVERAGE(P4:P7)</f>
        <v>0.13298865881376029</v>
      </c>
      <c r="R29" s="10">
        <f>AVERAGE(R4:R7)</f>
        <v>3.528420054784501</v>
      </c>
      <c r="S29" s="10">
        <f>AVERAGE(S4:S7)</f>
        <v>0.13353649492074574</v>
      </c>
      <c r="U29" s="17"/>
      <c r="V29" s="10">
        <f>AVERAGE(U4:U7)</f>
        <v>2.6823930374066025</v>
      </c>
      <c r="W29" s="10">
        <f>AVERAGE(V4:V7)</f>
        <v>0.13383908354511936</v>
      </c>
      <c r="Y29" s="17"/>
      <c r="Z29" s="10">
        <f>AVERAGE(X4:X7)</f>
        <v>2.1617407232175019</v>
      </c>
      <c r="AA29" s="10">
        <f>AVERAGE(Y4:Y7)</f>
        <v>0.13406032154323483</v>
      </c>
      <c r="AC29" s="17"/>
      <c r="AD29" s="10">
        <f>AVERAGE(AA4:AA7)</f>
        <v>1.6581558851823899</v>
      </c>
      <c r="AE29" s="10">
        <f>AVERAGE(AB4:AB7)</f>
        <v>0.13422643306756737</v>
      </c>
      <c r="AG29" s="17"/>
    </row>
    <row r="30" spans="1:33" ht="17" thickBot="1" x14ac:dyDescent="0.25">
      <c r="J30" s="17"/>
      <c r="K30" s="18"/>
      <c r="L30" s="23" t="s">
        <v>13</v>
      </c>
      <c r="M30" s="6"/>
      <c r="Q30" s="17"/>
      <c r="U30" s="17"/>
      <c r="Y30" s="17"/>
      <c r="AC30" s="17"/>
      <c r="AG30" s="17"/>
    </row>
    <row r="31" spans="1:33" ht="17" thickBot="1" x14ac:dyDescent="0.25">
      <c r="D31" t="s">
        <v>38</v>
      </c>
      <c r="K31" s="20">
        <f>AVERAGE(L4:L7)</f>
        <v>6.4916944814868067</v>
      </c>
      <c r="L31" s="24">
        <f>AVERAGE(M4:M7)</f>
        <v>0.13244263404649301</v>
      </c>
      <c r="M31" s="26"/>
      <c r="N31" s="10">
        <f>O4-$N$29</f>
        <v>-2.9200665797416843</v>
      </c>
      <c r="O31" s="10">
        <f>P4-$O$29</f>
        <v>-7.2971726945824544E-2</v>
      </c>
      <c r="P31" s="10">
        <f>N31^2</f>
        <v>8.526788830124298</v>
      </c>
      <c r="Q31" s="22">
        <f>N31*O31</f>
        <v>0.21308230112053797</v>
      </c>
      <c r="R31" s="10">
        <f>R4-$R$29</f>
        <v>-1.9701591852192837</v>
      </c>
      <c r="S31" s="10">
        <f>S4-$S$29</f>
        <v>-7.3451968360745731E-2</v>
      </c>
      <c r="T31" s="10">
        <f>R31^2</f>
        <v>3.8815272151039117</v>
      </c>
      <c r="U31" s="22">
        <f>R31*S31</f>
        <v>0.14471207013835941</v>
      </c>
      <c r="V31" s="10">
        <f>U4-$V$29</f>
        <v>-1.542244040563983</v>
      </c>
      <c r="W31" s="10">
        <f>V4-$W$29</f>
        <v>-7.3695501609880393E-2</v>
      </c>
      <c r="X31" s="10">
        <f>V31^2</f>
        <v>2.3785166806551206</v>
      </c>
      <c r="Y31" s="22">
        <f>V31*W31</f>
        <v>0.11365644817421146</v>
      </c>
      <c r="Z31" s="10">
        <f>X4-$Z$29</f>
        <v>-0.89833684223218357</v>
      </c>
      <c r="AA31" s="10">
        <f>Y4-$AA$29</f>
        <v>-7.393414849759683E-2</v>
      </c>
      <c r="AB31" s="10">
        <f>Z31^2</f>
        <v>0.80700908211169109</v>
      </c>
      <c r="AC31" s="22">
        <f>Z31*AA31</f>
        <v>6.6417769494456477E-2</v>
      </c>
      <c r="AD31" s="10">
        <f>AA4-$AD$29</f>
        <v>-0.89142176234293036</v>
      </c>
      <c r="AE31" s="10">
        <f>AB4-$AE$29</f>
        <v>-7.4030108895279584E-2</v>
      </c>
      <c r="AF31" s="10">
        <f>AD31^2</f>
        <v>0.79463275837857583</v>
      </c>
      <c r="AG31" s="22">
        <f>AD31*AE31</f>
        <v>6.5992050137869171E-2</v>
      </c>
    </row>
    <row r="32" spans="1:33" x14ac:dyDescent="0.2">
      <c r="E32" s="10">
        <f>AVERAGE(L4:L7)</f>
        <v>6.4916944814868067</v>
      </c>
      <c r="F32" s="10">
        <f>AVERAGE(M4:M7)</f>
        <v>0.13244263404649301</v>
      </c>
      <c r="J32" s="22">
        <f>K32^2</f>
        <v>15.351878699881023</v>
      </c>
      <c r="K32" s="19">
        <f>L4-$K$31</f>
        <v>-3.9181473555598982</v>
      </c>
      <c r="L32" s="25">
        <f>M4-$L$31</f>
        <v>-7.2501509563200284E-2</v>
      </c>
      <c r="M32" s="21">
        <f>K32*L32</f>
        <v>0.28407159796915388</v>
      </c>
      <c r="N32" s="10">
        <f>O5-$N$29</f>
        <v>-1.068763235745827</v>
      </c>
      <c r="O32" s="10">
        <f>P5-$O$29</f>
        <v>-2.3996511668166604E-2</v>
      </c>
      <c r="P32" s="10">
        <f>N32^2</f>
        <v>1.1422548540818902</v>
      </c>
      <c r="Q32" s="22">
        <f>N32*O32</f>
        <v>2.5646589457082231E-2</v>
      </c>
      <c r="R32" s="10">
        <f>R5-$R$29</f>
        <v>-0.55782694616443473</v>
      </c>
      <c r="S32" s="10">
        <f>S5-$S$29</f>
        <v>-2.4307968029167779E-2</v>
      </c>
      <c r="T32" s="10">
        <f>R32^2</f>
        <v>0.31117090186713919</v>
      </c>
      <c r="U32" s="22">
        <f>R32*S32</f>
        <v>1.3559639573173375E-2</v>
      </c>
      <c r="V32" s="10">
        <f>U5-$V$29</f>
        <v>-0.52359926034554372</v>
      </c>
      <c r="W32" s="10">
        <f>V5-$W$29</f>
        <v>-2.4401418474347167E-2</v>
      </c>
      <c r="X32" s="10">
        <f>V32^2</f>
        <v>0.27415618543440046</v>
      </c>
      <c r="Y32" s="22">
        <f>V32*W32</f>
        <v>1.2776564664550263E-2</v>
      </c>
      <c r="Z32" s="10">
        <f>X5-$Z$29</f>
        <v>-0.41706276639822581</v>
      </c>
      <c r="AA32" s="10">
        <f>Y5-$AA$29</f>
        <v>-2.4515970712504484E-2</v>
      </c>
      <c r="AB32" s="10">
        <f>Z32^2</f>
        <v>0.17394135111574108</v>
      </c>
      <c r="AC32" s="22">
        <f>Z32*AA32</f>
        <v>1.0224698566295003E-2</v>
      </c>
      <c r="AD32" s="10">
        <f>AA5-$AD$29</f>
        <v>-0.28722007471457078</v>
      </c>
      <c r="AE32" s="10">
        <f>AB5-$AE$29</f>
        <v>-2.4585797663867537E-2</v>
      </c>
      <c r="AF32" s="10">
        <f>AD32^2</f>
        <v>8.2495371319043623E-2</v>
      </c>
      <c r="AG32" s="22">
        <f>AD32*AE32</f>
        <v>7.0615346419333541E-3</v>
      </c>
    </row>
    <row r="33" spans="3:33" x14ac:dyDescent="0.2">
      <c r="J33" s="22">
        <f>K33^2</f>
        <v>0.51416940766056252</v>
      </c>
      <c r="K33" s="19">
        <f>L5-$K$31</f>
        <v>-0.71705607009533257</v>
      </c>
      <c r="L33" s="25">
        <f t="shared" ref="L33:L35" si="10">M5-$L$31</f>
        <v>-2.393649371795091E-2</v>
      </c>
      <c r="M33" s="5">
        <f>K33*L33</f>
        <v>1.7163808117255496E-2</v>
      </c>
      <c r="N33" s="10">
        <f>O6-$N$29</f>
        <v>1.1259968414166019</v>
      </c>
      <c r="O33" s="10">
        <f>P6-$O$29</f>
        <v>2.441934039456839E-2</v>
      </c>
      <c r="P33" s="10">
        <f>N33^2</f>
        <v>1.2678688868801642</v>
      </c>
      <c r="Q33" s="22">
        <f>N33*O33</f>
        <v>2.7496100153760843E-2</v>
      </c>
      <c r="R33" s="10">
        <f>R6-$R$29</f>
        <v>0.57814531660300439</v>
      </c>
      <c r="S33" s="10">
        <f>S6-$S$29</f>
        <v>2.4610657310659229E-2</v>
      </c>
      <c r="T33" s="10">
        <f>R33^2</f>
        <v>0.3342520071099882</v>
      </c>
      <c r="U33" s="22">
        <f>R33*S33</f>
        <v>1.4228536262679125E-2</v>
      </c>
      <c r="V33" s="10">
        <f>U6-$V$29</f>
        <v>0.44272725492211018</v>
      </c>
      <c r="W33" s="10">
        <f>V6-$W$29</f>
        <v>2.4675132090188845E-2</v>
      </c>
      <c r="X33" s="10">
        <f>V33^2</f>
        <v>0.19600742225086712</v>
      </c>
      <c r="Y33" s="22">
        <f>V33*W33</f>
        <v>1.0924353495129779E-2</v>
      </c>
      <c r="Z33" s="10">
        <f>X6-$Z$29</f>
        <v>0.25047533621812335</v>
      </c>
      <c r="AA33" s="10">
        <f>Y6-$AA$29</f>
        <v>2.4720522413888085E-2</v>
      </c>
      <c r="AB33" s="10">
        <f>Z33^2</f>
        <v>6.2737894053581933E-2</v>
      </c>
      <c r="AC33" s="22">
        <f>Z33*AA33</f>
        <v>6.1918811631062722E-3</v>
      </c>
      <c r="AD33" s="10">
        <f>AA6-$AD$29</f>
        <v>0.21314097983248725</v>
      </c>
      <c r="AE33" s="10">
        <f>AB6-$AE$29</f>
        <v>2.4756716291026493E-2</v>
      </c>
      <c r="AF33" s="10">
        <f>AD33^2</f>
        <v>4.5429077283952742E-2</v>
      </c>
      <c r="AG33" s="22">
        <f>AD33*AE33</f>
        <v>5.2766707677042862E-3</v>
      </c>
    </row>
    <row r="34" spans="3:33" ht="17" thickBot="1" x14ac:dyDescent="0.25">
      <c r="D34" s="10">
        <f>E34*F34</f>
        <v>0.28407159796915388</v>
      </c>
      <c r="E34" s="10">
        <f>L4-$E$32</f>
        <v>-3.9181473555598982</v>
      </c>
      <c r="F34" s="10">
        <f>M4-$F$32</f>
        <v>-7.2501509563200284E-2</v>
      </c>
      <c r="G34" s="10">
        <f>E34^2</f>
        <v>15.351878699881023</v>
      </c>
      <c r="J34" s="22">
        <f>K34^2</f>
        <v>1.7144876244850791</v>
      </c>
      <c r="K34" s="19">
        <f>L6-$K$31</f>
        <v>1.3093844448767058</v>
      </c>
      <c r="L34" s="25">
        <f t="shared" si="10"/>
        <v>2.4322759031810276E-2</v>
      </c>
      <c r="M34" s="5">
        <f>K34*L34</f>
        <v>3.1847842332736784E-2</v>
      </c>
      <c r="N34" s="10">
        <f>O7-$N$29</f>
        <v>2.8628329740709093</v>
      </c>
      <c r="O34" s="10">
        <f>P7-$O$29</f>
        <v>7.2548898219422731E-2</v>
      </c>
      <c r="P34" s="10">
        <f>N34^2</f>
        <v>8.1958126374276876</v>
      </c>
      <c r="Q34" s="22">
        <f>N34*O34</f>
        <v>0.20769537805507768</v>
      </c>
      <c r="R34" s="10">
        <f>R7-$R$29</f>
        <v>1.9498408147807149</v>
      </c>
      <c r="S34" s="10">
        <f>S7-$S$29</f>
        <v>7.3149279079254281E-2</v>
      </c>
      <c r="T34" s="10">
        <f>R34^2</f>
        <v>3.8018792029847224</v>
      </c>
      <c r="U34" s="22">
        <f>R34*S34</f>
        <v>0.14262944992051507</v>
      </c>
      <c r="V34" s="10">
        <f>U7-$V$29</f>
        <v>1.623116045987417</v>
      </c>
      <c r="W34" s="10">
        <f>V7-$W$29</f>
        <v>7.3421787994038645E-2</v>
      </c>
      <c r="X34" s="10">
        <f>V34^2</f>
        <v>2.6345056987418269</v>
      </c>
      <c r="Y34" s="22">
        <f>V34*W34</f>
        <v>0.11917208221821041</v>
      </c>
      <c r="Z34" s="10">
        <f>X7-$Z$29</f>
        <v>1.0649242724122869</v>
      </c>
      <c r="AA34" s="10">
        <f>Y7-$AA$29</f>
        <v>7.372959679621327E-2</v>
      </c>
      <c r="AB34" s="10">
        <f>Z34^2</f>
        <v>1.1340637059728387</v>
      </c>
      <c r="AC34" s="22">
        <f>Z34*AA34</f>
        <v>7.8516437223458704E-2</v>
      </c>
      <c r="AD34" s="10">
        <f>AA7-$AD$29</f>
        <v>0.96550085722501322</v>
      </c>
      <c r="AE34" s="10">
        <f>AB7-$AE$29</f>
        <v>7.3859190268120684E-2</v>
      </c>
      <c r="AF34" s="10">
        <f>AD34^2</f>
        <v>0.93219190530223539</v>
      </c>
      <c r="AG34" s="22">
        <f>AD34*AE34</f>
        <v>7.131111151781587E-2</v>
      </c>
    </row>
    <row r="35" spans="3:33" ht="17" thickBot="1" x14ac:dyDescent="0.25">
      <c r="C35">
        <f>D38/G38</f>
        <v>2.000325903663085E-2</v>
      </c>
      <c r="D35" s="10">
        <f t="shared" ref="D35:D37" si="11">E35*F35</f>
        <v>1.7163808117255496E-2</v>
      </c>
      <c r="E35" s="10">
        <f t="shared" ref="E35:E37" si="12">L5-$E$32</f>
        <v>-0.71705607009533257</v>
      </c>
      <c r="F35" s="10">
        <f t="shared" ref="F35:F37" si="13">M5-$F$32</f>
        <v>-2.393649371795091E-2</v>
      </c>
      <c r="G35" s="10">
        <f t="shared" ref="G35:G37" si="14">E35^2</f>
        <v>0.51416940766056252</v>
      </c>
      <c r="J35" s="22">
        <f>K35^2</f>
        <v>11.061071892906719</v>
      </c>
      <c r="K35" s="19">
        <f>L7-$K$31</f>
        <v>3.3258189807785268</v>
      </c>
      <c r="L35" s="25">
        <f t="shared" si="10"/>
        <v>7.2115244249340932E-2</v>
      </c>
      <c r="M35" s="5">
        <f>K35*L35</f>
        <v>0.23984224812793759</v>
      </c>
      <c r="N35" s="58"/>
      <c r="O35" s="59"/>
      <c r="P35" s="27">
        <f>SUM(P31:P34)</f>
        <v>19.132725208514039</v>
      </c>
      <c r="Q35" s="29">
        <f>SUM(Q31:Q34)</f>
        <v>0.47392036878645871</v>
      </c>
      <c r="T35" s="27">
        <f>SUM(T31:T34)</f>
        <v>8.3288293270657618</v>
      </c>
      <c r="U35" s="29">
        <f>SUM(U31:U34)</f>
        <v>0.31512969589472695</v>
      </c>
      <c r="V35" s="10"/>
      <c r="X35" s="27">
        <f>SUM(X31:X34)</f>
        <v>5.4831859870822148</v>
      </c>
      <c r="Y35" s="28">
        <f>SUM(Y31:Y34)</f>
        <v>0.25652944855210191</v>
      </c>
      <c r="AB35" s="27">
        <f>SUM(AB31:AB34)</f>
        <v>2.1777520332538529</v>
      </c>
      <c r="AC35" s="28">
        <f>SUM(AC31:AC34)</f>
        <v>0.16135078644731646</v>
      </c>
      <c r="AF35" s="27">
        <f>SUM(AF31:AF34)</f>
        <v>1.8547491122838076</v>
      </c>
      <c r="AG35" s="28">
        <f>SUM(AG31:AG34)</f>
        <v>0.14964136706532266</v>
      </c>
    </row>
    <row r="36" spans="3:33" ht="17" thickBot="1" x14ac:dyDescent="0.25">
      <c r="D36" s="10">
        <f t="shared" si="11"/>
        <v>3.1847842332736784E-2</v>
      </c>
      <c r="E36" s="10">
        <f t="shared" si="12"/>
        <v>1.3093844448767058</v>
      </c>
      <c r="F36" s="10">
        <f t="shared" si="13"/>
        <v>2.4322759031810276E-2</v>
      </c>
      <c r="G36" s="10">
        <f t="shared" si="14"/>
        <v>1.7144876244850791</v>
      </c>
      <c r="K36" t="s">
        <v>30</v>
      </c>
      <c r="L36" t="s">
        <v>30</v>
      </c>
      <c r="M36" t="s">
        <v>30</v>
      </c>
      <c r="U36" s="17"/>
      <c r="Y36" s="17"/>
      <c r="AC36" s="17"/>
      <c r="AG36" s="17"/>
    </row>
    <row r="37" spans="3:33" ht="17" thickBot="1" x14ac:dyDescent="0.25">
      <c r="D37" s="10">
        <f t="shared" si="11"/>
        <v>0.23984224812793759</v>
      </c>
      <c r="E37" s="10">
        <f t="shared" si="12"/>
        <v>3.3258189807785268</v>
      </c>
      <c r="F37" s="10">
        <f t="shared" si="13"/>
        <v>7.2115244249340932E-2</v>
      </c>
      <c r="G37" s="10">
        <f t="shared" si="14"/>
        <v>11.061071892906719</v>
      </c>
      <c r="J37" s="10">
        <f>SUM(J32:J35)</f>
        <v>28.641607624933386</v>
      </c>
      <c r="K37" s="10">
        <f>SUM(K32:K35)</f>
        <v>0</v>
      </c>
      <c r="L37" s="10">
        <f>SUM(L32:L35)</f>
        <v>0</v>
      </c>
      <c r="M37" s="10">
        <f>SUM(M32:M35)</f>
        <v>0.5729254965470838</v>
      </c>
      <c r="N37" s="60">
        <f>Q35/P35</f>
        <v>2.4770144536208818E-2</v>
      </c>
      <c r="O37" s="61"/>
      <c r="R37" s="60">
        <f>U35/T35</f>
        <v>3.7836013144208203E-2</v>
      </c>
      <c r="S37" s="61"/>
      <c r="T37" s="30"/>
      <c r="V37" s="60">
        <f>Y35/X35</f>
        <v>4.6784743241695098E-2</v>
      </c>
      <c r="W37" s="61"/>
      <c r="Z37" s="60">
        <f>AC35/AB35</f>
        <v>7.409052269657937E-2</v>
      </c>
      <c r="AA37" s="61"/>
      <c r="AD37" s="60">
        <f>AG35/AF35</f>
        <v>8.0680112514551802E-2</v>
      </c>
      <c r="AE37" s="61"/>
    </row>
    <row r="38" spans="3:33" ht="17" thickBot="1" x14ac:dyDescent="0.25">
      <c r="D38" s="27">
        <f>SUM(D34:D37)</f>
        <v>0.5729254965470838</v>
      </c>
      <c r="E38" s="33"/>
      <c r="F38" s="33"/>
      <c r="G38" s="28">
        <f>SUM(G34:G37)</f>
        <v>28.641607624933386</v>
      </c>
      <c r="T38" s="31"/>
    </row>
    <row r="39" spans="3:33" x14ac:dyDescent="0.2">
      <c r="K39" s="1" t="s">
        <v>31</v>
      </c>
      <c r="L39" s="1" t="s">
        <v>32</v>
      </c>
      <c r="M39" s="1" t="s">
        <v>33</v>
      </c>
      <c r="N39" s="1" t="s">
        <v>34</v>
      </c>
      <c r="O39" s="1" t="s">
        <v>35</v>
      </c>
      <c r="P39" s="1" t="s">
        <v>36</v>
      </c>
    </row>
    <row r="40" spans="3:33" x14ac:dyDescent="0.2">
      <c r="K40" s="5">
        <f>M37/J37</f>
        <v>2.000325903663085E-2</v>
      </c>
      <c r="L40" s="5">
        <f>N37</f>
        <v>2.4770144536208818E-2</v>
      </c>
      <c r="M40" s="5">
        <f>R37</f>
        <v>3.7836013144208203E-2</v>
      </c>
      <c r="N40" s="5">
        <f>V37</f>
        <v>4.6784743241695098E-2</v>
      </c>
      <c r="O40" s="5">
        <f>Z37</f>
        <v>7.409052269657937E-2</v>
      </c>
      <c r="P40" s="5">
        <f>AD37</f>
        <v>8.0680112514551802E-2</v>
      </c>
    </row>
    <row r="42" spans="3:33" x14ac:dyDescent="0.2">
      <c r="J42" s="49"/>
      <c r="K42" s="1">
        <v>1</v>
      </c>
      <c r="L42" s="1">
        <v>2</v>
      </c>
      <c r="M42" s="1">
        <v>3</v>
      </c>
      <c r="N42" s="1">
        <v>4</v>
      </c>
      <c r="O42" s="1">
        <v>5</v>
      </c>
      <c r="P42" s="1">
        <v>6</v>
      </c>
    </row>
    <row r="43" spans="3:33" x14ac:dyDescent="0.2">
      <c r="J43" s="50"/>
      <c r="K43" s="5">
        <f>L31-K40*K31</f>
        <v>2.5875877466454145E-3</v>
      </c>
      <c r="L43" s="5">
        <f>O29-L40*N29</f>
        <v>1.020558736025988E-2</v>
      </c>
      <c r="M43" s="5">
        <f>S29-(M40*R29)</f>
        <v>3.5147349631531322E-5</v>
      </c>
      <c r="N43" s="5">
        <f>W29-N40*V29</f>
        <v>8.3440140167408416E-3</v>
      </c>
      <c r="O43" s="5">
        <f>AA29-O40*Z29</f>
        <v>-2.6104178574431397E-2</v>
      </c>
      <c r="P43" s="5">
        <f>AE29-P40*AD29</f>
        <v>4.4622968438592925E-4</v>
      </c>
      <c r="Q43" s="10">
        <f>AVERAGE(K43:P43)</f>
        <v>-7.4760206946130009E-4</v>
      </c>
    </row>
    <row r="45" spans="3:33" x14ac:dyDescent="0.2">
      <c r="J45" s="1" t="s">
        <v>13</v>
      </c>
      <c r="K45" s="32">
        <f>K43</f>
        <v>2.5875877466454145E-3</v>
      </c>
      <c r="L45" s="32">
        <f t="shared" ref="L45:P45" si="15">L43</f>
        <v>1.020558736025988E-2</v>
      </c>
      <c r="M45" s="32">
        <f t="shared" si="15"/>
        <v>3.5147349631531322E-5</v>
      </c>
      <c r="N45" s="32">
        <f t="shared" si="15"/>
        <v>8.3440140167408416E-3</v>
      </c>
      <c r="O45" s="32">
        <f t="shared" si="15"/>
        <v>-2.6104178574431397E-2</v>
      </c>
      <c r="P45" s="32">
        <f t="shared" si="15"/>
        <v>4.4622968438592925E-4</v>
      </c>
    </row>
    <row r="46" spans="3:33" x14ac:dyDescent="0.2">
      <c r="J46" s="46"/>
      <c r="K46" s="47"/>
      <c r="L46" s="47"/>
      <c r="M46" s="47"/>
      <c r="N46" s="47"/>
      <c r="O46" s="47"/>
      <c r="P46" s="48"/>
    </row>
    <row r="47" spans="3:33" x14ac:dyDescent="0.2">
      <c r="J47" s="1" t="s">
        <v>27</v>
      </c>
      <c r="K47" s="5">
        <f>K40</f>
        <v>2.000325903663085E-2</v>
      </c>
      <c r="L47" s="5">
        <f t="shared" ref="L47:P47" si="16">L40</f>
        <v>2.4770144536208818E-2</v>
      </c>
      <c r="M47" s="5">
        <f t="shared" si="16"/>
        <v>3.7836013144208203E-2</v>
      </c>
      <c r="N47" s="5">
        <f t="shared" si="16"/>
        <v>4.6784743241695098E-2</v>
      </c>
      <c r="O47" s="5">
        <f t="shared" si="16"/>
        <v>7.409052269657937E-2</v>
      </c>
      <c r="P47" s="5">
        <f t="shared" si="16"/>
        <v>8.0680112514551802E-2</v>
      </c>
    </row>
    <row r="49" spans="10:16" x14ac:dyDescent="0.2">
      <c r="J49" s="1" t="s">
        <v>25</v>
      </c>
      <c r="K49" s="1"/>
      <c r="L49" s="1"/>
      <c r="M49" s="1"/>
      <c r="N49" s="1"/>
      <c r="O49" s="1"/>
      <c r="P49" s="1"/>
    </row>
    <row r="50" spans="10:16" x14ac:dyDescent="0.2">
      <c r="J50" s="1" t="s">
        <v>26</v>
      </c>
      <c r="K50" s="1"/>
      <c r="L50" s="1"/>
      <c r="M50" s="1"/>
      <c r="N50" s="1"/>
      <c r="O50" s="1"/>
      <c r="P50" s="1"/>
    </row>
    <row r="51" spans="10:16" x14ac:dyDescent="0.2">
      <c r="J51" s="1" t="s">
        <v>27</v>
      </c>
      <c r="K51" s="1"/>
      <c r="L51" s="32"/>
      <c r="M51" s="1"/>
      <c r="N51" s="1"/>
      <c r="O51" s="1"/>
      <c r="P51" s="1"/>
    </row>
  </sheetData>
  <mergeCells count="38">
    <mergeCell ref="A15:A18"/>
    <mergeCell ref="J1:J2"/>
    <mergeCell ref="K2:M2"/>
    <mergeCell ref="N2:P2"/>
    <mergeCell ref="A1:A2"/>
    <mergeCell ref="B1:G1"/>
    <mergeCell ref="A3:A6"/>
    <mergeCell ref="A7:A10"/>
    <mergeCell ref="A11:A14"/>
    <mergeCell ref="K8:K9"/>
    <mergeCell ref="L8:M9"/>
    <mergeCell ref="L10:M10"/>
    <mergeCell ref="J8:J9"/>
    <mergeCell ref="K1:AB1"/>
    <mergeCell ref="J12:K12"/>
    <mergeCell ref="Q2:S2"/>
    <mergeCell ref="T2:V2"/>
    <mergeCell ref="W2:Y2"/>
    <mergeCell ref="Z2:AB2"/>
    <mergeCell ref="AD28:AG28"/>
    <mergeCell ref="V37:W37"/>
    <mergeCell ref="Z37:AA37"/>
    <mergeCell ref="AD37:AE37"/>
    <mergeCell ref="Z28:AC28"/>
    <mergeCell ref="J46:P46"/>
    <mergeCell ref="J42:J43"/>
    <mergeCell ref="N8:O9"/>
    <mergeCell ref="N10:O10"/>
    <mergeCell ref="V28:Y28"/>
    <mergeCell ref="N35:O35"/>
    <mergeCell ref="N37:O37"/>
    <mergeCell ref="R37:S37"/>
    <mergeCell ref="K28:M28"/>
    <mergeCell ref="J20:K20"/>
    <mergeCell ref="L20:M20"/>
    <mergeCell ref="N20:R20"/>
    <mergeCell ref="N28:Q28"/>
    <mergeCell ref="R28:U28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A33FD-F2EA-8149-AB3F-1F6F6E46C22B}">
  <dimension ref="A1:V34"/>
  <sheetViews>
    <sheetView zoomScale="145" zoomScaleNormal="235" workbookViewId="0">
      <selection activeCell="I30" sqref="I30"/>
    </sheetView>
  </sheetViews>
  <sheetFormatPr baseColWidth="10" defaultColWidth="11" defaultRowHeight="16" x14ac:dyDescent="0.2"/>
  <cols>
    <col min="3" max="3" width="14.33203125" customWidth="1"/>
    <col min="5" max="5" width="10.5" customWidth="1"/>
    <col min="6" max="6" width="12.83203125" customWidth="1"/>
    <col min="8" max="8" width="16" bestFit="1" customWidth="1"/>
  </cols>
  <sheetData>
    <row r="1" spans="1:22" x14ac:dyDescent="0.2">
      <c r="A1" s="1" t="s">
        <v>24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 t="s">
        <v>29</v>
      </c>
      <c r="M1" s="1" t="s">
        <v>39</v>
      </c>
      <c r="N1" s="1">
        <v>1</v>
      </c>
      <c r="O1" s="1">
        <v>2</v>
      </c>
      <c r="P1" s="1">
        <v>3</v>
      </c>
      <c r="Q1" s="1">
        <v>4</v>
      </c>
      <c r="R1" s="1">
        <v>5</v>
      </c>
      <c r="S1" s="1">
        <v>6</v>
      </c>
      <c r="V1" t="s">
        <v>40</v>
      </c>
    </row>
    <row r="2" spans="1:22" x14ac:dyDescent="0.2">
      <c r="A2" s="1" t="s">
        <v>25</v>
      </c>
      <c r="B2" s="1">
        <f>B6</f>
        <v>7.6999999999999999E-2</v>
      </c>
      <c r="C2" s="1">
        <f>B2+$A$8</f>
        <v>0.10200000000000001</v>
      </c>
      <c r="D2" s="1">
        <f>C2+$A$8</f>
        <v>0.127</v>
      </c>
      <c r="E2" s="1">
        <f>D2+$A$8</f>
        <v>0.152</v>
      </c>
      <c r="F2" s="1">
        <f>E2+$A$8</f>
        <v>0.17699999999999999</v>
      </c>
      <c r="G2" s="1">
        <f>F2+$A$8</f>
        <v>0.20199999999999999</v>
      </c>
      <c r="H2" s="5">
        <f>AVERAGE(B2:G2)</f>
        <v>0.13949999999999999</v>
      </c>
      <c r="M2" s="1" t="s">
        <v>41</v>
      </c>
      <c r="N2" s="1">
        <v>5.7000000000000002E-2</v>
      </c>
      <c r="O2" s="46"/>
      <c r="P2" s="47"/>
      <c r="Q2" s="47"/>
      <c r="R2" s="47"/>
      <c r="S2" s="48"/>
      <c r="U2">
        <v>2.5000000000000001E-2</v>
      </c>
      <c r="V2">
        <v>0.04</v>
      </c>
    </row>
    <row r="3" spans="1:22" x14ac:dyDescent="0.2">
      <c r="A3" s="1" t="s">
        <v>26</v>
      </c>
      <c r="B3" s="5">
        <f t="shared" ref="B3:G3" si="0">B2^2</f>
        <v>5.9290000000000002E-3</v>
      </c>
      <c r="C3" s="5">
        <f t="shared" si="0"/>
        <v>1.0404000000000002E-2</v>
      </c>
      <c r="D3" s="5">
        <f t="shared" si="0"/>
        <v>1.6129000000000001E-2</v>
      </c>
      <c r="E3" s="5">
        <f t="shared" si="0"/>
        <v>2.3104E-2</v>
      </c>
      <c r="F3" s="5">
        <f t="shared" si="0"/>
        <v>3.1328999999999996E-2</v>
      </c>
      <c r="G3" s="5">
        <f t="shared" si="0"/>
        <v>4.0803999999999993E-2</v>
      </c>
      <c r="H3" s="5">
        <f>AVERAGE(B3:G3)</f>
        <v>2.1283166666666669E-2</v>
      </c>
      <c r="M3" s="1"/>
      <c r="N3" s="1">
        <f>$N$2+(N1-1)*$U$2+1/2*$V$2</f>
        <v>7.6999999999999999E-2</v>
      </c>
      <c r="O3" s="1">
        <f t="shared" ref="O3:S3" si="1">$N$2+(O1-1)*$U$2+1/2*$V$2</f>
        <v>0.10200000000000001</v>
      </c>
      <c r="P3" s="1">
        <f t="shared" si="1"/>
        <v>0.127</v>
      </c>
      <c r="Q3" s="1">
        <f t="shared" si="1"/>
        <v>0.152</v>
      </c>
      <c r="R3" s="1">
        <f t="shared" si="1"/>
        <v>0.17699999999999999</v>
      </c>
      <c r="S3" s="1">
        <f t="shared" si="1"/>
        <v>0.20199999999999999</v>
      </c>
    </row>
    <row r="4" spans="1:22" x14ac:dyDescent="0.2">
      <c r="A4" s="1" t="s">
        <v>27</v>
      </c>
      <c r="B4" s="5">
        <f>Лист1!K40</f>
        <v>2.000325903663085E-2</v>
      </c>
      <c r="C4" s="5">
        <f>Лист1!L40</f>
        <v>2.4770144536208818E-2</v>
      </c>
      <c r="D4" s="5">
        <f>Лист1!M40</f>
        <v>3.7836013144208203E-2</v>
      </c>
      <c r="E4" s="5">
        <f>Лист1!N40</f>
        <v>4.6784743241695098E-2</v>
      </c>
      <c r="F4" s="5">
        <f>Лист1!O40</f>
        <v>7.409052269657937E-2</v>
      </c>
      <c r="G4" s="5">
        <f>Лист1!P40</f>
        <v>8.0680112514551802E-2</v>
      </c>
      <c r="H4" s="5">
        <f>AVERAGE(B4:G4)</f>
        <v>4.7360799194979021E-2</v>
      </c>
      <c r="M4" s="1" t="s">
        <v>26</v>
      </c>
      <c r="N4" s="5">
        <f>N3^2</f>
        <v>5.9290000000000002E-3</v>
      </c>
      <c r="O4" s="5">
        <f t="shared" ref="O4:S4" si="2">O3^2</f>
        <v>1.0404000000000002E-2</v>
      </c>
      <c r="P4" s="5">
        <f t="shared" si="2"/>
        <v>1.6129000000000001E-2</v>
      </c>
      <c r="Q4" s="5">
        <f t="shared" si="2"/>
        <v>2.3104E-2</v>
      </c>
      <c r="R4" s="5">
        <f t="shared" si="2"/>
        <v>3.1328999999999996E-2</v>
      </c>
      <c r="S4" s="5">
        <f t="shared" si="2"/>
        <v>4.0803999999999993E-2</v>
      </c>
    </row>
    <row r="6" spans="1:22" x14ac:dyDescent="0.2">
      <c r="A6" t="s">
        <v>25</v>
      </c>
      <c r="B6">
        <f>0.057 + (0.04/2)</f>
        <v>7.6999999999999999E-2</v>
      </c>
      <c r="H6" s="10">
        <f>H2^2</f>
        <v>1.9460249999999995E-2</v>
      </c>
    </row>
    <row r="7" spans="1:22" ht="16" customHeight="1" x14ac:dyDescent="0.2">
      <c r="A7" s="57" t="s">
        <v>28</v>
      </c>
      <c r="B7" s="57"/>
    </row>
    <row r="8" spans="1:22" ht="16" customHeight="1" x14ac:dyDescent="0.2">
      <c r="A8" s="57">
        <v>2.5000000000000001E-2</v>
      </c>
      <c r="B8" s="57"/>
      <c r="C8" s="1">
        <v>1</v>
      </c>
      <c r="D8" s="1">
        <v>2</v>
      </c>
      <c r="E8" s="1">
        <v>3</v>
      </c>
      <c r="F8" s="1">
        <v>4</v>
      </c>
      <c r="G8" s="1">
        <v>5</v>
      </c>
      <c r="H8" s="1">
        <v>6</v>
      </c>
    </row>
    <row r="9" spans="1:22" x14ac:dyDescent="0.2">
      <c r="C9" s="5">
        <f>Лист1!L31 - B4 * Лист1!K31</f>
        <v>2.5875877466454145E-3</v>
      </c>
      <c r="D9" s="5">
        <f>Лист1!O29 - C4 * Лист1!N29</f>
        <v>1.020558736025988E-2</v>
      </c>
      <c r="E9" s="5">
        <f>Лист1!S29-D4*Лист1!R29</f>
        <v>3.5147349631531322E-5</v>
      </c>
      <c r="F9" s="5">
        <f>Лист1!W29-E4*Лист1!V29</f>
        <v>8.3440140167408416E-3</v>
      </c>
      <c r="G9" s="5">
        <f>Лист1!AA29-F4*Лист1!Z29</f>
        <v>-2.6104178574431397E-2</v>
      </c>
      <c r="H9" s="5">
        <f>Лист1!AE29-G4*Лист1!AD29</f>
        <v>4.4622968438592925E-4</v>
      </c>
    </row>
    <row r="11" spans="1:22" x14ac:dyDescent="0.2">
      <c r="A11" s="1"/>
      <c r="B11" s="1"/>
      <c r="C11" s="5">
        <f>SUM(C13:C18)</f>
        <v>1.6328062706472384E-3</v>
      </c>
      <c r="D11" s="1"/>
      <c r="E11" s="1"/>
      <c r="F11" s="5">
        <f>SUM(F13:F18)</f>
        <v>8.8590742187499968E-4</v>
      </c>
    </row>
    <row r="12" spans="1:22" x14ac:dyDescent="0.2">
      <c r="A12" s="1"/>
      <c r="B12" s="1"/>
      <c r="C12" s="1"/>
      <c r="D12" s="1"/>
      <c r="E12" s="1"/>
      <c r="F12" s="1"/>
    </row>
    <row r="13" spans="1:22" x14ac:dyDescent="0.2">
      <c r="A13" s="73">
        <f>D21</f>
        <v>1.843089052343017</v>
      </c>
      <c r="B13" s="74"/>
      <c r="C13" s="5">
        <f t="shared" ref="C13:C18" si="3">D13*E13</f>
        <v>3.7018171526764852E-4</v>
      </c>
      <c r="D13" s="5">
        <f>B3-$H$6</f>
        <v>-1.3531249999999995E-2</v>
      </c>
      <c r="E13" s="5">
        <f>B4-$H$4</f>
        <v>-2.7357540158348171E-2</v>
      </c>
      <c r="F13" s="5">
        <f t="shared" ref="F13:F18" si="4">D13^2</f>
        <v>1.8309472656249985E-4</v>
      </c>
      <c r="G13" t="b">
        <f>$H$13=F13</f>
        <v>0</v>
      </c>
      <c r="H13">
        <v>0</v>
      </c>
    </row>
    <row r="14" spans="1:22" x14ac:dyDescent="0.2">
      <c r="A14" s="58"/>
      <c r="B14" s="75"/>
      <c r="C14" s="5">
        <f t="shared" si="3"/>
        <v>2.0458661625348749E-4</v>
      </c>
      <c r="D14" s="5">
        <f>C3-$H$6</f>
        <v>-9.0562499999999931E-3</v>
      </c>
      <c r="E14" s="5">
        <f>C4-H4</f>
        <v>-2.2590654658770203E-2</v>
      </c>
      <c r="F14" s="5">
        <f t="shared" si="4"/>
        <v>8.2015664062499874E-5</v>
      </c>
      <c r="G14" t="b">
        <f t="shared" ref="G14:G18" si="5">$H$13=F14</f>
        <v>0</v>
      </c>
    </row>
    <row r="15" spans="1:22" x14ac:dyDescent="0.2">
      <c r="A15" s="58"/>
      <c r="B15" s="75"/>
      <c r="C15" s="5">
        <f t="shared" si="3"/>
        <v>3.1729443531630233E-5</v>
      </c>
      <c r="D15" s="5">
        <f>D3-$H$6</f>
        <v>-3.3312499999999939E-3</v>
      </c>
      <c r="E15" s="5">
        <f>D4-H4</f>
        <v>-9.5247860507708185E-3</v>
      </c>
      <c r="F15" s="5">
        <f t="shared" si="4"/>
        <v>1.1097226562499959E-5</v>
      </c>
      <c r="G15" t="b">
        <f t="shared" si="5"/>
        <v>0</v>
      </c>
    </row>
    <row r="16" spans="1:22" x14ac:dyDescent="0.2">
      <c r="A16" s="58"/>
      <c r="B16" s="75"/>
      <c r="C16" s="5">
        <f t="shared" si="3"/>
        <v>-2.099003879778297E-6</v>
      </c>
      <c r="D16" s="5">
        <f>E3-$H$6</f>
        <v>3.6437500000000046E-3</v>
      </c>
      <c r="E16" s="5">
        <f>E4-H4</f>
        <v>-5.7605595328392295E-4</v>
      </c>
      <c r="F16" s="5">
        <f t="shared" si="4"/>
        <v>1.3276914062500033E-5</v>
      </c>
      <c r="G16" t="b">
        <f t="shared" si="5"/>
        <v>0</v>
      </c>
    </row>
    <row r="17" spans="1:13" x14ac:dyDescent="0.2">
      <c r="A17" s="58"/>
      <c r="B17" s="75"/>
      <c r="C17" s="5">
        <f t="shared" si="3"/>
        <v>3.1724840580961915E-4</v>
      </c>
      <c r="D17" s="5">
        <f>F3-$H$6</f>
        <v>1.1868750000000001E-2</v>
      </c>
      <c r="E17" s="5">
        <f>F4-H4</f>
        <v>2.6729723501600348E-2</v>
      </c>
      <c r="F17" s="5">
        <f t="shared" si="4"/>
        <v>1.4086722656250002E-4</v>
      </c>
      <c r="G17" t="b">
        <f t="shared" si="5"/>
        <v>0</v>
      </c>
    </row>
    <row r="18" spans="1:13" x14ac:dyDescent="0.2">
      <c r="A18" s="76"/>
      <c r="B18" s="77"/>
      <c r="C18" s="5">
        <f t="shared" si="3"/>
        <v>7.1115909366463144E-4</v>
      </c>
      <c r="D18" s="5">
        <f>G3-$H$6</f>
        <v>2.1343749999999998E-2</v>
      </c>
      <c r="E18" s="5">
        <f>G4-H4</f>
        <v>3.3319313319572781E-2</v>
      </c>
      <c r="F18" s="5">
        <f t="shared" si="4"/>
        <v>4.5555566406249993E-4</v>
      </c>
      <c r="G18" t="b">
        <f t="shared" si="5"/>
        <v>0</v>
      </c>
    </row>
    <row r="20" spans="1:13" x14ac:dyDescent="0.2">
      <c r="E20" s="10"/>
    </row>
    <row r="21" spans="1:13" x14ac:dyDescent="0.2">
      <c r="A21" s="59">
        <f>H4-A13*H3</f>
        <v>8.1340277124538618E-3</v>
      </c>
      <c r="B21" s="59"/>
      <c r="D21" s="10">
        <f>C11/F11</f>
        <v>1.843089052343017</v>
      </c>
    </row>
    <row r="23" spans="1:13" x14ac:dyDescent="0.2">
      <c r="A23" s="1" t="s">
        <v>42</v>
      </c>
      <c r="B23" s="5">
        <f>A13/4</f>
        <v>0.46077226308575425</v>
      </c>
      <c r="E23" s="1"/>
      <c r="F23" s="1" t="s">
        <v>39</v>
      </c>
      <c r="G23" s="1">
        <v>1</v>
      </c>
      <c r="H23" s="1">
        <v>2</v>
      </c>
      <c r="I23" s="1">
        <v>3</v>
      </c>
      <c r="J23" s="1">
        <v>4</v>
      </c>
      <c r="K23" s="1">
        <v>5</v>
      </c>
      <c r="L23" s="1">
        <v>6</v>
      </c>
    </row>
    <row r="24" spans="1:13" ht="17" thickBot="1" x14ac:dyDescent="0.25">
      <c r="A24" s="1" t="s">
        <v>43</v>
      </c>
      <c r="B24" s="5">
        <f>A21</f>
        <v>8.1340277124538618E-3</v>
      </c>
      <c r="E24" s="1"/>
      <c r="F24" s="1"/>
      <c r="G24" s="5">
        <f>B4-($B$24+$A$13*B3)</f>
        <v>9.4155633283523818E-4</v>
      </c>
      <c r="H24" s="5">
        <f t="shared" ref="H24:K24" si="6">C4-($B$24+$A$13*C3)</f>
        <v>-2.5393816768217968E-3</v>
      </c>
      <c r="I24" s="5">
        <f t="shared" si="6"/>
        <v>-2.5197893486178513E-5</v>
      </c>
      <c r="J24" s="5">
        <f t="shared" si="6"/>
        <v>-3.9320139360918271E-3</v>
      </c>
      <c r="K24" s="5">
        <f t="shared" si="6"/>
        <v>8.2143580632711433E-3</v>
      </c>
      <c r="L24" s="5">
        <f>G4-($B$24+$A$13*G3)</f>
        <v>-2.6593208897065096E-3</v>
      </c>
    </row>
    <row r="25" spans="1:13" x14ac:dyDescent="0.2">
      <c r="E25" s="1"/>
      <c r="F25" s="1" t="s">
        <v>44</v>
      </c>
      <c r="G25" s="5">
        <f>G24^2</f>
        <v>8.8652832790214181E-7</v>
      </c>
      <c r="H25" s="5">
        <f t="shared" ref="H25:L25" si="7">H24^2</f>
        <v>6.4484593005782808E-6</v>
      </c>
      <c r="I25" s="5">
        <f t="shared" si="7"/>
        <v>6.3493383614079758E-10</v>
      </c>
      <c r="J25" s="5">
        <f t="shared" si="7"/>
        <v>1.5460733593620343E-5</v>
      </c>
      <c r="K25" s="5">
        <f t="shared" si="7"/>
        <v>6.747567839162765E-5</v>
      </c>
      <c r="L25" s="34">
        <f t="shared" si="7"/>
        <v>7.0719875944294219E-6</v>
      </c>
      <c r="M25" s="35">
        <f>SUM(G25:L25)</f>
        <v>9.734402214199399E-5</v>
      </c>
    </row>
    <row r="26" spans="1:13" ht="17" thickBot="1" x14ac:dyDescent="0.25">
      <c r="E26" s="1"/>
      <c r="F26" s="6" t="s">
        <v>45</v>
      </c>
      <c r="G26" s="5">
        <f>B3-$H$2^2</f>
        <v>-1.3531249999999995E-2</v>
      </c>
      <c r="H26" s="5">
        <f t="shared" ref="H26:L26" si="8">C3-$H$2^2</f>
        <v>-9.0562499999999931E-3</v>
      </c>
      <c r="I26" s="5">
        <f t="shared" si="8"/>
        <v>-3.3312499999999939E-3</v>
      </c>
      <c r="J26" s="5">
        <f t="shared" si="8"/>
        <v>3.6437500000000046E-3</v>
      </c>
      <c r="K26" s="5">
        <f t="shared" si="8"/>
        <v>1.1868750000000001E-2</v>
      </c>
      <c r="L26" s="34">
        <f t="shared" si="8"/>
        <v>2.1343749999999998E-2</v>
      </c>
      <c r="M26" s="36">
        <f>SUM(G26:L26)</f>
        <v>1.093750000000002E-2</v>
      </c>
    </row>
    <row r="27" spans="1:13" x14ac:dyDescent="0.2">
      <c r="C27" s="1" t="s">
        <v>39</v>
      </c>
      <c r="F27" s="39"/>
      <c r="G27" s="37"/>
      <c r="H27" s="32">
        <f>M25/(C28-2)</f>
        <v>2.4336005535498497E-5</v>
      </c>
    </row>
    <row r="28" spans="1:13" ht="17" thickBot="1" x14ac:dyDescent="0.25">
      <c r="C28" s="1">
        <v>6</v>
      </c>
      <c r="F28" s="40">
        <f>SQRT(H29)</f>
        <v>6.8815098795901629E-3</v>
      </c>
      <c r="G28" s="37"/>
      <c r="H28" s="5">
        <f>(1/C28)+((H2^2)/M26)</f>
        <v>1.9458895238095202</v>
      </c>
      <c r="J28" s="44">
        <f>2*F28</f>
        <v>1.3763019759180326E-2</v>
      </c>
    </row>
    <row r="29" spans="1:13" ht="17" thickBot="1" x14ac:dyDescent="0.25">
      <c r="F29" s="38"/>
      <c r="G29" s="1"/>
      <c r="H29" s="5">
        <f>H27*H28</f>
        <v>4.7355178222897022E-5</v>
      </c>
    </row>
    <row r="30" spans="1:13" ht="17" thickBot="1" x14ac:dyDescent="0.25">
      <c r="B30" s="51" t="s">
        <v>46</v>
      </c>
      <c r="C30" s="52"/>
    </row>
    <row r="31" spans="1:13" x14ac:dyDescent="0.2">
      <c r="B31" s="15"/>
      <c r="C31" s="41"/>
      <c r="F31" s="39"/>
      <c r="G31" s="37"/>
      <c r="H31" s="5">
        <f>1/M26</f>
        <v>91.42857142857126</v>
      </c>
    </row>
    <row r="32" spans="1:13" ht="17" thickBot="1" x14ac:dyDescent="0.25">
      <c r="B32" s="42">
        <f>J32/4</f>
        <v>2.3584985798111212E-2</v>
      </c>
      <c r="C32" s="43">
        <f>J28</f>
        <v>1.3763019759180326E-2</v>
      </c>
      <c r="F32" s="40">
        <f>H34</f>
        <v>4.7169971596222424E-2</v>
      </c>
      <c r="G32" s="37"/>
      <c r="H32" s="45">
        <f>M25/(C28-2)</f>
        <v>2.4336005535498497E-5</v>
      </c>
      <c r="J32" s="10">
        <f>2*F32</f>
        <v>9.4339943192444847E-2</v>
      </c>
    </row>
    <row r="33" spans="6:8" x14ac:dyDescent="0.2">
      <c r="F33" s="38"/>
      <c r="G33" s="1"/>
      <c r="H33" s="5">
        <f>H31*H32</f>
        <v>2.22500622038843E-3</v>
      </c>
    </row>
    <row r="34" spans="6:8" x14ac:dyDescent="0.2">
      <c r="F34" s="1"/>
      <c r="G34" s="1"/>
      <c r="H34" s="5">
        <f>SQRT(H33)</f>
        <v>4.7169971596222424E-2</v>
      </c>
    </row>
  </sheetData>
  <mergeCells count="6">
    <mergeCell ref="O2:S2"/>
    <mergeCell ref="B30:C30"/>
    <mergeCell ref="A21:B21"/>
    <mergeCell ref="A7:B7"/>
    <mergeCell ref="A8:B8"/>
    <mergeCell ref="A13:B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Васильков Дмитрий</dc:creator>
  <cp:keywords/>
  <dc:description/>
  <cp:lastModifiedBy>Васильков Дмитрий Алексеевич</cp:lastModifiedBy>
  <cp:revision/>
  <dcterms:created xsi:type="dcterms:W3CDTF">2023-09-13T14:35:01Z</dcterms:created>
  <dcterms:modified xsi:type="dcterms:W3CDTF">2023-10-13T23:02:47Z</dcterms:modified>
  <cp:category/>
  <cp:contentStatus/>
</cp:coreProperties>
</file>