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itryvasilkov/Desktop/"/>
    </mc:Choice>
  </mc:AlternateContent>
  <xr:revisionPtr revIDLastSave="0" documentId="8_{06D1C656-9483-BA43-B23C-64AD23A41811}" xr6:coauthVersionLast="47" xr6:coauthVersionMax="47" xr10:uidLastSave="{00000000-0000-0000-0000-000000000000}"/>
  <bookViews>
    <workbookView xWindow="4120" yWindow="1420" windowWidth="29840" windowHeight="17140" activeTab="1" xr2:uid="{59FE5DDE-5DB1-8B41-9120-3A5A57D3A14E}"/>
  </bookViews>
  <sheets>
    <sheet name="Лист1" sheetId="1" r:id="rId1"/>
    <sheet name="Лист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2" l="1"/>
  <c r="P2" i="2"/>
  <c r="P16" i="2"/>
  <c r="O16" i="2"/>
  <c r="O14" i="2"/>
  <c r="P20" i="2"/>
  <c r="P18" i="2"/>
  <c r="P14" i="2"/>
  <c r="G17" i="2"/>
  <c r="I17" i="2"/>
  <c r="Q18" i="2"/>
  <c r="Q20" i="2"/>
  <c r="U17" i="2"/>
  <c r="U15" i="2"/>
  <c r="X17" i="2"/>
  <c r="Y15" i="2"/>
  <c r="X15" i="2"/>
  <c r="W15" i="2"/>
  <c r="S14" i="2"/>
  <c r="Q14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3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3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3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  <c r="L28" i="2"/>
  <c r="O2" i="2"/>
  <c r="C32" i="2"/>
  <c r="Q6" i="2"/>
  <c r="Q5" i="2"/>
  <c r="AA9" i="2"/>
  <c r="AB7" i="2"/>
  <c r="AA7" i="2"/>
  <c r="Z7" i="2"/>
  <c r="P6" i="2"/>
  <c r="W9" i="2"/>
  <c r="X7" i="2"/>
  <c r="G22" i="2"/>
  <c r="W7" i="2"/>
  <c r="E22" i="2"/>
  <c r="D22" i="2"/>
  <c r="V7" i="2"/>
  <c r="O6" i="2"/>
  <c r="S9" i="2"/>
  <c r="T7" i="2"/>
  <c r="S7" i="2"/>
  <c r="R7" i="2"/>
  <c r="F22" i="2"/>
  <c r="C22" i="2"/>
  <c r="B22" i="2"/>
  <c r="Q3" i="2"/>
  <c r="Q2" i="2"/>
  <c r="P3" i="2"/>
  <c r="G19" i="2"/>
  <c r="O3" i="2"/>
  <c r="M6" i="2" l="1"/>
  <c r="M7" i="2"/>
  <c r="M8" i="2"/>
  <c r="E20" i="2"/>
  <c r="M9" i="2" s="1"/>
  <c r="D2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D16" i="2"/>
  <c r="H19" i="2"/>
  <c r="F19" i="2"/>
  <c r="N3" i="1"/>
  <c r="M3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8" i="1"/>
  <c r="D16" i="1"/>
  <c r="Q2" i="1"/>
  <c r="J3" i="1"/>
  <c r="H3" i="1" s="1"/>
  <c r="H19" i="1" s="1"/>
  <c r="J4" i="1"/>
  <c r="H4" i="1" s="1"/>
  <c r="H20" i="1" s="1"/>
  <c r="J5" i="1"/>
  <c r="H5" i="1" s="1"/>
  <c r="H21" i="1" s="1"/>
  <c r="J6" i="1"/>
  <c r="H6" i="1" s="1"/>
  <c r="J7" i="1"/>
  <c r="J8" i="1"/>
  <c r="H8" i="1" s="1"/>
  <c r="J9" i="1"/>
  <c r="H9" i="1" s="1"/>
  <c r="J10" i="1"/>
  <c r="H10" i="1" s="1"/>
  <c r="J11" i="1"/>
  <c r="H11" i="1" s="1"/>
  <c r="J12" i="1"/>
  <c r="H12" i="1" s="1"/>
  <c r="J13" i="1"/>
  <c r="H13" i="1" s="1"/>
  <c r="H29" i="1" s="1"/>
  <c r="J14" i="1"/>
  <c r="H14" i="1" s="1"/>
  <c r="H30" i="1" s="1"/>
  <c r="J15" i="1"/>
  <c r="H15" i="1" s="1"/>
  <c r="H31" i="1" s="1"/>
  <c r="J16" i="1"/>
  <c r="H16" i="1" s="1"/>
  <c r="H32" i="1" s="1"/>
  <c r="J2" i="1"/>
  <c r="H2" i="1" s="1"/>
  <c r="H18" i="1" s="1"/>
  <c r="P2" i="1"/>
  <c r="H7" i="1" s="1"/>
  <c r="O2" i="1"/>
  <c r="G8" i="1" s="1"/>
  <c r="G24" i="1" s="1"/>
  <c r="M15" i="2" l="1"/>
  <c r="M14" i="2"/>
  <c r="M13" i="2"/>
  <c r="M12" i="2"/>
  <c r="M2" i="2"/>
  <c r="M11" i="2"/>
  <c r="M5" i="2"/>
  <c r="M16" i="2"/>
  <c r="M4" i="2"/>
  <c r="M3" i="2"/>
  <c r="M10" i="2"/>
  <c r="H27" i="1"/>
  <c r="I9" i="1"/>
  <c r="H25" i="1"/>
  <c r="I8" i="1"/>
  <c r="H24" i="1"/>
  <c r="I10" i="1"/>
  <c r="H26" i="1"/>
  <c r="H23" i="1"/>
  <c r="I7" i="1"/>
  <c r="I6" i="1"/>
  <c r="H22" i="1"/>
  <c r="H28" i="1"/>
  <c r="G4" i="1"/>
  <c r="G20" i="1" s="1"/>
  <c r="G2" i="1"/>
  <c r="G18" i="1" s="1"/>
  <c r="G7" i="1"/>
  <c r="G23" i="1" s="1"/>
  <c r="G5" i="1"/>
  <c r="G21" i="1" s="1"/>
  <c r="G15" i="1"/>
  <c r="G31" i="1" s="1"/>
  <c r="G14" i="1"/>
  <c r="G30" i="1" s="1"/>
  <c r="G13" i="1"/>
  <c r="G29" i="1" s="1"/>
  <c r="G12" i="1"/>
  <c r="G28" i="1" s="1"/>
  <c r="G11" i="1"/>
  <c r="G27" i="1" s="1"/>
  <c r="G10" i="1"/>
  <c r="G26" i="1" s="1"/>
  <c r="G9" i="1"/>
  <c r="G25" i="1" s="1"/>
  <c r="G6" i="1"/>
  <c r="G22" i="1" s="1"/>
  <c r="G16" i="1"/>
  <c r="G32" i="1" s="1"/>
  <c r="G3" i="1"/>
  <c r="G19" i="1" s="1"/>
  <c r="I2" i="1"/>
  <c r="I5" i="1"/>
  <c r="I16" i="1"/>
  <c r="I4" i="1"/>
  <c r="I15" i="1"/>
  <c r="I13" i="1" l="1"/>
  <c r="I3" i="1"/>
  <c r="I14" i="1"/>
  <c r="I12" i="1"/>
  <c r="I11" i="1"/>
</calcChain>
</file>

<file path=xl/sharedStrings.xml><?xml version="1.0" encoding="utf-8"?>
<sst xmlns="http://schemas.openxmlformats.org/spreadsheetml/2006/main" count="82" uniqueCount="55">
  <si>
    <t>№</t>
  </si>
  <si>
    <t>U, B</t>
  </si>
  <si>
    <t>K_x, B/дел</t>
  </si>
  <si>
    <t>K_y, B/дел</t>
  </si>
  <si>
    <t>x, дел</t>
  </si>
  <si>
    <t>y, дел</t>
  </si>
  <si>
    <t>E, B/M</t>
  </si>
  <si>
    <t>D, кл/M^2</t>
  </si>
  <si>
    <t>Эпсилон</t>
  </si>
  <si>
    <t>q</t>
  </si>
  <si>
    <t>R1 OM</t>
  </si>
  <si>
    <t>R2 OM</t>
  </si>
  <si>
    <t>C1, мкФ</t>
  </si>
  <si>
    <t>C2, мкФ</t>
  </si>
  <si>
    <t>d, m</t>
  </si>
  <si>
    <t>S, M^2</t>
  </si>
  <si>
    <t>еп_0</t>
  </si>
  <si>
    <t>8,85 * 10^-12</t>
  </si>
  <si>
    <t>Ds</t>
  </si>
  <si>
    <t>СМОТРЕТЬ</t>
  </si>
  <si>
    <t>ЛИСТ 2</t>
  </si>
  <si>
    <t>k*x</t>
  </si>
  <si>
    <t>k*y</t>
  </si>
  <si>
    <t>E, КВ/М</t>
  </si>
  <si>
    <t>D, нкл/м*м</t>
  </si>
  <si>
    <t>E, гB/M</t>
  </si>
  <si>
    <t>E_C</t>
  </si>
  <si>
    <t>D_s</t>
  </si>
  <si>
    <t>P_r</t>
  </si>
  <si>
    <t>X_c</t>
  </si>
  <si>
    <t>Y_s</t>
  </si>
  <si>
    <t>Y_r</t>
  </si>
  <si>
    <t>X_s</t>
  </si>
  <si>
    <t>в кило</t>
  </si>
  <si>
    <t>в мили</t>
  </si>
  <si>
    <t>погрешность для E</t>
  </si>
  <si>
    <t>погрешность в кило</t>
  </si>
  <si>
    <t>погрешность в мили</t>
  </si>
  <si>
    <t>итог</t>
  </si>
  <si>
    <t>E_s</t>
  </si>
  <si>
    <t>E при эп макс</t>
  </si>
  <si>
    <t>эп макс</t>
  </si>
  <si>
    <t>эп нач</t>
  </si>
  <si>
    <t>погрешность для D</t>
  </si>
  <si>
    <t>кило</t>
  </si>
  <si>
    <t>погрешность прибора</t>
  </si>
  <si>
    <t xml:space="preserve"> дельты</t>
  </si>
  <si>
    <t>S_0, дел^2</t>
  </si>
  <si>
    <t>E</t>
  </si>
  <si>
    <t>эпсилон в кило</t>
  </si>
  <si>
    <t>погрешность для макс</t>
  </si>
  <si>
    <t>погрешность для нач</t>
  </si>
  <si>
    <t>это в кило</t>
  </si>
  <si>
    <t>это просто в си</t>
  </si>
  <si>
    <t>размерность там в графике есть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</si>
</sst>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0000"/>
    <numFmt numFmtId="166" formatCode="0.0000"/>
    <numFmt numFmtId="167" formatCode="0.000000000"/>
    <numFmt numFmtId="168" formatCode="0.0000000000000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1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164" fontId="0" fillId="0" borderId="6" xfId="0" applyNumberFormat="1" applyBorder="1"/>
    <xf numFmtId="165" fontId="0" fillId="0" borderId="1" xfId="0" applyNumberFormat="1" applyBorder="1"/>
    <xf numFmtId="165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2" fontId="0" fillId="0" borderId="0" xfId="0" applyNumberFormat="1"/>
    <xf numFmtId="167" fontId="0" fillId="0" borderId="0" xfId="0" applyNumberFormat="1"/>
    <xf numFmtId="0" fontId="0" fillId="0" borderId="7" xfId="0" applyBorder="1"/>
    <xf numFmtId="1" fontId="0" fillId="0" borderId="1" xfId="0" applyNumberFormat="1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67488</xdr:colOff>
      <xdr:row>4</xdr:row>
      <xdr:rowOff>18405</xdr:rowOff>
    </xdr:from>
    <xdr:to>
      <xdr:col>19</xdr:col>
      <xdr:colOff>484142</xdr:colOff>
      <xdr:row>5</xdr:row>
      <xdr:rowOff>190192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D9E5C33-73F5-509B-18A3-3E68695A9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42995" y="828260"/>
          <a:ext cx="2183133" cy="374251"/>
        </a:xfrm>
        <a:prstGeom prst="rect">
          <a:avLst/>
        </a:prstGeom>
      </xdr:spPr>
    </xdr:pic>
    <xdr:clientData/>
  </xdr:twoCellAnchor>
  <xdr:twoCellAnchor editAs="oneCell">
    <xdr:from>
      <xdr:col>21</xdr:col>
      <xdr:colOff>9313</xdr:colOff>
      <xdr:row>3</xdr:row>
      <xdr:rowOff>124460</xdr:rowOff>
    </xdr:from>
    <xdr:to>
      <xdr:col>23</xdr:col>
      <xdr:colOff>51646</xdr:colOff>
      <xdr:row>5</xdr:row>
      <xdr:rowOff>163311</xdr:rowOff>
    </xdr:to>
    <xdr:pic>
      <xdr:nvPicPr>
        <xdr:cNvPr id="2" name="Рисунок 3">
          <a:extLst>
            <a:ext uri="{FF2B5EF4-FFF2-40B4-BE49-F238E27FC236}">
              <a16:creationId xmlns:a16="http://schemas.microsoft.com/office/drawing/2014/main" id="{358CBE11-D2F1-A29D-C020-298872805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3153" y="718820"/>
          <a:ext cx="1718733" cy="445251"/>
        </a:xfrm>
        <a:prstGeom prst="rect">
          <a:avLst/>
        </a:prstGeom>
      </xdr:spPr>
    </xdr:pic>
    <xdr:clientData/>
  </xdr:twoCellAnchor>
  <xdr:twoCellAnchor editAs="oneCell">
    <xdr:from>
      <xdr:col>25</xdr:col>
      <xdr:colOff>76200</xdr:colOff>
      <xdr:row>3</xdr:row>
      <xdr:rowOff>33866</xdr:rowOff>
    </xdr:from>
    <xdr:to>
      <xdr:col>27</xdr:col>
      <xdr:colOff>118534</xdr:colOff>
      <xdr:row>5</xdr:row>
      <xdr:rowOff>82877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A0BE0CA-A429-A346-A36B-3BB35CEAC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22267" y="643466"/>
          <a:ext cx="1701800" cy="455411"/>
        </a:xfrm>
        <a:prstGeom prst="rect">
          <a:avLst/>
        </a:prstGeom>
      </xdr:spPr>
    </xdr:pic>
    <xdr:clientData/>
  </xdr:twoCellAnchor>
  <xdr:twoCellAnchor editAs="oneCell">
    <xdr:from>
      <xdr:col>1</xdr:col>
      <xdr:colOff>18273</xdr:colOff>
      <xdr:row>23</xdr:row>
      <xdr:rowOff>191871</xdr:rowOff>
    </xdr:from>
    <xdr:to>
      <xdr:col>7</xdr:col>
      <xdr:colOff>800556</xdr:colOff>
      <xdr:row>28</xdr:row>
      <xdr:rowOff>177435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5B6FE03D-F907-59E5-B807-0EBFA84A2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5827" y="4815036"/>
          <a:ext cx="5816600" cy="990600"/>
        </a:xfrm>
        <a:prstGeom prst="rect">
          <a:avLst/>
        </a:prstGeom>
      </xdr:spPr>
    </xdr:pic>
    <xdr:clientData/>
  </xdr:twoCellAnchor>
  <xdr:twoCellAnchor editAs="oneCell">
    <xdr:from>
      <xdr:col>9</xdr:col>
      <xdr:colOff>726856</xdr:colOff>
      <xdr:row>21</xdr:row>
      <xdr:rowOff>127799</xdr:rowOff>
    </xdr:from>
    <xdr:to>
      <xdr:col>13</xdr:col>
      <xdr:colOff>492265</xdr:colOff>
      <xdr:row>25</xdr:row>
      <xdr:rowOff>78357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2BA28F96-C226-F534-C635-80070301F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7862" y="4321195"/>
          <a:ext cx="3263900" cy="749300"/>
        </a:xfrm>
        <a:prstGeom prst="rect">
          <a:avLst/>
        </a:prstGeom>
      </xdr:spPr>
    </xdr:pic>
    <xdr:clientData/>
  </xdr:twoCellAnchor>
  <xdr:twoCellAnchor editAs="oneCell">
    <xdr:from>
      <xdr:col>14</xdr:col>
      <xdr:colOff>23091</xdr:colOff>
      <xdr:row>5</xdr:row>
      <xdr:rowOff>184728</xdr:rowOff>
    </xdr:from>
    <xdr:to>
      <xdr:col>14</xdr:col>
      <xdr:colOff>1384931</xdr:colOff>
      <xdr:row>8</xdr:row>
      <xdr:rowOff>146242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CED247C6-4059-BC93-F482-57B12D84F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9939" y="1185334"/>
          <a:ext cx="1361840" cy="561878"/>
        </a:xfrm>
        <a:prstGeom prst="rect">
          <a:avLst/>
        </a:prstGeom>
      </xdr:spPr>
    </xdr:pic>
    <xdr:clientData/>
  </xdr:twoCellAnchor>
  <xdr:twoCellAnchor editAs="oneCell">
    <xdr:from>
      <xdr:col>15</xdr:col>
      <xdr:colOff>223212</xdr:colOff>
      <xdr:row>6</xdr:row>
      <xdr:rowOff>38485</xdr:rowOff>
    </xdr:from>
    <xdr:to>
      <xdr:col>15</xdr:col>
      <xdr:colOff>1186375</xdr:colOff>
      <xdr:row>8</xdr:row>
      <xdr:rowOff>169332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5138536A-6E68-C7A6-1073-91C4C03F8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30909" y="1239212"/>
          <a:ext cx="963163" cy="531090"/>
        </a:xfrm>
        <a:prstGeom prst="rect">
          <a:avLst/>
        </a:prstGeom>
      </xdr:spPr>
    </xdr:pic>
    <xdr:clientData/>
  </xdr:twoCellAnchor>
  <xdr:twoCellAnchor editAs="oneCell">
    <xdr:from>
      <xdr:col>16</xdr:col>
      <xdr:colOff>192425</xdr:colOff>
      <xdr:row>6</xdr:row>
      <xdr:rowOff>23091</xdr:rowOff>
    </xdr:from>
    <xdr:to>
      <xdr:col>16</xdr:col>
      <xdr:colOff>1113713</xdr:colOff>
      <xdr:row>8</xdr:row>
      <xdr:rowOff>130848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799AEA00-05C5-3541-1CFD-267462A8F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08667" y="1223818"/>
          <a:ext cx="921288" cy="50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115097</xdr:colOff>
      <xdr:row>17</xdr:row>
      <xdr:rowOff>33231</xdr:rowOff>
    </xdr:from>
    <xdr:to>
      <xdr:col>11</xdr:col>
      <xdr:colOff>29945</xdr:colOff>
      <xdr:row>19</xdr:row>
      <xdr:rowOff>4201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1DFC9D63-C8B5-3245-B5BF-AA48E47CC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8196" y="3457032"/>
          <a:ext cx="739234" cy="372023"/>
        </a:xfrm>
        <a:prstGeom prst="rect">
          <a:avLst/>
        </a:prstGeom>
      </xdr:spPr>
    </xdr:pic>
    <xdr:clientData/>
  </xdr:twoCellAnchor>
  <xdr:twoCellAnchor editAs="oneCell">
    <xdr:from>
      <xdr:col>16</xdr:col>
      <xdr:colOff>16932</xdr:colOff>
      <xdr:row>14</xdr:row>
      <xdr:rowOff>16934</xdr:rowOff>
    </xdr:from>
    <xdr:to>
      <xdr:col>18</xdr:col>
      <xdr:colOff>228013</xdr:colOff>
      <xdr:row>16</xdr:row>
      <xdr:rowOff>42334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E3120EDB-544A-95D7-4255-6B4F24CC0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15532" y="2861734"/>
          <a:ext cx="2429348" cy="44873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4E509-06C6-3F4E-95E6-77769F913518}">
  <dimension ref="A1:Q33"/>
  <sheetViews>
    <sheetView topLeftCell="N12" zoomScale="87" workbookViewId="0">
      <selection activeCell="L25" sqref="L25"/>
    </sheetView>
  </sheetViews>
  <sheetFormatPr baseColWidth="10" defaultColWidth="11" defaultRowHeight="16" x14ac:dyDescent="0.2"/>
  <cols>
    <col min="1" max="1" width="4.1640625" customWidth="1"/>
    <col min="8" max="8" width="14.33203125" customWidth="1"/>
    <col min="9" max="9" width="10.33203125" customWidth="1"/>
    <col min="10" max="10" width="13" bestFit="1" customWidth="1"/>
    <col min="14" max="14" width="11.1640625" bestFit="1" customWidth="1"/>
    <col min="17" max="17" width="19" customWidth="1"/>
  </cols>
  <sheetData>
    <row r="1" spans="1:1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7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s="2">
        <v>1</v>
      </c>
      <c r="B2" s="4">
        <v>17</v>
      </c>
      <c r="C2" s="4">
        <v>5</v>
      </c>
      <c r="D2" s="4">
        <v>5</v>
      </c>
      <c r="E2" s="4">
        <v>3</v>
      </c>
      <c r="F2" s="4">
        <v>3</v>
      </c>
      <c r="G2" s="2">
        <f>(B2/$O$2)*C2*E2</f>
        <v>510000</v>
      </c>
      <c r="H2" s="10">
        <f>(J2/$P$2)*D2*F2</f>
        <v>5.1000000000000003E-6</v>
      </c>
      <c r="I2" s="6">
        <f>H2/($Q$2*G2)</f>
        <v>1.129943502824859</v>
      </c>
      <c r="J2" s="8">
        <f>B2*$N$2*10^-6</f>
        <v>1.7000000000000001E-7</v>
      </c>
      <c r="K2" s="3">
        <v>47000</v>
      </c>
      <c r="L2" s="2">
        <v>470000</v>
      </c>
      <c r="M2" s="2">
        <v>1</v>
      </c>
      <c r="N2" s="2">
        <v>0.01</v>
      </c>
      <c r="O2" s="2">
        <f>0.5 * 10^-3</f>
        <v>5.0000000000000001E-4</v>
      </c>
      <c r="P2" s="2">
        <f>500*10^-3</f>
        <v>0.5</v>
      </c>
      <c r="Q2" s="15">
        <f>8.85*10^(-12)</f>
        <v>8.8499999999999988E-12</v>
      </c>
    </row>
    <row r="3" spans="1:17" x14ac:dyDescent="0.2">
      <c r="A3" s="2">
        <v>2</v>
      </c>
      <c r="B3" s="4">
        <v>15</v>
      </c>
      <c r="C3" s="4">
        <v>5</v>
      </c>
      <c r="D3" s="4">
        <v>5</v>
      </c>
      <c r="E3" s="4">
        <v>2.5</v>
      </c>
      <c r="F3" s="4">
        <v>2.9</v>
      </c>
      <c r="G3" s="2">
        <f t="shared" ref="G3:G16" si="0">(B3/$O$2)*C3*E3</f>
        <v>375000</v>
      </c>
      <c r="H3" s="10">
        <f t="shared" ref="H3:H16" si="1">(J3/$P$2)*D3*F3</f>
        <v>4.3499999999999999E-6</v>
      </c>
      <c r="I3" s="6">
        <f t="shared" ref="I3:I16" si="2">H3/($Q$2*G3)</f>
        <v>1.3107344632768363</v>
      </c>
      <c r="J3" s="8">
        <f t="shared" ref="J3:J16" si="3">B3*$N$2*10^-6</f>
        <v>1.4999999999999999E-7</v>
      </c>
      <c r="M3">
        <f>M2*10^-6</f>
        <v>9.9999999999999995E-7</v>
      </c>
      <c r="N3">
        <f>N2*10^-6</f>
        <v>1E-8</v>
      </c>
      <c r="Q3" t="s">
        <v>17</v>
      </c>
    </row>
    <row r="4" spans="1:17" x14ac:dyDescent="0.2">
      <c r="A4" s="2">
        <v>3</v>
      </c>
      <c r="B4" s="4">
        <v>13</v>
      </c>
      <c r="C4" s="4">
        <v>5</v>
      </c>
      <c r="D4" s="4">
        <v>5</v>
      </c>
      <c r="E4" s="4">
        <v>2.2000000000000002</v>
      </c>
      <c r="F4" s="4">
        <v>2.6</v>
      </c>
      <c r="G4" s="2">
        <f t="shared" si="0"/>
        <v>286000</v>
      </c>
      <c r="H4" s="10">
        <f t="shared" si="1"/>
        <v>3.3800000000000002E-6</v>
      </c>
      <c r="I4" s="6">
        <f t="shared" si="2"/>
        <v>1.3353877760657424</v>
      </c>
      <c r="J4" s="8">
        <f t="shared" si="3"/>
        <v>1.3E-7</v>
      </c>
    </row>
    <row r="5" spans="1:17" x14ac:dyDescent="0.2">
      <c r="A5" s="2">
        <v>4</v>
      </c>
      <c r="B5" s="4">
        <v>11</v>
      </c>
      <c r="C5" s="4">
        <v>5</v>
      </c>
      <c r="D5" s="4">
        <v>5</v>
      </c>
      <c r="E5" s="4">
        <v>1.9</v>
      </c>
      <c r="F5" s="4">
        <v>2.1</v>
      </c>
      <c r="G5" s="2">
        <f t="shared" si="0"/>
        <v>209000</v>
      </c>
      <c r="H5" s="10">
        <f t="shared" si="1"/>
        <v>2.3099999999999999E-6</v>
      </c>
      <c r="I5" s="6">
        <f t="shared" si="2"/>
        <v>1.2488849241748441</v>
      </c>
      <c r="J5" s="8">
        <f t="shared" si="3"/>
        <v>1.0999999999999999E-7</v>
      </c>
      <c r="L5" t="s">
        <v>18</v>
      </c>
    </row>
    <row r="6" spans="1:17" x14ac:dyDescent="0.2">
      <c r="A6" s="2">
        <v>5</v>
      </c>
      <c r="B6" s="4">
        <v>9</v>
      </c>
      <c r="C6" s="4">
        <v>5</v>
      </c>
      <c r="D6" s="4">
        <v>5</v>
      </c>
      <c r="E6" s="4">
        <v>1.5</v>
      </c>
      <c r="F6" s="4">
        <v>1.7</v>
      </c>
      <c r="G6" s="2">
        <f t="shared" si="0"/>
        <v>135000</v>
      </c>
      <c r="H6" s="10">
        <f t="shared" si="1"/>
        <v>1.53E-6</v>
      </c>
      <c r="I6" s="6">
        <f t="shared" si="2"/>
        <v>1.28060263653484</v>
      </c>
      <c r="J6" s="8">
        <f t="shared" si="3"/>
        <v>8.9999999999999999E-8</v>
      </c>
    </row>
    <row r="7" spans="1:17" x14ac:dyDescent="0.2">
      <c r="A7" s="2">
        <v>6</v>
      </c>
      <c r="B7" s="4">
        <v>7</v>
      </c>
      <c r="C7" s="4">
        <v>5</v>
      </c>
      <c r="D7" s="4">
        <v>5</v>
      </c>
      <c r="E7" s="4">
        <v>1.2</v>
      </c>
      <c r="F7" s="4">
        <v>1.2</v>
      </c>
      <c r="G7" s="2">
        <f t="shared" si="0"/>
        <v>84000</v>
      </c>
      <c r="H7" s="10">
        <f t="shared" si="1"/>
        <v>8.4000000000000011E-7</v>
      </c>
      <c r="I7" s="6">
        <f t="shared" si="2"/>
        <v>1.129943502824859</v>
      </c>
      <c r="J7" s="8">
        <f t="shared" si="3"/>
        <v>7.0000000000000005E-8</v>
      </c>
    </row>
    <row r="8" spans="1:17" x14ac:dyDescent="0.2">
      <c r="A8" s="2">
        <v>7</v>
      </c>
      <c r="B8" s="4">
        <v>5</v>
      </c>
      <c r="C8" s="4">
        <v>5</v>
      </c>
      <c r="D8" s="4">
        <v>5</v>
      </c>
      <c r="E8" s="4">
        <v>0.8</v>
      </c>
      <c r="F8" s="4">
        <v>0.6</v>
      </c>
      <c r="G8" s="2">
        <f t="shared" si="0"/>
        <v>40000</v>
      </c>
      <c r="H8" s="10">
        <f t="shared" si="1"/>
        <v>2.9999999999999999E-7</v>
      </c>
      <c r="I8" s="6">
        <f t="shared" si="2"/>
        <v>0.84745762711864414</v>
      </c>
      <c r="J8" s="8">
        <f t="shared" si="3"/>
        <v>4.9999999999999998E-8</v>
      </c>
    </row>
    <row r="9" spans="1:17" x14ac:dyDescent="0.2">
      <c r="A9" s="2">
        <v>8</v>
      </c>
      <c r="B9" s="4">
        <v>4.4000000000000004</v>
      </c>
      <c r="C9" s="4">
        <v>2</v>
      </c>
      <c r="D9" s="4">
        <v>2</v>
      </c>
      <c r="E9" s="4">
        <v>1.9</v>
      </c>
      <c r="F9" s="4">
        <v>1.2</v>
      </c>
      <c r="G9" s="2">
        <f t="shared" si="0"/>
        <v>33440</v>
      </c>
      <c r="H9" s="10">
        <f t="shared" si="1"/>
        <v>2.1120000000000001E-7</v>
      </c>
      <c r="I9" s="6">
        <f t="shared" si="2"/>
        <v>0.71364852809991097</v>
      </c>
      <c r="J9" s="8">
        <f t="shared" si="3"/>
        <v>4.4000000000000004E-8</v>
      </c>
    </row>
    <row r="10" spans="1:17" x14ac:dyDescent="0.2">
      <c r="A10" s="2">
        <v>9</v>
      </c>
      <c r="B10" s="4">
        <v>3.8</v>
      </c>
      <c r="C10" s="4">
        <v>2</v>
      </c>
      <c r="D10" s="4">
        <v>2</v>
      </c>
      <c r="E10" s="4">
        <v>1.6</v>
      </c>
      <c r="F10" s="4">
        <v>0.8</v>
      </c>
      <c r="G10" s="2">
        <f t="shared" si="0"/>
        <v>24320</v>
      </c>
      <c r="H10" s="10">
        <f t="shared" si="1"/>
        <v>1.216E-7</v>
      </c>
      <c r="I10" s="6">
        <f t="shared" si="2"/>
        <v>0.5649717514124295</v>
      </c>
      <c r="J10" s="8">
        <f t="shared" si="3"/>
        <v>3.7999999999999996E-8</v>
      </c>
    </row>
    <row r="11" spans="1:17" x14ac:dyDescent="0.2">
      <c r="A11" s="2">
        <v>10</v>
      </c>
      <c r="B11" s="4">
        <v>3.2</v>
      </c>
      <c r="C11" s="4">
        <v>1</v>
      </c>
      <c r="D11" s="4">
        <v>1</v>
      </c>
      <c r="E11" s="4">
        <v>2.7</v>
      </c>
      <c r="F11" s="4">
        <v>1.2</v>
      </c>
      <c r="G11" s="2">
        <f t="shared" si="0"/>
        <v>17280</v>
      </c>
      <c r="H11" s="10">
        <f t="shared" si="1"/>
        <v>7.6799999999999999E-8</v>
      </c>
      <c r="I11" s="6">
        <f t="shared" si="2"/>
        <v>0.50219711236660391</v>
      </c>
      <c r="J11" s="8">
        <f t="shared" si="3"/>
        <v>3.2000000000000002E-8</v>
      </c>
      <c r="N11" t="s">
        <v>19</v>
      </c>
      <c r="O11" t="s">
        <v>20</v>
      </c>
    </row>
    <row r="12" spans="1:17" x14ac:dyDescent="0.2">
      <c r="A12" s="2">
        <v>11</v>
      </c>
      <c r="B12" s="4">
        <v>2.6</v>
      </c>
      <c r="C12" s="4">
        <v>1</v>
      </c>
      <c r="D12" s="4">
        <v>1</v>
      </c>
      <c r="E12" s="4">
        <v>2.2000000000000002</v>
      </c>
      <c r="F12" s="4">
        <v>0.8</v>
      </c>
      <c r="G12" s="2">
        <f t="shared" si="0"/>
        <v>11440.000000000002</v>
      </c>
      <c r="H12" s="10">
        <f t="shared" si="1"/>
        <v>4.1600000000000002E-8</v>
      </c>
      <c r="I12" s="6">
        <f t="shared" si="2"/>
        <v>0.41088854648176681</v>
      </c>
      <c r="J12" s="8">
        <f t="shared" si="3"/>
        <v>2.6000000000000001E-8</v>
      </c>
    </row>
    <row r="13" spans="1:17" x14ac:dyDescent="0.2">
      <c r="A13" s="2">
        <v>12</v>
      </c>
      <c r="B13" s="4">
        <v>2</v>
      </c>
      <c r="C13" s="4">
        <v>0.5</v>
      </c>
      <c r="D13" s="4">
        <v>0.5</v>
      </c>
      <c r="E13" s="4">
        <v>2.4</v>
      </c>
      <c r="F13" s="4">
        <v>1</v>
      </c>
      <c r="G13" s="2">
        <f t="shared" si="0"/>
        <v>4800</v>
      </c>
      <c r="H13" s="10">
        <f t="shared" si="1"/>
        <v>2E-8</v>
      </c>
      <c r="I13" s="6">
        <f t="shared" si="2"/>
        <v>0.47080979284369123</v>
      </c>
      <c r="J13" s="8">
        <f t="shared" si="3"/>
        <v>2E-8</v>
      </c>
    </row>
    <row r="14" spans="1:17" x14ac:dyDescent="0.2">
      <c r="A14" s="2">
        <v>13</v>
      </c>
      <c r="B14" s="4">
        <v>1.4</v>
      </c>
      <c r="C14" s="4">
        <v>0.5</v>
      </c>
      <c r="D14" s="4">
        <v>0.5</v>
      </c>
      <c r="E14" s="4">
        <v>2.2999999999999998</v>
      </c>
      <c r="F14" s="4">
        <v>0.6</v>
      </c>
      <c r="G14" s="2">
        <f t="shared" si="0"/>
        <v>3219.9999999999991</v>
      </c>
      <c r="H14" s="10">
        <f t="shared" si="1"/>
        <v>8.3999999999999991E-9</v>
      </c>
      <c r="I14" s="6">
        <f t="shared" si="2"/>
        <v>0.29476787030213719</v>
      </c>
      <c r="J14" s="8">
        <f t="shared" si="3"/>
        <v>1.3999999999999998E-8</v>
      </c>
    </row>
    <row r="15" spans="1:17" x14ac:dyDescent="0.2">
      <c r="A15" s="2">
        <v>14</v>
      </c>
      <c r="B15" s="4">
        <v>0.8</v>
      </c>
      <c r="C15" s="4">
        <v>0.2</v>
      </c>
      <c r="D15" s="4">
        <v>0.2</v>
      </c>
      <c r="E15" s="4">
        <v>3.2</v>
      </c>
      <c r="F15" s="4">
        <v>0.8</v>
      </c>
      <c r="G15" s="2">
        <f t="shared" si="0"/>
        <v>1024</v>
      </c>
      <c r="H15" s="10">
        <f t="shared" si="1"/>
        <v>2.5600000000000007E-9</v>
      </c>
      <c r="I15" s="6">
        <f t="shared" si="2"/>
        <v>0.28248587570621481</v>
      </c>
      <c r="J15" s="8">
        <f t="shared" si="3"/>
        <v>8.0000000000000005E-9</v>
      </c>
    </row>
    <row r="16" spans="1:17" ht="17" thickBot="1" x14ac:dyDescent="0.25">
      <c r="A16" s="2">
        <v>15</v>
      </c>
      <c r="B16" s="4">
        <v>0.2</v>
      </c>
      <c r="C16" s="4">
        <v>0.05</v>
      </c>
      <c r="D16" s="4">
        <f>C16</f>
        <v>0.05</v>
      </c>
      <c r="E16" s="4">
        <v>3</v>
      </c>
      <c r="F16" s="4">
        <v>0.5</v>
      </c>
      <c r="G16" s="2">
        <f t="shared" si="0"/>
        <v>60</v>
      </c>
      <c r="H16" s="10">
        <f t="shared" si="1"/>
        <v>1.0000000000000002E-10</v>
      </c>
      <c r="I16" s="6">
        <f t="shared" si="2"/>
        <v>0.18832391713747651</v>
      </c>
      <c r="J16" s="9">
        <f t="shared" si="3"/>
        <v>2.0000000000000001E-9</v>
      </c>
    </row>
    <row r="17" spans="3:10" x14ac:dyDescent="0.2">
      <c r="C17" t="s">
        <v>21</v>
      </c>
      <c r="D17" t="s">
        <v>22</v>
      </c>
      <c r="G17" t="s">
        <v>23</v>
      </c>
      <c r="H17" t="s">
        <v>24</v>
      </c>
      <c r="I17" s="1"/>
    </row>
    <row r="18" spans="3:10" x14ac:dyDescent="0.2">
      <c r="C18" s="2">
        <f>C2*E2</f>
        <v>15</v>
      </c>
      <c r="D18" s="2">
        <f>D2*F2</f>
        <v>15</v>
      </c>
      <c r="G18">
        <f>G2*10^-3</f>
        <v>510</v>
      </c>
      <c r="H18" s="1">
        <f>H2*10^9</f>
        <v>5100</v>
      </c>
      <c r="J18" s="11"/>
    </row>
    <row r="19" spans="3:10" x14ac:dyDescent="0.2">
      <c r="C19" s="2">
        <f t="shared" ref="C19:C32" si="4">C3*E3</f>
        <v>12.5</v>
      </c>
      <c r="D19" s="2">
        <f t="shared" ref="D19:D32" si="5">D3*F3</f>
        <v>14.5</v>
      </c>
      <c r="G19">
        <f t="shared" ref="G19:G32" si="6">G3*10^-3</f>
        <v>375</v>
      </c>
      <c r="H19" s="1">
        <f t="shared" ref="H19:H32" si="7">H3*10^9</f>
        <v>4350</v>
      </c>
      <c r="J19" s="11"/>
    </row>
    <row r="20" spans="3:10" x14ac:dyDescent="0.2">
      <c r="C20" s="2">
        <f t="shared" si="4"/>
        <v>11</v>
      </c>
      <c r="D20" s="2">
        <f t="shared" si="5"/>
        <v>13</v>
      </c>
      <c r="G20">
        <f t="shared" si="6"/>
        <v>286</v>
      </c>
      <c r="H20" s="1">
        <f t="shared" si="7"/>
        <v>3380.0000000000005</v>
      </c>
      <c r="J20" s="11"/>
    </row>
    <row r="21" spans="3:10" x14ac:dyDescent="0.2">
      <c r="C21" s="2">
        <f t="shared" si="4"/>
        <v>9.5</v>
      </c>
      <c r="D21" s="2">
        <f t="shared" si="5"/>
        <v>10.5</v>
      </c>
      <c r="G21">
        <f t="shared" si="6"/>
        <v>209</v>
      </c>
      <c r="H21" s="1">
        <f t="shared" si="7"/>
        <v>2310</v>
      </c>
      <c r="J21" s="11"/>
    </row>
    <row r="22" spans="3:10" x14ac:dyDescent="0.2">
      <c r="C22" s="2">
        <f t="shared" si="4"/>
        <v>7.5</v>
      </c>
      <c r="D22" s="2">
        <f t="shared" si="5"/>
        <v>8.5</v>
      </c>
      <c r="G22">
        <f t="shared" si="6"/>
        <v>135</v>
      </c>
      <c r="H22" s="1">
        <f t="shared" si="7"/>
        <v>1530</v>
      </c>
      <c r="J22" s="11"/>
    </row>
    <row r="23" spans="3:10" x14ac:dyDescent="0.2">
      <c r="C23" s="2">
        <f t="shared" si="4"/>
        <v>6</v>
      </c>
      <c r="D23" s="2">
        <f t="shared" si="5"/>
        <v>6</v>
      </c>
      <c r="G23">
        <f t="shared" si="6"/>
        <v>84</v>
      </c>
      <c r="H23" s="1">
        <f t="shared" si="7"/>
        <v>840.00000000000011</v>
      </c>
      <c r="J23" s="11"/>
    </row>
    <row r="24" spans="3:10" x14ac:dyDescent="0.2">
      <c r="C24" s="2">
        <f t="shared" si="4"/>
        <v>4</v>
      </c>
      <c r="D24" s="2">
        <f t="shared" si="5"/>
        <v>3</v>
      </c>
      <c r="G24">
        <f t="shared" si="6"/>
        <v>40</v>
      </c>
      <c r="H24" s="1">
        <f t="shared" si="7"/>
        <v>300</v>
      </c>
      <c r="J24" s="11"/>
    </row>
    <row r="25" spans="3:10" x14ac:dyDescent="0.2">
      <c r="C25" s="2">
        <f t="shared" si="4"/>
        <v>3.8</v>
      </c>
      <c r="D25" s="2">
        <f t="shared" si="5"/>
        <v>2.4</v>
      </c>
      <c r="G25">
        <f t="shared" si="6"/>
        <v>33.44</v>
      </c>
      <c r="H25" s="1">
        <f t="shared" si="7"/>
        <v>211.20000000000002</v>
      </c>
      <c r="J25" s="11"/>
    </row>
    <row r="26" spans="3:10" x14ac:dyDescent="0.2">
      <c r="C26" s="2">
        <f t="shared" si="4"/>
        <v>3.2</v>
      </c>
      <c r="D26" s="2">
        <f t="shared" si="5"/>
        <v>1.6</v>
      </c>
      <c r="G26">
        <f t="shared" si="6"/>
        <v>24.32</v>
      </c>
      <c r="H26" s="1">
        <f t="shared" si="7"/>
        <v>121.60000000000001</v>
      </c>
      <c r="J26" s="11"/>
    </row>
    <row r="27" spans="3:10" x14ac:dyDescent="0.2">
      <c r="C27" s="2">
        <f t="shared" si="4"/>
        <v>2.7</v>
      </c>
      <c r="D27" s="2">
        <f t="shared" si="5"/>
        <v>1.2</v>
      </c>
      <c r="G27">
        <f t="shared" si="6"/>
        <v>17.28</v>
      </c>
      <c r="H27" s="1">
        <f t="shared" si="7"/>
        <v>76.8</v>
      </c>
      <c r="J27" s="11"/>
    </row>
    <row r="28" spans="3:10" x14ac:dyDescent="0.2">
      <c r="C28" s="2">
        <f t="shared" si="4"/>
        <v>2.2000000000000002</v>
      </c>
      <c r="D28" s="2">
        <f t="shared" si="5"/>
        <v>0.8</v>
      </c>
      <c r="G28">
        <f t="shared" si="6"/>
        <v>11.440000000000001</v>
      </c>
      <c r="H28" s="1">
        <f t="shared" si="7"/>
        <v>41.6</v>
      </c>
      <c r="J28" s="11"/>
    </row>
    <row r="29" spans="3:10" x14ac:dyDescent="0.2">
      <c r="C29" s="2">
        <f t="shared" si="4"/>
        <v>1.2</v>
      </c>
      <c r="D29" s="2">
        <f t="shared" si="5"/>
        <v>0.5</v>
      </c>
      <c r="G29">
        <f t="shared" si="6"/>
        <v>4.8</v>
      </c>
      <c r="H29" s="1">
        <f t="shared" si="7"/>
        <v>20</v>
      </c>
      <c r="J29" s="11"/>
    </row>
    <row r="30" spans="3:10" x14ac:dyDescent="0.2">
      <c r="C30" s="2">
        <f t="shared" si="4"/>
        <v>1.1499999999999999</v>
      </c>
      <c r="D30" s="2">
        <f t="shared" si="5"/>
        <v>0.3</v>
      </c>
      <c r="G30">
        <f t="shared" si="6"/>
        <v>3.2199999999999993</v>
      </c>
      <c r="H30" s="1">
        <f t="shared" si="7"/>
        <v>8.3999999999999986</v>
      </c>
      <c r="J30" s="11"/>
    </row>
    <row r="31" spans="3:10" x14ac:dyDescent="0.2">
      <c r="C31" s="2">
        <f t="shared" si="4"/>
        <v>0.64000000000000012</v>
      </c>
      <c r="D31" s="2">
        <f t="shared" si="5"/>
        <v>0.16000000000000003</v>
      </c>
      <c r="G31">
        <f t="shared" si="6"/>
        <v>1.024</v>
      </c>
      <c r="H31" s="1">
        <f t="shared" si="7"/>
        <v>2.5600000000000005</v>
      </c>
      <c r="J31" s="11"/>
    </row>
    <row r="32" spans="3:10" x14ac:dyDescent="0.2">
      <c r="C32" s="2">
        <f t="shared" si="4"/>
        <v>0.15000000000000002</v>
      </c>
      <c r="D32" s="2">
        <f t="shared" si="5"/>
        <v>2.5000000000000001E-2</v>
      </c>
      <c r="G32">
        <f t="shared" si="6"/>
        <v>0.06</v>
      </c>
      <c r="H32" s="1">
        <f t="shared" si="7"/>
        <v>0.10000000000000002</v>
      </c>
      <c r="J32" s="11"/>
    </row>
    <row r="33" spans="8:8" x14ac:dyDescent="0.2">
      <c r="H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2226-1756-0F41-B074-B3F92A3DB02C}">
  <dimension ref="A1:AB46"/>
  <sheetViews>
    <sheetView tabSelected="1" topLeftCell="A5" zoomScale="101" workbookViewId="0">
      <selection activeCell="S32" sqref="S32"/>
    </sheetView>
  </sheetViews>
  <sheetFormatPr baseColWidth="10" defaultColWidth="11" defaultRowHeight="16" x14ac:dyDescent="0.2"/>
  <cols>
    <col min="1" max="1" width="3.1640625" customWidth="1"/>
    <col min="5" max="5" width="12.1640625" bestFit="1" customWidth="1"/>
    <col min="8" max="8" width="11.5" customWidth="1"/>
    <col min="13" max="13" width="13.5" customWidth="1"/>
    <col min="15" max="15" width="18.33203125" customWidth="1"/>
    <col min="16" max="16" width="18.5" customWidth="1"/>
    <col min="17" max="17" width="18.1640625" customWidth="1"/>
    <col min="19" max="19" width="12.33203125" customWidth="1"/>
    <col min="20" max="20" width="13.6640625" customWidth="1"/>
  </cols>
  <sheetData>
    <row r="1" spans="1:2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7" t="s">
        <v>25</v>
      </c>
      <c r="K1" s="3" t="s">
        <v>21</v>
      </c>
      <c r="L1" s="2" t="s">
        <v>22</v>
      </c>
      <c r="M1" s="2" t="s">
        <v>9</v>
      </c>
      <c r="N1" s="18"/>
      <c r="O1" s="2" t="s">
        <v>26</v>
      </c>
      <c r="P1" s="2" t="s">
        <v>27</v>
      </c>
      <c r="Q1" s="2" t="s">
        <v>28</v>
      </c>
      <c r="R1" t="s">
        <v>29</v>
      </c>
      <c r="S1" t="s">
        <v>30</v>
      </c>
      <c r="T1" t="s">
        <v>31</v>
      </c>
      <c r="U1" t="s">
        <v>32</v>
      </c>
    </row>
    <row r="2" spans="1:28" x14ac:dyDescent="0.2">
      <c r="A2" s="2">
        <v>1</v>
      </c>
      <c r="B2" s="4">
        <v>17</v>
      </c>
      <c r="C2" s="4">
        <v>5</v>
      </c>
      <c r="D2" s="4">
        <v>5</v>
      </c>
      <c r="E2" s="4">
        <v>3</v>
      </c>
      <c r="F2" s="4">
        <v>3</v>
      </c>
      <c r="G2" s="2">
        <f>(($B$19+$C$19)/$B$19)*K2/$F$19</f>
        <v>330000</v>
      </c>
      <c r="H2" s="13">
        <f>($D$20/$G$19)*L2</f>
        <v>0.03</v>
      </c>
      <c r="I2" s="6">
        <f>H2/($H$19*G2)</f>
        <v>10272.213662044171</v>
      </c>
      <c r="J2" s="21">
        <f>G2*10^-2</f>
        <v>3300</v>
      </c>
      <c r="K2" s="3">
        <f>C2*E2</f>
        <v>15</v>
      </c>
      <c r="L2" s="2">
        <f>D2*F2</f>
        <v>15</v>
      </c>
      <c r="M2" s="14">
        <f>B2*$E$20</f>
        <v>1.7000000000000001E-7</v>
      </c>
      <c r="O2" s="2">
        <f>(B19+C19)/B19*C2*R2/F19</f>
        <v>99000</v>
      </c>
      <c r="P2" s="4">
        <f>D20/G19*D2*S2</f>
        <v>3.2000000000000001E-2</v>
      </c>
      <c r="Q2" s="2">
        <f>D20/G19*D2*T2</f>
        <v>1.4999999999999999E-2</v>
      </c>
      <c r="R2">
        <v>0.9</v>
      </c>
      <c r="S2">
        <v>3.2</v>
      </c>
      <c r="T2">
        <v>1.5</v>
      </c>
      <c r="U2">
        <v>3</v>
      </c>
    </row>
    <row r="3" spans="1:28" x14ac:dyDescent="0.2">
      <c r="A3" s="2">
        <v>2</v>
      </c>
      <c r="B3" s="4">
        <v>15</v>
      </c>
      <c r="C3" s="4">
        <v>5</v>
      </c>
      <c r="D3" s="4">
        <v>5</v>
      </c>
      <c r="E3" s="4">
        <v>2.5</v>
      </c>
      <c r="F3" s="4">
        <v>2.9</v>
      </c>
      <c r="G3" s="2">
        <f>(($B$19+$C$19)/$B$19)*K3/$F$19</f>
        <v>275000</v>
      </c>
      <c r="H3" s="13">
        <f t="shared" ref="H3:H16" si="0">($D$20/$G$19)*L3</f>
        <v>2.9000000000000001E-2</v>
      </c>
      <c r="I3" s="6">
        <f t="shared" ref="I3:I16" si="1">H3/($H$19*G3)</f>
        <v>11915.767847971239</v>
      </c>
      <c r="J3" s="21">
        <f t="shared" ref="J3:J16" si="2">G3*10^-2</f>
        <v>2750</v>
      </c>
      <c r="K3" s="3">
        <f t="shared" ref="K3:K16" si="3">C3*E3</f>
        <v>12.5</v>
      </c>
      <c r="L3" s="2">
        <f t="shared" ref="L3:L16" si="4">D3*F3</f>
        <v>14.5</v>
      </c>
      <c r="M3" s="14">
        <f t="shared" ref="M3:M16" si="5">B3*$E$20</f>
        <v>1.4999999999999999E-7</v>
      </c>
      <c r="O3" s="2">
        <f>O2*10^-3</f>
        <v>99</v>
      </c>
      <c r="P3" s="19">
        <f>P2*10^3</f>
        <v>32</v>
      </c>
      <c r="Q3" s="2">
        <f>Q2*10^3</f>
        <v>15</v>
      </c>
    </row>
    <row r="4" spans="1:28" x14ac:dyDescent="0.2">
      <c r="A4" s="2">
        <v>3</v>
      </c>
      <c r="B4" s="4">
        <v>13</v>
      </c>
      <c r="C4" s="4">
        <v>5</v>
      </c>
      <c r="D4" s="4">
        <v>5</v>
      </c>
      <c r="E4" s="4">
        <v>2.2000000000000002</v>
      </c>
      <c r="F4" s="4">
        <v>2.6</v>
      </c>
      <c r="G4" s="2">
        <f t="shared" ref="G4:G16" si="6">(($B$19+$C$19)/$B$19)*K4/$F$19</f>
        <v>242000</v>
      </c>
      <c r="H4" s="13">
        <f t="shared" si="0"/>
        <v>2.6000000000000002E-2</v>
      </c>
      <c r="I4" s="6">
        <f t="shared" si="1"/>
        <v>12139.888873324931</v>
      </c>
      <c r="J4" s="21">
        <f t="shared" si="2"/>
        <v>2420</v>
      </c>
      <c r="K4" s="3">
        <f t="shared" si="3"/>
        <v>11</v>
      </c>
      <c r="L4" s="2">
        <f t="shared" si="4"/>
        <v>13</v>
      </c>
      <c r="M4" s="14">
        <f t="shared" si="5"/>
        <v>1.3E-7</v>
      </c>
      <c r="O4" s="2" t="s">
        <v>33</v>
      </c>
      <c r="P4" s="4" t="s">
        <v>34</v>
      </c>
      <c r="Q4" s="2" t="s">
        <v>34</v>
      </c>
      <c r="S4" t="s">
        <v>35</v>
      </c>
    </row>
    <row r="5" spans="1:28" x14ac:dyDescent="0.2">
      <c r="A5" s="2">
        <v>4</v>
      </c>
      <c r="B5" s="4">
        <v>11</v>
      </c>
      <c r="C5" s="4">
        <v>5</v>
      </c>
      <c r="D5" s="4">
        <v>5</v>
      </c>
      <c r="E5" s="4">
        <v>1.9</v>
      </c>
      <c r="F5" s="4">
        <v>2.1</v>
      </c>
      <c r="G5" s="2">
        <f t="shared" si="6"/>
        <v>209000</v>
      </c>
      <c r="H5" s="13">
        <f t="shared" si="0"/>
        <v>2.1000000000000001E-2</v>
      </c>
      <c r="I5" s="6">
        <f t="shared" si="1"/>
        <v>11353.499310680401</v>
      </c>
      <c r="J5" s="21">
        <f t="shared" si="2"/>
        <v>2090</v>
      </c>
      <c r="K5" s="3">
        <f t="shared" si="3"/>
        <v>9.5</v>
      </c>
      <c r="L5" s="2">
        <f t="shared" si="4"/>
        <v>10.5</v>
      </c>
      <c r="M5" s="14">
        <f t="shared" si="5"/>
        <v>1.1000000000000001E-7</v>
      </c>
      <c r="O5" t="s">
        <v>36</v>
      </c>
      <c r="P5" s="1" t="s">
        <v>37</v>
      </c>
      <c r="Q5" s="1" t="str">
        <f>P5</f>
        <v>погрешность в мили</v>
      </c>
    </row>
    <row r="6" spans="1:28" x14ac:dyDescent="0.2">
      <c r="A6" s="2">
        <v>5</v>
      </c>
      <c r="B6" s="4">
        <v>9</v>
      </c>
      <c r="C6" s="4">
        <v>5</v>
      </c>
      <c r="D6" s="4">
        <v>5</v>
      </c>
      <c r="E6" s="4">
        <v>1.5</v>
      </c>
      <c r="F6" s="4">
        <v>1.7</v>
      </c>
      <c r="G6" s="2">
        <f t="shared" si="6"/>
        <v>165000</v>
      </c>
      <c r="H6" s="13">
        <f t="shared" si="0"/>
        <v>1.7000000000000001E-2</v>
      </c>
      <c r="I6" s="6">
        <f t="shared" si="1"/>
        <v>11641.842150316728</v>
      </c>
      <c r="J6" s="21">
        <f t="shared" si="2"/>
        <v>1650</v>
      </c>
      <c r="K6" s="3">
        <f t="shared" si="3"/>
        <v>7.5</v>
      </c>
      <c r="L6" s="2">
        <f t="shared" si="4"/>
        <v>8.5</v>
      </c>
      <c r="M6" s="14">
        <f t="shared" si="5"/>
        <v>8.9999999999999999E-8</v>
      </c>
      <c r="O6" s="1">
        <f>S9*10^-3</f>
        <v>16.536458038057738</v>
      </c>
      <c r="P6" s="1">
        <f>W9*10^3</f>
        <v>4.5377429533977702</v>
      </c>
      <c r="Q6" s="1">
        <f>AA9*10^3</f>
        <v>21.473497877875207</v>
      </c>
    </row>
    <row r="7" spans="1:28" x14ac:dyDescent="0.2">
      <c r="A7" s="2">
        <v>6</v>
      </c>
      <c r="B7" s="4">
        <v>7</v>
      </c>
      <c r="C7" s="4">
        <v>5</v>
      </c>
      <c r="D7" s="4">
        <v>5</v>
      </c>
      <c r="E7" s="4">
        <v>1.2</v>
      </c>
      <c r="F7" s="4">
        <v>1.2</v>
      </c>
      <c r="G7" s="2">
        <f t="shared" si="6"/>
        <v>132000</v>
      </c>
      <c r="H7" s="13">
        <f t="shared" si="0"/>
        <v>1.2E-2</v>
      </c>
      <c r="I7" s="6">
        <f t="shared" si="1"/>
        <v>10272.213662044172</v>
      </c>
      <c r="J7" s="21">
        <f t="shared" si="2"/>
        <v>1320</v>
      </c>
      <c r="K7" s="3">
        <f t="shared" si="3"/>
        <v>6</v>
      </c>
      <c r="L7" s="2">
        <f t="shared" si="4"/>
        <v>6</v>
      </c>
      <c r="M7" s="14">
        <f t="shared" si="5"/>
        <v>7.0000000000000005E-8</v>
      </c>
      <c r="P7" s="1"/>
      <c r="R7">
        <f>(2/3*((B19+C19)/R2)*I19)^2</f>
        <v>366651577.50342929</v>
      </c>
      <c r="S7">
        <f>((C19/B19)*B22)^2</f>
        <v>2209000000</v>
      </c>
      <c r="T7">
        <f>C22^2+(((B19+C19)/F19)*F22)^2</f>
        <v>4881890000</v>
      </c>
      <c r="V7">
        <f>((2*I19)/(3*S2))^2</f>
        <v>1.0850694444444444E-4</v>
      </c>
      <c r="W7">
        <f>(D22/D20)^2</f>
        <v>1.0000000000000002E-2</v>
      </c>
      <c r="X7">
        <f>(G22/G19)^2</f>
        <v>1.0000000000000002E-2</v>
      </c>
      <c r="Z7">
        <f>((2*I19)/(3*T2))^2</f>
        <v>4.9382716049382717E-4</v>
      </c>
      <c r="AA7">
        <f>W7</f>
        <v>1.0000000000000002E-2</v>
      </c>
      <c r="AB7">
        <f>X7</f>
        <v>1.0000000000000002E-2</v>
      </c>
    </row>
    <row r="8" spans="1:28" x14ac:dyDescent="0.2">
      <c r="A8" s="2">
        <v>7</v>
      </c>
      <c r="B8" s="4">
        <v>5</v>
      </c>
      <c r="C8" s="4">
        <v>5</v>
      </c>
      <c r="D8" s="4">
        <v>5</v>
      </c>
      <c r="E8" s="4">
        <v>0.8</v>
      </c>
      <c r="F8" s="4">
        <v>0.6</v>
      </c>
      <c r="G8" s="2">
        <f t="shared" si="6"/>
        <v>88000</v>
      </c>
      <c r="H8" s="13">
        <f t="shared" si="0"/>
        <v>6.0000000000000001E-3</v>
      </c>
      <c r="I8" s="6">
        <f t="shared" si="1"/>
        <v>7704.1602465331298</v>
      </c>
      <c r="J8" s="21">
        <f t="shared" si="2"/>
        <v>880</v>
      </c>
      <c r="K8" s="3">
        <f t="shared" si="3"/>
        <v>4</v>
      </c>
      <c r="L8" s="2">
        <f t="shared" si="4"/>
        <v>3</v>
      </c>
      <c r="M8" s="14">
        <f t="shared" si="5"/>
        <v>4.9999999999999998E-8</v>
      </c>
      <c r="P8" s="1"/>
      <c r="S8" t="s">
        <v>38</v>
      </c>
      <c r="W8" t="s">
        <v>38</v>
      </c>
      <c r="AA8" t="s">
        <v>38</v>
      </c>
    </row>
    <row r="9" spans="1:28" x14ac:dyDescent="0.2">
      <c r="A9" s="2">
        <v>8</v>
      </c>
      <c r="B9" s="4">
        <v>4.4000000000000004</v>
      </c>
      <c r="C9" s="4">
        <v>2</v>
      </c>
      <c r="D9" s="4">
        <v>2</v>
      </c>
      <c r="E9" s="4">
        <v>1.9</v>
      </c>
      <c r="F9" s="4">
        <v>1.2</v>
      </c>
      <c r="G9" s="2">
        <f t="shared" si="6"/>
        <v>83599.999999999985</v>
      </c>
      <c r="H9" s="13">
        <f t="shared" si="0"/>
        <v>4.7999999999999996E-3</v>
      </c>
      <c r="I9" s="6">
        <f t="shared" si="1"/>
        <v>6487.7138918173723</v>
      </c>
      <c r="J9" s="21">
        <f t="shared" si="2"/>
        <v>835.99999999999989</v>
      </c>
      <c r="K9" s="3">
        <f t="shared" si="3"/>
        <v>3.8</v>
      </c>
      <c r="L9" s="2">
        <f t="shared" si="4"/>
        <v>2.4</v>
      </c>
      <c r="M9" s="14">
        <f t="shared" si="5"/>
        <v>4.4000000000000004E-8</v>
      </c>
      <c r="P9" s="1"/>
      <c r="S9">
        <f>(R2*C2)/(B19*F19)*SQRT(R7+S7+T7)</f>
        <v>16536.458038057739</v>
      </c>
      <c r="W9">
        <f>(D2*S2*D20/G19) * SQRT(V7+W7+X7)</f>
        <v>4.5377429533977704E-3</v>
      </c>
      <c r="AA9">
        <f>((D2*T2*D20)/G22) * SQRT(Z7+AA7+AB7)</f>
        <v>2.1473497877875208E-2</v>
      </c>
    </row>
    <row r="10" spans="1:28" x14ac:dyDescent="0.2">
      <c r="A10" s="2">
        <v>9</v>
      </c>
      <c r="B10" s="4">
        <v>3.8</v>
      </c>
      <c r="C10" s="4">
        <v>2</v>
      </c>
      <c r="D10" s="4">
        <v>2</v>
      </c>
      <c r="E10" s="4">
        <v>1.6</v>
      </c>
      <c r="F10" s="4">
        <v>0.8</v>
      </c>
      <c r="G10" s="2">
        <f t="shared" si="6"/>
        <v>70400</v>
      </c>
      <c r="H10" s="13">
        <f t="shared" si="0"/>
        <v>3.2000000000000002E-3</v>
      </c>
      <c r="I10" s="6">
        <f t="shared" si="1"/>
        <v>5136.1068310220862</v>
      </c>
      <c r="J10" s="21">
        <f t="shared" si="2"/>
        <v>704</v>
      </c>
      <c r="K10" s="3">
        <f t="shared" si="3"/>
        <v>3.2</v>
      </c>
      <c r="L10" s="2">
        <f t="shared" si="4"/>
        <v>1.6</v>
      </c>
      <c r="M10" s="14">
        <f t="shared" si="5"/>
        <v>3.7999999999999996E-8</v>
      </c>
    </row>
    <row r="11" spans="1:28" x14ac:dyDescent="0.2">
      <c r="A11" s="2">
        <v>10</v>
      </c>
      <c r="B11" s="4">
        <v>3.2</v>
      </c>
      <c r="C11" s="4">
        <v>1</v>
      </c>
      <c r="D11" s="4">
        <v>1</v>
      </c>
      <c r="E11" s="4">
        <v>2.7</v>
      </c>
      <c r="F11" s="4">
        <v>1.2</v>
      </c>
      <c r="G11" s="2">
        <f t="shared" si="6"/>
        <v>59400.000000000007</v>
      </c>
      <c r="H11" s="13">
        <f t="shared" si="0"/>
        <v>2.3999999999999998E-3</v>
      </c>
      <c r="I11" s="6">
        <f t="shared" si="1"/>
        <v>4565.4282942418531</v>
      </c>
      <c r="J11" s="21">
        <f t="shared" si="2"/>
        <v>594.00000000000011</v>
      </c>
      <c r="K11" s="3">
        <f t="shared" si="3"/>
        <v>2.7</v>
      </c>
      <c r="L11" s="2">
        <f t="shared" si="4"/>
        <v>1.2</v>
      </c>
      <c r="M11" s="14">
        <f t="shared" si="5"/>
        <v>3.2000000000000002E-8</v>
      </c>
      <c r="O11" t="s">
        <v>39</v>
      </c>
      <c r="P11" s="1"/>
    </row>
    <row r="12" spans="1:28" x14ac:dyDescent="0.2">
      <c r="A12" s="2">
        <v>11</v>
      </c>
      <c r="B12" s="4">
        <v>2.6</v>
      </c>
      <c r="C12" s="4">
        <v>1</v>
      </c>
      <c r="D12" s="4">
        <v>1</v>
      </c>
      <c r="E12" s="4">
        <v>2.2000000000000002</v>
      </c>
      <c r="F12" s="4">
        <v>0.8</v>
      </c>
      <c r="G12" s="2">
        <f t="shared" si="6"/>
        <v>48400.000000000007</v>
      </c>
      <c r="H12" s="13">
        <f t="shared" si="0"/>
        <v>1.6000000000000001E-3</v>
      </c>
      <c r="I12" s="6">
        <f t="shared" si="1"/>
        <v>3735.350422561517</v>
      </c>
      <c r="J12" s="21">
        <f t="shared" si="2"/>
        <v>484.00000000000006</v>
      </c>
      <c r="K12" s="3">
        <f t="shared" si="3"/>
        <v>2.2000000000000002</v>
      </c>
      <c r="L12" s="2">
        <f t="shared" si="4"/>
        <v>0.8</v>
      </c>
      <c r="M12" s="14">
        <f t="shared" si="5"/>
        <v>2.6000000000000001E-8</v>
      </c>
      <c r="O12">
        <f>((B19+C19)/B19)*(C2*U2)/F19</f>
        <v>330000</v>
      </c>
      <c r="P12" s="1"/>
    </row>
    <row r="13" spans="1:28" x14ac:dyDescent="0.2">
      <c r="A13" s="2">
        <v>12</v>
      </c>
      <c r="B13" s="4">
        <v>2</v>
      </c>
      <c r="C13" s="4">
        <v>0.5</v>
      </c>
      <c r="D13" s="4">
        <v>0.5</v>
      </c>
      <c r="E13" s="4">
        <v>2.4</v>
      </c>
      <c r="F13" s="4">
        <v>1</v>
      </c>
      <c r="G13" s="2">
        <f t="shared" si="6"/>
        <v>26399.999999999996</v>
      </c>
      <c r="H13" s="13">
        <f t="shared" si="0"/>
        <v>1E-3</v>
      </c>
      <c r="I13" s="6">
        <f t="shared" si="1"/>
        <v>4280.0890258517393</v>
      </c>
      <c r="J13" s="21">
        <f t="shared" si="2"/>
        <v>263.99999999999994</v>
      </c>
      <c r="K13" s="3">
        <f t="shared" si="3"/>
        <v>1.2</v>
      </c>
      <c r="L13" s="2">
        <f t="shared" si="4"/>
        <v>0.5</v>
      </c>
      <c r="M13" s="14">
        <f t="shared" si="5"/>
        <v>2E-8</v>
      </c>
      <c r="O13" t="s">
        <v>40</v>
      </c>
      <c r="P13" s="1" t="s">
        <v>41</v>
      </c>
      <c r="Q13" t="s">
        <v>42</v>
      </c>
      <c r="S13" t="s">
        <v>33</v>
      </c>
      <c r="U13" t="s">
        <v>43</v>
      </c>
      <c r="W13" t="s">
        <v>35</v>
      </c>
    </row>
    <row r="14" spans="1:28" x14ac:dyDescent="0.2">
      <c r="A14" s="2">
        <v>13</v>
      </c>
      <c r="B14" s="4">
        <v>1.4</v>
      </c>
      <c r="C14" s="4">
        <v>0.5</v>
      </c>
      <c r="D14" s="4">
        <v>0.5</v>
      </c>
      <c r="E14" s="4">
        <v>2.2999999999999998</v>
      </c>
      <c r="F14" s="4">
        <v>0.6</v>
      </c>
      <c r="G14" s="2">
        <f t="shared" si="6"/>
        <v>25299.999999999996</v>
      </c>
      <c r="H14" s="13">
        <f t="shared" si="0"/>
        <v>5.9999999999999995E-4</v>
      </c>
      <c r="I14" s="6">
        <f t="shared" si="1"/>
        <v>2679.70791183761</v>
      </c>
      <c r="J14" s="21">
        <f t="shared" si="2"/>
        <v>252.99999999999997</v>
      </c>
      <c r="K14" s="3">
        <f t="shared" si="3"/>
        <v>1.1499999999999999</v>
      </c>
      <c r="L14" s="2">
        <f t="shared" si="4"/>
        <v>0.3</v>
      </c>
      <c r="M14" s="14">
        <f t="shared" si="5"/>
        <v>1.4E-8</v>
      </c>
      <c r="O14">
        <f>G17</f>
        <v>242000</v>
      </c>
      <c r="P14" s="1">
        <f>I17</f>
        <v>12139.888873324931</v>
      </c>
      <c r="Q14">
        <f>19464.7</f>
        <v>19464.7</v>
      </c>
      <c r="S14">
        <f>Q14*10^-3</f>
        <v>19.464700000000001</v>
      </c>
    </row>
    <row r="15" spans="1:28" x14ac:dyDescent="0.2">
      <c r="A15" s="2">
        <v>14</v>
      </c>
      <c r="B15" s="4">
        <v>0.8</v>
      </c>
      <c r="C15" s="4">
        <v>0.2</v>
      </c>
      <c r="D15" s="4">
        <v>0.2</v>
      </c>
      <c r="E15" s="4">
        <v>3.2</v>
      </c>
      <c r="F15" s="4">
        <v>0.8</v>
      </c>
      <c r="G15" s="2">
        <f t="shared" si="6"/>
        <v>14080.000000000002</v>
      </c>
      <c r="H15" s="13">
        <f t="shared" si="0"/>
        <v>3.2000000000000008E-4</v>
      </c>
      <c r="I15" s="6">
        <f t="shared" si="1"/>
        <v>2568.0534155110431</v>
      </c>
      <c r="J15" s="21">
        <f t="shared" si="2"/>
        <v>140.80000000000001</v>
      </c>
      <c r="K15" s="3">
        <f t="shared" si="3"/>
        <v>0.64000000000000012</v>
      </c>
      <c r="L15" s="2">
        <f t="shared" si="4"/>
        <v>0.16000000000000003</v>
      </c>
      <c r="M15" s="14">
        <f t="shared" si="5"/>
        <v>8.0000000000000005E-9</v>
      </c>
      <c r="O15" s="24" t="s">
        <v>44</v>
      </c>
      <c r="P15" s="24"/>
      <c r="U15">
        <f>((2*I19)/(3*F2))^2</f>
        <v>1.2345679012345679E-4</v>
      </c>
      <c r="W15">
        <f>(2/3*((B19+C19)/E2)*I19)^2</f>
        <v>32998641.975308653</v>
      </c>
      <c r="X15">
        <f>((C19/B19)*B22)^2</f>
        <v>2209000000</v>
      </c>
      <c r="Y15">
        <f>C22^2+(((B19+C19)/F19)*F22)^2</f>
        <v>4881890000</v>
      </c>
    </row>
    <row r="16" spans="1:28" ht="17" thickBot="1" x14ac:dyDescent="0.25">
      <c r="A16" s="2">
        <v>15</v>
      </c>
      <c r="B16" s="4">
        <v>0.2</v>
      </c>
      <c r="C16" s="4">
        <v>0.05</v>
      </c>
      <c r="D16" s="4">
        <f>C16</f>
        <v>0.05</v>
      </c>
      <c r="E16" s="4">
        <v>3</v>
      </c>
      <c r="F16" s="4">
        <v>0.5</v>
      </c>
      <c r="G16" s="2">
        <f t="shared" si="6"/>
        <v>3300.0000000000005</v>
      </c>
      <c r="H16" s="13">
        <f t="shared" si="0"/>
        <v>5.0000000000000002E-5</v>
      </c>
      <c r="I16" s="6">
        <f t="shared" si="1"/>
        <v>1712.0356103406953</v>
      </c>
      <c r="J16" s="22">
        <f t="shared" si="2"/>
        <v>33.000000000000007</v>
      </c>
      <c r="K16" s="3">
        <f t="shared" si="3"/>
        <v>0.15000000000000002</v>
      </c>
      <c r="L16" s="2">
        <f t="shared" si="4"/>
        <v>2.5000000000000001E-2</v>
      </c>
      <c r="M16" s="14">
        <f t="shared" si="5"/>
        <v>2.0000000000000001E-9</v>
      </c>
      <c r="O16">
        <f>O14*10^-3</f>
        <v>242</v>
      </c>
      <c r="P16" s="1">
        <f>P14*10^-3</f>
        <v>12.139888873324931</v>
      </c>
    </row>
    <row r="17" spans="1:24" x14ac:dyDescent="0.2">
      <c r="G17" s="20">
        <f>G4</f>
        <v>242000</v>
      </c>
      <c r="I17" s="1">
        <f>MAX(I2:I16)</f>
        <v>12139.888873324931</v>
      </c>
      <c r="J17" s="23"/>
      <c r="P17" s="17"/>
      <c r="U17">
        <f>(D2*F2*D20/G19) * SQRT(U15+W7+X7)</f>
        <v>4.2557151116012345E-3</v>
      </c>
      <c r="X17">
        <f>(E2*C2)/(B19*F19)*SQRT(W15+X15+Y15)</f>
        <v>53874.33938754558</v>
      </c>
    </row>
    <row r="18" spans="1:24" x14ac:dyDescent="0.2">
      <c r="B18" s="2" t="s">
        <v>10</v>
      </c>
      <c r="C18" s="2" t="s">
        <v>11</v>
      </c>
      <c r="D18" s="2" t="s">
        <v>12</v>
      </c>
      <c r="E18" s="2" t="s">
        <v>13</v>
      </c>
      <c r="F18" s="2" t="s">
        <v>14</v>
      </c>
      <c r="G18" s="2" t="s">
        <v>15</v>
      </c>
      <c r="H18" s="2" t="s">
        <v>16</v>
      </c>
      <c r="I18" s="2" t="s">
        <v>45</v>
      </c>
      <c r="J18" s="2"/>
      <c r="P18" s="16">
        <f>1/(H19*G17)*SQRT((H4^2/G17^2) *X17^2 + U17^2)</f>
        <v>3354.4733852420354</v>
      </c>
      <c r="Q18">
        <f>SQRT(H2^2*X17^2+U17^2)</f>
        <v>1616.2301816319703</v>
      </c>
      <c r="R18" t="s">
        <v>53</v>
      </c>
    </row>
    <row r="19" spans="1:24" x14ac:dyDescent="0.2">
      <c r="A19" s="1"/>
      <c r="B19" s="2">
        <v>47000</v>
      </c>
      <c r="C19" s="2">
        <v>470000</v>
      </c>
      <c r="D19" s="2">
        <v>1</v>
      </c>
      <c r="E19" s="2">
        <v>0.01</v>
      </c>
      <c r="F19" s="2">
        <f>0.5 * 10^-3</f>
        <v>5.0000000000000001E-4</v>
      </c>
      <c r="G19" s="2">
        <f>500*10^-6</f>
        <v>5.0000000000000001E-4</v>
      </c>
      <c r="H19" s="4">
        <f>8.85*10^(-12)</f>
        <v>8.8499999999999988E-12</v>
      </c>
      <c r="I19" s="2">
        <v>0.05</v>
      </c>
      <c r="J19" s="2"/>
      <c r="P19" t="s">
        <v>44</v>
      </c>
      <c r="Q19" t="s">
        <v>44</v>
      </c>
    </row>
    <row r="20" spans="1:24" x14ac:dyDescent="0.2">
      <c r="D20">
        <f>D19*10^-6</f>
        <v>9.9999999999999995E-7</v>
      </c>
      <c r="E20">
        <f>E19*10^-6</f>
        <v>1E-8</v>
      </c>
      <c r="H20" t="s">
        <v>17</v>
      </c>
      <c r="P20">
        <f>P18*10^-3</f>
        <v>3.3544733852420356</v>
      </c>
      <c r="Q20">
        <f>Q18*10^-3</f>
        <v>1.6162301816319702</v>
      </c>
      <c r="R20" t="s">
        <v>52</v>
      </c>
    </row>
    <row r="21" spans="1:24" x14ac:dyDescent="0.2">
      <c r="P21" t="s">
        <v>50</v>
      </c>
      <c r="Q21" t="s">
        <v>51</v>
      </c>
    </row>
    <row r="22" spans="1:24" x14ac:dyDescent="0.2">
      <c r="B22">
        <f>B19*0.1</f>
        <v>4700</v>
      </c>
      <c r="C22">
        <f>C19*0.1</f>
        <v>47000</v>
      </c>
      <c r="D22">
        <f>D20*0.1</f>
        <v>9.9999999999999995E-8</v>
      </c>
      <c r="E22">
        <f>E20*0.1</f>
        <v>1.0000000000000001E-9</v>
      </c>
      <c r="F22">
        <f>F19*0.1</f>
        <v>5.0000000000000002E-5</v>
      </c>
      <c r="G22">
        <f>G19*0.1</f>
        <v>5.0000000000000002E-5</v>
      </c>
    </row>
    <row r="23" spans="1:24" x14ac:dyDescent="0.2">
      <c r="B23" s="24" t="s">
        <v>46</v>
      </c>
      <c r="C23" s="24"/>
      <c r="D23" s="24"/>
      <c r="E23" s="24"/>
      <c r="F23" s="24"/>
      <c r="G23" s="24"/>
      <c r="J23" s="12"/>
      <c r="Q23" t="s">
        <v>54</v>
      </c>
    </row>
    <row r="28" spans="1:24" x14ac:dyDescent="0.2">
      <c r="L28" s="1">
        <f>((D20*(B19+C19))*C2*D2*C32)/(G19*B19*F19*P2*O12*3.14)</f>
        <v>0.24481157112526539</v>
      </c>
    </row>
    <row r="31" spans="1:24" x14ac:dyDescent="0.2">
      <c r="C31" t="s">
        <v>47</v>
      </c>
      <c r="L31" t="s">
        <v>48</v>
      </c>
      <c r="M31" t="s">
        <v>49</v>
      </c>
    </row>
    <row r="32" spans="1:24" x14ac:dyDescent="0.2">
      <c r="C32">
        <f>7.3796</f>
        <v>7.3795999999999999</v>
      </c>
      <c r="H32">
        <v>1</v>
      </c>
      <c r="I32">
        <f>H2*10^3</f>
        <v>30</v>
      </c>
      <c r="L32">
        <f>J2</f>
        <v>3300</v>
      </c>
      <c r="M32" s="1">
        <f>I2*10^-3</f>
        <v>10.272213662044171</v>
      </c>
    </row>
    <row r="33" spans="8:13" x14ac:dyDescent="0.2">
      <c r="H33">
        <v>2</v>
      </c>
      <c r="I33">
        <f t="shared" ref="I33:I46" si="7">H3*10^3</f>
        <v>29</v>
      </c>
      <c r="L33">
        <f t="shared" ref="L33:L46" si="8">J3</f>
        <v>2750</v>
      </c>
      <c r="M33" s="1">
        <f t="shared" ref="M33:M46" si="9">I3*10^-3</f>
        <v>11.915767847971241</v>
      </c>
    </row>
    <row r="34" spans="8:13" x14ac:dyDescent="0.2">
      <c r="H34">
        <v>3</v>
      </c>
      <c r="I34">
        <f t="shared" si="7"/>
        <v>26.000000000000004</v>
      </c>
      <c r="L34">
        <f t="shared" si="8"/>
        <v>2420</v>
      </c>
      <c r="M34" s="1">
        <f t="shared" si="9"/>
        <v>12.139888873324931</v>
      </c>
    </row>
    <row r="35" spans="8:13" x14ac:dyDescent="0.2">
      <c r="H35">
        <v>4</v>
      </c>
      <c r="I35">
        <f t="shared" si="7"/>
        <v>21</v>
      </c>
      <c r="L35">
        <f t="shared" si="8"/>
        <v>2090</v>
      </c>
      <c r="M35" s="1">
        <f t="shared" si="9"/>
        <v>11.353499310680402</v>
      </c>
    </row>
    <row r="36" spans="8:13" x14ac:dyDescent="0.2">
      <c r="H36">
        <v>5</v>
      </c>
      <c r="I36">
        <f t="shared" si="7"/>
        <v>17</v>
      </c>
      <c r="L36">
        <f t="shared" si="8"/>
        <v>1650</v>
      </c>
      <c r="M36" s="1">
        <f t="shared" si="9"/>
        <v>11.641842150316728</v>
      </c>
    </row>
    <row r="37" spans="8:13" x14ac:dyDescent="0.2">
      <c r="H37">
        <v>6</v>
      </c>
      <c r="I37">
        <f t="shared" si="7"/>
        <v>12</v>
      </c>
      <c r="L37">
        <f t="shared" si="8"/>
        <v>1320</v>
      </c>
      <c r="M37" s="1">
        <f t="shared" si="9"/>
        <v>10.272213662044173</v>
      </c>
    </row>
    <row r="38" spans="8:13" x14ac:dyDescent="0.2">
      <c r="H38">
        <v>7</v>
      </c>
      <c r="I38">
        <f t="shared" si="7"/>
        <v>6</v>
      </c>
      <c r="L38">
        <f t="shared" si="8"/>
        <v>880</v>
      </c>
      <c r="M38" s="1">
        <f t="shared" si="9"/>
        <v>7.7041602465331298</v>
      </c>
    </row>
    <row r="39" spans="8:13" x14ac:dyDescent="0.2">
      <c r="H39">
        <v>8</v>
      </c>
      <c r="I39">
        <f t="shared" si="7"/>
        <v>4.8</v>
      </c>
      <c r="L39">
        <f t="shared" si="8"/>
        <v>835.99999999999989</v>
      </c>
      <c r="M39" s="1">
        <f t="shared" si="9"/>
        <v>6.4877138918173722</v>
      </c>
    </row>
    <row r="40" spans="8:13" x14ac:dyDescent="0.2">
      <c r="H40">
        <v>9</v>
      </c>
      <c r="I40">
        <f t="shared" si="7"/>
        <v>3.2</v>
      </c>
      <c r="L40">
        <f t="shared" si="8"/>
        <v>704</v>
      </c>
      <c r="M40" s="1">
        <f t="shared" si="9"/>
        <v>5.1361068310220865</v>
      </c>
    </row>
    <row r="41" spans="8:13" x14ac:dyDescent="0.2">
      <c r="H41">
        <v>10</v>
      </c>
      <c r="I41">
        <f t="shared" si="7"/>
        <v>2.4</v>
      </c>
      <c r="L41">
        <f t="shared" si="8"/>
        <v>594.00000000000011</v>
      </c>
      <c r="M41" s="1">
        <f t="shared" si="9"/>
        <v>4.5654282942418529</v>
      </c>
    </row>
    <row r="42" spans="8:13" x14ac:dyDescent="0.2">
      <c r="H42">
        <v>11</v>
      </c>
      <c r="I42">
        <f t="shared" si="7"/>
        <v>1.6</v>
      </c>
      <c r="L42">
        <f t="shared" si="8"/>
        <v>484.00000000000006</v>
      </c>
      <c r="M42" s="1">
        <f t="shared" si="9"/>
        <v>3.7353504225615173</v>
      </c>
    </row>
    <row r="43" spans="8:13" x14ac:dyDescent="0.2">
      <c r="H43">
        <v>12</v>
      </c>
      <c r="I43">
        <f t="shared" si="7"/>
        <v>1</v>
      </c>
      <c r="L43">
        <f t="shared" si="8"/>
        <v>263.99999999999994</v>
      </c>
      <c r="M43" s="1">
        <f t="shared" si="9"/>
        <v>4.2800890258517397</v>
      </c>
    </row>
    <row r="44" spans="8:13" x14ac:dyDescent="0.2">
      <c r="H44">
        <v>13</v>
      </c>
      <c r="I44">
        <f t="shared" si="7"/>
        <v>0.6</v>
      </c>
      <c r="L44">
        <f t="shared" si="8"/>
        <v>252.99999999999997</v>
      </c>
      <c r="M44" s="1">
        <f t="shared" si="9"/>
        <v>2.6797079118376099</v>
      </c>
    </row>
    <row r="45" spans="8:13" x14ac:dyDescent="0.2">
      <c r="H45">
        <v>14</v>
      </c>
      <c r="I45">
        <f t="shared" si="7"/>
        <v>0.32000000000000006</v>
      </c>
      <c r="L45">
        <f t="shared" si="8"/>
        <v>140.80000000000001</v>
      </c>
      <c r="M45" s="1">
        <f t="shared" si="9"/>
        <v>2.5680534155110433</v>
      </c>
    </row>
    <row r="46" spans="8:13" x14ac:dyDescent="0.2">
      <c r="H46">
        <v>15</v>
      </c>
      <c r="I46">
        <f t="shared" si="7"/>
        <v>0.05</v>
      </c>
      <c r="L46">
        <f t="shared" si="8"/>
        <v>33.000000000000007</v>
      </c>
      <c r="M46" s="1">
        <f t="shared" si="9"/>
        <v>1.7120356103406953</v>
      </c>
    </row>
  </sheetData>
  <mergeCells count="2">
    <mergeCell ref="B23:G23"/>
    <mergeCell ref="O15:P1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Васильков Дмитрий</dc:creator>
  <cp:keywords/>
  <dc:description/>
  <cp:lastModifiedBy>Васильков Дмитрий Алексеевич</cp:lastModifiedBy>
  <cp:revision/>
  <dcterms:created xsi:type="dcterms:W3CDTF">2023-11-11T13:58:47Z</dcterms:created>
  <dcterms:modified xsi:type="dcterms:W3CDTF">2023-12-02T16:10:17Z</dcterms:modified>
  <cp:category/>
  <cp:contentStatus/>
</cp:coreProperties>
</file>