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DB6E491B-F46C-904D-933F-CF742BBE92B2}" xr6:coauthVersionLast="47" xr6:coauthVersionMax="47" xr10:uidLastSave="{00000000-0000-0000-0000-000000000000}"/>
  <bookViews>
    <workbookView xWindow="1540" yWindow="500" windowWidth="31500" windowHeight="19040" xr2:uid="{727A2CE5-DA27-9643-ACC3-290DFE19BC9A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K2" i="1"/>
  <c r="G3" i="1"/>
  <c r="F3" i="1"/>
  <c r="A35" i="1"/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35" i="1"/>
  <c r="F5" i="1"/>
  <c r="F6" i="1"/>
  <c r="F7" i="1"/>
  <c r="F8" i="1"/>
  <c r="F9" i="1"/>
  <c r="F10" i="1"/>
  <c r="F25" i="1" s="1"/>
  <c r="F11" i="1"/>
  <c r="F12" i="1"/>
  <c r="F27" i="1" s="1"/>
  <c r="F13" i="1"/>
  <c r="F28" i="1" s="1"/>
  <c r="F14" i="1"/>
  <c r="F29" i="1" s="1"/>
  <c r="F15" i="1"/>
  <c r="F30" i="1" s="1"/>
  <c r="F16" i="1"/>
  <c r="F31" i="1" s="1"/>
  <c r="F4" i="1"/>
  <c r="G19" i="1"/>
  <c r="G20" i="1"/>
  <c r="G21" i="1"/>
  <c r="G22" i="1"/>
  <c r="G23" i="1"/>
  <c r="G8" i="1" s="1"/>
  <c r="G24" i="1"/>
  <c r="G9" i="1" s="1"/>
  <c r="G25" i="1"/>
  <c r="G10" i="1" s="1"/>
  <c r="G26" i="1"/>
  <c r="G11" i="1" s="1"/>
  <c r="G27" i="1"/>
  <c r="G12" i="1" s="1"/>
  <c r="G28" i="1"/>
  <c r="G29" i="1"/>
  <c r="G14" i="1" s="1"/>
  <c r="G30" i="1"/>
  <c r="G15" i="1" s="1"/>
  <c r="G31" i="1"/>
  <c r="G5" i="1"/>
  <c r="G13" i="1"/>
  <c r="I3" i="1"/>
  <c r="G4" i="1"/>
  <c r="G6" i="1"/>
  <c r="G7" i="1"/>
  <c r="G16" i="1"/>
  <c r="F19" i="1"/>
  <c r="F20" i="1"/>
  <c r="F21" i="1"/>
  <c r="F22" i="1"/>
  <c r="F23" i="1"/>
  <c r="F24" i="1"/>
  <c r="F26" i="1"/>
  <c r="F18" i="1"/>
  <c r="B35" i="1" l="1"/>
  <c r="D36" i="1"/>
  <c r="D45" i="1"/>
  <c r="D37" i="1"/>
  <c r="D47" i="1"/>
  <c r="D46" i="1"/>
  <c r="D44" i="1"/>
  <c r="D43" i="1"/>
  <c r="D42" i="1"/>
  <c r="D41" i="1"/>
  <c r="D40" i="1"/>
  <c r="E35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E39" i="1"/>
  <c r="E38" i="1"/>
  <c r="F37" i="1"/>
  <c r="E37" i="1"/>
  <c r="F36" i="1"/>
  <c r="E3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8" i="1"/>
  <c r="A31" i="1"/>
  <c r="A29" i="1"/>
  <c r="A30" i="1"/>
  <c r="A19" i="1"/>
  <c r="A20" i="1"/>
  <c r="A21" i="1"/>
  <c r="A22" i="1"/>
  <c r="A23" i="1"/>
  <c r="A24" i="1"/>
  <c r="A25" i="1"/>
  <c r="A26" i="1"/>
  <c r="A27" i="1"/>
  <c r="A28" i="1"/>
  <c r="A18" i="1"/>
  <c r="E6" i="1"/>
  <c r="E21" i="1" s="1"/>
  <c r="E3" i="1"/>
  <c r="E18" i="1" s="1"/>
  <c r="D35" i="1" l="1"/>
  <c r="F35" i="1" s="1"/>
  <c r="D48" i="1"/>
  <c r="F48" i="1" s="1"/>
  <c r="D39" i="1"/>
  <c r="F39" i="1" s="1"/>
  <c r="D38" i="1"/>
  <c r="F38" i="1" s="1"/>
  <c r="A39" i="1"/>
  <c r="A37" i="1"/>
  <c r="B37" i="1" s="1"/>
  <c r="E4" i="1"/>
  <c r="E19" i="1" s="1"/>
  <c r="E5" i="1"/>
  <c r="E20" i="1" s="1"/>
  <c r="E7" i="1"/>
  <c r="E22" i="1" s="1"/>
  <c r="E8" i="1"/>
  <c r="E23" i="1" s="1"/>
  <c r="E9" i="1"/>
  <c r="E24" i="1" s="1"/>
  <c r="E10" i="1"/>
  <c r="E25" i="1" s="1"/>
  <c r="E11" i="1"/>
  <c r="E26" i="1" s="1"/>
  <c r="E12" i="1"/>
  <c r="E27" i="1" s="1"/>
  <c r="E13" i="1"/>
  <c r="E28" i="1" s="1"/>
  <c r="E14" i="1"/>
  <c r="E29" i="1" s="1"/>
  <c r="E15" i="1"/>
  <c r="E30" i="1" s="1"/>
  <c r="E16" i="1"/>
  <c r="E31" i="1" s="1"/>
  <c r="G36" i="1" l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35" i="1"/>
  <c r="H35" i="1" s="1"/>
  <c r="A41" i="1"/>
  <c r="A44" i="1" s="1"/>
  <c r="B46" i="1" s="1"/>
  <c r="B41" i="1"/>
</calcChain>
</file>

<file path=xl/sharedStrings.xml><?xml version="1.0" encoding="utf-8"?>
<sst xmlns="http://schemas.openxmlformats.org/spreadsheetml/2006/main" count="33" uniqueCount="33">
  <si>
    <t>fi = ˚</t>
  </si>
  <si>
    <t>Ток в катушке, мА</t>
  </si>
  <si>
    <t>sin(a_i)</t>
  </si>
  <si>
    <t>B_c мкТл</t>
  </si>
  <si>
    <t>R [м]</t>
  </si>
  <si>
    <t>n</t>
  </si>
  <si>
    <t>мю_0 [Гн/м]</t>
  </si>
  <si>
    <t>параметры установки</t>
  </si>
  <si>
    <t>ai</t>
  </si>
  <si>
    <t>I_1</t>
  </si>
  <si>
    <t>I_2</t>
  </si>
  <si>
    <t>I_3</t>
  </si>
  <si>
    <t>&lt;I&gt; (ср)</t>
  </si>
  <si>
    <t>sin(fi-a_i)</t>
  </si>
  <si>
    <t>это (4/5)^(3/2)</t>
  </si>
  <si>
    <t>этот же ток, но в А</t>
  </si>
  <si>
    <t>тут все в си</t>
  </si>
  <si>
    <t>y</t>
  </si>
  <si>
    <t>x_avg</t>
  </si>
  <si>
    <t>y_avg</t>
  </si>
  <si>
    <t>x_i-x_avg</t>
  </si>
  <si>
    <t>y_i-y_avg</t>
  </si>
  <si>
    <t>(x_i-x_avg)^2</t>
  </si>
  <si>
    <t>J*K</t>
  </si>
  <si>
    <t>di</t>
  </si>
  <si>
    <t>di^2</t>
  </si>
  <si>
    <t>b</t>
  </si>
  <si>
    <t>a</t>
  </si>
  <si>
    <t>D</t>
  </si>
  <si>
    <t>s_b</t>
  </si>
  <si>
    <t>s_a</t>
  </si>
  <si>
    <t>∆b (это если че погрешность для В_земли, а b - это само значеие B_земли)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</si>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</sst>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7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B_c</a:t>
            </a:r>
            <a:r>
              <a:rPr lang="en-US" baseline="0"/>
              <a:t> = B_c(y_i)</a:t>
            </a:r>
            <a:r>
              <a:rPr lang="ru-RU" baseline="0"/>
              <a:t>,</a:t>
            </a:r>
            <a:r>
              <a:rPr lang="en-US" baseline="0"/>
              <a:t> </a:t>
            </a:r>
            <a:r>
              <a:rPr lang="ru-RU" baseline="0"/>
              <a:t> где  </a:t>
            </a:r>
            <a:r>
              <a:rPr lang="en-US" baseline="0"/>
              <a:t>y_i - </a:t>
            </a:r>
            <a:r>
              <a:rPr lang="ru-RU" baseline="0"/>
              <a:t>отношение синусов </a:t>
            </a:r>
            <a:r>
              <a:rPr lang="en-US" baseline="0"/>
              <a:t>[</a:t>
            </a:r>
            <a:r>
              <a:rPr lang="ru-RU" baseline="0"/>
              <a:t>рад</a:t>
            </a:r>
            <a:r>
              <a:rPr lang="en-US" baseline="0"/>
              <a:t>]</a:t>
            </a:r>
            <a:r>
              <a:rPr lang="ru-RU" baseline="0"/>
              <a:t>,  </a:t>
            </a:r>
            <a:r>
              <a:rPr lang="en-US" baseline="0"/>
              <a:t>B_</a:t>
            </a:r>
            <a:r>
              <a:rPr lang="ru-RU" baseline="0"/>
              <a:t>с - значения мп катушек Гельмгольца [мкТл]</a:t>
            </a:r>
          </a:p>
        </c:rich>
      </c:tx>
      <c:layout>
        <c:manualLayout>
          <c:xMode val="edge"/>
          <c:yMode val="edge"/>
          <c:x val="0.29054825626832437"/>
          <c:y val="1.091619958027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Лист1!$F$3:$F$16</c:f>
              <c:numCache>
                <c:formatCode>0.000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1.2266815969056777</c:v>
                </c:pt>
                <c:pt idx="11">
                  <c:v>1.3472963553338606</c:v>
                </c:pt>
                <c:pt idx="12">
                  <c:v>1.5320888862379565</c:v>
                </c:pt>
                <c:pt idx="13">
                  <c:v>1.8793852415718171</c:v>
                </c:pt>
              </c:numCache>
            </c:numRef>
          </c:xVal>
          <c:yVal>
            <c:numRef>
              <c:f>Лист1!$G$3:$G$16</c:f>
              <c:numCache>
                <c:formatCode>0.000</c:formatCode>
                <c:ptCount val="14"/>
                <c:pt idx="0">
                  <c:v>8.1543138149080328</c:v>
                </c:pt>
                <c:pt idx="1">
                  <c:v>11.119518838510954</c:v>
                </c:pt>
                <c:pt idx="2">
                  <c:v>14.525497581838637</c:v>
                </c:pt>
                <c:pt idx="3">
                  <c:v>16.208451784424078</c:v>
                </c:pt>
                <c:pt idx="4">
                  <c:v>17.831300479774324</c:v>
                </c:pt>
                <c:pt idx="5">
                  <c:v>19.193691977105399</c:v>
                </c:pt>
                <c:pt idx="6">
                  <c:v>20.556083474436466</c:v>
                </c:pt>
                <c:pt idx="7">
                  <c:v>21.237279223102004</c:v>
                </c:pt>
                <c:pt idx="8">
                  <c:v>23.541323667117783</c:v>
                </c:pt>
                <c:pt idx="9">
                  <c:v>23.841851203293754</c:v>
                </c:pt>
                <c:pt idx="10">
                  <c:v>25.204242700624832</c:v>
                </c:pt>
                <c:pt idx="11">
                  <c:v>28.149412555149354</c:v>
                </c:pt>
                <c:pt idx="12">
                  <c:v>32.316727723456161</c:v>
                </c:pt>
                <c:pt idx="13">
                  <c:v>39.489318253522683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8-6942-9727-F8D847AA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48720"/>
        <c:axId val="2127400080"/>
      </c:scatterChart>
      <c:valAx>
        <c:axId val="21275487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400080"/>
        <c:crosses val="autoZero"/>
        <c:crossBetween val="midCat"/>
        <c:majorUnit val="0.1"/>
        <c:minorUnit val="0.05"/>
      </c:valAx>
      <c:valAx>
        <c:axId val="2127400080"/>
        <c:scaling>
          <c:orientation val="minMax"/>
          <c:max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548720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15119</xdr:colOff>
      <xdr:row>0</xdr:row>
      <xdr:rowOff>52915</xdr:rowOff>
    </xdr:from>
    <xdr:to>
      <xdr:col>7</xdr:col>
      <xdr:colOff>778631</xdr:colOff>
      <xdr:row>1</xdr:row>
      <xdr:rowOff>118834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BA63212-C27B-FFF2-1709-9C21496D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9643" y="52915"/>
          <a:ext cx="763512" cy="285145"/>
        </a:xfrm>
        <a:prstGeom prst="rect">
          <a:avLst/>
        </a:prstGeom>
      </xdr:spPr>
    </xdr:pic>
    <xdr:clientData/>
  </xdr:twoCellAnchor>
  <xdr:twoCellAnchor>
    <xdr:from>
      <xdr:col>8</xdr:col>
      <xdr:colOff>257175</xdr:colOff>
      <xdr:row>4</xdr:row>
      <xdr:rowOff>190500</xdr:rowOff>
    </xdr:from>
    <xdr:to>
      <xdr:col>20</xdr:col>
      <xdr:colOff>561975</xdr:colOff>
      <xdr:row>37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851018-6C31-FC66-E860-D08F982797FE}"/>
            </a:ext>
            <a:ext uri="{147F2762-F138-4A5C-976F-8EAC2B608ADB}">
              <a16:predDERef xmlns:a16="http://schemas.microsoft.com/office/drawing/2014/main" pred="{7BA63212-C27B-FFF2-1709-9C21496DE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312118</xdr:colOff>
      <xdr:row>49</xdr:row>
      <xdr:rowOff>43052</xdr:rowOff>
    </xdr:from>
    <xdr:to>
      <xdr:col>7</xdr:col>
      <xdr:colOff>785678</xdr:colOff>
      <xdr:row>56</xdr:row>
      <xdr:rowOff>48147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0D34B38-F20B-2348-9E66-045FCF327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118" y="10073899"/>
          <a:ext cx="6522204" cy="143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C2E1-A9FB-6E43-9162-4EBA53D8B6B9}">
  <dimension ref="A1:M57"/>
  <sheetViews>
    <sheetView tabSelected="1" topLeftCell="A15" zoomScale="118" workbookViewId="0">
      <selection activeCell="J42" sqref="J42"/>
    </sheetView>
  </sheetViews>
  <sheetFormatPr baseColWidth="10" defaultColWidth="11" defaultRowHeight="16" x14ac:dyDescent="0.2"/>
  <cols>
    <col min="6" max="6" width="9.33203125" customWidth="1"/>
    <col min="7" max="7" width="15.6640625" customWidth="1"/>
    <col min="9" max="9" width="12.33203125" customWidth="1"/>
    <col min="11" max="11" width="11.1640625" bestFit="1" customWidth="1"/>
  </cols>
  <sheetData>
    <row r="1" spans="1:13" ht="17" thickBot="1" x14ac:dyDescent="0.25">
      <c r="A1" s="1" t="s">
        <v>0</v>
      </c>
      <c r="B1">
        <v>160</v>
      </c>
      <c r="C1" s="13" t="s">
        <v>1</v>
      </c>
      <c r="D1" s="10"/>
      <c r="E1" s="14"/>
      <c r="F1" s="3" t="s">
        <v>2</v>
      </c>
      <c r="G1" s="11" t="s">
        <v>3</v>
      </c>
      <c r="I1" s="1" t="s">
        <v>4</v>
      </c>
      <c r="J1" s="1" t="s">
        <v>5</v>
      </c>
      <c r="K1" s="1" t="s">
        <v>6</v>
      </c>
      <c r="L1" s="8" t="s">
        <v>7</v>
      </c>
      <c r="M1" s="9"/>
    </row>
    <row r="2" spans="1:13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11"/>
      <c r="I2" s="1">
        <v>0.15</v>
      </c>
      <c r="J2" s="1">
        <v>100</v>
      </c>
      <c r="K2" s="1">
        <f>12.6 * 10^-7</f>
        <v>1.26E-6</v>
      </c>
    </row>
    <row r="3" spans="1:13" x14ac:dyDescent="0.2">
      <c r="A3" s="1">
        <v>10</v>
      </c>
      <c r="B3" s="5">
        <v>14.3</v>
      </c>
      <c r="C3" s="5">
        <v>13.2</v>
      </c>
      <c r="D3" s="5">
        <v>13.2</v>
      </c>
      <c r="E3" s="4">
        <f>AVERAGE(B3:D3)</f>
        <v>13.566666666666668</v>
      </c>
      <c r="F3" s="4">
        <f>SIN(RADIANS(A3))/SIN(RADIANS($B$1)-RADIANS(A3))</f>
        <v>0.34729635533386072</v>
      </c>
      <c r="G3" s="4">
        <f>G18/(10^-6)</f>
        <v>8.1543138149080328</v>
      </c>
      <c r="I3" s="1">
        <f>(4/5)^(3/2)</f>
        <v>0.71554175279993271</v>
      </c>
    </row>
    <row r="4" spans="1:13" x14ac:dyDescent="0.2">
      <c r="A4" s="1">
        <v>20</v>
      </c>
      <c r="B4" s="5">
        <v>19.5</v>
      </c>
      <c r="C4" s="5">
        <v>18.100000000000001</v>
      </c>
      <c r="D4" s="5">
        <v>17.899999999999999</v>
      </c>
      <c r="E4" s="4">
        <f t="shared" ref="E4:E16" si="0">AVERAGE(B4:D4)</f>
        <v>18.5</v>
      </c>
      <c r="F4" s="4">
        <f>SIN(RADIANS(A4))/SIN(RADIANS($B$1)-RADIANS(A4))</f>
        <v>0.53208888623795592</v>
      </c>
      <c r="G4" s="4">
        <f t="shared" ref="G4:G16" si="1">G19/(10^-6)</f>
        <v>11.119518838510954</v>
      </c>
      <c r="I4" s="1" t="s">
        <v>14</v>
      </c>
    </row>
    <row r="5" spans="1:13" x14ac:dyDescent="0.2">
      <c r="A5" s="1">
        <v>30</v>
      </c>
      <c r="B5" s="5">
        <v>23.5</v>
      </c>
      <c r="C5" s="5">
        <v>24.6</v>
      </c>
      <c r="D5" s="5">
        <v>24.4</v>
      </c>
      <c r="E5" s="4">
        <f t="shared" si="0"/>
        <v>24.166666666666668</v>
      </c>
      <c r="F5" s="4">
        <f t="shared" ref="F5:F16" si="2">SIN(RADIANS(A5))/SIN(RADIANS($B$1)-RADIANS(A5))</f>
        <v>0.65270364466613928</v>
      </c>
      <c r="G5" s="4">
        <f t="shared" si="1"/>
        <v>14.525497581838637</v>
      </c>
    </row>
    <row r="6" spans="1:13" x14ac:dyDescent="0.2">
      <c r="A6" s="1">
        <v>40</v>
      </c>
      <c r="B6" s="5">
        <v>26.1</v>
      </c>
      <c r="C6" s="5">
        <v>26.7</v>
      </c>
      <c r="D6" s="5">
        <v>28.1</v>
      </c>
      <c r="E6" s="4">
        <f>AVERAGE(B6:D6)</f>
        <v>26.966666666666669</v>
      </c>
      <c r="F6" s="4">
        <f t="shared" si="2"/>
        <v>0.74222719896855904</v>
      </c>
      <c r="G6" s="4">
        <f t="shared" si="1"/>
        <v>16.208451784424078</v>
      </c>
    </row>
    <row r="7" spans="1:13" x14ac:dyDescent="0.2">
      <c r="A7" s="1">
        <v>50</v>
      </c>
      <c r="B7" s="5">
        <v>29.2</v>
      </c>
      <c r="C7" s="5">
        <v>29.1</v>
      </c>
      <c r="D7" s="5">
        <v>30.7</v>
      </c>
      <c r="E7" s="4">
        <f t="shared" si="0"/>
        <v>29.666666666666668</v>
      </c>
      <c r="F7" s="4">
        <f t="shared" si="2"/>
        <v>0.81520746909590458</v>
      </c>
      <c r="G7" s="4">
        <f t="shared" si="1"/>
        <v>17.831300479774324</v>
      </c>
    </row>
    <row r="8" spans="1:13" x14ac:dyDescent="0.2">
      <c r="A8" s="1">
        <v>60</v>
      </c>
      <c r="B8" s="5">
        <v>33.299999999999997</v>
      </c>
      <c r="C8" s="5">
        <v>31.1</v>
      </c>
      <c r="D8" s="5">
        <v>31.4</v>
      </c>
      <c r="E8" s="4">
        <f t="shared" si="0"/>
        <v>31.933333333333337</v>
      </c>
      <c r="F8" s="4">
        <f t="shared" si="2"/>
        <v>0.87938524157181674</v>
      </c>
      <c r="G8" s="4">
        <f t="shared" si="1"/>
        <v>19.193691977105399</v>
      </c>
    </row>
    <row r="9" spans="1:13" x14ac:dyDescent="0.2">
      <c r="A9" s="1">
        <v>70</v>
      </c>
      <c r="B9" s="5">
        <v>34</v>
      </c>
      <c r="C9" s="5">
        <v>33.1</v>
      </c>
      <c r="D9" s="5">
        <v>35.5</v>
      </c>
      <c r="E9" s="4">
        <f t="shared" si="0"/>
        <v>34.199999999999996</v>
      </c>
      <c r="F9" s="4">
        <f t="shared" si="2"/>
        <v>0.93969262078590832</v>
      </c>
      <c r="G9" s="4">
        <f t="shared" si="1"/>
        <v>20.556083474436466</v>
      </c>
    </row>
    <row r="10" spans="1:13" x14ac:dyDescent="0.2">
      <c r="A10" s="1">
        <v>80</v>
      </c>
      <c r="B10" s="5">
        <v>36.299999999999997</v>
      </c>
      <c r="C10" s="5">
        <v>33.6</v>
      </c>
      <c r="D10" s="5">
        <v>36.1</v>
      </c>
      <c r="E10" s="4">
        <f t="shared" si="0"/>
        <v>35.333333333333336</v>
      </c>
      <c r="F10" s="4">
        <f t="shared" si="2"/>
        <v>1</v>
      </c>
      <c r="G10" s="4">
        <f t="shared" si="1"/>
        <v>21.237279223102004</v>
      </c>
    </row>
    <row r="11" spans="1:13" x14ac:dyDescent="0.2">
      <c r="A11" s="1">
        <v>90</v>
      </c>
      <c r="B11" s="5">
        <v>39.5</v>
      </c>
      <c r="C11" s="5">
        <v>40</v>
      </c>
      <c r="D11" s="5">
        <v>38</v>
      </c>
      <c r="E11" s="4">
        <f t="shared" si="0"/>
        <v>39.166666666666664</v>
      </c>
      <c r="F11" s="4">
        <f t="shared" si="2"/>
        <v>1.0641777724759123</v>
      </c>
      <c r="G11" s="4">
        <f t="shared" si="1"/>
        <v>23.541323667117783</v>
      </c>
    </row>
    <row r="12" spans="1:13" x14ac:dyDescent="0.2">
      <c r="A12" s="1">
        <v>100</v>
      </c>
      <c r="B12" s="5">
        <v>40</v>
      </c>
      <c r="C12" s="5">
        <v>39.6</v>
      </c>
      <c r="D12" s="5">
        <v>39.4</v>
      </c>
      <c r="E12" s="4">
        <f t="shared" si="0"/>
        <v>39.666666666666664</v>
      </c>
      <c r="F12" s="4">
        <f t="shared" si="2"/>
        <v>1.1371580426032577</v>
      </c>
      <c r="G12" s="4">
        <f t="shared" si="1"/>
        <v>23.841851203293754</v>
      </c>
    </row>
    <row r="13" spans="1:13" x14ac:dyDescent="0.2">
      <c r="A13" s="1">
        <v>110</v>
      </c>
      <c r="B13" s="5">
        <v>41</v>
      </c>
      <c r="C13" s="5">
        <v>41.1</v>
      </c>
      <c r="D13" s="5">
        <v>43.7</v>
      </c>
      <c r="E13" s="4">
        <f t="shared" si="0"/>
        <v>41.93333333333333</v>
      </c>
      <c r="F13" s="4">
        <f t="shared" si="2"/>
        <v>1.2266815969056777</v>
      </c>
      <c r="G13" s="4">
        <f t="shared" si="1"/>
        <v>25.204242700624832</v>
      </c>
    </row>
    <row r="14" spans="1:13" x14ac:dyDescent="0.2">
      <c r="A14" s="1">
        <v>120</v>
      </c>
      <c r="B14" s="5">
        <v>47.2</v>
      </c>
      <c r="C14" s="5">
        <v>46</v>
      </c>
      <c r="D14" s="5">
        <v>47.3</v>
      </c>
      <c r="E14" s="4">
        <f t="shared" si="0"/>
        <v>46.833333333333336</v>
      </c>
      <c r="F14" s="4">
        <f t="shared" si="2"/>
        <v>1.3472963553338606</v>
      </c>
      <c r="G14" s="4">
        <f t="shared" si="1"/>
        <v>28.149412555149354</v>
      </c>
    </row>
    <row r="15" spans="1:13" x14ac:dyDescent="0.2">
      <c r="A15" s="1">
        <v>130</v>
      </c>
      <c r="B15" s="5">
        <v>53.1</v>
      </c>
      <c r="C15" s="5">
        <v>54.3</v>
      </c>
      <c r="D15" s="5">
        <v>53.9</v>
      </c>
      <c r="E15" s="4">
        <f t="shared" si="0"/>
        <v>53.766666666666673</v>
      </c>
      <c r="F15" s="4">
        <f t="shared" si="2"/>
        <v>1.5320888862379565</v>
      </c>
      <c r="G15" s="4">
        <f t="shared" si="1"/>
        <v>32.316727723456161</v>
      </c>
    </row>
    <row r="16" spans="1:13" x14ac:dyDescent="0.2">
      <c r="A16" s="1">
        <v>140</v>
      </c>
      <c r="B16" s="5">
        <v>66.3</v>
      </c>
      <c r="C16" s="5">
        <v>65.099999999999994</v>
      </c>
      <c r="D16" s="5">
        <v>65.7</v>
      </c>
      <c r="E16" s="4">
        <f t="shared" si="0"/>
        <v>65.699999999999989</v>
      </c>
      <c r="F16" s="4">
        <f t="shared" si="2"/>
        <v>1.8793852415718171</v>
      </c>
      <c r="G16" s="4">
        <f t="shared" si="1"/>
        <v>39.489318253522683</v>
      </c>
    </row>
    <row r="17" spans="1:7" x14ac:dyDescent="0.2">
      <c r="B17" s="15" t="s">
        <v>15</v>
      </c>
      <c r="C17" s="15"/>
      <c r="D17" s="15"/>
      <c r="E17" s="15"/>
      <c r="F17" s="10" t="s">
        <v>16</v>
      </c>
      <c r="G17" s="10"/>
    </row>
    <row r="18" spans="1:7" x14ac:dyDescent="0.2">
      <c r="A18" s="1">
        <f>A3</f>
        <v>10</v>
      </c>
      <c r="B18" s="4">
        <f>B3*10^-3</f>
        <v>1.43E-2</v>
      </c>
      <c r="C18" s="4">
        <f>C3*10^-3</f>
        <v>1.32E-2</v>
      </c>
      <c r="D18" s="4">
        <f>D3*10^-3</f>
        <v>1.32E-2</v>
      </c>
      <c r="E18" s="4">
        <f>E3*10^-3</f>
        <v>1.3566666666666668E-2</v>
      </c>
      <c r="F18" s="4">
        <f>F3</f>
        <v>0.34729635533386072</v>
      </c>
      <c r="G18" s="7">
        <f>$K$2*$I$3*(E18*$J$2)/$I$2</f>
        <v>8.1543138149080332E-6</v>
      </c>
    </row>
    <row r="19" spans="1:7" x14ac:dyDescent="0.2">
      <c r="A19" s="1">
        <f t="shared" ref="A19:A30" si="3">A4</f>
        <v>20</v>
      </c>
      <c r="B19" s="4">
        <f t="shared" ref="B19:E31" si="4">B4*10^-3</f>
        <v>1.95E-2</v>
      </c>
      <c r="C19" s="4">
        <f t="shared" si="4"/>
        <v>1.8100000000000002E-2</v>
      </c>
      <c r="D19" s="4">
        <f t="shared" si="4"/>
        <v>1.7899999999999999E-2</v>
      </c>
      <c r="E19" s="4">
        <f t="shared" si="4"/>
        <v>1.8499999999999999E-2</v>
      </c>
      <c r="F19" s="4">
        <f t="shared" ref="F19:F31" si="5">F4</f>
        <v>0.53208888623795592</v>
      </c>
      <c r="G19" s="7">
        <f t="shared" ref="G19:G31" si="6">$K$2*$I$3*(E19*$J$2)/$I$2</f>
        <v>1.1119518838510954E-5</v>
      </c>
    </row>
    <row r="20" spans="1:7" x14ac:dyDescent="0.2">
      <c r="A20" s="1">
        <f t="shared" si="3"/>
        <v>30</v>
      </c>
      <c r="B20" s="4">
        <f t="shared" si="4"/>
        <v>2.35E-2</v>
      </c>
      <c r="C20" s="4">
        <f t="shared" si="4"/>
        <v>2.46E-2</v>
      </c>
      <c r="D20" s="4">
        <f t="shared" si="4"/>
        <v>2.4399999999999998E-2</v>
      </c>
      <c r="E20" s="4">
        <f t="shared" si="4"/>
        <v>2.416666666666667E-2</v>
      </c>
      <c r="F20" s="4">
        <f t="shared" si="5"/>
        <v>0.65270364466613928</v>
      </c>
      <c r="G20" s="7">
        <f t="shared" si="6"/>
        <v>1.4525497581838636E-5</v>
      </c>
    </row>
    <row r="21" spans="1:7" x14ac:dyDescent="0.2">
      <c r="A21" s="1">
        <f t="shared" si="3"/>
        <v>40</v>
      </c>
      <c r="B21" s="4">
        <f t="shared" si="4"/>
        <v>2.6100000000000002E-2</v>
      </c>
      <c r="C21" s="4">
        <f t="shared" si="4"/>
        <v>2.6700000000000002E-2</v>
      </c>
      <c r="D21" s="4">
        <f t="shared" si="4"/>
        <v>2.8100000000000003E-2</v>
      </c>
      <c r="E21" s="4">
        <f t="shared" si="4"/>
        <v>2.696666666666667E-2</v>
      </c>
      <c r="F21" s="4">
        <f t="shared" si="5"/>
        <v>0.74222719896855904</v>
      </c>
      <c r="G21" s="7">
        <f t="shared" si="6"/>
        <v>1.6208451784424078E-5</v>
      </c>
    </row>
    <row r="22" spans="1:7" x14ac:dyDescent="0.2">
      <c r="A22" s="1">
        <f t="shared" si="3"/>
        <v>50</v>
      </c>
      <c r="B22" s="4">
        <f t="shared" si="4"/>
        <v>2.92E-2</v>
      </c>
      <c r="C22" s="4">
        <f t="shared" si="4"/>
        <v>2.9100000000000001E-2</v>
      </c>
      <c r="D22" s="4">
        <f t="shared" si="4"/>
        <v>3.0700000000000002E-2</v>
      </c>
      <c r="E22" s="4">
        <f t="shared" si="4"/>
        <v>2.9666666666666668E-2</v>
      </c>
      <c r="F22" s="4">
        <f t="shared" si="5"/>
        <v>0.81520746909590458</v>
      </c>
      <c r="G22" s="7">
        <f t="shared" si="6"/>
        <v>1.7831300479774325E-5</v>
      </c>
    </row>
    <row r="23" spans="1:7" x14ac:dyDescent="0.2">
      <c r="A23" s="1">
        <f t="shared" si="3"/>
        <v>60</v>
      </c>
      <c r="B23" s="4">
        <f t="shared" si="4"/>
        <v>3.3299999999999996E-2</v>
      </c>
      <c r="C23" s="4">
        <f t="shared" si="4"/>
        <v>3.1100000000000003E-2</v>
      </c>
      <c r="D23" s="4">
        <f t="shared" si="4"/>
        <v>3.1399999999999997E-2</v>
      </c>
      <c r="E23" s="4">
        <f t="shared" si="4"/>
        <v>3.1933333333333334E-2</v>
      </c>
      <c r="F23" s="4">
        <f t="shared" si="5"/>
        <v>0.87938524157181674</v>
      </c>
      <c r="G23" s="7">
        <f t="shared" si="6"/>
        <v>1.9193691977105398E-5</v>
      </c>
    </row>
    <row r="24" spans="1:7" x14ac:dyDescent="0.2">
      <c r="A24" s="1">
        <f t="shared" si="3"/>
        <v>70</v>
      </c>
      <c r="B24" s="4">
        <f t="shared" si="4"/>
        <v>3.4000000000000002E-2</v>
      </c>
      <c r="C24" s="4">
        <f t="shared" si="4"/>
        <v>3.3100000000000004E-2</v>
      </c>
      <c r="D24" s="4">
        <f t="shared" si="4"/>
        <v>3.5500000000000004E-2</v>
      </c>
      <c r="E24" s="4">
        <f t="shared" si="4"/>
        <v>3.4199999999999994E-2</v>
      </c>
      <c r="F24" s="4">
        <f t="shared" si="5"/>
        <v>0.93969262078590832</v>
      </c>
      <c r="G24" s="7">
        <f t="shared" si="6"/>
        <v>2.0556083474436464E-5</v>
      </c>
    </row>
    <row r="25" spans="1:7" x14ac:dyDescent="0.2">
      <c r="A25" s="1">
        <f t="shared" si="3"/>
        <v>80</v>
      </c>
      <c r="B25" s="4">
        <f t="shared" si="4"/>
        <v>3.6299999999999999E-2</v>
      </c>
      <c r="C25" s="4">
        <f t="shared" si="4"/>
        <v>3.3600000000000005E-2</v>
      </c>
      <c r="D25" s="4">
        <f t="shared" si="4"/>
        <v>3.61E-2</v>
      </c>
      <c r="E25" s="4">
        <f t="shared" si="4"/>
        <v>3.5333333333333335E-2</v>
      </c>
      <c r="F25" s="4">
        <f t="shared" si="5"/>
        <v>1</v>
      </c>
      <c r="G25" s="7">
        <f t="shared" si="6"/>
        <v>2.1237279223102004E-5</v>
      </c>
    </row>
    <row r="26" spans="1:7" x14ac:dyDescent="0.2">
      <c r="A26" s="1">
        <f t="shared" si="3"/>
        <v>90</v>
      </c>
      <c r="B26" s="4">
        <f t="shared" si="4"/>
        <v>3.95E-2</v>
      </c>
      <c r="C26" s="4">
        <f t="shared" si="4"/>
        <v>0.04</v>
      </c>
      <c r="D26" s="4">
        <f t="shared" si="4"/>
        <v>3.7999999999999999E-2</v>
      </c>
      <c r="E26" s="4">
        <f t="shared" si="4"/>
        <v>3.9166666666666662E-2</v>
      </c>
      <c r="F26" s="4">
        <f t="shared" si="5"/>
        <v>1.0641777724759123</v>
      </c>
      <c r="G26" s="7">
        <f t="shared" si="6"/>
        <v>2.3541323667117783E-5</v>
      </c>
    </row>
    <row r="27" spans="1:7" x14ac:dyDescent="0.2">
      <c r="A27" s="1">
        <f t="shared" si="3"/>
        <v>100</v>
      </c>
      <c r="B27" s="4">
        <f t="shared" si="4"/>
        <v>0.04</v>
      </c>
      <c r="C27" s="4">
        <f t="shared" si="4"/>
        <v>3.9600000000000003E-2</v>
      </c>
      <c r="D27" s="4">
        <f t="shared" si="4"/>
        <v>3.9399999999999998E-2</v>
      </c>
      <c r="E27" s="4">
        <f t="shared" si="4"/>
        <v>3.9666666666666663E-2</v>
      </c>
      <c r="F27" s="4">
        <f t="shared" si="5"/>
        <v>1.1371580426032577</v>
      </c>
      <c r="G27" s="7">
        <f t="shared" si="6"/>
        <v>2.3841851203293754E-5</v>
      </c>
    </row>
    <row r="28" spans="1:7" x14ac:dyDescent="0.2">
      <c r="A28" s="1">
        <f t="shared" si="3"/>
        <v>110</v>
      </c>
      <c r="B28" s="4">
        <f t="shared" si="4"/>
        <v>4.1000000000000002E-2</v>
      </c>
      <c r="C28" s="4">
        <f t="shared" si="4"/>
        <v>4.1100000000000005E-2</v>
      </c>
      <c r="D28" s="4">
        <f t="shared" si="4"/>
        <v>4.3700000000000003E-2</v>
      </c>
      <c r="E28" s="4">
        <f t="shared" si="4"/>
        <v>4.1933333333333329E-2</v>
      </c>
      <c r="F28" s="4">
        <f t="shared" si="5"/>
        <v>1.2266815969056777</v>
      </c>
      <c r="G28" s="7">
        <f t="shared" si="6"/>
        <v>2.520424270062483E-5</v>
      </c>
    </row>
    <row r="29" spans="1:7" x14ac:dyDescent="0.2">
      <c r="A29" s="1">
        <f>A14</f>
        <v>120</v>
      </c>
      <c r="B29" s="4">
        <f t="shared" si="4"/>
        <v>4.7200000000000006E-2</v>
      </c>
      <c r="C29" s="4">
        <f t="shared" si="4"/>
        <v>4.5999999999999999E-2</v>
      </c>
      <c r="D29" s="4">
        <f t="shared" si="4"/>
        <v>4.7299999999999995E-2</v>
      </c>
      <c r="E29" s="4">
        <f t="shared" si="4"/>
        <v>4.6833333333333338E-2</v>
      </c>
      <c r="F29" s="4">
        <f t="shared" si="5"/>
        <v>1.3472963553338606</v>
      </c>
      <c r="G29" s="7">
        <f t="shared" si="6"/>
        <v>2.8149412555149352E-5</v>
      </c>
    </row>
    <row r="30" spans="1:7" x14ac:dyDescent="0.2">
      <c r="A30" s="1">
        <f t="shared" si="3"/>
        <v>130</v>
      </c>
      <c r="B30" s="4">
        <f t="shared" si="4"/>
        <v>5.3100000000000001E-2</v>
      </c>
      <c r="C30" s="4">
        <f t="shared" si="4"/>
        <v>5.4300000000000001E-2</v>
      </c>
      <c r="D30" s="4">
        <f t="shared" si="4"/>
        <v>5.3899999999999997E-2</v>
      </c>
      <c r="E30" s="4">
        <f t="shared" si="4"/>
        <v>5.3766666666666671E-2</v>
      </c>
      <c r="F30" s="4">
        <f t="shared" si="5"/>
        <v>1.5320888862379565</v>
      </c>
      <c r="G30" s="7">
        <f t="shared" si="6"/>
        <v>3.2316727723456162E-5</v>
      </c>
    </row>
    <row r="31" spans="1:7" x14ac:dyDescent="0.2">
      <c r="A31" s="1">
        <f>A16</f>
        <v>140</v>
      </c>
      <c r="B31" s="4">
        <f t="shared" si="4"/>
        <v>6.6299999999999998E-2</v>
      </c>
      <c r="C31" s="4">
        <f t="shared" si="4"/>
        <v>6.5099999999999991E-2</v>
      </c>
      <c r="D31" s="4">
        <f t="shared" si="4"/>
        <v>6.5700000000000008E-2</v>
      </c>
      <c r="E31" s="4">
        <f t="shared" si="4"/>
        <v>6.5699999999999995E-2</v>
      </c>
      <c r="F31" s="4">
        <f t="shared" si="5"/>
        <v>1.8793852415718171</v>
      </c>
      <c r="G31" s="7">
        <f t="shared" si="6"/>
        <v>3.9489318253522678E-5</v>
      </c>
    </row>
    <row r="33" spans="1:8" x14ac:dyDescent="0.2">
      <c r="A33" t="s">
        <v>17</v>
      </c>
    </row>
    <row r="34" spans="1:8" x14ac:dyDescent="0.2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</row>
    <row r="35" spans="1:8" x14ac:dyDescent="0.2">
      <c r="A35" s="4">
        <f>AVERAGE(F3:F16)</f>
        <v>1.006813522270616</v>
      </c>
      <c r="B35" s="4">
        <f>AVERAGE(G3:G16)</f>
        <v>21.526358091233174</v>
      </c>
      <c r="C35" s="4">
        <f>F3-$A$35</f>
        <v>-0.65951716693675533</v>
      </c>
      <c r="D35" s="4">
        <f>G3-$B$35</f>
        <v>-13.372044276325141</v>
      </c>
      <c r="E35" s="4">
        <f>C35^2</f>
        <v>0.43496289348428402</v>
      </c>
      <c r="F35" s="4">
        <f>C35*D35</f>
        <v>8.8190927572748112</v>
      </c>
      <c r="G35" s="4">
        <f>G3-($B$37+($A$37*F3))</f>
        <v>7.7587560225113705E-2</v>
      </c>
      <c r="H35" s="4">
        <f>G35^2</f>
        <v>6.0198295016856461E-3</v>
      </c>
    </row>
    <row r="36" spans="1:8" x14ac:dyDescent="0.2">
      <c r="A36" s="1" t="s">
        <v>26</v>
      </c>
      <c r="B36" s="1" t="s">
        <v>27</v>
      </c>
      <c r="C36" s="4">
        <f t="shared" ref="C36:C48" si="7">F4-$A$35</f>
        <v>-0.47472463603266013</v>
      </c>
      <c r="D36" s="4">
        <f t="shared" ref="D36:D48" si="8">G4-$B$35</f>
        <v>-10.40683925272222</v>
      </c>
      <c r="E36" s="4">
        <f t="shared" ref="E36:E48" si="9">C36^2</f>
        <v>0.22536348005634163</v>
      </c>
      <c r="F36" s="4">
        <f t="shared" ref="F36:F48" si="10">C36*D36</f>
        <v>4.9403829764989569</v>
      </c>
      <c r="G36" s="4">
        <f t="shared" ref="G36:G48" si="11">G4-($B$37+($A$37*F4))</f>
        <v>-0.7257090282653369</v>
      </c>
      <c r="H36" s="4">
        <f t="shared" ref="H36:H48" si="12">G36^2</f>
        <v>0.52665359370581954</v>
      </c>
    </row>
    <row r="37" spans="1:8" x14ac:dyDescent="0.2">
      <c r="A37" s="1">
        <f>SUM(F35:F48)/SUM(E35:E48)</f>
        <v>20.393148974452721</v>
      </c>
      <c r="B37" s="1">
        <f>B35-(A35*A37)</f>
        <v>0.9942599420750291</v>
      </c>
      <c r="C37" s="4">
        <f t="shared" si="7"/>
        <v>-0.35410987760447676</v>
      </c>
      <c r="D37" s="4">
        <f t="shared" si="8"/>
        <v>-7.0008605093945366</v>
      </c>
      <c r="E37" s="4">
        <f t="shared" si="9"/>
        <v>0.12539380541705752</v>
      </c>
      <c r="F37" s="4">
        <f t="shared" si="10"/>
        <v>2.4790738581077143</v>
      </c>
      <c r="G37" s="4">
        <f t="shared" si="11"/>
        <v>0.22055497791877698</v>
      </c>
      <c r="H37" s="4">
        <f t="shared" si="12"/>
        <v>4.8644498284752202E-2</v>
      </c>
    </row>
    <row r="38" spans="1:8" x14ac:dyDescent="0.2">
      <c r="A38" s="1" t="s">
        <v>28</v>
      </c>
      <c r="B38" s="1"/>
      <c r="C38" s="4">
        <f t="shared" si="7"/>
        <v>-0.264586323302057</v>
      </c>
      <c r="D38" s="4">
        <f t="shared" si="8"/>
        <v>-5.3179063068090962</v>
      </c>
      <c r="E38" s="4">
        <f t="shared" si="9"/>
        <v>7.0005922478500626E-2</v>
      </c>
      <c r="F38" s="4">
        <f t="shared" si="10"/>
        <v>1.4070452773834394</v>
      </c>
      <c r="G38" s="4">
        <f t="shared" si="11"/>
        <v>7.7842000892463403E-2</v>
      </c>
      <c r="H38" s="4">
        <f t="shared" si="12"/>
        <v>6.0593771029422731E-3</v>
      </c>
    </row>
    <row r="39" spans="1:8" x14ac:dyDescent="0.2">
      <c r="A39" s="4">
        <f>SUM(E35:E48)</f>
        <v>2.1350750816252182</v>
      </c>
      <c r="B39" s="1"/>
      <c r="C39" s="4">
        <f t="shared" si="7"/>
        <v>-0.19160605317471147</v>
      </c>
      <c r="D39" s="4">
        <f t="shared" si="8"/>
        <v>-3.69505761145885</v>
      </c>
      <c r="E39" s="4">
        <f t="shared" si="9"/>
        <v>3.6712879613190356E-2</v>
      </c>
      <c r="F39" s="4">
        <f t="shared" si="10"/>
        <v>0.70799540518480675</v>
      </c>
      <c r="G39" s="4">
        <f t="shared" si="11"/>
        <v>0.21239317533995106</v>
      </c>
      <c r="H39" s="4">
        <f t="shared" si="12"/>
        <v>4.5110860930987193E-2</v>
      </c>
    </row>
    <row r="40" spans="1:8" x14ac:dyDescent="0.2">
      <c r="A40" s="1" t="s">
        <v>29</v>
      </c>
      <c r="B40" s="1" t="s">
        <v>30</v>
      </c>
      <c r="C40" s="4">
        <f t="shared" si="7"/>
        <v>-0.1274282806987993</v>
      </c>
      <c r="D40" s="4">
        <f t="shared" si="8"/>
        <v>-2.3326661141277754</v>
      </c>
      <c r="E40" s="4">
        <f t="shared" si="9"/>
        <v>1.6237966721851987E-2</v>
      </c>
      <c r="F40" s="4">
        <f t="shared" si="10"/>
        <v>0.29724763236765156</v>
      </c>
      <c r="G40" s="4">
        <f t="shared" si="11"/>
        <v>0.26599779772121579</v>
      </c>
      <c r="H40" s="4">
        <f t="shared" si="12"/>
        <v>7.0754828392536828E-2</v>
      </c>
    </row>
    <row r="41" spans="1:8" x14ac:dyDescent="0.2">
      <c r="A41" s="1">
        <f>(1/A39)*(SUM(H35:H48)/(J2-2))</f>
        <v>1.1962380456571515E-2</v>
      </c>
      <c r="B41" s="1">
        <f>((1/J2)+A35^2/A39)*(SUM(H35:H48)/(J2-2))</f>
        <v>1.238135349474572E-2</v>
      </c>
      <c r="C41" s="4">
        <f t="shared" si="7"/>
        <v>-6.7120901484707729E-2</v>
      </c>
      <c r="D41" s="4">
        <f t="shared" si="8"/>
        <v>-0.97027461679670779</v>
      </c>
      <c r="E41" s="4">
        <f t="shared" si="9"/>
        <v>4.5052154161198399E-3</v>
      </c>
      <c r="F41" s="4">
        <f t="shared" si="10"/>
        <v>6.5125706967124372E-2</v>
      </c>
      <c r="G41" s="4">
        <f t="shared" si="11"/>
        <v>0.3985319264805014</v>
      </c>
      <c r="H41" s="4">
        <f t="shared" si="12"/>
        <v>0.15882769642425978</v>
      </c>
    </row>
    <row r="42" spans="1:8" x14ac:dyDescent="0.2">
      <c r="A42" s="1"/>
      <c r="B42" s="1"/>
      <c r="C42" s="4">
        <f t="shared" si="7"/>
        <v>-6.8135222706160459E-3</v>
      </c>
      <c r="D42" s="4">
        <f t="shared" si="8"/>
        <v>-0.28907886813117045</v>
      </c>
      <c r="E42" s="4">
        <f t="shared" si="9"/>
        <v>4.6424085732180837E-5</v>
      </c>
      <c r="F42" s="4">
        <f t="shared" si="10"/>
        <v>1.9696453059762091E-3</v>
      </c>
      <c r="G42" s="4">
        <f t="shared" si="11"/>
        <v>-0.15012969342574678</v>
      </c>
      <c r="H42" s="4">
        <f t="shared" si="12"/>
        <v>2.2538924848108717E-2</v>
      </c>
    </row>
    <row r="43" spans="1:8" x14ac:dyDescent="0.2">
      <c r="A43" s="11" t="s">
        <v>31</v>
      </c>
      <c r="B43" s="11"/>
      <c r="C43" s="4">
        <f t="shared" si="7"/>
        <v>5.736425020529623E-2</v>
      </c>
      <c r="D43" s="4">
        <f t="shared" si="8"/>
        <v>2.0149655758846094</v>
      </c>
      <c r="E43" s="4">
        <f t="shared" si="9"/>
        <v>3.2906572016158284E-3</v>
      </c>
      <c r="F43" s="4">
        <f t="shared" si="10"/>
        <v>0.11558698945010354</v>
      </c>
      <c r="G43" s="4">
        <f t="shared" si="11"/>
        <v>0.84512787564022318</v>
      </c>
      <c r="H43" s="4">
        <f t="shared" si="12"/>
        <v>0.71424112618415658</v>
      </c>
    </row>
    <row r="44" spans="1:8" x14ac:dyDescent="0.2">
      <c r="A44" s="12">
        <f>2*A41</f>
        <v>2.392476091314303E-2</v>
      </c>
      <c r="B44" s="12"/>
      <c r="C44" s="4">
        <f t="shared" si="7"/>
        <v>0.13034452033264166</v>
      </c>
      <c r="D44" s="4">
        <f t="shared" si="8"/>
        <v>2.3154931120605795</v>
      </c>
      <c r="E44" s="4">
        <f t="shared" si="9"/>
        <v>1.6989693980746436E-2</v>
      </c>
      <c r="F44" s="4">
        <f t="shared" si="10"/>
        <v>0.30181183902507192</v>
      </c>
      <c r="G44" s="4">
        <f t="shared" si="11"/>
        <v>-0.34264210908656523</v>
      </c>
      <c r="H44" s="4">
        <f t="shared" si="12"/>
        <v>0.11740361491928966</v>
      </c>
    </row>
    <row r="45" spans="1:8" x14ac:dyDescent="0.2">
      <c r="A45" s="1"/>
      <c r="B45" s="1"/>
      <c r="C45" s="4">
        <f t="shared" si="7"/>
        <v>0.21986807463506164</v>
      </c>
      <c r="D45" s="4">
        <f t="shared" si="8"/>
        <v>3.6778846093916577</v>
      </c>
      <c r="E45" s="4">
        <f t="shared" si="9"/>
        <v>4.8341970243729035E-2</v>
      </c>
      <c r="F45" s="4">
        <f t="shared" si="10"/>
        <v>0.80864940779686956</v>
      </c>
      <c r="G45" s="4">
        <f t="shared" si="11"/>
        <v>-0.80591779136724639</v>
      </c>
      <c r="H45" s="4">
        <f t="shared" si="12"/>
        <v>0.64950348644226052</v>
      </c>
    </row>
    <row r="46" spans="1:8" x14ac:dyDescent="0.2">
      <c r="A46" s="1" t="s">
        <v>32</v>
      </c>
      <c r="B46" s="1">
        <f>A44/A37*100</f>
        <v>0.11731763909102265</v>
      </c>
      <c r="C46" s="4">
        <f t="shared" si="7"/>
        <v>0.34048283306324456</v>
      </c>
      <c r="D46" s="4">
        <f t="shared" si="8"/>
        <v>6.6230544639161799</v>
      </c>
      <c r="E46" s="4">
        <f t="shared" si="9"/>
        <v>0.11592855961077327</v>
      </c>
      <c r="F46" s="4">
        <f t="shared" si="10"/>
        <v>2.2550363474063495</v>
      </c>
      <c r="G46" s="4">
        <f t="shared" si="11"/>
        <v>-0.32046267398628459</v>
      </c>
      <c r="H46" s="4">
        <f t="shared" si="12"/>
        <v>0.10269632541843972</v>
      </c>
    </row>
    <row r="47" spans="1:8" x14ac:dyDescent="0.2">
      <c r="A47" s="1"/>
      <c r="B47" s="1"/>
      <c r="C47" s="4">
        <f t="shared" si="7"/>
        <v>0.52527536396734043</v>
      </c>
      <c r="D47" s="4">
        <f t="shared" si="8"/>
        <v>10.790369632222987</v>
      </c>
      <c r="E47" s="4">
        <f t="shared" si="9"/>
        <v>0.27591420799102195</v>
      </c>
      <c r="F47" s="4">
        <f t="shared" si="10"/>
        <v>5.6679153359080665</v>
      </c>
      <c r="G47" s="4">
        <f t="shared" si="11"/>
        <v>7.8350882227134377E-2</v>
      </c>
      <c r="H47" s="4">
        <f t="shared" si="12"/>
        <v>6.1388607457702818E-3</v>
      </c>
    </row>
    <row r="48" spans="1:8" x14ac:dyDescent="0.2">
      <c r="A48" s="1"/>
      <c r="B48" s="1"/>
      <c r="C48" s="4">
        <f t="shared" si="7"/>
        <v>0.87257171930120103</v>
      </c>
      <c r="D48" s="4">
        <f t="shared" si="8"/>
        <v>17.962960162289509</v>
      </c>
      <c r="E48" s="4">
        <f t="shared" si="9"/>
        <v>0.76138140532425391</v>
      </c>
      <c r="F48" s="4">
        <f t="shared" si="10"/>
        <v>15.673971032547938</v>
      </c>
      <c r="G48" s="4">
        <f t="shared" si="11"/>
        <v>0.16847509968577867</v>
      </c>
      <c r="H48" s="4">
        <f t="shared" si="12"/>
        <v>2.8383859214133063E-2</v>
      </c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</sheetData>
  <mergeCells count="7">
    <mergeCell ref="L1:M1"/>
    <mergeCell ref="F17:G17"/>
    <mergeCell ref="A43:B43"/>
    <mergeCell ref="A44:B44"/>
    <mergeCell ref="G1:G2"/>
    <mergeCell ref="C1:E1"/>
    <mergeCell ref="B17:E17"/>
  </mergeCells>
  <pageMargins left="0.7" right="0.7" top="0.75" bottom="0.75" header="0.3" footer="0.3"/>
  <ignoredErrors>
    <ignoredError sqref="E3:E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2024-03-18T15:59:28Z</dcterms:created>
  <dcterms:modified xsi:type="dcterms:W3CDTF">2024-03-30T20:43:43Z</dcterms:modified>
  <cp:category/>
  <cp:contentStatus/>
</cp:coreProperties>
</file>