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yvasilkov/Desktop/"/>
    </mc:Choice>
  </mc:AlternateContent>
  <xr:revisionPtr revIDLastSave="0" documentId="8_{704D3E88-AF10-AB43-B2DE-32D143613C62}" xr6:coauthVersionLast="47" xr6:coauthVersionMax="47" xr10:uidLastSave="{00000000-0000-0000-0000-000000000000}"/>
  <bookViews>
    <workbookView xWindow="3520" yWindow="500" windowWidth="32320" windowHeight="20100" activeTab="2" xr2:uid="{C1B86A2F-4905-674F-80F0-E408AA64F352}"/>
  </bookViews>
  <sheets>
    <sheet name="Лист1" sheetId="1" r:id="rId1"/>
    <sheet name="Лист2" sheetId="2" r:id="rId2"/>
    <sheet name="Лист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2" l="1"/>
  <c r="N27" i="2"/>
  <c r="H10" i="1"/>
  <c r="H9" i="1"/>
  <c r="B5" i="3" s="1"/>
  <c r="G9" i="3" s="1"/>
  <c r="H8" i="1"/>
  <c r="H7" i="1"/>
  <c r="L10" i="2"/>
  <c r="M10" i="2" s="1"/>
  <c r="G8" i="3"/>
  <c r="P14" i="3"/>
  <c r="P13" i="3"/>
  <c r="P12" i="3"/>
  <c r="P11" i="3"/>
  <c r="P10" i="3"/>
  <c r="O14" i="3"/>
  <c r="O13" i="3"/>
  <c r="O12" i="3"/>
  <c r="O11" i="3"/>
  <c r="O10" i="3"/>
  <c r="K10" i="2"/>
  <c r="O20" i="2"/>
  <c r="O19" i="2"/>
  <c r="O18" i="2"/>
  <c r="O17" i="2"/>
  <c r="O16" i="2"/>
  <c r="O15" i="2"/>
  <c r="N20" i="2"/>
  <c r="N19" i="2"/>
  <c r="N18" i="2"/>
  <c r="N17" i="2"/>
  <c r="N16" i="2"/>
  <c r="N15" i="2"/>
  <c r="J34" i="3"/>
  <c r="J33" i="3"/>
  <c r="J32" i="3"/>
  <c r="J31" i="3"/>
  <c r="J30" i="3"/>
  <c r="K30" i="3" s="1"/>
  <c r="L30" i="3" s="1"/>
  <c r="M30" i="3" s="1"/>
  <c r="J29" i="3"/>
  <c r="J28" i="3"/>
  <c r="J27" i="3"/>
  <c r="J26" i="3"/>
  <c r="J25" i="3"/>
  <c r="K25" i="3" s="1"/>
  <c r="L25" i="3" s="1"/>
  <c r="M25" i="3" s="1"/>
  <c r="J24" i="3"/>
  <c r="J23" i="3"/>
  <c r="J22" i="3"/>
  <c r="J21" i="3"/>
  <c r="J20" i="3"/>
  <c r="K20" i="3" s="1"/>
  <c r="L20" i="3" s="1"/>
  <c r="M20" i="3" s="1"/>
  <c r="J19" i="3"/>
  <c r="J18" i="3"/>
  <c r="J17" i="3"/>
  <c r="J16" i="3"/>
  <c r="J15" i="3"/>
  <c r="K15" i="3" s="1"/>
  <c r="L15" i="3" s="1"/>
  <c r="M15" i="3" s="1"/>
  <c r="J14" i="3"/>
  <c r="J13" i="3"/>
  <c r="J12" i="3"/>
  <c r="J11" i="3"/>
  <c r="J10" i="3"/>
  <c r="K10" i="3" s="1"/>
  <c r="L10" i="3" s="1"/>
  <c r="M10" i="3" s="1"/>
  <c r="K7" i="2"/>
  <c r="O12" i="2"/>
  <c r="O11" i="2"/>
  <c r="O10" i="2"/>
  <c r="O8" i="2"/>
  <c r="O9" i="2"/>
  <c r="N12" i="2"/>
  <c r="O7" i="2"/>
  <c r="N11" i="2"/>
  <c r="N10" i="2"/>
  <c r="N9" i="2"/>
  <c r="N8" i="2"/>
  <c r="N7" i="2"/>
  <c r="D34" i="3"/>
  <c r="D33" i="3"/>
  <c r="D32" i="3"/>
  <c r="D31" i="3"/>
  <c r="D30" i="3"/>
  <c r="E30" i="3" s="1"/>
  <c r="F30" i="3" s="1"/>
  <c r="G30" i="3" s="1"/>
  <c r="D29" i="3"/>
  <c r="D28" i="3"/>
  <c r="D27" i="3"/>
  <c r="D26" i="3"/>
  <c r="D25" i="3"/>
  <c r="E25" i="3" s="1"/>
  <c r="F25" i="3" s="1"/>
  <c r="G25" i="3" s="1"/>
  <c r="D24" i="3"/>
  <c r="D23" i="3"/>
  <c r="D22" i="3"/>
  <c r="D21" i="3"/>
  <c r="D20" i="3"/>
  <c r="E20" i="3" s="1"/>
  <c r="F20" i="3" s="1"/>
  <c r="G20" i="3" s="1"/>
  <c r="D19" i="3"/>
  <c r="D18" i="3"/>
  <c r="D17" i="3"/>
  <c r="D16" i="3"/>
  <c r="D14" i="3"/>
  <c r="D13" i="3"/>
  <c r="D12" i="3"/>
  <c r="D11" i="3"/>
  <c r="D10" i="3"/>
  <c r="E10" i="3" s="1"/>
  <c r="F13" i="3" s="1"/>
  <c r="G13" i="3" s="1"/>
  <c r="D15" i="3"/>
  <c r="E15" i="3" s="1"/>
  <c r="F15" i="3" s="1"/>
  <c r="G15" i="3" s="1"/>
  <c r="B3" i="3"/>
  <c r="G7" i="3" s="1"/>
  <c r="B6" i="3"/>
  <c r="D24" i="2" s="1"/>
  <c r="B12" i="1"/>
  <c r="F40" i="2" l="1"/>
  <c r="E24" i="2"/>
  <c r="K22" i="2"/>
  <c r="D23" i="2"/>
  <c r="B21" i="2" s="1"/>
  <c r="D22" i="2"/>
  <c r="D21" i="2"/>
  <c r="G10" i="3"/>
  <c r="K20" i="2" l="1"/>
  <c r="F30" i="2"/>
  <c r="K19" i="2"/>
  <c r="E21" i="2"/>
  <c r="F37" i="2"/>
  <c r="E22" i="2"/>
  <c r="F38" i="2"/>
  <c r="K21" i="2"/>
  <c r="F31" i="2"/>
  <c r="E23" i="2"/>
  <c r="F39" i="2"/>
  <c r="F32" i="2"/>
  <c r="F29" i="2" l="1"/>
  <c r="H7" i="2" l="1"/>
  <c r="H9" i="2"/>
  <c r="H11" i="2"/>
  <c r="H13" i="2"/>
  <c r="H5" i="2"/>
  <c r="F7" i="2"/>
  <c r="F9" i="2"/>
  <c r="F11" i="2"/>
  <c r="F13" i="2"/>
  <c r="F5" i="2"/>
  <c r="C22" i="1"/>
  <c r="B22" i="1"/>
  <c r="C17" i="1"/>
  <c r="B17" i="1"/>
  <c r="C12" i="1"/>
  <c r="C7" i="1"/>
  <c r="B7" i="1"/>
  <c r="C2" i="1"/>
  <c r="B2" i="1"/>
  <c r="H6" i="1" s="1"/>
  <c r="B2" i="3" s="1"/>
  <c r="D20" i="2" l="1"/>
  <c r="G6" i="3"/>
  <c r="E20" i="2" l="1"/>
  <c r="F20" i="2" s="1"/>
  <c r="F36" i="2"/>
  <c r="F41" i="2" s="1"/>
  <c r="K18" i="2"/>
  <c r="H28" i="2"/>
  <c r="G36" i="2" s="1"/>
  <c r="D45" i="2" l="1"/>
  <c r="K23" i="2"/>
  <c r="F28" i="2"/>
  <c r="F33" i="2" s="1"/>
  <c r="D36" i="2"/>
  <c r="G28" i="2" l="1"/>
  <c r="I28" i="2" s="1"/>
  <c r="D28" i="2" s="1"/>
  <c r="B28" i="2"/>
  <c r="L35" i="2" l="1"/>
  <c r="E45" i="2"/>
  <c r="B45" i="2" s="1"/>
  <c r="K31" i="2" l="1"/>
  <c r="L31" i="2" s="1"/>
  <c r="K30" i="2"/>
  <c r="L30" i="2" s="1"/>
  <c r="K29" i="2"/>
  <c r="L29" i="2" s="1"/>
  <c r="K28" i="2"/>
  <c r="L28" i="2" s="1"/>
  <c r="K27" i="2"/>
  <c r="L27" i="2" s="1"/>
  <c r="G20" i="2" l="1"/>
</calcChain>
</file>

<file path=xl/sharedStrings.xml><?xml version="1.0" encoding="utf-8"?>
<sst xmlns="http://schemas.openxmlformats.org/spreadsheetml/2006/main" count="79" uniqueCount="69">
  <si>
    <t>Nпл</t>
  </si>
  <si>
    <t>h, м</t>
  </si>
  <si>
    <t>h', м</t>
  </si>
  <si>
    <t>№</t>
  </si>
  <si>
    <t>t1, с</t>
  </si>
  <si>
    <t>t2, с</t>
  </si>
  <si>
    <t>Nпл - кол-во пластин</t>
  </si>
  <si>
    <t>x, м</t>
  </si>
  <si>
    <t>x', м</t>
  </si>
  <si>
    <t>h_0, м</t>
  </si>
  <si>
    <t>h'_0, м</t>
  </si>
  <si>
    <t>h - высота на координате x = 0,22 м</t>
  </si>
  <si>
    <t>h' - высота на координате x' = 1,00 м</t>
  </si>
  <si>
    <t>Измеренные величины</t>
  </si>
  <si>
    <t>Рассчитанные величины</t>
  </si>
  <si>
    <t>x1, м</t>
  </si>
  <si>
    <t>x2, м</t>
  </si>
  <si>
    <t>t2, c</t>
  </si>
  <si>
    <t>x2 - x1, м</t>
  </si>
  <si>
    <t>a</t>
  </si>
  <si>
    <t>для графика 1</t>
  </si>
  <si>
    <t>g</t>
  </si>
  <si>
    <t>сопротивление воздуха</t>
  </si>
  <si>
    <t>Y</t>
  </si>
  <si>
    <t>Z</t>
  </si>
  <si>
    <t>a_i</t>
  </si>
  <si>
    <t>sin(a)</t>
  </si>
  <si>
    <t>sin(a)^2</t>
  </si>
  <si>
    <t>D</t>
  </si>
  <si>
    <t>%</t>
  </si>
  <si>
    <t>g для спб</t>
  </si>
  <si>
    <t>sin a</t>
  </si>
  <si>
    <t>Сопротивление воздуха</t>
  </si>
  <si>
    <t>1,44 ± 0,13</t>
  </si>
  <si>
    <t>4,72 ± 0,087</t>
  </si>
  <si>
    <t>0,025 ± 0,001</t>
  </si>
  <si>
    <t>0,96 ± 0,095</t>
  </si>
  <si>
    <t>3,2 ± 0,067</t>
  </si>
  <si>
    <t>0,075 ± 0,004</t>
  </si>
  <si>
    <t>0,8 ± 0,067</t>
  </si>
  <si>
    <t>2,62 ± 0,087</t>
  </si>
  <si>
    <t>0,177 ± 0,013</t>
  </si>
  <si>
    <t>0,68 ± 0,087</t>
  </si>
  <si>
    <t>2,24 ± 0,095</t>
  </si>
  <si>
    <t>0,329 ± 0,032</t>
  </si>
  <si>
    <t>i</t>
  </si>
  <si>
    <t>0,6 ± 0,067</t>
  </si>
  <si>
    <t>2,02 ± 0,087</t>
  </si>
  <si>
    <t>0,511 ± 0,05</t>
  </si>
  <si>
    <t>t1_1:</t>
  </si>
  <si>
    <t>(t_i-⟨𝑡1⟩)^2</t>
  </si>
  <si>
    <t>S1</t>
  </si>
  <si>
    <t>t2_1:</t>
  </si>
  <si>
    <t>(t_i-⟨𝑡2⟩)^2</t>
  </si>
  <si>
    <t>S2</t>
  </si>
  <si>
    <t>Δ_t2</t>
  </si>
  <si>
    <t>Δt2</t>
  </si>
  <si>
    <t>⟨𝑎⟩</t>
  </si>
  <si>
    <t xml:space="preserve"> ∆𝑎</t>
  </si>
  <si>
    <t>Δ_t1</t>
  </si>
  <si>
    <t>Δt1</t>
  </si>
  <si>
    <t>t1_2</t>
  </si>
  <si>
    <t>t2_2</t>
  </si>
  <si>
    <t>t1_3</t>
  </si>
  <si>
    <t>t2_3</t>
  </si>
  <si>
    <t>t1_4</t>
  </si>
  <si>
    <t>t2_4</t>
  </si>
  <si>
    <t>t1_5</t>
  </si>
  <si>
    <t>t2_5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</si>
</sst>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3" borderId="1" xfId="0" applyNumberFormat="1" applyFill="1" applyBorder="1"/>
    <xf numFmtId="0" fontId="0" fillId="2" borderId="5" xfId="0" applyFill="1" applyBorder="1"/>
    <xf numFmtId="0" fontId="0" fillId="0" borderId="5" xfId="0" applyBorder="1"/>
    <xf numFmtId="0" fontId="0" fillId="3" borderId="0" xfId="0" applyFill="1"/>
    <xf numFmtId="0" fontId="0" fillId="0" borderId="13" xfId="0" applyBorder="1"/>
    <xf numFmtId="0" fontId="0" fillId="0" borderId="14" xfId="0" applyBorder="1"/>
    <xf numFmtId="0" fontId="0" fillId="3" borderId="15" xfId="0" applyFill="1" applyBorder="1"/>
    <xf numFmtId="0" fontId="0" fillId="0" borderId="15" xfId="0" applyBorder="1"/>
    <xf numFmtId="0" fontId="0" fillId="0" borderId="17" xfId="0" applyBorder="1"/>
    <xf numFmtId="164" fontId="0" fillId="0" borderId="1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4" fontId="0" fillId="0" borderId="0" xfId="0" applyNumberFormat="1"/>
    <xf numFmtId="164" fontId="0" fillId="0" borderId="2" xfId="0" applyNumberFormat="1" applyBorder="1"/>
    <xf numFmtId="164" fontId="0" fillId="0" borderId="26" xfId="0" applyNumberFormat="1" applyBorder="1"/>
    <xf numFmtId="164" fontId="0" fillId="0" borderId="24" xfId="0" applyNumberFormat="1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27" xfId="0" applyBorder="1"/>
    <xf numFmtId="0" fontId="0" fillId="0" borderId="28" xfId="0" applyBorder="1"/>
    <xf numFmtId="0" fontId="0" fillId="0" borderId="6" xfId="0" applyBorder="1"/>
    <xf numFmtId="0" fontId="0" fillId="0" borderId="25" xfId="0" applyBorder="1"/>
    <xf numFmtId="0" fontId="0" fillId="0" borderId="9" xfId="0" applyBorder="1"/>
    <xf numFmtId="164" fontId="0" fillId="0" borderId="7" xfId="0" applyNumberFormat="1" applyBorder="1"/>
    <xf numFmtId="0" fontId="0" fillId="0" borderId="3" xfId="0" applyBorder="1"/>
    <xf numFmtId="164" fontId="0" fillId="0" borderId="23" xfId="0" applyNumberFormat="1" applyBorder="1"/>
    <xf numFmtId="164" fontId="0" fillId="0" borderId="12" xfId="0" applyNumberFormat="1" applyBorder="1"/>
    <xf numFmtId="0" fontId="1" fillId="0" borderId="0" xfId="0" applyFont="1" applyAlignment="1">
      <alignment horizontal="left"/>
    </xf>
    <xf numFmtId="164" fontId="0" fillId="0" borderId="16" xfId="0" applyNumberFormat="1" applyBorder="1"/>
    <xf numFmtId="164" fontId="0" fillId="0" borderId="18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26" Type="http://schemas.openxmlformats.org/officeDocument/2006/relationships/image" Target="../media/image27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3" Type="http://schemas.openxmlformats.org/officeDocument/2006/relationships/image" Target="../media/image31.png"/><Relationship Id="rId7" Type="http://schemas.openxmlformats.org/officeDocument/2006/relationships/image" Target="../media/image34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6" Type="http://schemas.openxmlformats.org/officeDocument/2006/relationships/image" Target="../media/image33.png"/><Relationship Id="rId5" Type="http://schemas.openxmlformats.org/officeDocument/2006/relationships/image" Target="../media/image1.png"/><Relationship Id="rId10" Type="http://schemas.openxmlformats.org/officeDocument/2006/relationships/image" Target="../media/image37.png"/><Relationship Id="rId4" Type="http://schemas.openxmlformats.org/officeDocument/2006/relationships/image" Target="../media/image32.png"/><Relationship Id="rId9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28066</xdr:colOff>
      <xdr:row>4</xdr:row>
      <xdr:rowOff>21050</xdr:rowOff>
    </xdr:from>
    <xdr:to>
      <xdr:col>7</xdr:col>
      <xdr:colOff>814337</xdr:colOff>
      <xdr:row>4</xdr:row>
      <xdr:rowOff>183562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270BA24-9BA3-2348-BC9A-C49C68AA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154" y="834973"/>
          <a:ext cx="786271" cy="1625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431800</xdr:colOff>
      <xdr:row>2</xdr:row>
      <xdr:rowOff>25399</xdr:rowOff>
    </xdr:from>
    <xdr:to>
      <xdr:col>8</xdr:col>
      <xdr:colOff>279400</xdr:colOff>
      <xdr:row>3</xdr:row>
      <xdr:rowOff>163234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88C6005-FFEA-FD8E-F020-57DFAF837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9933" y="431799"/>
          <a:ext cx="677333" cy="341035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</xdr:row>
      <xdr:rowOff>177800</xdr:rowOff>
    </xdr:from>
    <xdr:to>
      <xdr:col>9</xdr:col>
      <xdr:colOff>753533</xdr:colOff>
      <xdr:row>5</xdr:row>
      <xdr:rowOff>189478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8B5797B-CCCF-5161-40DA-452582A96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5067" y="584200"/>
          <a:ext cx="677333" cy="621278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76201</xdr:colOff>
      <xdr:row>4</xdr:row>
      <xdr:rowOff>24847</xdr:rowOff>
    </xdr:from>
    <xdr:to>
      <xdr:col>13</xdr:col>
      <xdr:colOff>541867</xdr:colOff>
      <xdr:row>5</xdr:row>
      <xdr:rowOff>135466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F2FD23F-F9E7-E594-9C0B-A41598EA0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1" y="837647"/>
          <a:ext cx="465666" cy="313819"/>
        </a:xfrm>
        <a:prstGeom prst="rect">
          <a:avLst/>
        </a:prstGeom>
      </xdr:spPr>
    </xdr:pic>
    <xdr:clientData/>
  </xdr:twoCellAnchor>
  <xdr:twoCellAnchor editAs="oneCell">
    <xdr:from>
      <xdr:col>14</xdr:col>
      <xdr:colOff>118534</xdr:colOff>
      <xdr:row>3</xdr:row>
      <xdr:rowOff>186266</xdr:rowOff>
    </xdr:from>
    <xdr:to>
      <xdr:col>14</xdr:col>
      <xdr:colOff>685801</xdr:colOff>
      <xdr:row>5</xdr:row>
      <xdr:rowOff>162155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4375B052-EE33-1967-21AE-D6DC1550F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6067" y="795866"/>
          <a:ext cx="567267" cy="382289"/>
        </a:xfrm>
        <a:prstGeom prst="rect">
          <a:avLst/>
        </a:prstGeom>
      </xdr:spPr>
    </xdr:pic>
    <xdr:clientData/>
  </xdr:twoCellAnchor>
  <xdr:twoCellAnchor editAs="oneCell">
    <xdr:from>
      <xdr:col>9</xdr:col>
      <xdr:colOff>143933</xdr:colOff>
      <xdr:row>7</xdr:row>
      <xdr:rowOff>16933</xdr:rowOff>
    </xdr:from>
    <xdr:to>
      <xdr:col>9</xdr:col>
      <xdr:colOff>743212</xdr:colOff>
      <xdr:row>8</xdr:row>
      <xdr:rowOff>177800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0C2E8A5-398A-32DC-15CF-85C8D0751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00" y="1439333"/>
          <a:ext cx="599279" cy="364067"/>
        </a:xfrm>
        <a:prstGeom prst="rect">
          <a:avLst/>
        </a:prstGeom>
      </xdr:spPr>
    </xdr:pic>
    <xdr:clientData/>
  </xdr:twoCellAnchor>
  <xdr:twoCellAnchor editAs="oneCell">
    <xdr:from>
      <xdr:col>10</xdr:col>
      <xdr:colOff>265261</xdr:colOff>
      <xdr:row>7</xdr:row>
      <xdr:rowOff>45845</xdr:rowOff>
    </xdr:from>
    <xdr:to>
      <xdr:col>10</xdr:col>
      <xdr:colOff>512231</xdr:colOff>
      <xdr:row>8</xdr:row>
      <xdr:rowOff>135106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66885215-4669-94A5-7F27-D53A3E7A0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0899" y="1464462"/>
          <a:ext cx="246970" cy="291921"/>
        </a:xfrm>
        <a:prstGeom prst="rect">
          <a:avLst/>
        </a:prstGeom>
      </xdr:spPr>
    </xdr:pic>
    <xdr:clientData/>
  </xdr:twoCellAnchor>
  <xdr:twoCellAnchor editAs="oneCell">
    <xdr:from>
      <xdr:col>13</xdr:col>
      <xdr:colOff>94574</xdr:colOff>
      <xdr:row>12</xdr:row>
      <xdr:rowOff>60798</xdr:rowOff>
    </xdr:from>
    <xdr:to>
      <xdr:col>13</xdr:col>
      <xdr:colOff>682287</xdr:colOff>
      <xdr:row>13</xdr:row>
      <xdr:rowOff>102428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4BE2EDE5-F0C0-8AEE-4879-744DFCE2E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0212" y="2519734"/>
          <a:ext cx="587713" cy="244290"/>
        </a:xfrm>
        <a:prstGeom prst="rect">
          <a:avLst/>
        </a:prstGeom>
      </xdr:spPr>
    </xdr:pic>
    <xdr:clientData/>
  </xdr:twoCellAnchor>
  <xdr:twoCellAnchor editAs="oneCell">
    <xdr:from>
      <xdr:col>14</xdr:col>
      <xdr:colOff>27021</xdr:colOff>
      <xdr:row>12</xdr:row>
      <xdr:rowOff>13511</xdr:rowOff>
    </xdr:from>
    <xdr:to>
      <xdr:col>14</xdr:col>
      <xdr:colOff>817394</xdr:colOff>
      <xdr:row>13</xdr:row>
      <xdr:rowOff>163186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1FB9558E-0D9D-CFCC-71B4-7877E210D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6808" y="2472447"/>
          <a:ext cx="790373" cy="352335"/>
        </a:xfrm>
        <a:prstGeom prst="rect">
          <a:avLst/>
        </a:prstGeom>
      </xdr:spPr>
    </xdr:pic>
    <xdr:clientData/>
  </xdr:twoCellAnchor>
  <xdr:twoCellAnchor editAs="oneCell">
    <xdr:from>
      <xdr:col>1</xdr:col>
      <xdr:colOff>7274</xdr:colOff>
      <xdr:row>23</xdr:row>
      <xdr:rowOff>168124</xdr:rowOff>
    </xdr:from>
    <xdr:to>
      <xdr:col>2</xdr:col>
      <xdr:colOff>770097</xdr:colOff>
      <xdr:row>26</xdr:row>
      <xdr:rowOff>145172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E284042F-61C8-DF6E-7321-01D6FF69F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10" y="4934544"/>
          <a:ext cx="1585971" cy="588529"/>
        </a:xfrm>
        <a:prstGeom prst="rect">
          <a:avLst/>
        </a:prstGeom>
      </xdr:spPr>
    </xdr:pic>
    <xdr:clientData/>
  </xdr:twoCellAnchor>
  <xdr:twoCellAnchor editAs="oneCell">
    <xdr:from>
      <xdr:col>3</xdr:col>
      <xdr:colOff>53932</xdr:colOff>
      <xdr:row>24</xdr:row>
      <xdr:rowOff>156033</xdr:rowOff>
    </xdr:from>
    <xdr:to>
      <xdr:col>4</xdr:col>
      <xdr:colOff>681281</xdr:colOff>
      <xdr:row>26</xdr:row>
      <xdr:rowOff>66061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8EA015FD-55CE-EA0B-0625-546A623D9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364" y="5094922"/>
          <a:ext cx="1450497" cy="317682"/>
        </a:xfrm>
        <a:prstGeom prst="rect">
          <a:avLst/>
        </a:prstGeom>
      </xdr:spPr>
    </xdr:pic>
    <xdr:clientData/>
  </xdr:twoCellAnchor>
  <xdr:twoCellAnchor editAs="oneCell">
    <xdr:from>
      <xdr:col>5</xdr:col>
      <xdr:colOff>107864</xdr:colOff>
      <xdr:row>24</xdr:row>
      <xdr:rowOff>108997</xdr:rowOff>
    </xdr:from>
    <xdr:to>
      <xdr:col>5</xdr:col>
      <xdr:colOff>734840</xdr:colOff>
      <xdr:row>26</xdr:row>
      <xdr:rowOff>65834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87B2C956-A8AB-D242-71B0-48B6729AD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592" y="5047886"/>
          <a:ext cx="626976" cy="364491"/>
        </a:xfrm>
        <a:prstGeom prst="rect">
          <a:avLst/>
        </a:prstGeom>
      </xdr:spPr>
    </xdr:pic>
    <xdr:clientData/>
  </xdr:twoCellAnchor>
  <xdr:twoCellAnchor editAs="oneCell">
    <xdr:from>
      <xdr:col>6</xdr:col>
      <xdr:colOff>129305</xdr:colOff>
      <xdr:row>24</xdr:row>
      <xdr:rowOff>124486</xdr:rowOff>
    </xdr:from>
    <xdr:to>
      <xdr:col>6</xdr:col>
      <xdr:colOff>590966</xdr:colOff>
      <xdr:row>26</xdr:row>
      <xdr:rowOff>81324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4AAD6286-886D-532C-E2A0-08D45FD18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82" y="5063375"/>
          <a:ext cx="461661" cy="364492"/>
        </a:xfrm>
        <a:prstGeom prst="rect">
          <a:avLst/>
        </a:prstGeom>
      </xdr:spPr>
    </xdr:pic>
    <xdr:clientData/>
  </xdr:twoCellAnchor>
  <xdr:twoCellAnchor editAs="oneCell">
    <xdr:from>
      <xdr:col>7</xdr:col>
      <xdr:colOff>68667</xdr:colOff>
      <xdr:row>24</xdr:row>
      <xdr:rowOff>124299</xdr:rowOff>
    </xdr:from>
    <xdr:to>
      <xdr:col>7</xdr:col>
      <xdr:colOff>604210</xdr:colOff>
      <xdr:row>26</xdr:row>
      <xdr:rowOff>67567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AA0FD65B-E495-2B3B-A1DE-21FFFB603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692" y="5063188"/>
          <a:ext cx="535543" cy="350922"/>
        </a:xfrm>
        <a:prstGeom prst="rect">
          <a:avLst/>
        </a:prstGeom>
      </xdr:spPr>
    </xdr:pic>
    <xdr:clientData/>
  </xdr:twoCellAnchor>
  <xdr:twoCellAnchor editAs="oneCell">
    <xdr:from>
      <xdr:col>8</xdr:col>
      <xdr:colOff>107674</xdr:colOff>
      <xdr:row>24</xdr:row>
      <xdr:rowOff>77450</xdr:rowOff>
    </xdr:from>
    <xdr:to>
      <xdr:col>9</xdr:col>
      <xdr:colOff>268337</xdr:colOff>
      <xdr:row>26</xdr:row>
      <xdr:rowOff>32587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CF3C06B6-DE42-46C2-64C9-8E6889430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3847" y="5016339"/>
          <a:ext cx="983811" cy="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23518</xdr:colOff>
      <xdr:row>33</xdr:row>
      <xdr:rowOff>23519</xdr:rowOff>
    </xdr:from>
    <xdr:to>
      <xdr:col>4</xdr:col>
      <xdr:colOff>589069</xdr:colOff>
      <xdr:row>34</xdr:row>
      <xdr:rowOff>141111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A261D600-BECA-EEC2-9020-C328215FB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3950" y="6859568"/>
          <a:ext cx="1388699" cy="321420"/>
        </a:xfrm>
        <a:prstGeom prst="rect">
          <a:avLst/>
        </a:prstGeom>
      </xdr:spPr>
    </xdr:pic>
    <xdr:clientData/>
  </xdr:twoCellAnchor>
  <xdr:twoCellAnchor editAs="oneCell">
    <xdr:from>
      <xdr:col>5</xdr:col>
      <xdr:colOff>62716</xdr:colOff>
      <xdr:row>33</xdr:row>
      <xdr:rowOff>31359</xdr:rowOff>
    </xdr:from>
    <xdr:to>
      <xdr:col>5</xdr:col>
      <xdr:colOff>695066</xdr:colOff>
      <xdr:row>34</xdr:row>
      <xdr:rowOff>195987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2182EF9F-D59B-4711-8A0B-4B6945BB6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9444" y="6867408"/>
          <a:ext cx="632350" cy="368456"/>
        </a:xfrm>
        <a:prstGeom prst="rect">
          <a:avLst/>
        </a:prstGeom>
      </xdr:spPr>
    </xdr:pic>
    <xdr:clientData/>
  </xdr:twoCellAnchor>
  <xdr:twoCellAnchor editAs="oneCell">
    <xdr:from>
      <xdr:col>6</xdr:col>
      <xdr:colOff>54876</xdr:colOff>
      <xdr:row>33</xdr:row>
      <xdr:rowOff>15679</xdr:rowOff>
    </xdr:from>
    <xdr:to>
      <xdr:col>7</xdr:col>
      <xdr:colOff>101913</xdr:colOff>
      <xdr:row>34</xdr:row>
      <xdr:rowOff>193766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8D69AB4A-1446-18B3-B7C0-6D72F82DB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4753" y="6851728"/>
          <a:ext cx="870185" cy="381915"/>
        </a:xfrm>
        <a:prstGeom prst="rect">
          <a:avLst/>
        </a:prstGeom>
      </xdr:spPr>
    </xdr:pic>
    <xdr:clientData/>
  </xdr:twoCellAnchor>
  <xdr:twoCellAnchor editAs="oneCell">
    <xdr:from>
      <xdr:col>1</xdr:col>
      <xdr:colOff>86235</xdr:colOff>
      <xdr:row>41</xdr:row>
      <xdr:rowOff>156790</xdr:rowOff>
    </xdr:from>
    <xdr:to>
      <xdr:col>2</xdr:col>
      <xdr:colOff>642840</xdr:colOff>
      <xdr:row>43</xdr:row>
      <xdr:rowOff>168201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6197E48D-F35A-D9E1-8FB9-333CA070B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71" y="8670494"/>
          <a:ext cx="1379753" cy="419065"/>
        </a:xfrm>
        <a:prstGeom prst="rect">
          <a:avLst/>
        </a:prstGeom>
      </xdr:spPr>
    </xdr:pic>
    <xdr:clientData/>
  </xdr:twoCellAnchor>
  <xdr:twoCellAnchor editAs="oneCell">
    <xdr:from>
      <xdr:col>3</xdr:col>
      <xdr:colOff>188148</xdr:colOff>
      <xdr:row>42</xdr:row>
      <xdr:rowOff>7839</xdr:rowOff>
    </xdr:from>
    <xdr:to>
      <xdr:col>3</xdr:col>
      <xdr:colOff>481200</xdr:colOff>
      <xdr:row>43</xdr:row>
      <xdr:rowOff>188148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42CCD4E1-BA45-97B2-FC0A-202CFA76C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8580" y="8725370"/>
          <a:ext cx="293052" cy="384136"/>
        </a:xfrm>
        <a:prstGeom prst="rect">
          <a:avLst/>
        </a:prstGeom>
      </xdr:spPr>
    </xdr:pic>
    <xdr:clientData/>
  </xdr:twoCellAnchor>
  <xdr:twoCellAnchor editAs="oneCell">
    <xdr:from>
      <xdr:col>4</xdr:col>
      <xdr:colOff>94074</xdr:colOff>
      <xdr:row>41</xdr:row>
      <xdr:rowOff>199817</xdr:rowOff>
    </xdr:from>
    <xdr:to>
      <xdr:col>4</xdr:col>
      <xdr:colOff>580124</xdr:colOff>
      <xdr:row>43</xdr:row>
      <xdr:rowOff>157643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B57E9D31-97E4-CC18-505E-57608D8AE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654" y="8713521"/>
          <a:ext cx="486050" cy="365480"/>
        </a:xfrm>
        <a:prstGeom prst="rect">
          <a:avLst/>
        </a:prstGeom>
      </xdr:spPr>
    </xdr:pic>
    <xdr:clientData/>
  </xdr:twoCellAnchor>
  <xdr:twoCellAnchor editAs="oneCell">
    <xdr:from>
      <xdr:col>3</xdr:col>
      <xdr:colOff>840336</xdr:colOff>
      <xdr:row>15</xdr:row>
      <xdr:rowOff>78337</xdr:rowOff>
    </xdr:from>
    <xdr:to>
      <xdr:col>5</xdr:col>
      <xdr:colOff>786094</xdr:colOff>
      <xdr:row>17</xdr:row>
      <xdr:rowOff>130963</xdr:rowOff>
    </xdr:to>
    <xdr:pic>
      <xdr:nvPicPr>
        <xdr:cNvPr id="42" name="Рисунок 64">
          <a:extLst>
            <a:ext uri="{FF2B5EF4-FFF2-40B4-BE49-F238E27FC236}">
              <a16:creationId xmlns:a16="http://schemas.microsoft.com/office/drawing/2014/main" id="{0E0505CB-ADAE-332B-4FBA-83FFF721F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934056" y="3083608"/>
          <a:ext cx="1609458" cy="459026"/>
        </a:xfrm>
        <a:prstGeom prst="rect">
          <a:avLst/>
        </a:prstGeom>
      </xdr:spPr>
    </xdr:pic>
    <xdr:clientData/>
  </xdr:twoCellAnchor>
  <xdr:twoCellAnchor editAs="oneCell">
    <xdr:from>
      <xdr:col>10</xdr:col>
      <xdr:colOff>33717</xdr:colOff>
      <xdr:row>24</xdr:row>
      <xdr:rowOff>33717</xdr:rowOff>
    </xdr:from>
    <xdr:to>
      <xdr:col>11</xdr:col>
      <xdr:colOff>508787</xdr:colOff>
      <xdr:row>25</xdr:row>
      <xdr:rowOff>117024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48248108-0A08-3E80-ECDE-D31426685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9823" y="4945133"/>
          <a:ext cx="1629646" cy="285608"/>
        </a:xfrm>
        <a:prstGeom prst="rect">
          <a:avLst/>
        </a:prstGeom>
      </xdr:spPr>
    </xdr:pic>
    <xdr:clientData/>
  </xdr:twoCellAnchor>
  <xdr:twoCellAnchor editAs="oneCell">
    <xdr:from>
      <xdr:col>6</xdr:col>
      <xdr:colOff>11779</xdr:colOff>
      <xdr:row>16</xdr:row>
      <xdr:rowOff>846</xdr:rowOff>
    </xdr:from>
    <xdr:to>
      <xdr:col>7</xdr:col>
      <xdr:colOff>192052</xdr:colOff>
      <xdr:row>18</xdr:row>
      <xdr:rowOff>188301</xdr:rowOff>
    </xdr:to>
    <xdr:pic>
      <xdr:nvPicPr>
        <xdr:cNvPr id="50" name="Рисунок 69">
          <a:extLst>
            <a:ext uri="{FF2B5EF4-FFF2-40B4-BE49-F238E27FC236}">
              <a16:creationId xmlns:a16="http://schemas.microsoft.com/office/drawing/2014/main" id="{B5C168A3-34C2-0445-A0F3-4AED0B022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666406" y="3232460"/>
          <a:ext cx="1005773" cy="593855"/>
        </a:xfrm>
        <a:prstGeom prst="rect">
          <a:avLst/>
        </a:prstGeom>
      </xdr:spPr>
    </xdr:pic>
    <xdr:clientData/>
  </xdr:twoCellAnchor>
  <xdr:twoCellAnchor editAs="oneCell">
    <xdr:from>
      <xdr:col>13</xdr:col>
      <xdr:colOff>44955</xdr:colOff>
      <xdr:row>24</xdr:row>
      <xdr:rowOff>33717</xdr:rowOff>
    </xdr:from>
    <xdr:to>
      <xdr:col>13</xdr:col>
      <xdr:colOff>988203</xdr:colOff>
      <xdr:row>25</xdr:row>
      <xdr:rowOff>179823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364F52EF-59B3-5FA6-7146-5F76C4D9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9822" y="4945133"/>
          <a:ext cx="943248" cy="348407"/>
        </a:xfrm>
        <a:prstGeom prst="rect">
          <a:avLst/>
        </a:prstGeom>
      </xdr:spPr>
    </xdr:pic>
    <xdr:clientData/>
  </xdr:twoCellAnchor>
  <xdr:twoCellAnchor editAs="oneCell">
    <xdr:from>
      <xdr:col>15</xdr:col>
      <xdr:colOff>56195</xdr:colOff>
      <xdr:row>24</xdr:row>
      <xdr:rowOff>33717</xdr:rowOff>
    </xdr:from>
    <xdr:to>
      <xdr:col>16</xdr:col>
      <xdr:colOff>420380</xdr:colOff>
      <xdr:row>25</xdr:row>
      <xdr:rowOff>157345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0047E0B5-35F1-347C-D02B-509F9ED83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6726" y="4945133"/>
          <a:ext cx="1184627" cy="325929"/>
        </a:xfrm>
        <a:prstGeom prst="rect">
          <a:avLst/>
        </a:prstGeom>
      </xdr:spPr>
    </xdr:pic>
    <xdr:clientData/>
  </xdr:twoCellAnchor>
  <xdr:twoCellAnchor editAs="oneCell">
    <xdr:from>
      <xdr:col>11</xdr:col>
      <xdr:colOff>22478</xdr:colOff>
      <xdr:row>32</xdr:row>
      <xdr:rowOff>78671</xdr:rowOff>
    </xdr:from>
    <xdr:to>
      <xdr:col>12</xdr:col>
      <xdr:colOff>269734</xdr:colOff>
      <xdr:row>33</xdr:row>
      <xdr:rowOff>167178</xdr:rowOff>
    </xdr:to>
    <xdr:pic>
      <xdr:nvPicPr>
        <xdr:cNvPr id="54" name="Рисунок 53">
          <a:extLst>
            <a:ext uri="{FF2B5EF4-FFF2-40B4-BE49-F238E27FC236}">
              <a16:creationId xmlns:a16="http://schemas.microsoft.com/office/drawing/2014/main" id="{C8641C41-74EB-D13F-A985-728989B01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6460" y="6630972"/>
          <a:ext cx="1067699" cy="302047"/>
        </a:xfrm>
        <a:prstGeom prst="rect">
          <a:avLst/>
        </a:prstGeom>
      </xdr:spPr>
    </xdr:pic>
    <xdr:clientData/>
  </xdr:twoCellAnchor>
  <xdr:twoCellAnchor editAs="oneCell">
    <xdr:from>
      <xdr:col>15</xdr:col>
      <xdr:colOff>186266</xdr:colOff>
      <xdr:row>4</xdr:row>
      <xdr:rowOff>59265</xdr:rowOff>
    </xdr:from>
    <xdr:to>
      <xdr:col>17</xdr:col>
      <xdr:colOff>83418</xdr:colOff>
      <xdr:row>5</xdr:row>
      <xdr:rowOff>177798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8BB89D65-6C2C-3842-9F2C-9FF6FA4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4466" y="872065"/>
          <a:ext cx="1556619" cy="3217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84265</xdr:colOff>
      <xdr:row>0</xdr:row>
      <xdr:rowOff>0</xdr:rowOff>
    </xdr:from>
    <xdr:to>
      <xdr:col>2</xdr:col>
      <xdr:colOff>650047</xdr:colOff>
      <xdr:row>0</xdr:row>
      <xdr:rowOff>194911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A395A83-4E80-9838-9148-34A36C12D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459" y="0"/>
          <a:ext cx="565782" cy="194911"/>
        </a:xfrm>
        <a:prstGeom prst="rect">
          <a:avLst/>
        </a:prstGeom>
      </xdr:spPr>
    </xdr:pic>
    <xdr:clientData/>
  </xdr:twoCellAnchor>
  <xdr:twoCellAnchor editAs="oneCell">
    <xdr:from>
      <xdr:col>3</xdr:col>
      <xdr:colOff>114361</xdr:colOff>
      <xdr:row>0</xdr:row>
      <xdr:rowOff>1</xdr:rowOff>
    </xdr:from>
    <xdr:to>
      <xdr:col>3</xdr:col>
      <xdr:colOff>716257</xdr:colOff>
      <xdr:row>0</xdr:row>
      <xdr:rowOff>172419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152CAE1-F495-33F1-0610-916467DC9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8152" y="1"/>
          <a:ext cx="601896" cy="172418"/>
        </a:xfrm>
        <a:prstGeom prst="rect">
          <a:avLst/>
        </a:prstGeom>
      </xdr:spPr>
    </xdr:pic>
    <xdr:clientData/>
  </xdr:twoCellAnchor>
  <xdr:twoCellAnchor editAs="oneCell">
    <xdr:from>
      <xdr:col>4</xdr:col>
      <xdr:colOff>108341</xdr:colOff>
      <xdr:row>0</xdr:row>
      <xdr:rowOff>12037</xdr:rowOff>
    </xdr:from>
    <xdr:to>
      <xdr:col>4</xdr:col>
      <xdr:colOff>722275</xdr:colOff>
      <xdr:row>0</xdr:row>
      <xdr:rowOff>187904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4AB92908-70EE-E3D6-139E-44147F98D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6730" y="12037"/>
          <a:ext cx="613934" cy="175867"/>
        </a:xfrm>
        <a:prstGeom prst="rect">
          <a:avLst/>
        </a:prstGeom>
      </xdr:spPr>
    </xdr:pic>
    <xdr:clientData/>
  </xdr:twoCellAnchor>
  <xdr:twoCellAnchor editAs="oneCell">
    <xdr:from>
      <xdr:col>6</xdr:col>
      <xdr:colOff>192607</xdr:colOff>
      <xdr:row>1</xdr:row>
      <xdr:rowOff>12037</xdr:rowOff>
    </xdr:from>
    <xdr:to>
      <xdr:col>7</xdr:col>
      <xdr:colOff>511611</xdr:colOff>
      <xdr:row>3</xdr:row>
      <xdr:rowOff>4795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B5B73569-7E4C-B41D-A05F-0B3E17FBD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22" y="216682"/>
          <a:ext cx="1143601" cy="402047"/>
        </a:xfrm>
        <a:prstGeom prst="rect">
          <a:avLst/>
        </a:prstGeom>
      </xdr:spPr>
    </xdr:pic>
    <xdr:clientData/>
  </xdr:twoCellAnchor>
  <xdr:twoCellAnchor editAs="oneCell">
    <xdr:from>
      <xdr:col>1</xdr:col>
      <xdr:colOff>18057</xdr:colOff>
      <xdr:row>6</xdr:row>
      <xdr:rowOff>36114</xdr:rowOff>
    </xdr:from>
    <xdr:to>
      <xdr:col>1</xdr:col>
      <xdr:colOff>804328</xdr:colOff>
      <xdr:row>6</xdr:row>
      <xdr:rowOff>198626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1BD041-26E8-C4D2-6C4C-F406A68CC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986" y="1263981"/>
          <a:ext cx="786271" cy="16251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822158</xdr:colOff>
      <xdr:row>7</xdr:row>
      <xdr:rowOff>71357</xdr:rowOff>
    </xdr:to>
    <xdr:pic>
      <xdr:nvPicPr>
        <xdr:cNvPr id="6" name="Рисунок 11">
          <a:extLst>
            <a:ext uri="{FF2B5EF4-FFF2-40B4-BE49-F238E27FC236}">
              <a16:creationId xmlns:a16="http://schemas.microsoft.com/office/drawing/2014/main" id="{2EB43384-99B2-4767-BADA-3B42727B0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3000" y="1203158"/>
          <a:ext cx="822158" cy="274557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6</xdr:row>
      <xdr:rowOff>1</xdr:rowOff>
    </xdr:from>
    <xdr:to>
      <xdr:col>3</xdr:col>
      <xdr:colOff>588580</xdr:colOff>
      <xdr:row>7</xdr:row>
      <xdr:rowOff>195132</xdr:rowOff>
    </xdr:to>
    <xdr:pic>
      <xdr:nvPicPr>
        <xdr:cNvPr id="10" name="Рисунок 12">
          <a:extLst>
            <a:ext uri="{FF2B5EF4-FFF2-40B4-BE49-F238E27FC236}">
              <a16:creationId xmlns:a16="http://schemas.microsoft.com/office/drawing/2014/main" id="{44A632C4-5A76-4A3B-A347-EFCD3688F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91711" y="1198180"/>
          <a:ext cx="588579" cy="39833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6</xdr:row>
      <xdr:rowOff>32524</xdr:rowOff>
    </xdr:from>
    <xdr:to>
      <xdr:col>5</xdr:col>
      <xdr:colOff>11387</xdr:colOff>
      <xdr:row>7</xdr:row>
      <xdr:rowOff>148994</xdr:rowOff>
    </xdr:to>
    <xdr:pic>
      <xdr:nvPicPr>
        <xdr:cNvPr id="15" name="Рисунок 13">
          <a:extLst>
            <a:ext uri="{FF2B5EF4-FFF2-40B4-BE49-F238E27FC236}">
              <a16:creationId xmlns:a16="http://schemas.microsoft.com/office/drawing/2014/main" id="{071D78E1-D241-4C87-8C20-AC976666D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2855" y="1231280"/>
          <a:ext cx="836886" cy="319670"/>
        </a:xfrm>
        <a:prstGeom prst="rect">
          <a:avLst/>
        </a:prstGeom>
      </xdr:spPr>
    </xdr:pic>
    <xdr:clientData/>
  </xdr:twoCellAnchor>
  <xdr:twoCellAnchor editAs="oneCell">
    <xdr:from>
      <xdr:col>13</xdr:col>
      <xdr:colOff>812535</xdr:colOff>
      <xdr:row>6</xdr:row>
      <xdr:rowOff>30067</xdr:rowOff>
    </xdr:from>
    <xdr:to>
      <xdr:col>15</xdr:col>
      <xdr:colOff>239038</xdr:colOff>
      <xdr:row>7</xdr:row>
      <xdr:rowOff>179465</xdr:rowOff>
    </xdr:to>
    <xdr:pic>
      <xdr:nvPicPr>
        <xdr:cNvPr id="19" name="Рисунок 1">
          <a:extLst>
            <a:ext uri="{FF2B5EF4-FFF2-40B4-BE49-F238E27FC236}">
              <a16:creationId xmlns:a16="http://schemas.microsoft.com/office/drawing/2014/main" id="{4625BE2F-582C-466D-9D59-1227C296F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350344" y="1224760"/>
          <a:ext cx="1077503" cy="352598"/>
        </a:xfrm>
        <a:prstGeom prst="rect">
          <a:avLst/>
        </a:prstGeom>
      </xdr:spPr>
    </xdr:pic>
    <xdr:clientData/>
  </xdr:twoCellAnchor>
  <xdr:twoCellAnchor editAs="oneCell">
    <xdr:from>
      <xdr:col>15</xdr:col>
      <xdr:colOff>331611</xdr:colOff>
      <xdr:row>5</xdr:row>
      <xdr:rowOff>126089</xdr:rowOff>
    </xdr:from>
    <xdr:to>
      <xdr:col>18</xdr:col>
      <xdr:colOff>493889</xdr:colOff>
      <xdr:row>7</xdr:row>
      <xdr:rowOff>163090</xdr:rowOff>
    </xdr:to>
    <xdr:pic>
      <xdr:nvPicPr>
        <xdr:cNvPr id="22" name="Рисунок 7">
          <a:extLst>
            <a:ext uri="{FF2B5EF4-FFF2-40B4-BE49-F238E27FC236}">
              <a16:creationId xmlns:a16="http://schemas.microsoft.com/office/drawing/2014/main" id="{8DAAABFE-A103-48FF-83C1-50AB6315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573000" y="1113867"/>
          <a:ext cx="2638778" cy="443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B477-E0F6-E649-BAC4-E62A19C31CF6}">
  <dimension ref="A1:P26"/>
  <sheetViews>
    <sheetView zoomScale="138" workbookViewId="0">
      <selection activeCell="H15" sqref="H15"/>
    </sheetView>
  </sheetViews>
  <sheetFormatPr baseColWidth="10" defaultColWidth="11" defaultRowHeight="16" x14ac:dyDescent="0.2"/>
  <cols>
    <col min="1" max="1" width="4.1640625" customWidth="1"/>
    <col min="4" max="4" width="3.1640625" customWidth="1"/>
    <col min="8" max="8" width="13.16406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43" t="s">
        <v>6</v>
      </c>
      <c r="I1" s="44"/>
      <c r="J1" s="44"/>
      <c r="K1" s="45"/>
      <c r="M1" s="38" t="s">
        <v>7</v>
      </c>
      <c r="N1" s="38" t="s">
        <v>8</v>
      </c>
      <c r="O1" s="38" t="s">
        <v>9</v>
      </c>
      <c r="P1" s="38" t="s">
        <v>10</v>
      </c>
    </row>
    <row r="2" spans="1:16" x14ac:dyDescent="0.2">
      <c r="A2" s="40">
        <v>1</v>
      </c>
      <c r="B2" s="52">
        <f>20/100</f>
        <v>0.2</v>
      </c>
      <c r="C2" s="40">
        <f>19.2/100</f>
        <v>0.192</v>
      </c>
      <c r="D2" s="2">
        <v>1</v>
      </c>
      <c r="E2" s="2">
        <v>1.4</v>
      </c>
      <c r="F2" s="2">
        <v>4.7</v>
      </c>
      <c r="H2" s="38" t="s">
        <v>11</v>
      </c>
      <c r="I2" s="38"/>
      <c r="J2" s="38"/>
      <c r="K2" s="3">
        <v>0.22</v>
      </c>
      <c r="M2" s="38"/>
      <c r="N2" s="38"/>
      <c r="O2" s="38"/>
      <c r="P2" s="38"/>
    </row>
    <row r="3" spans="1:16" x14ac:dyDescent="0.2">
      <c r="A3" s="41"/>
      <c r="B3" s="53"/>
      <c r="C3" s="41"/>
      <c r="D3" s="2">
        <v>2</v>
      </c>
      <c r="E3" s="2">
        <v>1.4</v>
      </c>
      <c r="F3" s="2">
        <v>4.7</v>
      </c>
      <c r="H3" s="38" t="s">
        <v>12</v>
      </c>
      <c r="I3" s="38"/>
      <c r="J3" s="38"/>
      <c r="K3" s="3">
        <v>1</v>
      </c>
      <c r="M3" s="39">
        <v>0.22</v>
      </c>
      <c r="N3" s="39">
        <v>1</v>
      </c>
      <c r="O3" s="39">
        <v>0.192</v>
      </c>
      <c r="P3" s="39">
        <v>0.192</v>
      </c>
    </row>
    <row r="4" spans="1:16" ht="17" thickBot="1" x14ac:dyDescent="0.25">
      <c r="A4" s="41"/>
      <c r="B4" s="53"/>
      <c r="C4" s="41"/>
      <c r="D4" s="2">
        <v>3</v>
      </c>
      <c r="E4" s="2">
        <v>1.4</v>
      </c>
      <c r="F4" s="2">
        <v>4.7</v>
      </c>
      <c r="M4" s="39"/>
      <c r="N4" s="39"/>
      <c r="O4" s="39"/>
      <c r="P4" s="39"/>
    </row>
    <row r="5" spans="1:16" x14ac:dyDescent="0.2">
      <c r="A5" s="41"/>
      <c r="B5" s="53"/>
      <c r="C5" s="41"/>
      <c r="D5" s="2">
        <v>4</v>
      </c>
      <c r="E5" s="2">
        <v>1.4</v>
      </c>
      <c r="F5" s="4">
        <v>4.7</v>
      </c>
      <c r="G5" s="7"/>
      <c r="H5" s="8"/>
    </row>
    <row r="6" spans="1:16" x14ac:dyDescent="0.2">
      <c r="A6" s="42"/>
      <c r="B6" s="54"/>
      <c r="C6" s="42"/>
      <c r="D6" s="2">
        <v>5</v>
      </c>
      <c r="E6" s="2">
        <v>1.6</v>
      </c>
      <c r="F6" s="4">
        <v>4.8</v>
      </c>
      <c r="G6" s="9">
        <v>1</v>
      </c>
      <c r="H6" s="36">
        <f>((O3-B2)-(P3-C2))/(N3-M3) * -1</f>
        <v>1.0256410256410265E-2</v>
      </c>
      <c r="I6" s="6"/>
    </row>
    <row r="7" spans="1:16" x14ac:dyDescent="0.2">
      <c r="A7" s="46">
        <v>2</v>
      </c>
      <c r="B7" s="49">
        <f>21/100</f>
        <v>0.21</v>
      </c>
      <c r="C7" s="46">
        <f>19.2/100</f>
        <v>0.192</v>
      </c>
      <c r="D7" s="1">
        <v>1</v>
      </c>
      <c r="E7" s="1">
        <v>0.9</v>
      </c>
      <c r="F7" s="5">
        <v>3.2</v>
      </c>
      <c r="G7" s="10"/>
      <c r="H7" s="19">
        <f>((O3-B7) - (P3 - C7))/(N3-M3)</f>
        <v>-2.3076923076923061E-2</v>
      </c>
      <c r="I7" s="6"/>
    </row>
    <row r="8" spans="1:16" x14ac:dyDescent="0.2">
      <c r="A8" s="47"/>
      <c r="B8" s="50"/>
      <c r="C8" s="47"/>
      <c r="D8" s="1">
        <v>2</v>
      </c>
      <c r="E8" s="1">
        <v>1</v>
      </c>
      <c r="F8" s="5">
        <v>3.2</v>
      </c>
      <c r="G8" s="10"/>
      <c r="H8" s="36">
        <f>((O3-B12)-(P3-C12))/(N3-M3)</f>
        <v>-3.397435897435893E-2</v>
      </c>
      <c r="I8" s="6"/>
    </row>
    <row r="9" spans="1:16" x14ac:dyDescent="0.2">
      <c r="A9" s="47"/>
      <c r="B9" s="50"/>
      <c r="C9" s="47"/>
      <c r="D9" s="1">
        <v>3</v>
      </c>
      <c r="E9" s="1">
        <v>0.9</v>
      </c>
      <c r="F9" s="5">
        <v>3.2</v>
      </c>
      <c r="G9" s="10"/>
      <c r="H9" s="36">
        <f>((O3-B17)-(P3-C17))/(N3-M3)</f>
        <v>-4.5512820512820518E-2</v>
      </c>
      <c r="I9" s="6"/>
    </row>
    <row r="10" spans="1:16" ht="17" thickBot="1" x14ac:dyDescent="0.25">
      <c r="A10" s="47"/>
      <c r="B10" s="50"/>
      <c r="C10" s="47"/>
      <c r="D10" s="1">
        <v>4</v>
      </c>
      <c r="E10" s="1">
        <v>1</v>
      </c>
      <c r="F10" s="5">
        <v>3.2</v>
      </c>
      <c r="G10" s="11"/>
      <c r="H10" s="37">
        <f>((O3-B22)-(P3-C22))/(N3-M3)</f>
        <v>-5.7692307692307709E-2</v>
      </c>
      <c r="I10" s="6"/>
    </row>
    <row r="11" spans="1:16" x14ac:dyDescent="0.2">
      <c r="A11" s="48"/>
      <c r="B11" s="51"/>
      <c r="C11" s="48"/>
      <c r="D11" s="1">
        <v>5</v>
      </c>
      <c r="E11" s="1">
        <v>1</v>
      </c>
      <c r="F11" s="1">
        <v>3.2</v>
      </c>
      <c r="I11" s="6"/>
    </row>
    <row r="12" spans="1:16" x14ac:dyDescent="0.2">
      <c r="A12" s="40">
        <v>3</v>
      </c>
      <c r="B12" s="52">
        <f>21.9/100</f>
        <v>0.21899999999999997</v>
      </c>
      <c r="C12" s="52">
        <f>19.25/100</f>
        <v>0.1925</v>
      </c>
      <c r="D12" s="2">
        <v>1</v>
      </c>
      <c r="E12" s="2">
        <v>0.8</v>
      </c>
      <c r="F12" s="2">
        <v>2.6</v>
      </c>
    </row>
    <row r="13" spans="1:16" x14ac:dyDescent="0.2">
      <c r="A13" s="41"/>
      <c r="B13" s="53"/>
      <c r="C13" s="53"/>
      <c r="D13" s="2">
        <v>2</v>
      </c>
      <c r="E13" s="2">
        <v>0.8</v>
      </c>
      <c r="F13" s="2">
        <v>2.7</v>
      </c>
    </row>
    <row r="14" spans="1:16" x14ac:dyDescent="0.2">
      <c r="A14" s="41"/>
      <c r="B14" s="53"/>
      <c r="C14" s="53"/>
      <c r="D14" s="2">
        <v>3</v>
      </c>
      <c r="E14" s="2">
        <v>0.8</v>
      </c>
      <c r="F14" s="2">
        <v>2.6</v>
      </c>
    </row>
    <row r="15" spans="1:16" x14ac:dyDescent="0.2">
      <c r="A15" s="41"/>
      <c r="B15" s="53"/>
      <c r="C15" s="53"/>
      <c r="D15" s="2">
        <v>4</v>
      </c>
      <c r="E15" s="2">
        <v>0.8</v>
      </c>
      <c r="F15" s="2">
        <v>2.6</v>
      </c>
    </row>
    <row r="16" spans="1:16" x14ac:dyDescent="0.2">
      <c r="A16" s="42"/>
      <c r="B16" s="54"/>
      <c r="C16" s="54"/>
      <c r="D16" s="2">
        <v>5</v>
      </c>
      <c r="E16" s="2">
        <v>0.8</v>
      </c>
      <c r="F16" s="2">
        <v>2.6</v>
      </c>
    </row>
    <row r="17" spans="1:6" x14ac:dyDescent="0.2">
      <c r="A17" s="46">
        <v>4</v>
      </c>
      <c r="B17" s="46">
        <f>22.8/100</f>
        <v>0.22800000000000001</v>
      </c>
      <c r="C17" s="49">
        <f>19.25/100</f>
        <v>0.1925</v>
      </c>
      <c r="D17" s="1">
        <v>1</v>
      </c>
      <c r="E17" s="1">
        <v>0.7</v>
      </c>
      <c r="F17" s="1">
        <v>2.2000000000000002</v>
      </c>
    </row>
    <row r="18" spans="1:6" x14ac:dyDescent="0.2">
      <c r="A18" s="47"/>
      <c r="B18" s="47"/>
      <c r="C18" s="50"/>
      <c r="D18" s="1">
        <v>2</v>
      </c>
      <c r="E18" s="1">
        <v>0.7</v>
      </c>
      <c r="F18" s="1">
        <v>2.2000000000000002</v>
      </c>
    </row>
    <row r="19" spans="1:6" x14ac:dyDescent="0.2">
      <c r="A19" s="47"/>
      <c r="B19" s="47"/>
      <c r="C19" s="50"/>
      <c r="D19" s="1">
        <v>3</v>
      </c>
      <c r="E19" s="1">
        <v>0.7</v>
      </c>
      <c r="F19" s="1">
        <v>2.2999999999999998</v>
      </c>
    </row>
    <row r="20" spans="1:6" x14ac:dyDescent="0.2">
      <c r="A20" s="47"/>
      <c r="B20" s="47"/>
      <c r="C20" s="50"/>
      <c r="D20" s="1">
        <v>4</v>
      </c>
      <c r="E20" s="1">
        <v>0.6</v>
      </c>
      <c r="F20" s="1">
        <v>2.2000000000000002</v>
      </c>
    </row>
    <row r="21" spans="1:6" x14ac:dyDescent="0.2">
      <c r="A21" s="48"/>
      <c r="B21" s="48"/>
      <c r="C21" s="51"/>
      <c r="D21" s="1">
        <v>5</v>
      </c>
      <c r="E21" s="1">
        <v>0.7</v>
      </c>
      <c r="F21" s="1">
        <v>2.2999999999999998</v>
      </c>
    </row>
    <row r="22" spans="1:6" x14ac:dyDescent="0.2">
      <c r="A22" s="40">
        <v>5</v>
      </c>
      <c r="B22" s="40">
        <f>23.8/100</f>
        <v>0.23800000000000002</v>
      </c>
      <c r="C22" s="40">
        <f>19.3/100</f>
        <v>0.193</v>
      </c>
      <c r="D22" s="2">
        <v>1</v>
      </c>
      <c r="E22" s="2">
        <v>0.6</v>
      </c>
      <c r="F22" s="2">
        <v>2</v>
      </c>
    </row>
    <row r="23" spans="1:6" x14ac:dyDescent="0.2">
      <c r="A23" s="41"/>
      <c r="B23" s="41"/>
      <c r="C23" s="41"/>
      <c r="D23" s="2">
        <v>2</v>
      </c>
      <c r="E23" s="2">
        <v>0.6</v>
      </c>
      <c r="F23" s="2">
        <v>2</v>
      </c>
    </row>
    <row r="24" spans="1:6" x14ac:dyDescent="0.2">
      <c r="A24" s="41"/>
      <c r="B24" s="41"/>
      <c r="C24" s="41"/>
      <c r="D24" s="2">
        <v>3</v>
      </c>
      <c r="E24" s="2">
        <v>0.6</v>
      </c>
      <c r="F24" s="2">
        <v>2</v>
      </c>
    </row>
    <row r="25" spans="1:6" x14ac:dyDescent="0.2">
      <c r="A25" s="41"/>
      <c r="B25" s="41"/>
      <c r="C25" s="41"/>
      <c r="D25" s="2">
        <v>4</v>
      </c>
      <c r="E25" s="2">
        <v>0.6</v>
      </c>
      <c r="F25" s="2">
        <v>2</v>
      </c>
    </row>
    <row r="26" spans="1:6" x14ac:dyDescent="0.2">
      <c r="A26" s="42"/>
      <c r="B26" s="42"/>
      <c r="C26" s="42"/>
      <c r="D26" s="2">
        <v>5</v>
      </c>
      <c r="E26" s="2">
        <v>0.6</v>
      </c>
      <c r="F26" s="2">
        <v>2.1</v>
      </c>
    </row>
  </sheetData>
  <mergeCells count="26">
    <mergeCell ref="A2:A6"/>
    <mergeCell ref="A7:A11"/>
    <mergeCell ref="A12:A16"/>
    <mergeCell ref="A17:A21"/>
    <mergeCell ref="A22:A26"/>
    <mergeCell ref="C22:C26"/>
    <mergeCell ref="B22:B26"/>
    <mergeCell ref="H2:J2"/>
    <mergeCell ref="H3:J3"/>
    <mergeCell ref="H1:K1"/>
    <mergeCell ref="C2:C6"/>
    <mergeCell ref="C7:C11"/>
    <mergeCell ref="B7:B11"/>
    <mergeCell ref="C12:C16"/>
    <mergeCell ref="B12:B16"/>
    <mergeCell ref="B17:B21"/>
    <mergeCell ref="C17:C21"/>
    <mergeCell ref="B2:B6"/>
    <mergeCell ref="M1:M2"/>
    <mergeCell ref="N1:N2"/>
    <mergeCell ref="O1:O2"/>
    <mergeCell ref="P1:P2"/>
    <mergeCell ref="M3:M4"/>
    <mergeCell ref="N3:N4"/>
    <mergeCell ref="O3:O4"/>
    <mergeCell ref="P3:P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0773-0C0A-D347-A1FF-BE36C653EE7F}">
  <dimension ref="A1:Q45"/>
  <sheetViews>
    <sheetView zoomScale="134" workbookViewId="0">
      <selection activeCell="P28" sqref="P28"/>
    </sheetView>
  </sheetViews>
  <sheetFormatPr baseColWidth="10" defaultColWidth="11" defaultRowHeight="16" x14ac:dyDescent="0.2"/>
  <cols>
    <col min="1" max="1" width="5" customWidth="1"/>
    <col min="11" max="11" width="15.1640625" customWidth="1"/>
    <col min="14" max="14" width="13.6640625" bestFit="1" customWidth="1"/>
  </cols>
  <sheetData>
    <row r="1" spans="1:15" x14ac:dyDescent="0.2">
      <c r="A1" s="63" t="s">
        <v>3</v>
      </c>
      <c r="B1" s="38" t="s">
        <v>13</v>
      </c>
      <c r="C1" s="38"/>
      <c r="D1" s="38"/>
      <c r="E1" s="38"/>
      <c r="F1" s="38" t="s">
        <v>14</v>
      </c>
      <c r="G1" s="38"/>
      <c r="H1" s="38"/>
      <c r="I1" s="38"/>
      <c r="K1" s="38" t="s">
        <v>7</v>
      </c>
      <c r="L1" s="38" t="s">
        <v>8</v>
      </c>
      <c r="M1" s="38" t="s">
        <v>9</v>
      </c>
      <c r="N1" s="38" t="s">
        <v>10</v>
      </c>
    </row>
    <row r="2" spans="1:15" x14ac:dyDescent="0.2">
      <c r="A2" s="63"/>
      <c r="B2" s="38"/>
      <c r="C2" s="38"/>
      <c r="D2" s="38"/>
      <c r="E2" s="38"/>
      <c r="F2" s="38"/>
      <c r="G2" s="38"/>
      <c r="H2" s="38"/>
      <c r="I2" s="38"/>
      <c r="K2" s="38"/>
      <c r="L2" s="38"/>
      <c r="M2" s="38"/>
      <c r="N2" s="38"/>
    </row>
    <row r="3" spans="1:15" x14ac:dyDescent="0.2">
      <c r="A3" s="63"/>
      <c r="B3" s="38" t="s">
        <v>15</v>
      </c>
      <c r="C3" s="38" t="s">
        <v>16</v>
      </c>
      <c r="D3" s="38" t="s">
        <v>4</v>
      </c>
      <c r="E3" s="38" t="s">
        <v>17</v>
      </c>
      <c r="F3" s="38" t="s">
        <v>18</v>
      </c>
      <c r="G3" s="38"/>
      <c r="H3" s="38"/>
      <c r="I3" s="38"/>
      <c r="K3" s="39">
        <v>0.22</v>
      </c>
      <c r="L3" s="39">
        <v>1</v>
      </c>
      <c r="M3" s="39">
        <v>0.192</v>
      </c>
      <c r="N3" s="39">
        <v>0.192</v>
      </c>
    </row>
    <row r="4" spans="1:15" x14ac:dyDescent="0.2">
      <c r="A4" s="63"/>
      <c r="B4" s="38"/>
      <c r="C4" s="38"/>
      <c r="D4" s="38"/>
      <c r="E4" s="38"/>
      <c r="F4" s="38"/>
      <c r="G4" s="38"/>
      <c r="H4" s="38"/>
      <c r="I4" s="38"/>
      <c r="K4" s="39"/>
      <c r="L4" s="39"/>
      <c r="M4" s="39"/>
      <c r="N4" s="39"/>
    </row>
    <row r="5" spans="1:15" x14ac:dyDescent="0.2">
      <c r="A5" s="38">
        <v>1</v>
      </c>
      <c r="B5" s="57">
        <v>0.15</v>
      </c>
      <c r="C5" s="57">
        <v>0.4</v>
      </c>
      <c r="D5" s="57">
        <v>1.4</v>
      </c>
      <c r="E5" s="57">
        <v>2.6</v>
      </c>
      <c r="F5" s="59">
        <f>C5-B5</f>
        <v>0.25</v>
      </c>
      <c r="G5" s="60"/>
      <c r="H5" s="59">
        <f>(E5^2 - D5^2)/2</f>
        <v>2.4000000000000004</v>
      </c>
      <c r="I5" s="60"/>
    </row>
    <row r="6" spans="1:15" x14ac:dyDescent="0.2">
      <c r="A6" s="38"/>
      <c r="B6" s="58"/>
      <c r="C6" s="58"/>
      <c r="D6" s="58"/>
      <c r="E6" s="58"/>
      <c r="F6" s="61"/>
      <c r="G6" s="62"/>
      <c r="H6" s="61"/>
      <c r="I6" s="62"/>
      <c r="K6" s="1" t="s">
        <v>19</v>
      </c>
      <c r="L6" s="1" t="s">
        <v>20</v>
      </c>
    </row>
    <row r="7" spans="1:15" x14ac:dyDescent="0.2">
      <c r="A7" s="38">
        <v>2</v>
      </c>
      <c r="B7" s="57">
        <v>0.15</v>
      </c>
      <c r="C7" s="57">
        <v>0.5</v>
      </c>
      <c r="D7" s="57">
        <v>1.4</v>
      </c>
      <c r="E7" s="57">
        <v>3.1</v>
      </c>
      <c r="F7" s="59">
        <f t="shared" ref="F7" si="0">C7-B7</f>
        <v>0.35</v>
      </c>
      <c r="G7" s="60"/>
      <c r="H7" s="59">
        <f t="shared" ref="H7" si="1">(E7^2 - D7^2)/2</f>
        <v>3.8250000000000006</v>
      </c>
      <c r="I7" s="60"/>
      <c r="K7" s="12">
        <f>N12/O12</f>
        <v>9.6162925022867593E-2</v>
      </c>
      <c r="L7" s="1"/>
      <c r="N7" s="12">
        <f>H5*F5</f>
        <v>0.60000000000000009</v>
      </c>
      <c r="O7" s="12">
        <f>H5^2</f>
        <v>5.7600000000000016</v>
      </c>
    </row>
    <row r="8" spans="1:15" x14ac:dyDescent="0.2">
      <c r="A8" s="38"/>
      <c r="B8" s="58"/>
      <c r="C8" s="58"/>
      <c r="D8" s="58"/>
      <c r="E8" s="58"/>
      <c r="F8" s="61"/>
      <c r="G8" s="62"/>
      <c r="H8" s="61"/>
      <c r="I8" s="62"/>
      <c r="K8" s="55"/>
      <c r="N8" s="12">
        <f>F7*H7</f>
        <v>1.3387500000000001</v>
      </c>
      <c r="O8" s="12">
        <f>H7^2</f>
        <v>14.630625000000006</v>
      </c>
    </row>
    <row r="9" spans="1:15" x14ac:dyDescent="0.2">
      <c r="A9" s="38">
        <v>3</v>
      </c>
      <c r="B9" s="57">
        <v>0.15</v>
      </c>
      <c r="C9" s="57">
        <v>0.7</v>
      </c>
      <c r="D9" s="57">
        <v>1.4</v>
      </c>
      <c r="E9" s="57">
        <v>3.7</v>
      </c>
      <c r="F9" s="59">
        <f t="shared" ref="F9" si="2">C9-B9</f>
        <v>0.54999999999999993</v>
      </c>
      <c r="G9" s="60"/>
      <c r="H9" s="59">
        <f t="shared" ref="H9" si="3">(E9^2 - D9^2)/2</f>
        <v>5.8650000000000011</v>
      </c>
      <c r="I9" s="60"/>
      <c r="K9" s="56"/>
      <c r="N9" s="12">
        <f>F9*H9</f>
        <v>3.2257500000000001</v>
      </c>
      <c r="O9" s="12">
        <f>H9*H9</f>
        <v>34.398225000000011</v>
      </c>
    </row>
    <row r="10" spans="1:15" x14ac:dyDescent="0.2">
      <c r="A10" s="38"/>
      <c r="B10" s="58"/>
      <c r="C10" s="58"/>
      <c r="D10" s="58"/>
      <c r="E10" s="58"/>
      <c r="F10" s="61"/>
      <c r="G10" s="62"/>
      <c r="H10" s="61"/>
      <c r="I10" s="62"/>
      <c r="K10" s="12">
        <f>SQRT(N20/O20)</f>
        <v>1.1362592509781785E-3</v>
      </c>
      <c r="L10">
        <f>K10*2</f>
        <v>2.272518501956357E-3</v>
      </c>
      <c r="M10">
        <f>(L10/K10)*100%</f>
        <v>2</v>
      </c>
      <c r="N10" s="12">
        <f>F11*H11</f>
        <v>5.8800000000000008</v>
      </c>
      <c r="O10" s="12">
        <f>H11*H11</f>
        <v>61.465600000000009</v>
      </c>
    </row>
    <row r="11" spans="1:15" ht="17" thickBot="1" x14ac:dyDescent="0.25">
      <c r="A11" s="38">
        <v>4</v>
      </c>
      <c r="B11" s="57">
        <v>0.15</v>
      </c>
      <c r="C11" s="57">
        <v>0.9</v>
      </c>
      <c r="D11" s="57">
        <v>1.4</v>
      </c>
      <c r="E11" s="57">
        <v>4.2</v>
      </c>
      <c r="F11" s="59">
        <f t="shared" ref="F11" si="4">C11-B11</f>
        <v>0.75</v>
      </c>
      <c r="G11" s="60"/>
      <c r="H11" s="59">
        <f t="shared" ref="H11" si="5">(E11^2 - D11^2)/2</f>
        <v>7.8400000000000007</v>
      </c>
      <c r="I11" s="60"/>
      <c r="K11" s="1"/>
      <c r="N11" s="20">
        <f>F13*H13</f>
        <v>9.2482499999999987</v>
      </c>
      <c r="O11" s="12">
        <f>H13*H13</f>
        <v>94.770224999999954</v>
      </c>
    </row>
    <row r="12" spans="1:15" ht="17" thickBot="1" x14ac:dyDescent="0.25">
      <c r="A12" s="38"/>
      <c r="B12" s="58"/>
      <c r="C12" s="58"/>
      <c r="D12" s="58"/>
      <c r="E12" s="58"/>
      <c r="F12" s="61"/>
      <c r="G12" s="62"/>
      <c r="H12" s="61"/>
      <c r="I12" s="62"/>
      <c r="K12" s="1" t="s">
        <v>21</v>
      </c>
      <c r="N12" s="21">
        <f>SUM(N7:N11)</f>
        <v>20.292749999999998</v>
      </c>
      <c r="O12" s="22">
        <f>SUM(O7:O11)</f>
        <v>211.02467499999997</v>
      </c>
    </row>
    <row r="13" spans="1:15" x14ac:dyDescent="0.2">
      <c r="A13" s="38">
        <v>5</v>
      </c>
      <c r="B13" s="57">
        <v>0.15</v>
      </c>
      <c r="C13" s="57">
        <v>1.1000000000000001</v>
      </c>
      <c r="D13" s="57">
        <v>1.3</v>
      </c>
      <c r="E13" s="57">
        <v>4.5999999999999996</v>
      </c>
      <c r="F13" s="59">
        <f t="shared" ref="F13" si="6">C13-B13</f>
        <v>0.95000000000000007</v>
      </c>
      <c r="G13" s="60"/>
      <c r="H13" s="59">
        <f t="shared" ref="H13" si="7">(E13^2 - D13^2)/2</f>
        <v>9.7349999999999977</v>
      </c>
      <c r="I13" s="60"/>
      <c r="K13" s="1">
        <v>9.8000000000000007</v>
      </c>
    </row>
    <row r="14" spans="1:15" x14ac:dyDescent="0.2">
      <c r="A14" s="38"/>
      <c r="B14" s="58"/>
      <c r="C14" s="58"/>
      <c r="D14" s="58"/>
      <c r="E14" s="58"/>
      <c r="F14" s="61"/>
      <c r="G14" s="62"/>
      <c r="H14" s="61"/>
      <c r="I14" s="62"/>
      <c r="K14" t="s">
        <v>22</v>
      </c>
    </row>
    <row r="15" spans="1:15" x14ac:dyDescent="0.2">
      <c r="F15" s="38" t="s">
        <v>23</v>
      </c>
      <c r="G15" s="38"/>
      <c r="H15" s="38" t="s">
        <v>24</v>
      </c>
      <c r="I15" s="38"/>
      <c r="K15">
        <v>1E-3</v>
      </c>
      <c r="M15" s="1">
        <v>1</v>
      </c>
      <c r="N15" s="12">
        <f>(F5-K7*H5)^2</f>
        <v>3.6898491053193586E-4</v>
      </c>
      <c r="O15" s="12">
        <f>H5^2</f>
        <v>5.7600000000000016</v>
      </c>
    </row>
    <row r="16" spans="1:15" x14ac:dyDescent="0.2">
      <c r="M16" s="1">
        <v>2</v>
      </c>
      <c r="N16" s="12">
        <f>(F7-K7*H7)^2</f>
        <v>3.1766603805708123E-4</v>
      </c>
      <c r="O16" s="12">
        <f>H7^2</f>
        <v>14.630625000000006</v>
      </c>
    </row>
    <row r="17" spans="2:17" x14ac:dyDescent="0.2">
      <c r="K17" s="1" t="s">
        <v>25</v>
      </c>
      <c r="L17" s="1"/>
      <c r="M17" s="25">
        <v>3</v>
      </c>
      <c r="N17" s="12">
        <f>(F9-K7*H9)^2</f>
        <v>1.9587556701104099E-4</v>
      </c>
      <c r="O17" s="12">
        <f>H9^2</f>
        <v>34.398225000000011</v>
      </c>
    </row>
    <row r="18" spans="2:17" x14ac:dyDescent="0.2">
      <c r="K18" s="12">
        <f>K13*(D20-K15)</f>
        <v>9.0712820512820591E-2</v>
      </c>
      <c r="L18" s="1">
        <v>1</v>
      </c>
      <c r="M18" s="25">
        <v>4</v>
      </c>
      <c r="N18" s="12">
        <f>(F11-K7*H11)^2</f>
        <v>1.5345491402838491E-5</v>
      </c>
      <c r="O18" s="12">
        <f>H11^2</f>
        <v>61.465600000000009</v>
      </c>
    </row>
    <row r="19" spans="2:17" x14ac:dyDescent="0.2">
      <c r="D19" s="1" t="s">
        <v>26</v>
      </c>
      <c r="E19" t="s">
        <v>27</v>
      </c>
      <c r="F19" t="s">
        <v>28</v>
      </c>
      <c r="K19" s="12">
        <f>K13*(D21-K15)</f>
        <v>-0.34274871794871753</v>
      </c>
      <c r="L19" s="1">
        <v>2</v>
      </c>
      <c r="M19" s="25">
        <v>5</v>
      </c>
      <c r="N19" s="12">
        <f>(F13-K7*H13)^2</f>
        <v>1.9193123520090219E-4</v>
      </c>
      <c r="O19" s="12">
        <f>H13^2</f>
        <v>94.770224999999954</v>
      </c>
    </row>
    <row r="20" spans="2:17" ht="17" thickBot="1" x14ac:dyDescent="0.25">
      <c r="B20">
        <v>0</v>
      </c>
      <c r="D20" s="12">
        <f>Лист3!B2</f>
        <v>1.0256410256410265E-2</v>
      </c>
      <c r="E20" s="19">
        <f>D20^2</f>
        <v>1.0519395134779768E-4</v>
      </c>
      <c r="F20" s="19">
        <f>SUM(E20:E24)-(0.2*(SUM(D20:D24))^2)</f>
        <v>3.4373767258382656E-3</v>
      </c>
      <c r="G20" s="19">
        <f>SQRT((SUM(L27:L31)/(F20*3)))</f>
        <v>0.43158553466727634</v>
      </c>
      <c r="K20" s="12">
        <f>K13*(D22-K15)</f>
        <v>-9.8000000000000014E-3</v>
      </c>
      <c r="L20" s="1">
        <v>3</v>
      </c>
      <c r="N20" s="33">
        <f>SUM(N15:N19)</f>
        <v>1.0898032422037988E-3</v>
      </c>
      <c r="O20" s="18">
        <f>SUM(O15:O19)*4</f>
        <v>844.09869999999989</v>
      </c>
    </row>
    <row r="21" spans="2:17" x14ac:dyDescent="0.2">
      <c r="B21" t="b">
        <f>B20=D23</f>
        <v>0</v>
      </c>
      <c r="D21" s="12">
        <f>Лист3!B3</f>
        <v>-3.397435897435893E-2</v>
      </c>
      <c r="E21" s="19">
        <f>D21^2</f>
        <v>1.1542570677186032E-3</v>
      </c>
      <c r="F21" s="19"/>
      <c r="K21" s="12">
        <f>K13*(D23-K15)</f>
        <v>-0.4558256410256411</v>
      </c>
      <c r="L21" s="1">
        <v>4</v>
      </c>
    </row>
    <row r="22" spans="2:17" ht="17" thickBot="1" x14ac:dyDescent="0.25">
      <c r="D22" s="12">
        <f>Лист3!B4</f>
        <v>0</v>
      </c>
      <c r="E22" s="19">
        <f>D22^2</f>
        <v>0</v>
      </c>
      <c r="F22" s="19"/>
      <c r="K22" s="20">
        <f>K13*(D24-K15)</f>
        <v>-0.57518461538461563</v>
      </c>
      <c r="L22" s="1">
        <v>5</v>
      </c>
    </row>
    <row r="23" spans="2:17" ht="17" thickBot="1" x14ac:dyDescent="0.25">
      <c r="D23" s="12">
        <f>Лист3!B5</f>
        <v>-4.5512820512820518E-2</v>
      </c>
      <c r="E23" s="19">
        <f>D23^2</f>
        <v>2.0714168310322161E-3</v>
      </c>
      <c r="F23" s="19"/>
      <c r="K23" s="34">
        <f>SUM(K18:K22)</f>
        <v>-1.2928461538461535</v>
      </c>
    </row>
    <row r="24" spans="2:17" x14ac:dyDescent="0.2">
      <c r="B24" s="13"/>
      <c r="C24" s="14"/>
      <c r="D24" s="31">
        <f>Лист3!B6</f>
        <v>-5.7692307692307709E-2</v>
      </c>
      <c r="E24" s="19">
        <f>D24^2</f>
        <v>3.3284023668639071E-3</v>
      </c>
      <c r="F24" s="19"/>
    </row>
    <row r="25" spans="2:17" x14ac:dyDescent="0.2">
      <c r="B25" s="15"/>
      <c r="C25" s="16"/>
      <c r="K25" s="1"/>
      <c r="L25" s="1"/>
      <c r="N25" s="1"/>
    </row>
    <row r="26" spans="2:17" x14ac:dyDescent="0.2">
      <c r="B26" s="15"/>
      <c r="C26" s="16"/>
      <c r="K26" s="1"/>
      <c r="L26" s="1"/>
      <c r="N26" s="1"/>
    </row>
    <row r="27" spans="2:17" x14ac:dyDescent="0.2">
      <c r="B27" s="15"/>
      <c r="C27" s="16"/>
      <c r="K27" s="1">
        <f>K18-(B45+B28*D20)</f>
        <v>-1.9599999999999979E-2</v>
      </c>
      <c r="L27" s="12">
        <f>K27^2</f>
        <v>3.8415999999999917E-4</v>
      </c>
      <c r="N27" s="12">
        <f>2*G20</f>
        <v>0.86317106933455268</v>
      </c>
      <c r="P27" s="19">
        <f>(N27/9.8)*100%</f>
        <v>8.8078680544342106E-2</v>
      </c>
      <c r="Q27" t="s">
        <v>29</v>
      </c>
    </row>
    <row r="28" spans="2:17" ht="17" thickBot="1" x14ac:dyDescent="0.25">
      <c r="B28" s="17">
        <f>D28/D36</f>
        <v>9.8000000000000025</v>
      </c>
      <c r="C28" s="18"/>
      <c r="D28" s="19">
        <f>F33-I28</f>
        <v>3.3686291913215018E-2</v>
      </c>
      <c r="F28" s="19">
        <f>D20*K18</f>
        <v>9.3038790269559662E-4</v>
      </c>
      <c r="G28" s="19">
        <f>K23/5</f>
        <v>-0.25856923076923072</v>
      </c>
      <c r="H28" s="19">
        <f>SUM(D20:D24)</f>
        <v>-0.12692307692307689</v>
      </c>
      <c r="I28" s="19">
        <f>G28*H28</f>
        <v>3.281840236686389E-2</v>
      </c>
      <c r="K28" s="1">
        <f>K19-(B45+B28*D21)</f>
        <v>-1.959999999999984E-2</v>
      </c>
      <c r="L28" s="12">
        <f t="shared" ref="L28:L31" si="8">K28^2</f>
        <v>3.8415999999999369E-4</v>
      </c>
    </row>
    <row r="29" spans="2:17" x14ac:dyDescent="0.2">
      <c r="F29" s="19">
        <f>D21*K19</f>
        <v>1.164466798159103E-2</v>
      </c>
      <c r="K29" s="1">
        <f>K20-(B45+B28*D22)</f>
        <v>-1.9599999999999944E-2</v>
      </c>
      <c r="L29" s="12">
        <f t="shared" si="8"/>
        <v>3.8415999999999781E-4</v>
      </c>
    </row>
    <row r="30" spans="2:17" x14ac:dyDescent="0.2">
      <c r="F30" s="19">
        <f>D22*K20</f>
        <v>0</v>
      </c>
      <c r="K30" s="1">
        <f>K21-(B45+B28*D23)</f>
        <v>-1.959999999999984E-2</v>
      </c>
      <c r="L30" s="12">
        <f t="shared" si="8"/>
        <v>3.8415999999999369E-4</v>
      </c>
    </row>
    <row r="31" spans="2:17" x14ac:dyDescent="0.2">
      <c r="F31" s="19">
        <f>D23*K21</f>
        <v>2.0745910585141362E-2</v>
      </c>
      <c r="K31" s="1">
        <f>K22-(B45+B28*D24)</f>
        <v>-1.959999999999984E-2</v>
      </c>
      <c r="L31" s="12">
        <f t="shared" si="8"/>
        <v>3.8415999999999369E-4</v>
      </c>
    </row>
    <row r="32" spans="2:17" ht="17" thickBot="1" x14ac:dyDescent="0.25">
      <c r="F32" s="19">
        <f>D24*K22</f>
        <v>3.3183727810650911E-2</v>
      </c>
    </row>
    <row r="33" spans="2:13" ht="17" thickBot="1" x14ac:dyDescent="0.25">
      <c r="F33" s="34">
        <f>SUM(F28:F32)</f>
        <v>6.6504694280078908E-2</v>
      </c>
      <c r="K33" t="s">
        <v>30</v>
      </c>
    </row>
    <row r="34" spans="2:13" x14ac:dyDescent="0.2">
      <c r="K34" s="35">
        <v>9.8194999999999997</v>
      </c>
      <c r="L34" s="1"/>
      <c r="M34" s="1"/>
    </row>
    <row r="35" spans="2:13" x14ac:dyDescent="0.2">
      <c r="L35" s="1">
        <f>(B28-K34) * -1</f>
        <v>1.9499999999997186E-2</v>
      </c>
      <c r="M35" s="1"/>
    </row>
    <row r="36" spans="2:13" x14ac:dyDescent="0.2">
      <c r="D36" s="19">
        <f>F41-G36</f>
        <v>3.437376725838266E-3</v>
      </c>
      <c r="F36" s="12">
        <f>D20^2</f>
        <v>1.0519395134779768E-4</v>
      </c>
      <c r="G36" s="19">
        <f>(H28^2)/5</f>
        <v>3.2218934911242584E-3</v>
      </c>
    </row>
    <row r="37" spans="2:13" x14ac:dyDescent="0.2">
      <c r="F37" s="12">
        <f>D21^2</f>
        <v>1.1542570677186032E-3</v>
      </c>
    </row>
    <row r="38" spans="2:13" x14ac:dyDescent="0.2">
      <c r="F38" s="12">
        <f>D22^2</f>
        <v>0</v>
      </c>
    </row>
    <row r="39" spans="2:13" x14ac:dyDescent="0.2">
      <c r="F39" s="12">
        <f>D23^2</f>
        <v>2.0714168310322161E-3</v>
      </c>
    </row>
    <row r="40" spans="2:13" ht="17" thickBot="1" x14ac:dyDescent="0.25">
      <c r="F40" s="20">
        <f>D24^2</f>
        <v>3.3284023668639071E-3</v>
      </c>
    </row>
    <row r="41" spans="2:13" ht="17" thickBot="1" x14ac:dyDescent="0.25">
      <c r="F41" s="34">
        <f>SUM(F36:F40)</f>
        <v>6.6592702169625245E-3</v>
      </c>
    </row>
    <row r="45" spans="2:13" x14ac:dyDescent="0.2">
      <c r="B45" s="19">
        <f>(D45-E45)/5 * -1</f>
        <v>9.7999999999999424E-3</v>
      </c>
      <c r="D45" s="19">
        <f>SUM(K18:K22)</f>
        <v>-1.2928461538461535</v>
      </c>
      <c r="E45" s="19">
        <f>B28*H28</f>
        <v>-1.2438461538461538</v>
      </c>
    </row>
  </sheetData>
  <mergeCells count="55">
    <mergeCell ref="A5:A6"/>
    <mergeCell ref="A7:A8"/>
    <mergeCell ref="H5:I6"/>
    <mergeCell ref="H7:I8"/>
    <mergeCell ref="A1:A4"/>
    <mergeCell ref="B1:E2"/>
    <mergeCell ref="E3:E4"/>
    <mergeCell ref="D3:D4"/>
    <mergeCell ref="C3:C4"/>
    <mergeCell ref="B3:B4"/>
    <mergeCell ref="A11:A12"/>
    <mergeCell ref="A13:A14"/>
    <mergeCell ref="B5:B6"/>
    <mergeCell ref="F5:G6"/>
    <mergeCell ref="F7:G8"/>
    <mergeCell ref="F9:G10"/>
    <mergeCell ref="F11:G12"/>
    <mergeCell ref="F13:G14"/>
    <mergeCell ref="C9:C10"/>
    <mergeCell ref="D9:D10"/>
    <mergeCell ref="A9:A10"/>
    <mergeCell ref="E9:E10"/>
    <mergeCell ref="B7:B8"/>
    <mergeCell ref="C7:C8"/>
    <mergeCell ref="D7:D8"/>
    <mergeCell ref="E7:E8"/>
    <mergeCell ref="B9:B10"/>
    <mergeCell ref="H11:I12"/>
    <mergeCell ref="H13:I14"/>
    <mergeCell ref="C5:C6"/>
    <mergeCell ref="D5:D6"/>
    <mergeCell ref="E5:E6"/>
    <mergeCell ref="H9:I10"/>
    <mergeCell ref="B11:B12"/>
    <mergeCell ref="C11:C12"/>
    <mergeCell ref="D11:D12"/>
    <mergeCell ref="E11:E12"/>
    <mergeCell ref="E13:E14"/>
    <mergeCell ref="D13:D14"/>
    <mergeCell ref="C13:C14"/>
    <mergeCell ref="B13:B14"/>
    <mergeCell ref="M1:M2"/>
    <mergeCell ref="N1:N2"/>
    <mergeCell ref="K3:K4"/>
    <mergeCell ref="L3:L4"/>
    <mergeCell ref="M3:M4"/>
    <mergeCell ref="N3:N4"/>
    <mergeCell ref="F15:G15"/>
    <mergeCell ref="H15:I15"/>
    <mergeCell ref="K8:K9"/>
    <mergeCell ref="K1:K2"/>
    <mergeCell ref="L1:L2"/>
    <mergeCell ref="F3:G4"/>
    <mergeCell ref="H3:I4"/>
    <mergeCell ref="F1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8125-4166-EF49-A6E9-611157649CFC}">
  <dimension ref="A1:P34"/>
  <sheetViews>
    <sheetView tabSelected="1" zoomScale="150" workbookViewId="0">
      <selection activeCell="B3" sqref="B3"/>
    </sheetView>
  </sheetViews>
  <sheetFormatPr baseColWidth="10" defaultColWidth="11" defaultRowHeight="16" x14ac:dyDescent="0.2"/>
  <cols>
    <col min="1" max="1" width="3.83203125" customWidth="1"/>
  </cols>
  <sheetData>
    <row r="1" spans="1:16" x14ac:dyDescent="0.2">
      <c r="A1" s="1" t="s">
        <v>0</v>
      </c>
      <c r="B1" s="1" t="s">
        <v>31</v>
      </c>
      <c r="C1" s="1"/>
      <c r="D1" s="1"/>
      <c r="E1" s="1"/>
      <c r="G1" s="64" t="s">
        <v>6</v>
      </c>
      <c r="H1" s="64"/>
      <c r="J1" s="1" t="s">
        <v>32</v>
      </c>
      <c r="K1" s="1"/>
    </row>
    <row r="2" spans="1:16" x14ac:dyDescent="0.2">
      <c r="A2" s="1">
        <v>1</v>
      </c>
      <c r="B2" s="12">
        <f>Лист1!H6</f>
        <v>1.0256410256410265E-2</v>
      </c>
      <c r="C2" s="1" t="s">
        <v>33</v>
      </c>
      <c r="D2" s="1" t="s">
        <v>34</v>
      </c>
      <c r="E2" s="1" t="s">
        <v>35</v>
      </c>
      <c r="G2" s="64"/>
      <c r="H2" s="64"/>
      <c r="J2" s="1">
        <v>1E-3</v>
      </c>
      <c r="K2" s="1"/>
    </row>
    <row r="3" spans="1:16" x14ac:dyDescent="0.2">
      <c r="A3" s="1">
        <v>2</v>
      </c>
      <c r="B3" s="12">
        <f>Лист1!H8</f>
        <v>-3.397435897435893E-2</v>
      </c>
      <c r="C3" s="1" t="s">
        <v>36</v>
      </c>
      <c r="D3" s="1" t="s">
        <v>37</v>
      </c>
      <c r="E3" s="1" t="s">
        <v>38</v>
      </c>
      <c r="G3" s="64"/>
      <c r="H3" s="64"/>
      <c r="J3" s="1" t="s">
        <v>21</v>
      </c>
      <c r="K3" s="1"/>
    </row>
    <row r="4" spans="1:16" x14ac:dyDescent="0.2">
      <c r="A4" s="1">
        <v>3</v>
      </c>
      <c r="B4" s="12">
        <v>0</v>
      </c>
      <c r="C4" s="1" t="s">
        <v>39</v>
      </c>
      <c r="D4" s="1" t="s">
        <v>40</v>
      </c>
      <c r="E4" s="1" t="s">
        <v>41</v>
      </c>
      <c r="J4" s="1">
        <v>9.8000000000000007</v>
      </c>
      <c r="K4" s="1"/>
    </row>
    <row r="5" spans="1:16" x14ac:dyDescent="0.2">
      <c r="A5" s="1">
        <v>4</v>
      </c>
      <c r="B5" s="12">
        <f>Лист1!H9</f>
        <v>-4.5512820512820518E-2</v>
      </c>
      <c r="C5" s="1" t="s">
        <v>42</v>
      </c>
      <c r="D5" s="1" t="s">
        <v>43</v>
      </c>
      <c r="E5" s="5" t="s">
        <v>44</v>
      </c>
      <c r="F5" s="1" t="s">
        <v>45</v>
      </c>
      <c r="G5" s="1" t="s">
        <v>25</v>
      </c>
    </row>
    <row r="6" spans="1:16" x14ac:dyDescent="0.2">
      <c r="A6" s="1">
        <v>5</v>
      </c>
      <c r="B6" s="12">
        <f>Лист1!H10</f>
        <v>-5.7692307692307709E-2</v>
      </c>
      <c r="C6" s="1" t="s">
        <v>46</v>
      </c>
      <c r="D6" s="1" t="s">
        <v>47</v>
      </c>
      <c r="E6" s="5" t="s">
        <v>48</v>
      </c>
      <c r="F6" s="1">
        <v>1</v>
      </c>
      <c r="G6" s="12">
        <f>$J$4*(B2-$J$2)</f>
        <v>9.0712820512820591E-2</v>
      </c>
    </row>
    <row r="7" spans="1:16" x14ac:dyDescent="0.2">
      <c r="F7" s="1">
        <v>2</v>
      </c>
      <c r="G7" s="12">
        <f t="shared" ref="G7:G10" si="0">$J$4*(B3-$J$2)</f>
        <v>-0.34274871794871753</v>
      </c>
    </row>
    <row r="8" spans="1:16" ht="17" thickBot="1" x14ac:dyDescent="0.25">
      <c r="F8" s="1">
        <v>3</v>
      </c>
      <c r="G8" s="12">
        <f>$J$4*(B4-$J$2)</f>
        <v>-9.8000000000000014E-3</v>
      </c>
    </row>
    <row r="9" spans="1:16" x14ac:dyDescent="0.2">
      <c r="C9" s="5" t="s">
        <v>49</v>
      </c>
      <c r="D9" s="5" t="s">
        <v>50</v>
      </c>
      <c r="E9" s="26" t="s">
        <v>51</v>
      </c>
      <c r="F9" s="25">
        <v>4</v>
      </c>
      <c r="G9" s="12">
        <f t="shared" si="0"/>
        <v>-0.4558256410256411</v>
      </c>
      <c r="I9" s="5" t="s">
        <v>52</v>
      </c>
      <c r="J9" s="23" t="s">
        <v>53</v>
      </c>
      <c r="K9" s="29" t="s">
        <v>54</v>
      </c>
      <c r="L9" s="29" t="s">
        <v>55</v>
      </c>
      <c r="M9" s="30" t="s">
        <v>56</v>
      </c>
      <c r="O9" t="s">
        <v>57</v>
      </c>
      <c r="P9" t="s">
        <v>58</v>
      </c>
    </row>
    <row r="10" spans="1:16" ht="17" thickBot="1" x14ac:dyDescent="0.25">
      <c r="D10" s="5">
        <f>(Лист1!E2-1.44)^2</f>
        <v>1.6000000000000029E-3</v>
      </c>
      <c r="E10" s="27">
        <f>SQRT((SUM(D10:D14))/(5*(5-1)))</f>
        <v>4.0000000000000036E-2</v>
      </c>
      <c r="F10" s="25">
        <v>5</v>
      </c>
      <c r="G10" s="12">
        <f t="shared" si="0"/>
        <v>-0.57518461538461563</v>
      </c>
      <c r="J10" s="1">
        <f>(Лист1!F2-4.72)^2</f>
        <v>3.9999999999998294E-4</v>
      </c>
      <c r="K10" s="28">
        <f>SQRT((SUM(J10:J14))/(5*(5-1)))</f>
        <v>1.9999999999999928E-2</v>
      </c>
      <c r="L10" s="28">
        <f>2.78*K10</f>
        <v>5.5599999999999795E-2</v>
      </c>
      <c r="M10" s="31">
        <f>SQRT(L10^2 + (2/3 * 0.1)^2)</f>
        <v>8.6809011308990394E-2</v>
      </c>
      <c r="O10" s="19">
        <f>(2*(0.25))/((4.72)^2-(1.44)^2)</f>
        <v>2.4746594868546089E-2</v>
      </c>
      <c r="P10" s="19">
        <f>O10*SQRT(((0.005)^2+(0.005)^2)/((0.25)^2)+(4*((1.14*0.13)^2+(4.72*0.087)^2)/(4.72^2-1.44^2)^2))</f>
        <v>1.2780947711693734E-3</v>
      </c>
    </row>
    <row r="11" spans="1:16" x14ac:dyDescent="0.2">
      <c r="D11" s="1">
        <f>(Лист1!E3-1.44)^2</f>
        <v>1.6000000000000029E-3</v>
      </c>
      <c r="G11" s="19"/>
      <c r="J11" s="32">
        <f>(Лист1!F3-4.72)^2</f>
        <v>3.9999999999998294E-4</v>
      </c>
      <c r="M11" s="19"/>
      <c r="O11" s="19">
        <f>(2*(0.35))/((3.2)^2-(0.96)^2)</f>
        <v>7.5120192307692291E-2</v>
      </c>
      <c r="P11" s="19">
        <f>O11*SQRT(((0.005)^2+(0.005)^2)/((0.35)^2)+(4*((0.96*0.095)^2+(3.2*0.067)^2)/(3.2^2-0.96^2)^2))</f>
        <v>4.0514990406992722E-3</v>
      </c>
    </row>
    <row r="12" spans="1:16" x14ac:dyDescent="0.2">
      <c r="D12" s="1">
        <f>(Лист1!E4-1.44)^2</f>
        <v>1.6000000000000029E-3</v>
      </c>
      <c r="F12" s="1" t="s">
        <v>59</v>
      </c>
      <c r="G12" s="1" t="s">
        <v>60</v>
      </c>
      <c r="J12" s="32">
        <f>(Лист1!F4-4.72)^2</f>
        <v>3.9999999999998294E-4</v>
      </c>
      <c r="M12" s="19"/>
      <c r="O12" s="19">
        <f>(2*(0.55))/((2.62)^2-(0.8)^2)</f>
        <v>0.17672386093438724</v>
      </c>
      <c r="P12" s="19">
        <f>O12*SQRT(((0.005)^2+(0.005)^2)/((0.55)^2)+(4*((0.8*0.067)^2+(2.62*0.087)^2)/(2.62^2-0.8^2)^2))</f>
        <v>1.3489159019305801E-2</v>
      </c>
    </row>
    <row r="13" spans="1:16" x14ac:dyDescent="0.2">
      <c r="D13" s="1">
        <f>(Лист1!E5-1.44)^2</f>
        <v>1.6000000000000029E-3</v>
      </c>
      <c r="F13" s="1">
        <f>2.78*E10</f>
        <v>0.11120000000000009</v>
      </c>
      <c r="G13" s="12">
        <f>SQRT(F13^2 + (2/3 * 0.1)^2)</f>
        <v>0.12965293843351358</v>
      </c>
      <c r="J13" s="32">
        <f>(Лист1!F5-4.72)^2</f>
        <v>3.9999999999998294E-4</v>
      </c>
      <c r="M13" s="19"/>
      <c r="O13" s="19">
        <f>(2*(0.75))/((2.24)^2-(0.68)^2)</f>
        <v>0.32929399367755524</v>
      </c>
      <c r="P13" s="19">
        <f>O13*SQRT(((0.005)^2+(0.005)^2)/((0.75)^2)+(4*((0.68*0.087)^2+(2.24*0.095)^2)/(2.24^2-0.68^2)^2))</f>
        <v>3.2083872306266602E-2</v>
      </c>
    </row>
    <row r="14" spans="1:16" x14ac:dyDescent="0.2">
      <c r="D14" s="23">
        <f>(Лист1!E6-1.44)^2</f>
        <v>2.5600000000000046E-2</v>
      </c>
      <c r="G14" s="19"/>
      <c r="J14" s="32">
        <f>(Лист1!F6-4.72)^2</f>
        <v>6.4000000000000116E-3</v>
      </c>
      <c r="M14" s="19"/>
      <c r="O14" s="19">
        <f>(2*(0.95))/((2.02)^2-(0.6)^2)</f>
        <v>0.51069777443285669</v>
      </c>
      <c r="P14" s="19">
        <f>O14*SQRT(((0.005)^2+(0.005)^2)/((0.95)^2)+(4*((0.6*0.067)^2+(2.02*0.087)^2)/(2.02^2-0.6^2)^2))</f>
        <v>4.9639458942319421E-2</v>
      </c>
    </row>
    <row r="15" spans="1:16" x14ac:dyDescent="0.2">
      <c r="C15" s="1" t="s">
        <v>61</v>
      </c>
      <c r="D15" s="1">
        <f>(Лист1!E7-0.96)^2</f>
        <v>3.599999999999993E-3</v>
      </c>
      <c r="E15" s="1">
        <f>SQRT((SUM(D15:D19))/(5*(5-1)))</f>
        <v>2.4494897427831772E-2</v>
      </c>
      <c r="F15" s="1">
        <f>2.78*E15</f>
        <v>6.8095814849372327E-2</v>
      </c>
      <c r="G15" s="12">
        <f>SQRT(F15^2 + (2/3 * 0.1)^2)</f>
        <v>9.5296822845488613E-2</v>
      </c>
      <c r="I15" s="5" t="s">
        <v>62</v>
      </c>
      <c r="J15" s="1">
        <f>(Лист1!F7-3.2)^2</f>
        <v>0</v>
      </c>
      <c r="K15" s="28">
        <f>SQRT((SUM(J15:J19))/(5*(5-1)))</f>
        <v>0</v>
      </c>
      <c r="L15" s="28">
        <f>2.78*K15</f>
        <v>0</v>
      </c>
      <c r="M15" s="31">
        <f>SQRT(L15^2 + (2/3 * 0.1)^2)</f>
        <v>6.6666666666666666E-2</v>
      </c>
    </row>
    <row r="16" spans="1:16" x14ac:dyDescent="0.2">
      <c r="D16" s="24">
        <f>(Лист1!E8-0.96)^2</f>
        <v>1.6000000000000029E-3</v>
      </c>
      <c r="G16" s="19"/>
      <c r="J16" s="32">
        <f>(Лист1!F8-3.2)^2</f>
        <v>0</v>
      </c>
      <c r="M16" s="19"/>
    </row>
    <row r="17" spans="3:13" x14ac:dyDescent="0.2">
      <c r="D17" s="1">
        <f>(Лист1!E9-0.96)^2</f>
        <v>3.599999999999993E-3</v>
      </c>
      <c r="G17" s="19"/>
      <c r="J17" s="32">
        <f>(Лист1!F9-3.2)^2</f>
        <v>0</v>
      </c>
      <c r="M17" s="19"/>
    </row>
    <row r="18" spans="3:13" x14ac:dyDescent="0.2">
      <c r="D18" s="1">
        <f>(Лист1!E10-0.96)^2</f>
        <v>1.6000000000000029E-3</v>
      </c>
      <c r="G18" s="19"/>
      <c r="J18" s="32">
        <f>(Лист1!F10-3.2)^2</f>
        <v>0</v>
      </c>
      <c r="M18" s="19"/>
    </row>
    <row r="19" spans="3:13" x14ac:dyDescent="0.2">
      <c r="D19" s="23">
        <f>(Лист1!E11-0.96)^2</f>
        <v>1.6000000000000029E-3</v>
      </c>
      <c r="G19" s="19"/>
      <c r="J19" s="32">
        <f>(Лист1!F11-3.2)^2</f>
        <v>0</v>
      </c>
      <c r="M19" s="19"/>
    </row>
    <row r="20" spans="3:13" x14ac:dyDescent="0.2">
      <c r="C20" s="1" t="s">
        <v>63</v>
      </c>
      <c r="D20" s="1">
        <f>(Лист1!E12-0.8)^2</f>
        <v>0</v>
      </c>
      <c r="E20" s="1">
        <f>SQRT((SUM(D20:D24))/(5*(5-1)))</f>
        <v>0</v>
      </c>
      <c r="F20" s="1">
        <f>2.78*E20</f>
        <v>0</v>
      </c>
      <c r="G20" s="12">
        <f>SQRT(F20^2 + (2/3 * 0.1)^2)</f>
        <v>6.6666666666666666E-2</v>
      </c>
      <c r="I20" s="5" t="s">
        <v>64</v>
      </c>
      <c r="J20" s="1">
        <f>(Лист1!F12-2.62)^2</f>
        <v>4.0000000000000072E-4</v>
      </c>
      <c r="K20" s="28">
        <f>SQRT((SUM(J20:J24))/(5*(5-1)))</f>
        <v>2.0000000000000018E-2</v>
      </c>
      <c r="L20" s="28">
        <f>2.78*K20</f>
        <v>5.5600000000000045E-2</v>
      </c>
      <c r="M20" s="31">
        <f>SQRT(L20^2 + (2/3 * 0.1)^2)</f>
        <v>8.6809011308990561E-2</v>
      </c>
    </row>
    <row r="21" spans="3:13" x14ac:dyDescent="0.2">
      <c r="D21" s="24">
        <f>(Лист1!E13-0.8)^2</f>
        <v>0</v>
      </c>
      <c r="G21" s="19"/>
      <c r="J21" s="32">
        <f>(Лист1!F13-2.62)^2</f>
        <v>6.4000000000000116E-3</v>
      </c>
      <c r="M21" s="19"/>
    </row>
    <row r="22" spans="3:13" x14ac:dyDescent="0.2">
      <c r="D22" s="1">
        <f>(Лист1!E14-0.8)^2</f>
        <v>0</v>
      </c>
      <c r="G22" s="19"/>
      <c r="J22" s="32">
        <f>(Лист1!F14-2.62)^2</f>
        <v>4.0000000000000072E-4</v>
      </c>
      <c r="M22" s="19"/>
    </row>
    <row r="23" spans="3:13" x14ac:dyDescent="0.2">
      <c r="D23" s="1">
        <f>(Лист1!E15-0.8)^2</f>
        <v>0</v>
      </c>
      <c r="G23" s="19"/>
      <c r="J23" s="32">
        <f>(Лист1!F15-2.62)^2</f>
        <v>4.0000000000000072E-4</v>
      </c>
      <c r="M23" s="19"/>
    </row>
    <row r="24" spans="3:13" x14ac:dyDescent="0.2">
      <c r="D24" s="23">
        <f>(Лист1!E16-0.8)^2</f>
        <v>0</v>
      </c>
      <c r="G24" s="19"/>
      <c r="J24" s="32">
        <f>(Лист1!F16-2.62)^2</f>
        <v>4.0000000000000072E-4</v>
      </c>
      <c r="M24" s="19"/>
    </row>
    <row r="25" spans="3:13" x14ac:dyDescent="0.2">
      <c r="C25" s="1" t="s">
        <v>65</v>
      </c>
      <c r="D25" s="1">
        <f>(Лист1!E17-0.68)^2</f>
        <v>3.9999999999999628E-4</v>
      </c>
      <c r="E25" s="1">
        <f>SQRT((SUM(D25:D29))/(5*(5-1)))</f>
        <v>1.9999999999999997E-2</v>
      </c>
      <c r="F25" s="1">
        <f>2.78*E25</f>
        <v>5.559999999999999E-2</v>
      </c>
      <c r="G25" s="12">
        <f>SQRT(F25^2 + (2/3 * 0.1)^2)</f>
        <v>8.6809011308990519E-2</v>
      </c>
      <c r="I25" s="5" t="s">
        <v>66</v>
      </c>
      <c r="J25" s="1">
        <f>(Лист1!F17-2.24)^2</f>
        <v>1.6000000000000029E-3</v>
      </c>
      <c r="K25" s="28">
        <f>SQRT((SUM(J25:J29))/(5*(5-1)))</f>
        <v>2.4494897427831695E-2</v>
      </c>
      <c r="L25" s="28">
        <f>2.78*K25</f>
        <v>6.8095814849372105E-2</v>
      </c>
      <c r="M25" s="31">
        <f>SQRT(L25^2 + (2/3 * 0.1)^2)</f>
        <v>9.529682284548846E-2</v>
      </c>
    </row>
    <row r="26" spans="3:13" x14ac:dyDescent="0.2">
      <c r="D26" s="24">
        <f>(Лист1!E18-0.68)^2</f>
        <v>3.9999999999999628E-4</v>
      </c>
      <c r="G26" s="19"/>
      <c r="J26" s="32">
        <f>(Лист1!F18-2.24)^2</f>
        <v>1.6000000000000029E-3</v>
      </c>
      <c r="M26" s="19"/>
    </row>
    <row r="27" spans="3:13" x14ac:dyDescent="0.2">
      <c r="D27" s="1">
        <f>(Лист1!E19-0.68)^2</f>
        <v>3.9999999999999628E-4</v>
      </c>
      <c r="G27" s="19"/>
      <c r="J27" s="32">
        <f>(Лист1!F19-2.24)^2</f>
        <v>3.5999999999999531E-3</v>
      </c>
      <c r="M27" s="19"/>
    </row>
    <row r="28" spans="3:13" x14ac:dyDescent="0.2">
      <c r="D28" s="1">
        <f>(Лист1!E20-0.68)^2</f>
        <v>6.4000000000000116E-3</v>
      </c>
      <c r="G28" s="19"/>
      <c r="J28" s="32">
        <f>(Лист1!F20-2.24)^2</f>
        <v>1.6000000000000029E-3</v>
      </c>
      <c r="M28" s="19"/>
    </row>
    <row r="29" spans="3:13" x14ac:dyDescent="0.2">
      <c r="D29" s="23">
        <f>(Лист1!E21-0.68)^2</f>
        <v>3.9999999999999628E-4</v>
      </c>
      <c r="G29" s="19"/>
      <c r="J29" s="32">
        <f>(Лист1!F21-2.24)^2</f>
        <v>3.5999999999999531E-3</v>
      </c>
      <c r="M29" s="19"/>
    </row>
    <row r="30" spans="3:13" x14ac:dyDescent="0.2">
      <c r="C30" s="1" t="s">
        <v>67</v>
      </c>
      <c r="D30" s="1">
        <f>(Лист1!E22-0.6)^2</f>
        <v>0</v>
      </c>
      <c r="E30" s="1">
        <f>SQRT((SUM(D30:D36))/(5*(5-1)))</f>
        <v>0</v>
      </c>
      <c r="F30" s="1">
        <f>2.78*E30</f>
        <v>0</v>
      </c>
      <c r="G30" s="12">
        <f>SQRT(F30^2 + (2/3 * 0.1)^2)</f>
        <v>6.6666666666666666E-2</v>
      </c>
      <c r="I30" s="5" t="s">
        <v>68</v>
      </c>
      <c r="J30" s="1">
        <f>(Лист1!F22-2.02)^2</f>
        <v>4.0000000000000072E-4</v>
      </c>
      <c r="K30" s="28">
        <f>SQRT((SUM(J30:J34))/(5*(5-1)))</f>
        <v>2.0000000000000018E-2</v>
      </c>
      <c r="L30" s="28">
        <f>2.78*K30</f>
        <v>5.5600000000000045E-2</v>
      </c>
      <c r="M30" s="31">
        <f>SQRT(L30^2 + (2/3 * 0.1)^2)</f>
        <v>8.6809011308990561E-2</v>
      </c>
    </row>
    <row r="31" spans="3:13" x14ac:dyDescent="0.2">
      <c r="D31" s="24">
        <f>(Лист1!E23-0.6)^2</f>
        <v>0</v>
      </c>
      <c r="G31" s="19"/>
      <c r="J31" s="32">
        <f>(Лист1!F23-2.02)^2</f>
        <v>4.0000000000000072E-4</v>
      </c>
      <c r="M31" s="19"/>
    </row>
    <row r="32" spans="3:13" x14ac:dyDescent="0.2">
      <c r="D32" s="1">
        <f>(Лист1!E24-0.6)^2</f>
        <v>0</v>
      </c>
      <c r="G32" s="19"/>
      <c r="J32" s="32">
        <f>(Лист1!F24-2.02)^2</f>
        <v>4.0000000000000072E-4</v>
      </c>
      <c r="M32" s="19"/>
    </row>
    <row r="33" spans="4:10" x14ac:dyDescent="0.2">
      <c r="D33" s="1">
        <f>(Лист1!E25-0.6)^2</f>
        <v>0</v>
      </c>
      <c r="G33" s="19"/>
      <c r="J33" s="32">
        <f>(Лист1!F25-2.02)^2</f>
        <v>4.0000000000000072E-4</v>
      </c>
    </row>
    <row r="34" spans="4:10" x14ac:dyDescent="0.2">
      <c r="D34" s="1">
        <f>(Лист1!E26-0.6)^2</f>
        <v>0</v>
      </c>
      <c r="G34" s="19"/>
      <c r="J34" s="24">
        <f>(Лист1!F26-2.02)^2</f>
        <v>6.4000000000000116E-3</v>
      </c>
    </row>
  </sheetData>
  <mergeCells count="2">
    <mergeCell ref="G1:H1"/>
    <mergeCell ref="G2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Васильков Дмитрий</dc:creator>
  <cp:keywords/>
  <dc:description/>
  <cp:lastModifiedBy>Васильков Дмитрий Алексеевич</cp:lastModifiedBy>
  <cp:revision/>
  <dcterms:created xsi:type="dcterms:W3CDTF">2023-09-29T14:30:12Z</dcterms:created>
  <dcterms:modified xsi:type="dcterms:W3CDTF">2023-12-02T14:54:23Z</dcterms:modified>
  <cp:category/>
  <cp:contentStatus/>
</cp:coreProperties>
</file>