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mitryvasilkov/Desktop/bimbim/"/>
    </mc:Choice>
  </mc:AlternateContent>
  <xr:revisionPtr revIDLastSave="0" documentId="8_{794BB2A7-D6F6-154D-92F5-197B21F52954}" xr6:coauthVersionLast="47" xr6:coauthVersionMax="47" xr10:uidLastSave="{00000000-0000-0000-0000-000000000000}"/>
  <bookViews>
    <workbookView xWindow="4480" yWindow="900" windowWidth="29920" windowHeight="16900" activeTab="1" xr2:uid="{2AEB5C5B-70C5-BF4D-A771-F99CCAB29A8F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F3" i="2"/>
  <c r="H3" i="2" s="1"/>
  <c r="K8" i="2"/>
  <c r="J7" i="2" s="1"/>
  <c r="Q3" i="2"/>
  <c r="G20" i="2"/>
  <c r="F20" i="2"/>
  <c r="D2" i="1"/>
  <c r="H26" i="2"/>
  <c r="H2" i="2"/>
  <c r="F2" i="2"/>
  <c r="D2" i="2"/>
  <c r="C2" i="2"/>
  <c r="H2" i="1"/>
  <c r="K2" i="3"/>
  <c r="I2" i="1"/>
  <c r="I6" i="1"/>
  <c r="H27" i="2"/>
  <c r="H28" i="2"/>
  <c r="H29" i="2"/>
  <c r="H31" i="2"/>
  <c r="G21" i="2"/>
  <c r="G22" i="2"/>
  <c r="G23" i="2"/>
  <c r="G25" i="2"/>
  <c r="F27" i="2"/>
  <c r="F28" i="2"/>
  <c r="F29" i="2"/>
  <c r="F30" i="2"/>
  <c r="F31" i="2"/>
  <c r="F26" i="2"/>
  <c r="F21" i="2"/>
  <c r="F22" i="2"/>
  <c r="F23" i="2"/>
  <c r="F24" i="2"/>
  <c r="F25" i="2"/>
  <c r="H4" i="2"/>
  <c r="H5" i="2"/>
  <c r="H6" i="2"/>
  <c r="H7" i="2"/>
  <c r="K7" i="2"/>
  <c r="G12" i="2"/>
  <c r="G13" i="2"/>
  <c r="G14" i="2"/>
  <c r="G15" i="2"/>
  <c r="G16" i="2"/>
  <c r="F13" i="2"/>
  <c r="F14" i="2"/>
  <c r="F15" i="2"/>
  <c r="F16" i="2"/>
  <c r="G3" i="3"/>
  <c r="G4" i="3"/>
  <c r="G5" i="3"/>
  <c r="G6" i="3"/>
  <c r="F3" i="3"/>
  <c r="F4" i="3"/>
  <c r="F5" i="3"/>
  <c r="F6" i="3"/>
  <c r="F7" i="3"/>
  <c r="G7" i="3" s="1"/>
  <c r="F2" i="3"/>
  <c r="G2" i="3" s="1"/>
  <c r="F6" i="2"/>
  <c r="G6" i="2" s="1"/>
  <c r="G4" i="2"/>
  <c r="G5" i="2"/>
  <c r="G7" i="2"/>
  <c r="F4" i="2"/>
  <c r="F5" i="2"/>
  <c r="F7" i="2"/>
  <c r="E3" i="2"/>
  <c r="E4" i="2"/>
  <c r="E5" i="2"/>
  <c r="E6" i="2"/>
  <c r="E7" i="2"/>
  <c r="E2" i="2"/>
  <c r="G11" i="2" s="1"/>
  <c r="K3" i="2"/>
  <c r="K4" i="2"/>
  <c r="D3" i="2"/>
  <c r="D4" i="2"/>
  <c r="D5" i="2"/>
  <c r="D6" i="2"/>
  <c r="D7" i="2"/>
  <c r="B3" i="3"/>
  <c r="C3" i="3" s="1"/>
  <c r="B4" i="3"/>
  <c r="D4" i="3" s="1"/>
  <c r="B5" i="3"/>
  <c r="C5" i="3" s="1"/>
  <c r="B6" i="3"/>
  <c r="D6" i="3" s="1"/>
  <c r="B7" i="3"/>
  <c r="C7" i="3" s="1"/>
  <c r="B2" i="3"/>
  <c r="D2" i="3" s="1"/>
  <c r="B3" i="2"/>
  <c r="B4" i="2"/>
  <c r="B5" i="2"/>
  <c r="B6" i="2"/>
  <c r="B7" i="2"/>
  <c r="B2" i="2"/>
  <c r="C4" i="2"/>
  <c r="C5" i="2"/>
  <c r="C3" i="2"/>
  <c r="C7" i="2"/>
  <c r="I3" i="1"/>
  <c r="I4" i="1"/>
  <c r="I5" i="1"/>
  <c r="I7" i="1"/>
  <c r="H3" i="1"/>
  <c r="H4" i="1"/>
  <c r="H5" i="1"/>
  <c r="H6" i="1"/>
  <c r="G24" i="2" s="1"/>
  <c r="H30" i="2" s="1"/>
  <c r="H7" i="1"/>
  <c r="G3" i="1"/>
  <c r="G4" i="1"/>
  <c r="G5" i="1"/>
  <c r="G6" i="1"/>
  <c r="G7" i="1"/>
  <c r="G2" i="1"/>
  <c r="D3" i="1"/>
  <c r="D4" i="1"/>
  <c r="D5" i="1"/>
  <c r="D6" i="1"/>
  <c r="D7" i="1"/>
  <c r="D19" i="2" l="1"/>
  <c r="G3" i="2"/>
  <c r="F12" i="2" s="1"/>
  <c r="C6" i="2"/>
  <c r="C2" i="3"/>
  <c r="E4" i="3"/>
  <c r="H4" i="3"/>
  <c r="E2" i="3"/>
  <c r="H2" i="3"/>
  <c r="H6" i="3"/>
  <c r="E6" i="3"/>
  <c r="D5" i="3"/>
  <c r="D7" i="3"/>
  <c r="D3" i="3"/>
  <c r="C6" i="3"/>
  <c r="C4" i="3"/>
  <c r="G2" i="2"/>
  <c r="F11" i="2" s="1"/>
  <c r="E7" i="3" l="1"/>
  <c r="H7" i="3"/>
  <c r="E3" i="3"/>
  <c r="H3" i="3"/>
  <c r="E5" i="3"/>
  <c r="H5" i="3"/>
</calcChain>
</file>

<file path=xl/sharedStrings.xml><?xml version="1.0" encoding="utf-8"?>
<sst xmlns="http://schemas.openxmlformats.org/spreadsheetml/2006/main" count="59" uniqueCount="48">
  <si>
    <t>U,кВ</t>
  </si>
  <si>
    <t>𝐷11,мм</t>
  </si>
  <si>
    <t>𝐷12,мм</t>
  </si>
  <si>
    <t xml:space="preserve"> 𝐷1,мм</t>
  </si>
  <si>
    <t xml:space="preserve"> 𝐷21,мм</t>
  </si>
  <si>
    <t xml:space="preserve"> 𝐷22,мм</t>
  </si>
  <si>
    <t xml:space="preserve"> 𝐷2,мм</t>
  </si>
  <si>
    <t xml:space="preserve"> 𝜆,пм</t>
  </si>
  <si>
    <t xml:space="preserve"> 𝜆,нм</t>
  </si>
  <si>
    <t>маг число🐒</t>
  </si>
  <si>
    <t>внут</t>
  </si>
  <si>
    <t>внешн</t>
  </si>
  <si>
    <t xml:space="preserve"> 𝑠𝑖𝑛𝜗1</t>
  </si>
  <si>
    <t xml:space="preserve"> 𝑑1,пм</t>
  </si>
  <si>
    <t>𝜆1,пм</t>
  </si>
  <si>
    <t>log𝜆1</t>
  </si>
  <si>
    <t xml:space="preserve"> 𝑝1,кг·м/с</t>
  </si>
  <si>
    <t xml:space="preserve"> log 𝑝1</t>
  </si>
  <si>
    <t>h,Дж·с</t>
  </si>
  <si>
    <t>в -37 степ.</t>
  </si>
  <si>
    <t>L</t>
  </si>
  <si>
    <t>mm</t>
  </si>
  <si>
    <t>± 2 mm</t>
  </si>
  <si>
    <t>d1_теор</t>
  </si>
  <si>
    <t>пм</t>
  </si>
  <si>
    <t>m_e</t>
  </si>
  <si>
    <t>кг</t>
  </si>
  <si>
    <t>e</t>
  </si>
  <si>
    <t>Кл</t>
  </si>
  <si>
    <t>sqrt(m_e * e)</t>
  </si>
  <si>
    <t>в -25</t>
  </si>
  <si>
    <t>h_avg</t>
  </si>
  <si>
    <t>in -37</t>
  </si>
  <si>
    <t>значения p нужно умножить на 10^-25</t>
  </si>
  <si>
    <t>log𝜆1( log 𝑝1)</t>
  </si>
  <si>
    <t>x</t>
  </si>
  <si>
    <t>y</t>
  </si>
  <si>
    <t>h</t>
  </si>
  <si>
    <t>по x</t>
  </si>
  <si>
    <t>по y</t>
  </si>
  <si>
    <t xml:space="preserve"> 𝑠𝑖𝑛𝜗2</t>
  </si>
  <si>
    <t xml:space="preserve"> 𝑑2,пм</t>
  </si>
  <si>
    <t xml:space="preserve"> 𝜆2,пм</t>
  </si>
  <si>
    <t xml:space="preserve"> log𝜆2</t>
  </si>
  <si>
    <t xml:space="preserve"> 𝑝2,кг·м/с</t>
  </si>
  <si>
    <t xml:space="preserve"> log𝑝2</t>
  </si>
  <si>
    <t>в -37 степ</t>
  </si>
  <si>
    <t>d2_теор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</si>
</sst>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0000000000000000000000000000000000000000000000000000000000000000000000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1" fontId="0" fillId="0" borderId="0" xfId="0" applyNumberFormat="1"/>
    <xf numFmtId="0" fontId="2" fillId="0" borderId="1" xfId="0" applyFont="1" applyBorder="1"/>
    <xf numFmtId="164" fontId="0" fillId="0" borderId="1" xfId="0" applyNumberFormat="1" applyBorder="1"/>
    <xf numFmtId="164" fontId="0" fillId="0" borderId="1" xfId="0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4" fontId="0" fillId="0" borderId="5" xfId="0" applyNumberFormat="1" applyBorder="1"/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6" fontId="0" fillId="0" borderId="0" xfId="0" applyNumberFormat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log𝜆1( log 𝑝1)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RU"/>
                </a:p>
              </c:txPr>
            </c:trendlineLbl>
          </c:trendline>
          <c:xVal>
            <c:numRef>
              <c:f>Sheet2!$F$11:$F$16</c:f>
              <c:numCache>
                <c:formatCode>0.000</c:formatCode>
                <c:ptCount val="6"/>
                <c:pt idx="0">
                  <c:v>2.5820974684689872</c:v>
                </c:pt>
                <c:pt idx="1">
                  <c:v>2.5592187231886498</c:v>
                </c:pt>
                <c:pt idx="2">
                  <c:v>2.5336424619649591</c:v>
                </c:pt>
                <c:pt idx="3">
                  <c:v>2.5046464884761157</c:v>
                </c:pt>
                <c:pt idx="4">
                  <c:v>2.4711730936608092</c:v>
                </c:pt>
                <c:pt idx="5">
                  <c:v>2.4315824706369966</c:v>
                </c:pt>
              </c:numCache>
            </c:numRef>
          </c:xVal>
          <c:yVal>
            <c:numRef>
              <c:f>Sheet2!$G$11:$G$16</c:f>
              <c:numCache>
                <c:formatCode>0.000</c:formatCode>
                <c:ptCount val="6"/>
                <c:pt idx="0">
                  <c:v>0.99609177432611828</c:v>
                </c:pt>
                <c:pt idx="1">
                  <c:v>1.0132367154989275</c:v>
                </c:pt>
                <c:pt idx="2">
                  <c:v>1.0258988017228319</c:v>
                </c:pt>
                <c:pt idx="3">
                  <c:v>1.0519588189933669</c:v>
                </c:pt>
                <c:pt idx="4">
                  <c:v>1.0591211055675023</c:v>
                </c:pt>
                <c:pt idx="5">
                  <c:v>1.0915869460669798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9-A645-86C7-50CC7348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3770047"/>
        <c:axId val="1278922319"/>
      </c:scatterChart>
      <c:valAx>
        <c:axId val="135377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278922319"/>
        <c:crosses val="autoZero"/>
        <c:crossBetween val="midCat"/>
      </c:valAx>
      <c:valAx>
        <c:axId val="12789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353770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Sheet2!$F$20:$F$31</c:f>
              <c:numCache>
                <c:formatCode>0.000</c:formatCode>
                <c:ptCount val="12"/>
                <c:pt idx="0">
                  <c:v>9.9104134783569471</c:v>
                </c:pt>
                <c:pt idx="1">
                  <c:v>10.309478932913402</c:v>
                </c:pt>
                <c:pt idx="2">
                  <c:v>10.614481922221909</c:v>
                </c:pt>
                <c:pt idx="3">
                  <c:v>11.270905772554958</c:v>
                </c:pt>
                <c:pt idx="4">
                  <c:v>11.458324190004957</c:v>
                </c:pt>
                <c:pt idx="5">
                  <c:v>12.347724927665739</c:v>
                </c:pt>
                <c:pt idx="6">
                  <c:v>5.692128933778581</c:v>
                </c:pt>
                <c:pt idx="7">
                  <c:v>5.9786176079570232</c:v>
                </c:pt>
                <c:pt idx="8">
                  <c:v>6.5515207662498129</c:v>
                </c:pt>
                <c:pt idx="9">
                  <c:v>7.0015845958660083</c:v>
                </c:pt>
                <c:pt idx="10">
                  <c:v>7.1652269627450149</c:v>
                </c:pt>
                <c:pt idx="11">
                  <c:v>7.3697665080193993</c:v>
                </c:pt>
              </c:numCache>
            </c:numRef>
          </c:xVal>
          <c:yVal>
            <c:numRef>
              <c:f>Sheet2!$G$20:$G$31</c:f>
              <c:numCache>
                <c:formatCode>0.00</c:formatCode>
                <c:ptCount val="12"/>
                <c:pt idx="0">
                  <c:v>17.253405460951761</c:v>
                </c:pt>
                <c:pt idx="1">
                  <c:v>18.186686216998293</c:v>
                </c:pt>
                <c:pt idx="2">
                  <c:v>19.289893727027117</c:v>
                </c:pt>
                <c:pt idx="3">
                  <c:v>20.621763815375804</c:v>
                </c:pt>
                <c:pt idx="4">
                  <c:v>22.274050671876754</c:v>
                </c:pt>
                <c:pt idx="5">
                  <c:v>24.400000000000002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E4-6A4B-BBCE-82101E80D591}"/>
            </c:ext>
          </c:extLst>
        </c:ser>
        <c:ser>
          <c:idx val="1"/>
          <c:order val="1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Sheet2!$F$20:$F$31</c:f>
              <c:numCache>
                <c:formatCode>0.000</c:formatCode>
                <c:ptCount val="12"/>
                <c:pt idx="0">
                  <c:v>9.9104134783569471</c:v>
                </c:pt>
                <c:pt idx="1">
                  <c:v>10.309478932913402</c:v>
                </c:pt>
                <c:pt idx="2">
                  <c:v>10.614481922221909</c:v>
                </c:pt>
                <c:pt idx="3">
                  <c:v>11.270905772554958</c:v>
                </c:pt>
                <c:pt idx="4">
                  <c:v>11.458324190004957</c:v>
                </c:pt>
                <c:pt idx="5">
                  <c:v>12.347724927665739</c:v>
                </c:pt>
                <c:pt idx="6">
                  <c:v>5.692128933778581</c:v>
                </c:pt>
                <c:pt idx="7">
                  <c:v>5.9786176079570232</c:v>
                </c:pt>
                <c:pt idx="8">
                  <c:v>6.5515207662498129</c:v>
                </c:pt>
                <c:pt idx="9">
                  <c:v>7.0015845958660083</c:v>
                </c:pt>
                <c:pt idx="10">
                  <c:v>7.1652269627450149</c:v>
                </c:pt>
                <c:pt idx="11">
                  <c:v>7.3697665080193993</c:v>
                </c:pt>
              </c:numCache>
            </c:numRef>
          </c:xVal>
          <c:yVal>
            <c:numRef>
              <c:f>Sheet2!$H$20:$H$31</c:f>
              <c:numCache>
                <c:formatCode>General</c:formatCode>
                <c:ptCount val="12"/>
                <c:pt idx="6" formatCode="0.00">
                  <c:v>17.253405460951761</c:v>
                </c:pt>
                <c:pt idx="7" formatCode="0.00">
                  <c:v>18.186686216998293</c:v>
                </c:pt>
                <c:pt idx="8" formatCode="0.00">
                  <c:v>19.289893727027117</c:v>
                </c:pt>
                <c:pt idx="9" formatCode="0.00">
                  <c:v>20.621763815375804</c:v>
                </c:pt>
                <c:pt idx="10" formatCode="0.00">
                  <c:v>22.274050671876754</c:v>
                </c:pt>
                <c:pt idx="11" formatCode="0.00">
                  <c:v>24.400000000000002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E4-6A4B-BBCE-82101E80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0615023"/>
        <c:axId val="1671345743"/>
      </c:scatterChart>
      <c:valAx>
        <c:axId val="1380615023"/>
        <c:scaling>
          <c:orientation val="minMax"/>
          <c:max val="14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671345743"/>
        <c:crosses val="autoZero"/>
        <c:crossBetween val="midCat"/>
        <c:majorUnit val="0.5"/>
      </c:valAx>
      <c:valAx>
        <c:axId val="167134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38061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chart" Target="../charts/chart1.xml"/><Relationship Id="rId7" Type="http://schemas.openxmlformats.org/officeDocument/2006/relationships/image" Target="../media/image6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249947</xdr:colOff>
      <xdr:row>11</xdr:row>
      <xdr:rowOff>77281</xdr:rowOff>
    </xdr:from>
    <xdr:to>
      <xdr:col>4</xdr:col>
      <xdr:colOff>121596</xdr:colOff>
      <xdr:row>14</xdr:row>
      <xdr:rowOff>180521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29ACFE-E3D3-03BD-3DBC-62CBB79D9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947" y="2306536"/>
          <a:ext cx="3296596" cy="711219"/>
        </a:xfrm>
        <a:prstGeom prst="rect">
          <a:avLst/>
        </a:prstGeom>
      </xdr:spPr>
    </xdr:pic>
    <xdr:clientData/>
  </xdr:twoCellAnchor>
  <xdr:twoCellAnchor editAs="oneCell">
    <xdr:from>
      <xdr:col>12</xdr:col>
      <xdr:colOff>209416</xdr:colOff>
      <xdr:row>4</xdr:row>
      <xdr:rowOff>33777</xdr:rowOff>
    </xdr:from>
    <xdr:to>
      <xdr:col>15</xdr:col>
      <xdr:colOff>439400</xdr:colOff>
      <xdr:row>8</xdr:row>
      <xdr:rowOff>155372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A41F65-5A8F-1A91-A01D-DB4BC8C35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84256" y="844415"/>
          <a:ext cx="2702431" cy="932234"/>
        </a:xfrm>
        <a:prstGeom prst="rect">
          <a:avLst/>
        </a:prstGeom>
      </xdr:spPr>
    </xdr:pic>
    <xdr:clientData/>
  </xdr:twoCellAnchor>
  <xdr:twoCellAnchor>
    <xdr:from>
      <xdr:col>9</xdr:col>
      <xdr:colOff>801851</xdr:colOff>
      <xdr:row>9</xdr:row>
      <xdr:rowOff>110188</xdr:rowOff>
    </xdr:from>
    <xdr:to>
      <xdr:col>15</xdr:col>
      <xdr:colOff>339489</xdr:colOff>
      <xdr:row>23</xdr:row>
      <xdr:rowOff>15225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799DEE-A3BC-6628-0EDF-756C79DE5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716964</xdr:colOff>
      <xdr:row>26</xdr:row>
      <xdr:rowOff>96601</xdr:rowOff>
    </xdr:from>
    <xdr:to>
      <xdr:col>12</xdr:col>
      <xdr:colOff>705812</xdr:colOff>
      <xdr:row>39</xdr:row>
      <xdr:rowOff>116327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7975F14-1106-4A35-C53A-E07EE79B2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01006" y="5324768"/>
          <a:ext cx="2719348" cy="2633809"/>
        </a:xfrm>
        <a:prstGeom prst="rect">
          <a:avLst/>
        </a:prstGeom>
      </xdr:spPr>
    </xdr:pic>
    <xdr:clientData/>
  </xdr:twoCellAnchor>
  <xdr:twoCellAnchor editAs="oneCell">
    <xdr:from>
      <xdr:col>13</xdr:col>
      <xdr:colOff>222926</xdr:colOff>
      <xdr:row>28</xdr:row>
      <xdr:rowOff>162129</xdr:rowOff>
    </xdr:from>
    <xdr:to>
      <xdr:col>16</xdr:col>
      <xdr:colOff>1445768</xdr:colOff>
      <xdr:row>39</xdr:row>
      <xdr:rowOff>79174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E66968-DE1E-E573-01BA-EA29966EE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21915" y="5836597"/>
          <a:ext cx="3695700" cy="21463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2204720</xdr:colOff>
      <xdr:row>10</xdr:row>
      <xdr:rowOff>10160</xdr:rowOff>
    </xdr:from>
    <xdr:to>
      <xdr:col>21</xdr:col>
      <xdr:colOff>172720</xdr:colOff>
      <xdr:row>48</xdr:row>
      <xdr:rowOff>60960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E8588E6-584A-A6CF-8EA7-4ECC01142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30880" y="2042160"/>
          <a:ext cx="7772400" cy="7772400"/>
        </a:xfrm>
        <a:prstGeom prst="rect">
          <a:avLst/>
        </a:prstGeom>
      </xdr:spPr>
    </xdr:pic>
    <xdr:clientData/>
  </xdr:twoCellAnchor>
  <xdr:twoCellAnchor editAs="oneCell">
    <xdr:from>
      <xdr:col>8</xdr:col>
      <xdr:colOff>694373</xdr:colOff>
      <xdr:row>40</xdr:row>
      <xdr:rowOff>55899</xdr:rowOff>
    </xdr:from>
    <xdr:to>
      <xdr:col>16</xdr:col>
      <xdr:colOff>1653145</xdr:colOff>
      <xdr:row>57</xdr:row>
      <xdr:rowOff>137426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44378D-7DCF-CB60-5687-2F2A1DE7C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73438" y="8126927"/>
          <a:ext cx="7902230" cy="3511714"/>
        </a:xfrm>
        <a:prstGeom prst="rect">
          <a:avLst/>
        </a:prstGeom>
      </xdr:spPr>
    </xdr:pic>
    <xdr:clientData/>
  </xdr:twoCellAnchor>
  <xdr:twoCellAnchor>
    <xdr:from>
      <xdr:col>0</xdr:col>
      <xdr:colOff>368398</xdr:colOff>
      <xdr:row>32</xdr:row>
      <xdr:rowOff>14737</xdr:rowOff>
    </xdr:from>
    <xdr:to>
      <xdr:col>8</xdr:col>
      <xdr:colOff>87252</xdr:colOff>
      <xdr:row>51</xdr:row>
      <xdr:rowOff>155115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D6D7A03-8540-9213-110D-990769D2C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163184</xdr:colOff>
      <xdr:row>7</xdr:row>
      <xdr:rowOff>134805</xdr:rowOff>
    </xdr:from>
    <xdr:to>
      <xdr:col>4</xdr:col>
      <xdr:colOff>167713</xdr:colOff>
      <xdr:row>11</xdr:row>
      <xdr:rowOff>23007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FCA0C9-377A-004F-BC55-BCC952BB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184" y="1575084"/>
          <a:ext cx="3296596" cy="711219"/>
        </a:xfrm>
        <a:prstGeom prst="rect">
          <a:avLst/>
        </a:prstGeom>
      </xdr:spPr>
    </xdr:pic>
    <xdr:clientData/>
  </xdr:twoCellAnchor>
  <xdr:twoCellAnchor editAs="oneCell">
    <xdr:from>
      <xdr:col>0</xdr:col>
      <xdr:colOff>262513</xdr:colOff>
      <xdr:row>12</xdr:row>
      <xdr:rowOff>170280</xdr:rowOff>
    </xdr:from>
    <xdr:to>
      <xdr:col>5</xdr:col>
      <xdr:colOff>319273</xdr:colOff>
      <xdr:row>17</xdr:row>
      <xdr:rowOff>142397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61B2A0-6E88-1037-AB23-FC323CC2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513" y="2639330"/>
          <a:ext cx="4171844" cy="1000888"/>
        </a:xfrm>
        <a:prstGeom prst="rect">
          <a:avLst/>
        </a:prstGeom>
      </xdr:spPr>
    </xdr:pic>
    <xdr:clientData/>
  </xdr:twoCellAnchor>
  <xdr:twoCellAnchor editAs="oneCell">
    <xdr:from>
      <xdr:col>5</xdr:col>
      <xdr:colOff>645642</xdr:colOff>
      <xdr:row>11</xdr:row>
      <xdr:rowOff>42571</xdr:rowOff>
    </xdr:from>
    <xdr:to>
      <xdr:col>9</xdr:col>
      <xdr:colOff>56006</xdr:colOff>
      <xdr:row>15</xdr:row>
      <xdr:rowOff>151788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36269A-E01A-0347-9050-C262F2D01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0726" y="2305867"/>
          <a:ext cx="2702431" cy="932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2961-91AF-7443-B0CE-BB1AD530B352}">
  <dimension ref="A1:K10"/>
  <sheetViews>
    <sheetView zoomScale="106" workbookViewId="0">
      <selection activeCell="H2" sqref="H2"/>
    </sheetView>
  </sheetViews>
  <sheetFormatPr baseColWidth="10" defaultColWidth="11" defaultRowHeight="16" x14ac:dyDescent="0.2"/>
  <sheetData>
    <row r="1" spans="1:1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6" t="s">
        <v>9</v>
      </c>
      <c r="K1" s="1">
        <v>1.22</v>
      </c>
    </row>
    <row r="2" spans="1:11" x14ac:dyDescent="0.2">
      <c r="A2" s="1">
        <v>5</v>
      </c>
      <c r="B2" s="9">
        <v>18.600000000000001</v>
      </c>
      <c r="C2" s="9">
        <v>23.4</v>
      </c>
      <c r="D2" s="9">
        <f>(B2+C2)/2</f>
        <v>21</v>
      </c>
      <c r="E2" s="9">
        <v>5.2</v>
      </c>
      <c r="F2" s="9">
        <v>8.6999999999999993</v>
      </c>
      <c r="G2" s="9">
        <f>(E2+F2)/2</f>
        <v>6.9499999999999993</v>
      </c>
      <c r="H2" s="9">
        <f>(I2*10^-9)*10^12</f>
        <v>17.253405460951761</v>
      </c>
      <c r="I2" s="10">
        <f>$K$1/SQRT(A2*1000)</f>
        <v>1.7253405460951759E-2</v>
      </c>
    </row>
    <row r="3" spans="1:11" x14ac:dyDescent="0.2">
      <c r="A3" s="1">
        <v>4.5</v>
      </c>
      <c r="B3" s="9">
        <v>19.5</v>
      </c>
      <c r="C3" s="9">
        <v>24.2</v>
      </c>
      <c r="D3" s="9">
        <f t="shared" ref="D3:D7" si="0">(B3+C3)/2</f>
        <v>21.85</v>
      </c>
      <c r="E3" s="9">
        <v>5.4</v>
      </c>
      <c r="F3" s="9">
        <v>9.1999999999999993</v>
      </c>
      <c r="G3" s="9">
        <f t="shared" ref="G3:G7" si="1">(E3+F3)/2</f>
        <v>7.3</v>
      </c>
      <c r="H3" s="9">
        <f t="shared" ref="H3:H7" si="2">(I3*10^-9)*10^12</f>
        <v>18.186686216998293</v>
      </c>
      <c r="I3" s="10">
        <f t="shared" ref="I3:I7" si="3">$K$1/SQRT(A3*1000)</f>
        <v>1.8186686216998291E-2</v>
      </c>
    </row>
    <row r="4" spans="1:11" x14ac:dyDescent="0.2">
      <c r="A4" s="1">
        <v>4</v>
      </c>
      <c r="B4" s="9">
        <v>19.5</v>
      </c>
      <c r="C4" s="9">
        <v>25.5</v>
      </c>
      <c r="D4" s="9">
        <f t="shared" si="0"/>
        <v>22.5</v>
      </c>
      <c r="E4" s="9">
        <v>6</v>
      </c>
      <c r="F4" s="9">
        <v>10</v>
      </c>
      <c r="G4" s="9">
        <f t="shared" si="1"/>
        <v>8</v>
      </c>
      <c r="H4" s="9">
        <f t="shared" si="2"/>
        <v>19.289893727027117</v>
      </c>
      <c r="I4" s="10">
        <f t="shared" si="3"/>
        <v>1.9289893727027115E-2</v>
      </c>
    </row>
    <row r="5" spans="1:11" x14ac:dyDescent="0.2">
      <c r="A5" s="1">
        <v>3.5</v>
      </c>
      <c r="B5" s="9">
        <v>21.6</v>
      </c>
      <c r="C5" s="9">
        <v>26.2</v>
      </c>
      <c r="D5" s="9">
        <f t="shared" si="0"/>
        <v>23.9</v>
      </c>
      <c r="E5" s="9">
        <v>6.6</v>
      </c>
      <c r="F5" s="9">
        <v>10.5</v>
      </c>
      <c r="G5" s="9">
        <f t="shared" si="1"/>
        <v>8.5500000000000007</v>
      </c>
      <c r="H5" s="9">
        <f t="shared" si="2"/>
        <v>20.621763815375804</v>
      </c>
      <c r="I5" s="10">
        <f t="shared" si="3"/>
        <v>2.0621763815375803E-2</v>
      </c>
    </row>
    <row r="6" spans="1:11" x14ac:dyDescent="0.2">
      <c r="A6" s="1">
        <v>3</v>
      </c>
      <c r="B6" s="9">
        <v>21.6</v>
      </c>
      <c r="C6" s="9">
        <v>27</v>
      </c>
      <c r="D6" s="9">
        <f t="shared" si="0"/>
        <v>24.3</v>
      </c>
      <c r="E6" s="9">
        <v>6.8</v>
      </c>
      <c r="F6" s="9">
        <v>10.7</v>
      </c>
      <c r="G6" s="9">
        <f t="shared" si="1"/>
        <v>8.75</v>
      </c>
      <c r="H6" s="9">
        <f t="shared" si="2"/>
        <v>22.274050671876754</v>
      </c>
      <c r="I6" s="10">
        <f>$K$1/SQRT(A6*1000)</f>
        <v>2.2274050671876752E-2</v>
      </c>
    </row>
    <row r="7" spans="1:11" x14ac:dyDescent="0.2">
      <c r="A7" s="1">
        <v>2.5</v>
      </c>
      <c r="B7" s="9">
        <v>22.2</v>
      </c>
      <c r="C7" s="9">
        <v>30.2</v>
      </c>
      <c r="D7" s="9">
        <f t="shared" si="0"/>
        <v>26.2</v>
      </c>
      <c r="E7" s="9">
        <v>7</v>
      </c>
      <c r="F7" s="9">
        <v>11</v>
      </c>
      <c r="G7" s="9">
        <f t="shared" si="1"/>
        <v>9</v>
      </c>
      <c r="H7" s="9">
        <f t="shared" si="2"/>
        <v>24.400000000000002</v>
      </c>
      <c r="I7" s="10">
        <f t="shared" si="3"/>
        <v>2.4399999999999998E-2</v>
      </c>
    </row>
    <row r="8" spans="1:11" x14ac:dyDescent="0.2">
      <c r="B8" s="4" t="s">
        <v>10</v>
      </c>
      <c r="C8" s="4" t="s">
        <v>11</v>
      </c>
      <c r="E8" s="4" t="s">
        <v>10</v>
      </c>
      <c r="F8" s="4" t="s">
        <v>11</v>
      </c>
    </row>
    <row r="10" spans="1:11" x14ac:dyDescent="0.2">
      <c r="H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A5BF-6886-5347-9E73-07E926622449}">
  <dimension ref="A1:Q35"/>
  <sheetViews>
    <sheetView tabSelected="1" topLeftCell="G29" zoomScale="240" workbookViewId="0">
      <selection activeCell="O28" sqref="O28"/>
    </sheetView>
  </sheetViews>
  <sheetFormatPr baseColWidth="10" defaultColWidth="11" defaultRowHeight="16" x14ac:dyDescent="0.2"/>
  <cols>
    <col min="3" max="3" width="12.5" bestFit="1" customWidth="1"/>
    <col min="6" max="6" width="12.5" bestFit="1" customWidth="1"/>
    <col min="8" max="8" width="11.33203125" customWidth="1"/>
    <col min="10" max="10" width="12.33203125" bestFit="1" customWidth="1"/>
    <col min="11" max="11" width="12.5" bestFit="1" customWidth="1"/>
    <col min="17" max="17" width="85.5" customWidth="1"/>
  </cols>
  <sheetData>
    <row r="1" spans="1:17" x14ac:dyDescent="0.2">
      <c r="A1" s="2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>
        <v>130</v>
      </c>
      <c r="L1" s="1" t="s">
        <v>21</v>
      </c>
      <c r="M1" s="1" t="s">
        <v>22</v>
      </c>
    </row>
    <row r="2" spans="1:17" x14ac:dyDescent="0.2">
      <c r="A2" s="1">
        <v>5</v>
      </c>
      <c r="B2" s="11">
        <f>SIN(0.5*ATAN(Sheet1!D2/(2*Sheet2!$K$1)))</f>
        <v>4.028623365185751E-2</v>
      </c>
      <c r="C2" s="11">
        <f>(Sheet1!H2)/(2*B2)</f>
        <v>214.13525039410385</v>
      </c>
      <c r="D2" s="11">
        <f>$K$2 * 2 * B2</f>
        <v>9.9104134783569471</v>
      </c>
      <c r="E2" s="11">
        <f>LOG10(D2)</f>
        <v>0.99609177432611828</v>
      </c>
      <c r="F2" s="11">
        <f>SQRT(2 * A2 * 1000) *  $K$5</f>
        <v>382.03000000000003</v>
      </c>
      <c r="G2" s="11">
        <f>LOG10(F2)</f>
        <v>2.5820974684689872</v>
      </c>
      <c r="H2" s="11">
        <f>D2  * F2 * 10^-3</f>
        <v>3.786075261136705</v>
      </c>
      <c r="I2" s="12"/>
      <c r="J2" s="1" t="s">
        <v>23</v>
      </c>
      <c r="K2" s="1">
        <v>123</v>
      </c>
      <c r="L2" s="1" t="s">
        <v>24</v>
      </c>
    </row>
    <row r="3" spans="1:17" x14ac:dyDescent="0.2">
      <c r="A3" s="1">
        <v>4.5</v>
      </c>
      <c r="B3" s="11">
        <f>SIN(0.5*ATAN(Sheet1!D3/(2*Sheet2!$K$1)))</f>
        <v>4.1908450946802449E-2</v>
      </c>
      <c r="C3" s="11">
        <f>(Sheet1!H3)/(2*B3)</f>
        <v>216.98113156322603</v>
      </c>
      <c r="D3" s="11">
        <f t="shared" ref="D3:D7" si="0">$K$2 * 2 * B3</f>
        <v>10.309478932913402</v>
      </c>
      <c r="E3" s="11">
        <f t="shared" ref="E3:E7" si="1">LOG10(D3)</f>
        <v>1.0132367154989275</v>
      </c>
      <c r="F3" s="11">
        <f>SQRT(2 * A3 * 1000) *  $K$5</f>
        <v>362.42548035423778</v>
      </c>
      <c r="G3" s="11">
        <f t="shared" ref="G3:G7" si="2">LOG10(F3)</f>
        <v>2.5592187231886498</v>
      </c>
      <c r="H3" s="11">
        <f t="shared" ref="H3:H7" si="3">D3  * F3 * 10^-3</f>
        <v>3.7364178544630344</v>
      </c>
      <c r="J3" s="1" t="s">
        <v>25</v>
      </c>
      <c r="K3" s="1">
        <f>9.1*10^-31</f>
        <v>9.1000000000000001E-31</v>
      </c>
      <c r="L3" s="1" t="s">
        <v>26</v>
      </c>
      <c r="Q3" s="20">
        <f>H2</f>
        <v>3.786075261136705</v>
      </c>
    </row>
    <row r="4" spans="1:17" x14ac:dyDescent="0.2">
      <c r="A4" s="1">
        <v>4</v>
      </c>
      <c r="B4" s="11">
        <f>SIN(0.5*ATAN(Sheet1!D4/(2*Sheet2!$K$1)))</f>
        <v>4.314830049683703E-2</v>
      </c>
      <c r="C4" s="11">
        <f>(Sheet1!H4)/(2*B4)</f>
        <v>223.53016810524386</v>
      </c>
      <c r="D4" s="11">
        <f t="shared" si="0"/>
        <v>10.614481922221909</v>
      </c>
      <c r="E4" s="11">
        <f t="shared" si="1"/>
        <v>1.0258988017228319</v>
      </c>
      <c r="F4" s="11">
        <f t="shared" ref="F4:F7" si="4">SQRT(2 * A4 * 1000) *  $K$5</f>
        <v>341.69801977769788</v>
      </c>
      <c r="G4" s="11">
        <f t="shared" si="2"/>
        <v>2.5336424619649591</v>
      </c>
      <c r="H4" s="11">
        <f t="shared" si="3"/>
        <v>3.6269474537893984</v>
      </c>
      <c r="J4" s="1" t="s">
        <v>27</v>
      </c>
      <c r="K4" s="1">
        <f>1.6*10^-19</f>
        <v>1.6000000000000002E-19</v>
      </c>
      <c r="L4" s="1" t="s">
        <v>28</v>
      </c>
    </row>
    <row r="5" spans="1:17" x14ac:dyDescent="0.2">
      <c r="A5" s="1">
        <v>3.5</v>
      </c>
      <c r="B5" s="11">
        <f>SIN(0.5*ATAN(Sheet1!D5/(2*Sheet2!$K$1)))</f>
        <v>4.5816690132337225E-2</v>
      </c>
      <c r="C5" s="11">
        <f>(Sheet1!H5)/(2*B5)</f>
        <v>225.04641600922903</v>
      </c>
      <c r="D5" s="11">
        <f t="shared" si="0"/>
        <v>11.270905772554958</v>
      </c>
      <c r="E5" s="11">
        <f t="shared" si="1"/>
        <v>1.0519588189933669</v>
      </c>
      <c r="F5" s="11">
        <f t="shared" si="4"/>
        <v>319.62922993681292</v>
      </c>
      <c r="G5" s="11">
        <f t="shared" si="2"/>
        <v>2.5046464884761157</v>
      </c>
      <c r="H5" s="11">
        <f t="shared" si="3"/>
        <v>3.6025109327721205</v>
      </c>
      <c r="J5" s="1" t="s">
        <v>29</v>
      </c>
      <c r="K5" s="13">
        <v>3.8203</v>
      </c>
      <c r="L5" s="1" t="s">
        <v>30</v>
      </c>
    </row>
    <row r="6" spans="1:17" x14ac:dyDescent="0.2">
      <c r="A6" s="1">
        <v>3</v>
      </c>
      <c r="B6" s="11">
        <f>SIN(0.5*ATAN(Sheet1!D6/(2*Sheet2!$K$1)))</f>
        <v>4.6578553617906332E-2</v>
      </c>
      <c r="C6" s="11">
        <f>(Sheet1!H6)/(2*B6)</f>
        <v>239.10200018870782</v>
      </c>
      <c r="D6" s="11">
        <f t="shared" si="0"/>
        <v>11.458324190004957</v>
      </c>
      <c r="E6" s="11">
        <f t="shared" si="1"/>
        <v>1.0591211055675023</v>
      </c>
      <c r="F6" s="11">
        <f>SQRT(2 * A6 * 1000)  *  $K$5</f>
        <v>295.9191655503239</v>
      </c>
      <c r="G6" s="11">
        <f t="shared" si="2"/>
        <v>2.4711730936608092</v>
      </c>
      <c r="H6" s="11">
        <f t="shared" si="3"/>
        <v>3.3907377329113579</v>
      </c>
      <c r="J6" s="1" t="s">
        <v>31</v>
      </c>
      <c r="K6" s="14">
        <f>AVERAGE(H2:H7)</f>
        <v>3.579709050131751</v>
      </c>
      <c r="L6" s="1" t="s">
        <v>32</v>
      </c>
    </row>
    <row r="7" spans="1:17" x14ac:dyDescent="0.2">
      <c r="A7" s="1">
        <v>2.5</v>
      </c>
      <c r="B7" s="11">
        <f>SIN(0.5*ATAN(Sheet1!D7/(2*Sheet2!$K$1)))</f>
        <v>5.0194003770998939E-2</v>
      </c>
      <c r="C7" s="11">
        <f>(Sheet1!H7)/(2*B7)</f>
        <v>243.05692081588657</v>
      </c>
      <c r="D7" s="11">
        <f t="shared" si="0"/>
        <v>12.347724927665739</v>
      </c>
      <c r="E7" s="11">
        <f t="shared" si="1"/>
        <v>1.0915869460669798</v>
      </c>
      <c r="F7" s="11">
        <f t="shared" si="4"/>
        <v>270.13600361669677</v>
      </c>
      <c r="G7" s="11">
        <f t="shared" si="2"/>
        <v>2.4315824706369966</v>
      </c>
      <c r="H7" s="11">
        <f t="shared" si="3"/>
        <v>3.3355650657178892</v>
      </c>
      <c r="J7">
        <f>K7*K8</f>
        <v>3.8157568056677827E-25</v>
      </c>
      <c r="K7">
        <f>SQRT(K3)</f>
        <v>9.5393920141694567E-16</v>
      </c>
    </row>
    <row r="8" spans="1:17" x14ac:dyDescent="0.2">
      <c r="F8" s="22" t="s">
        <v>33</v>
      </c>
      <c r="G8" s="22"/>
      <c r="H8" s="22"/>
      <c r="K8">
        <f>SQRT(K4)</f>
        <v>4.0000000000000001E-10</v>
      </c>
    </row>
    <row r="9" spans="1:17" x14ac:dyDescent="0.2">
      <c r="F9" s="21" t="s">
        <v>34</v>
      </c>
      <c r="G9" s="21"/>
    </row>
    <row r="10" spans="1:17" x14ac:dyDescent="0.2">
      <c r="F10" s="5" t="s">
        <v>35</v>
      </c>
      <c r="G10" s="5" t="s">
        <v>36</v>
      </c>
    </row>
    <row r="11" spans="1:17" x14ac:dyDescent="0.2">
      <c r="F11" s="15">
        <f>G2</f>
        <v>2.5820974684689872</v>
      </c>
      <c r="G11" s="15">
        <f>E2</f>
        <v>0.99609177432611828</v>
      </c>
    </row>
    <row r="12" spans="1:17" x14ac:dyDescent="0.2">
      <c r="F12" s="15">
        <f t="shared" ref="F12:F16" si="5">G3</f>
        <v>2.5592187231886498</v>
      </c>
      <c r="G12" s="15">
        <f t="shared" ref="G12:G16" si="6">E3</f>
        <v>1.0132367154989275</v>
      </c>
    </row>
    <row r="13" spans="1:17" x14ac:dyDescent="0.2">
      <c r="F13" s="15">
        <f t="shared" si="5"/>
        <v>2.5336424619649591</v>
      </c>
      <c r="G13" s="15">
        <f t="shared" si="6"/>
        <v>1.0258988017228319</v>
      </c>
    </row>
    <row r="14" spans="1:17" x14ac:dyDescent="0.2">
      <c r="F14" s="15">
        <f t="shared" si="5"/>
        <v>2.5046464884761157</v>
      </c>
      <c r="G14" s="15">
        <f t="shared" si="6"/>
        <v>1.0519588189933669</v>
      </c>
    </row>
    <row r="15" spans="1:17" x14ac:dyDescent="0.2">
      <c r="F15" s="15">
        <f t="shared" si="5"/>
        <v>2.4711730936608092</v>
      </c>
      <c r="G15" s="15">
        <f t="shared" si="6"/>
        <v>1.0591211055675023</v>
      </c>
    </row>
    <row r="16" spans="1:17" x14ac:dyDescent="0.2">
      <c r="F16" s="15">
        <f t="shared" si="5"/>
        <v>2.4315824706369966</v>
      </c>
      <c r="G16" s="16">
        <f t="shared" si="6"/>
        <v>1.0915869460669798</v>
      </c>
    </row>
    <row r="17" spans="3:15" x14ac:dyDescent="0.2">
      <c r="G17" s="17"/>
    </row>
    <row r="19" spans="3:15" x14ac:dyDescent="0.2">
      <c r="C19" s="1" t="s">
        <v>37</v>
      </c>
      <c r="D19" s="11">
        <f>AVERAGE(Sheet3!K2,K6)</f>
        <v>2.8672784747260769</v>
      </c>
      <c r="F19" s="1" t="s">
        <v>35</v>
      </c>
      <c r="G19" s="23" t="s">
        <v>36</v>
      </c>
      <c r="H19" s="23"/>
    </row>
    <row r="20" spans="3:15" x14ac:dyDescent="0.2">
      <c r="E20" s="7"/>
      <c r="F20" s="19">
        <f>D2</f>
        <v>9.9104134783569471</v>
      </c>
      <c r="G20" s="10">
        <f>Sheet1!H2</f>
        <v>17.253405460951761</v>
      </c>
      <c r="H20" s="24"/>
    </row>
    <row r="21" spans="3:15" x14ac:dyDescent="0.2">
      <c r="E21" s="7"/>
      <c r="F21" s="11">
        <f t="shared" ref="F21:F25" si="7">D3</f>
        <v>10.309478932913402</v>
      </c>
      <c r="G21" s="10">
        <f>Sheet1!H3</f>
        <v>18.186686216998293</v>
      </c>
      <c r="H21" s="25"/>
    </row>
    <row r="22" spans="3:15" x14ac:dyDescent="0.2">
      <c r="E22" s="7"/>
      <c r="F22" s="11">
        <f t="shared" si="7"/>
        <v>10.614481922221909</v>
      </c>
      <c r="G22" s="10">
        <f>Sheet1!H4</f>
        <v>19.289893727027117</v>
      </c>
      <c r="H22" s="25"/>
    </row>
    <row r="23" spans="3:15" x14ac:dyDescent="0.2">
      <c r="E23" s="7"/>
      <c r="F23" s="11">
        <f t="shared" si="7"/>
        <v>11.270905772554958</v>
      </c>
      <c r="G23" s="10">
        <f>Sheet1!H5</f>
        <v>20.621763815375804</v>
      </c>
      <c r="H23" s="25"/>
    </row>
    <row r="24" spans="3:15" x14ac:dyDescent="0.2">
      <c r="E24" s="7"/>
      <c r="F24" s="11">
        <f t="shared" si="7"/>
        <v>11.458324190004957</v>
      </c>
      <c r="G24" s="10">
        <f>Sheet1!H6</f>
        <v>22.274050671876754</v>
      </c>
      <c r="H24" s="25"/>
    </row>
    <row r="25" spans="3:15" x14ac:dyDescent="0.2">
      <c r="E25" s="7"/>
      <c r="F25" s="11">
        <f t="shared" si="7"/>
        <v>12.347724927665739</v>
      </c>
      <c r="G25" s="10">
        <f>Sheet1!H7</f>
        <v>24.400000000000002</v>
      </c>
      <c r="H25" s="26"/>
    </row>
    <row r="26" spans="3:15" x14ac:dyDescent="0.2">
      <c r="E26" s="7"/>
      <c r="F26" s="11">
        <f>Sheet3!D2</f>
        <v>5.692128933778581</v>
      </c>
      <c r="G26" s="24"/>
      <c r="H26" s="10">
        <f>G20</f>
        <v>17.253405460951761</v>
      </c>
      <c r="K26" t="s">
        <v>38</v>
      </c>
    </row>
    <row r="27" spans="3:15" x14ac:dyDescent="0.2">
      <c r="E27" s="7"/>
      <c r="F27" s="11">
        <f>Sheet3!D3</f>
        <v>5.9786176079570232</v>
      </c>
      <c r="G27" s="25"/>
      <c r="H27" s="10">
        <f t="shared" ref="H27:H31" si="8">G21</f>
        <v>18.186686216998293</v>
      </c>
      <c r="O27" t="s">
        <v>39</v>
      </c>
    </row>
    <row r="28" spans="3:15" x14ac:dyDescent="0.2">
      <c r="E28" s="7"/>
      <c r="F28" s="11">
        <f>Sheet3!D4</f>
        <v>6.5515207662498129</v>
      </c>
      <c r="G28" s="25"/>
      <c r="H28" s="10">
        <f t="shared" si="8"/>
        <v>19.289893727027117</v>
      </c>
    </row>
    <row r="29" spans="3:15" x14ac:dyDescent="0.2">
      <c r="E29" s="7"/>
      <c r="F29" s="11">
        <f>Sheet3!D5</f>
        <v>7.0015845958660083</v>
      </c>
      <c r="G29" s="25"/>
      <c r="H29" s="10">
        <f t="shared" si="8"/>
        <v>20.621763815375804</v>
      </c>
    </row>
    <row r="30" spans="3:15" x14ac:dyDescent="0.2">
      <c r="E30" s="7"/>
      <c r="F30" s="11">
        <f>Sheet3!D6</f>
        <v>7.1652269627450149</v>
      </c>
      <c r="G30" s="25"/>
      <c r="H30" s="10">
        <f t="shared" si="8"/>
        <v>22.274050671876754</v>
      </c>
    </row>
    <row r="31" spans="3:15" x14ac:dyDescent="0.2">
      <c r="E31" s="7"/>
      <c r="F31" s="11">
        <f>Sheet3!D7</f>
        <v>7.3697665080193993</v>
      </c>
      <c r="G31" s="26"/>
      <c r="H31" s="10">
        <f t="shared" si="8"/>
        <v>24.400000000000002</v>
      </c>
    </row>
    <row r="32" spans="3:15" x14ac:dyDescent="0.2">
      <c r="F32" s="18"/>
    </row>
    <row r="33" spans="6:6" x14ac:dyDescent="0.2">
      <c r="F33" s="18"/>
    </row>
    <row r="34" spans="6:6" x14ac:dyDescent="0.2">
      <c r="F34" s="18"/>
    </row>
    <row r="35" spans="6:6" x14ac:dyDescent="0.2">
      <c r="F35" s="18"/>
    </row>
  </sheetData>
  <mergeCells count="5">
    <mergeCell ref="F9:G9"/>
    <mergeCell ref="F8:H8"/>
    <mergeCell ref="G19:H19"/>
    <mergeCell ref="H20:H25"/>
    <mergeCell ref="G26:G31"/>
  </mergeCells>
  <pageMargins left="0.7" right="0.7" top="0.75" bottom="0.75" header="0.3" footer="0.3"/>
  <ignoredErrors>
    <ignoredError sqref="F4:F7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25372-8304-A641-9FD7-53E2CFD31FEA}">
  <dimension ref="A1:L8"/>
  <sheetViews>
    <sheetView zoomScale="109" workbookViewId="0">
      <selection activeCell="H2" sqref="H2:H7"/>
    </sheetView>
  </sheetViews>
  <sheetFormatPr baseColWidth="10" defaultColWidth="11" defaultRowHeight="16" x14ac:dyDescent="0.2"/>
  <sheetData>
    <row r="1" spans="1:12" x14ac:dyDescent="0.2">
      <c r="A1" s="2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18</v>
      </c>
      <c r="I1" s="4" t="s">
        <v>46</v>
      </c>
      <c r="J1" s="1" t="s">
        <v>47</v>
      </c>
      <c r="K1" s="1">
        <v>213</v>
      </c>
      <c r="L1" s="1" t="s">
        <v>24</v>
      </c>
    </row>
    <row r="2" spans="1:12" x14ac:dyDescent="0.2">
      <c r="A2" s="1">
        <v>5</v>
      </c>
      <c r="B2" s="11">
        <f>SIN(0.5 * ATAN(Sheet1!G2 / (Sheet2!$K$1 * 2)))</f>
        <v>1.3361805008869909E-2</v>
      </c>
      <c r="C2" s="11">
        <f>Sheet1!H2 / (Sheet3!B2 * 2)</f>
        <v>645.62405488998331</v>
      </c>
      <c r="D2" s="11">
        <f>2 * $K$1 * B2</f>
        <v>5.692128933778581</v>
      </c>
      <c r="E2" s="11">
        <f>LOG(D2)</f>
        <v>0.75527472883220159</v>
      </c>
      <c r="F2" s="11">
        <f>SQRT(2 * A2 * 10^3) * Sheet2!$K$5</f>
        <v>382.03000000000003</v>
      </c>
      <c r="G2" s="11">
        <f>LOG10(F2)</f>
        <v>2.5820974684689872</v>
      </c>
      <c r="H2" s="11">
        <f>D2 * F2 * 10^-3</f>
        <v>2.1745640165714315</v>
      </c>
      <c r="J2" s="1" t="s">
        <v>31</v>
      </c>
      <c r="K2" s="11">
        <f>AVERAGE(H2:H7)</f>
        <v>2.1548478993204023</v>
      </c>
      <c r="L2" s="1" t="s">
        <v>32</v>
      </c>
    </row>
    <row r="3" spans="1:12" x14ac:dyDescent="0.2">
      <c r="A3" s="1">
        <v>4.5</v>
      </c>
      <c r="B3" s="11">
        <f>SIN(0.5 * ATAN(Sheet1!G3 / (Sheet2!$K$1 * 2)))</f>
        <v>1.4034313633701933E-2</v>
      </c>
      <c r="C3" s="11">
        <f>Sheet1!H3/(Sheet3!B3 * 2)</f>
        <v>647.93643250656999</v>
      </c>
      <c r="D3" s="11">
        <f t="shared" ref="D3:D7" si="0">2 * $K$1 * B3</f>
        <v>5.9786176079570232</v>
      </c>
      <c r="E3" s="11">
        <f t="shared" ref="E3:E7" si="1">LOG(D3)</f>
        <v>0.77660077685801365</v>
      </c>
      <c r="F3" s="11">
        <f>SQRT(2 * A3 * 10^3) * Sheet2!$K$5</f>
        <v>362.42548035423778</v>
      </c>
      <c r="G3" s="11">
        <f t="shared" ref="G3:G7" si="2">LOG10(F3)</f>
        <v>2.5592187231886498</v>
      </c>
      <c r="H3" s="11">
        <f t="shared" ref="H3:H7" si="3">D3 * F3 * 10^-3</f>
        <v>2.1668033584181279</v>
      </c>
    </row>
    <row r="4" spans="1:12" x14ac:dyDescent="0.2">
      <c r="A4" s="1">
        <v>4</v>
      </c>
      <c r="B4" s="11">
        <f>SIN(0.5 * ATAN(Sheet1!G4 / (Sheet2!$K$1 * 2)))</f>
        <v>1.5379156728285945E-2</v>
      </c>
      <c r="C4" s="11">
        <f>Sheet1!H4/(Sheet3!B4 * 2)</f>
        <v>627.14406478309672</v>
      </c>
      <c r="D4" s="11">
        <f t="shared" si="0"/>
        <v>6.5515207662498129</v>
      </c>
      <c r="E4" s="11">
        <f t="shared" si="1"/>
        <v>0.81634212193532818</v>
      </c>
      <c r="F4" s="11">
        <f>SQRT(2 * A4 * 10^3) * Sheet2!$K$5</f>
        <v>341.69801977769788</v>
      </c>
      <c r="G4" s="11">
        <f t="shared" si="2"/>
        <v>2.5336424619649591</v>
      </c>
      <c r="H4" s="11">
        <f t="shared" si="3"/>
        <v>2.2386416723600271</v>
      </c>
    </row>
    <row r="5" spans="1:12" x14ac:dyDescent="0.2">
      <c r="A5" s="1">
        <v>3.5</v>
      </c>
      <c r="B5" s="11">
        <f>SIN(0.5 * ATAN(Sheet1!G5 / (Sheet2!$K$1 * 2)))</f>
        <v>1.6435644591234762E-2</v>
      </c>
      <c r="C5" s="11">
        <f>Sheet1!H5/(Sheet3!B5 * 2)</f>
        <v>627.34879976577031</v>
      </c>
      <c r="D5" s="11">
        <f t="shared" si="0"/>
        <v>7.0015845958660083</v>
      </c>
      <c r="E5" s="11">
        <f t="shared" si="1"/>
        <v>0.84519634049430326</v>
      </c>
      <c r="F5" s="11">
        <f>SQRT(2 * A5 * 10^3) * Sheet2!$K$5</f>
        <v>319.62922993681292</v>
      </c>
      <c r="G5" s="11">
        <f t="shared" si="2"/>
        <v>2.5046464884761157</v>
      </c>
      <c r="H5" s="11">
        <f t="shared" si="3"/>
        <v>2.2379110927141039</v>
      </c>
    </row>
    <row r="6" spans="1:12" x14ac:dyDescent="0.2">
      <c r="A6" s="1">
        <v>3</v>
      </c>
      <c r="B6" s="11">
        <f>SIN(0.5 * ATAN(Sheet1!G6 / (Sheet2!$K$1 * 2)))</f>
        <v>1.6819781602687829E-2</v>
      </c>
      <c r="C6" s="11">
        <f>Sheet1!H6/(Sheet3!B6 * 2)</f>
        <v>662.13852230748716</v>
      </c>
      <c r="D6" s="11">
        <f t="shared" si="0"/>
        <v>7.1652269627450149</v>
      </c>
      <c r="E6" s="11">
        <f t="shared" si="1"/>
        <v>0.85522995148236969</v>
      </c>
      <c r="F6" s="11">
        <f>SQRT(2 * A6 * 10^3) * Sheet2!$K$5</f>
        <v>295.9191655503239</v>
      </c>
      <c r="G6" s="11">
        <f t="shared" si="2"/>
        <v>2.4711730936608092</v>
      </c>
      <c r="H6" s="11">
        <f t="shared" si="3"/>
        <v>2.1203279837941862</v>
      </c>
    </row>
    <row r="7" spans="1:12" x14ac:dyDescent="0.2">
      <c r="A7" s="1">
        <v>2.5</v>
      </c>
      <c r="B7" s="11">
        <f>SIN(0.5 * ATAN(Sheet1!G7 / (Sheet2!$K$1 * 2)))</f>
        <v>1.7299921380327227E-2</v>
      </c>
      <c r="C7" s="11">
        <f>Sheet1!H7/(Sheet3!B7 * 2)</f>
        <v>705.20551693797574</v>
      </c>
      <c r="D7" s="11">
        <f t="shared" si="0"/>
        <v>7.3697665080193993</v>
      </c>
      <c r="E7" s="11">
        <f t="shared" si="1"/>
        <v>0.86745372858020575</v>
      </c>
      <c r="F7" s="11">
        <f>SQRT(2 * A7 * 10^3) * Sheet2!$K$5</f>
        <v>270.13600361669677</v>
      </c>
      <c r="G7" s="11">
        <f t="shared" si="2"/>
        <v>2.4315824706369966</v>
      </c>
      <c r="H7" s="11">
        <f t="shared" si="3"/>
        <v>1.9908392720645391</v>
      </c>
    </row>
    <row r="8" spans="1:12" x14ac:dyDescent="0.2">
      <c r="F8" s="22" t="s">
        <v>33</v>
      </c>
      <c r="G8" s="22"/>
      <c r="H8" s="22"/>
    </row>
  </sheetData>
  <mergeCells count="1">
    <mergeCell ref="F8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Васильков Дмитрий Алексеевич</dc:creator>
  <cp:keywords/>
  <dc:description/>
  <cp:lastModifiedBy>Васильков Дмитрий Алексеевич</cp:lastModifiedBy>
  <cp:revision/>
  <dcterms:created xsi:type="dcterms:W3CDTF">2024-10-27T19:29:55Z</dcterms:created>
  <dcterms:modified xsi:type="dcterms:W3CDTF">2024-12-09T12:16:30Z</dcterms:modified>
  <cp:category/>
  <cp:contentStatus/>
</cp:coreProperties>
</file>