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atya\Downloads\"/>
    </mc:Choice>
  </mc:AlternateContent>
  <xr:revisionPtr revIDLastSave="0" documentId="13_ncr:1_{D82352E3-63F2-461F-A871-0B9DB0D9ABAD}" xr6:coauthVersionLast="47" xr6:coauthVersionMax="47" xr10:uidLastSave="{00000000-0000-0000-0000-000000000000}"/>
  <bookViews>
    <workbookView xWindow="52965" yWindow="3645" windowWidth="17550" windowHeight="10890" firstSheet="2" activeTab="5" xr2:uid="{00000000-000D-0000-FFFF-FFFF00000000}"/>
  </bookViews>
  <sheets>
    <sheet name="Погрешности косвенные (Шаблон)" sheetId="9" state="hidden" r:id="rId1"/>
    <sheet name="МНК (Шаблон)" sheetId="4" state="hidden" r:id="rId2"/>
    <sheet name="предисловие" sheetId="28" r:id="rId3"/>
    <sheet name="Таблица 1" sheetId="1" r:id="rId4"/>
    <sheet name="Таблица 2" sheetId="2" r:id="rId5"/>
    <sheet name="Таблица 3" sheetId="19" r:id="rId6"/>
    <sheet name="График 1" sheetId="23" r:id="rId7"/>
    <sheet name="График 2" sheetId="24" r:id="rId8"/>
    <sheet name="Печать 1" sheetId="25" r:id="rId9"/>
    <sheet name="Печать 2" sheetId="26" r:id="rId10"/>
    <sheet name="Печать 3" sheetId="27" r:id="rId11"/>
    <sheet name="Параметры установки" sheetId="22" r:id="rId12"/>
    <sheet name="Погрешности прямые (t)" sheetId="13" r:id="rId13"/>
    <sheet name="Погрешности прямые (a)" sheetId="5" r:id="rId14"/>
    <sheet name="Погрешности косвенные (a)" sheetId="12" r:id="rId15"/>
    <sheet name="Погрешности прямые (e)" sheetId="6" r:id="rId16"/>
    <sheet name="Погрешности косвенные (e)" sheetId="10" r:id="rId17"/>
    <sheet name="Погрешности прямые (M)" sheetId="7" r:id="rId18"/>
    <sheet name="Погрешности косвенные (M)" sheetId="11" r:id="rId19"/>
    <sheet name="МНК рис.1" sheetId="8" r:id="rId20"/>
    <sheet name="МНК рис.2" sheetId="14" r:id="rId21"/>
    <sheet name="МНК рис.3" sheetId="15" r:id="rId22"/>
    <sheet name="МНК рис.4" sheetId="16" r:id="rId23"/>
    <sheet name="МНК рис.5" sheetId="17" r:id="rId24"/>
    <sheet name="МНК рис.6" sheetId="18" r:id="rId25"/>
    <sheet name="МНК I" sheetId="2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8" i="2"/>
  <c r="J7" i="2"/>
  <c r="J6" i="2"/>
  <c r="J4" i="2"/>
  <c r="J3" i="2"/>
  <c r="H5" i="2"/>
  <c r="H4" i="2"/>
  <c r="H6" i="2"/>
  <c r="H7" i="2"/>
  <c r="H8" i="2"/>
  <c r="G7" i="2"/>
  <c r="G5" i="2"/>
  <c r="G4" i="2"/>
  <c r="G3" i="2"/>
  <c r="G8" i="2"/>
  <c r="G6" i="2"/>
  <c r="H3" i="2"/>
  <c r="B4" i="19"/>
  <c r="A3" i="1"/>
  <c r="A3" i="2"/>
  <c r="B6" i="1"/>
  <c r="C6" i="1"/>
  <c r="D6" i="1"/>
  <c r="E6" i="1"/>
  <c r="F6" i="1"/>
  <c r="G6" i="1"/>
  <c r="B10" i="1"/>
  <c r="C10" i="1"/>
  <c r="D10" i="1"/>
  <c r="E10" i="1"/>
  <c r="F10" i="1"/>
  <c r="G10" i="1"/>
  <c r="B14" i="1"/>
  <c r="C14" i="1"/>
  <c r="D14" i="1"/>
  <c r="E14" i="1"/>
  <c r="F14" i="1"/>
  <c r="G14" i="1"/>
  <c r="B18" i="1"/>
  <c r="C18" i="1"/>
  <c r="D18" i="1"/>
  <c r="E18" i="1"/>
  <c r="F18" i="1"/>
  <c r="G18" i="1"/>
  <c r="G19" i="25" l="1"/>
  <c r="F19" i="25"/>
  <c r="E19" i="25"/>
  <c r="D19" i="25"/>
  <c r="C19" i="25"/>
  <c r="B19" i="25"/>
  <c r="G15" i="25"/>
  <c r="F15" i="25"/>
  <c r="E15" i="25"/>
  <c r="D15" i="25"/>
  <c r="C15" i="25"/>
  <c r="B15" i="25"/>
  <c r="G11" i="25"/>
  <c r="F11" i="25"/>
  <c r="E11" i="25"/>
  <c r="D11" i="25"/>
  <c r="C11" i="25"/>
  <c r="B11" i="25"/>
  <c r="G7" i="25"/>
  <c r="F7" i="25"/>
  <c r="E7" i="25"/>
  <c r="D7" i="25"/>
  <c r="C7" i="25"/>
  <c r="B7" i="25"/>
  <c r="A16" i="25" l="1"/>
  <c r="A12" i="25"/>
  <c r="A8" i="25"/>
  <c r="A4" i="25"/>
  <c r="A15" i="1"/>
  <c r="A11" i="1"/>
  <c r="A7" i="1"/>
  <c r="C2" i="19"/>
  <c r="C3" i="19" s="1"/>
  <c r="A3" i="21" s="1"/>
  <c r="D2" i="19"/>
  <c r="D3" i="19" s="1"/>
  <c r="A4" i="21" s="1"/>
  <c r="E2" i="19"/>
  <c r="E3" i="19" s="1"/>
  <c r="A5" i="21" s="1"/>
  <c r="F2" i="19"/>
  <c r="F3" i="19" s="1"/>
  <c r="A6" i="21" s="1"/>
  <c r="G2" i="19"/>
  <c r="G3" i="19" s="1"/>
  <c r="A7" i="21" s="1"/>
  <c r="B2" i="19"/>
  <c r="B3" i="19" s="1"/>
  <c r="A2" i="21" s="1"/>
  <c r="A4" i="13"/>
  <c r="A3" i="13"/>
  <c r="A2" i="13"/>
  <c r="B7" i="9"/>
  <c r="B8" i="9"/>
  <c r="B9" i="9" s="1"/>
  <c r="L2" i="21" l="1"/>
  <c r="E2" i="21" s="1"/>
  <c r="H2" i="13"/>
  <c r="B2" i="12" l="1"/>
  <c r="B4" i="10"/>
  <c r="B4" i="12"/>
  <c r="C2" i="21"/>
  <c r="E4" i="21"/>
  <c r="C3" i="21"/>
  <c r="E7" i="21"/>
  <c r="E6" i="21"/>
  <c r="E5" i="21"/>
  <c r="E3" i="21"/>
  <c r="C7" i="21"/>
  <c r="C6" i="21"/>
  <c r="C5" i="21"/>
  <c r="C4" i="21"/>
  <c r="B4" i="13"/>
  <c r="B3" i="13"/>
  <c r="B2" i="13"/>
  <c r="B3" i="12"/>
  <c r="I2" i="13" l="1"/>
  <c r="K2" i="13" s="1"/>
  <c r="M2" i="13" s="1"/>
  <c r="M2" i="5" s="1"/>
  <c r="P2" i="21"/>
  <c r="N2" i="13" l="1"/>
  <c r="B6" i="12" s="1"/>
  <c r="B5" i="12"/>
  <c r="B7" i="12" s="1"/>
  <c r="B8" i="12" s="1"/>
  <c r="B2" i="10" s="1"/>
  <c r="C7" i="10" s="1"/>
  <c r="M2" i="4"/>
  <c r="D3" i="4" s="1"/>
  <c r="L2" i="4"/>
  <c r="C2" i="4" s="1"/>
  <c r="B6" i="10" l="1"/>
  <c r="B6" i="11"/>
  <c r="C4" i="4"/>
  <c r="E8" i="4"/>
  <c r="E2" i="4"/>
  <c r="E7" i="4"/>
  <c r="C8" i="4"/>
  <c r="E6" i="4"/>
  <c r="C7" i="4"/>
  <c r="E5" i="4"/>
  <c r="C5" i="4"/>
  <c r="C6" i="4"/>
  <c r="E4" i="4"/>
  <c r="F6" i="4"/>
  <c r="F5" i="4"/>
  <c r="F8" i="4"/>
  <c r="F7" i="4"/>
  <c r="D8" i="4"/>
  <c r="F4" i="4"/>
  <c r="D5" i="4"/>
  <c r="D4" i="4"/>
  <c r="D7" i="4"/>
  <c r="D6" i="4"/>
  <c r="F2" i="4"/>
  <c r="F3" i="4"/>
  <c r="E3" i="4"/>
  <c r="C3" i="4"/>
  <c r="D2" i="4"/>
  <c r="A21" i="2"/>
  <c r="A15" i="2"/>
  <c r="A9" i="2"/>
  <c r="B26" i="2"/>
  <c r="C26" i="2" s="1"/>
  <c r="D26" i="2" s="1"/>
  <c r="A5" i="18" s="1"/>
  <c r="B25" i="2"/>
  <c r="C25" i="2" s="1"/>
  <c r="D25" i="2" s="1"/>
  <c r="A5" i="17" s="1"/>
  <c r="B24" i="2"/>
  <c r="C24" i="2" s="1"/>
  <c r="D24" i="2" s="1"/>
  <c r="A5" i="16" s="1"/>
  <c r="B23" i="2"/>
  <c r="C23" i="2" s="1"/>
  <c r="D23" i="2" s="1"/>
  <c r="A5" i="15" s="1"/>
  <c r="B22" i="2"/>
  <c r="C22" i="2" s="1"/>
  <c r="D22" i="2" s="1"/>
  <c r="A5" i="14" s="1"/>
  <c r="B21" i="2"/>
  <c r="C21" i="2" s="1"/>
  <c r="D21" i="2" s="1"/>
  <c r="A5" i="8" s="1"/>
  <c r="B20" i="2"/>
  <c r="C20" i="2" s="1"/>
  <c r="D20" i="2" s="1"/>
  <c r="A4" i="18" s="1"/>
  <c r="B19" i="2"/>
  <c r="C19" i="2" s="1"/>
  <c r="D19" i="2" s="1"/>
  <c r="A4" i="17" s="1"/>
  <c r="B18" i="2"/>
  <c r="C18" i="2" s="1"/>
  <c r="D18" i="2" s="1"/>
  <c r="A4" i="16" s="1"/>
  <c r="B17" i="2"/>
  <c r="C17" i="2" s="1"/>
  <c r="D17" i="2" s="1"/>
  <c r="A4" i="15" s="1"/>
  <c r="B16" i="2"/>
  <c r="C16" i="2" s="1"/>
  <c r="D16" i="2" s="1"/>
  <c r="A4" i="14" s="1"/>
  <c r="B15" i="2"/>
  <c r="C15" i="2" s="1"/>
  <c r="D15" i="2" s="1"/>
  <c r="A4" i="8" s="1"/>
  <c r="B10" i="2"/>
  <c r="C10" i="2" s="1"/>
  <c r="D10" i="2" s="1"/>
  <c r="A3" i="14" s="1"/>
  <c r="B11" i="2"/>
  <c r="C11" i="2" s="1"/>
  <c r="D11" i="2" s="1"/>
  <c r="A3" i="15" s="1"/>
  <c r="B12" i="2"/>
  <c r="C12" i="2" s="1"/>
  <c r="D12" i="2" s="1"/>
  <c r="A3" i="16" s="1"/>
  <c r="B13" i="2"/>
  <c r="C13" i="2" s="1"/>
  <c r="D13" i="2" s="1"/>
  <c r="A3" i="17" s="1"/>
  <c r="B14" i="2"/>
  <c r="C14" i="2" s="1"/>
  <c r="D14" i="2" s="1"/>
  <c r="A3" i="18" s="1"/>
  <c r="B9" i="2"/>
  <c r="C9" i="2" s="1"/>
  <c r="D9" i="2" s="1"/>
  <c r="A3" i="8" s="1"/>
  <c r="B4" i="2"/>
  <c r="C4" i="2" s="1"/>
  <c r="B5" i="2"/>
  <c r="C5" i="2" s="1"/>
  <c r="B6" i="2"/>
  <c r="C6" i="2" s="1"/>
  <c r="B7" i="2"/>
  <c r="C7" i="2" s="1"/>
  <c r="A6" i="5" s="1"/>
  <c r="B8" i="2"/>
  <c r="C8" i="2" s="1"/>
  <c r="B3" i="2"/>
  <c r="C3" i="2" s="1"/>
  <c r="B4" i="11" l="1"/>
  <c r="D7" i="11" s="1"/>
  <c r="E3" i="2"/>
  <c r="D5" i="2"/>
  <c r="A4" i="5"/>
  <c r="D6" i="2"/>
  <c r="A5" i="5"/>
  <c r="D3" i="2"/>
  <c r="A2" i="5"/>
  <c r="D8" i="2"/>
  <c r="A7" i="5"/>
  <c r="E26" i="2"/>
  <c r="B5" i="18" s="1"/>
  <c r="D4" i="2"/>
  <c r="A3" i="5"/>
  <c r="G5" i="4"/>
  <c r="P2" i="4"/>
  <c r="G4" i="4"/>
  <c r="G6" i="4"/>
  <c r="G7" i="4"/>
  <c r="G2" i="4"/>
  <c r="G8" i="4"/>
  <c r="G3" i="4"/>
  <c r="E6" i="2"/>
  <c r="D7" i="2"/>
  <c r="E7" i="2"/>
  <c r="E10" i="2"/>
  <c r="B3" i="14" s="1"/>
  <c r="E5" i="2"/>
  <c r="E18" i="2"/>
  <c r="B4" i="16" s="1"/>
  <c r="E22" i="2"/>
  <c r="B5" i="14" s="1"/>
  <c r="E23" i="2"/>
  <c r="B5" i="15" s="1"/>
  <c r="E4" i="2"/>
  <c r="E24" i="2"/>
  <c r="B5" i="16" s="1"/>
  <c r="E25" i="2"/>
  <c r="B5" i="17" s="1"/>
  <c r="E8" i="2"/>
  <c r="E21" i="2"/>
  <c r="B5" i="8" s="1"/>
  <c r="E17" i="2"/>
  <c r="B4" i="15" s="1"/>
  <c r="E20" i="2"/>
  <c r="B4" i="18" s="1"/>
  <c r="E19" i="2"/>
  <c r="B4" i="17" s="1"/>
  <c r="E15" i="2"/>
  <c r="B4" i="8" s="1"/>
  <c r="E16" i="2"/>
  <c r="B4" i="14" s="1"/>
  <c r="E13" i="2"/>
  <c r="B3" i="17" s="1"/>
  <c r="E12" i="2"/>
  <c r="B3" i="16" s="1"/>
  <c r="E11" i="2"/>
  <c r="B3" i="15" s="1"/>
  <c r="E9" i="2"/>
  <c r="B3" i="8" s="1"/>
  <c r="E14" i="2"/>
  <c r="B3" i="18" s="1"/>
  <c r="B2" i="18" l="1"/>
  <c r="A7" i="7"/>
  <c r="A2" i="14"/>
  <c r="A3" i="6"/>
  <c r="A2" i="16"/>
  <c r="A5" i="6"/>
  <c r="B2" i="17"/>
  <c r="A6" i="7"/>
  <c r="B2" i="8"/>
  <c r="A2" i="7"/>
  <c r="A2" i="17"/>
  <c r="A6" i="6"/>
  <c r="N2" i="4"/>
  <c r="O2" i="4" s="1"/>
  <c r="H3" i="4" s="1"/>
  <c r="I3" i="4" s="1"/>
  <c r="A2" i="15"/>
  <c r="A4" i="6"/>
  <c r="B2" i="15"/>
  <c r="A4" i="7"/>
  <c r="B2" i="14"/>
  <c r="A3" i="7"/>
  <c r="H2" i="5"/>
  <c r="B2" i="16"/>
  <c r="A5" i="7"/>
  <c r="A2" i="18"/>
  <c r="A7" i="6"/>
  <c r="A2" i="8"/>
  <c r="A2" i="6"/>
  <c r="B4" i="5" l="1"/>
  <c r="B2" i="11"/>
  <c r="C7" i="11" s="1"/>
  <c r="B5" i="10"/>
  <c r="B7" i="10" s="1"/>
  <c r="B5" i="11"/>
  <c r="B7" i="11" s="1"/>
  <c r="H5" i="4"/>
  <c r="I5" i="4" s="1"/>
  <c r="B3" i="5"/>
  <c r="B2" i="5"/>
  <c r="L2" i="14"/>
  <c r="E2" i="14" s="1"/>
  <c r="M2" i="16"/>
  <c r="F2" i="16" s="1"/>
  <c r="L2" i="17"/>
  <c r="E2" i="17" s="1"/>
  <c r="H2" i="7"/>
  <c r="L2" i="18"/>
  <c r="E2" i="18" s="1"/>
  <c r="H7" i="4"/>
  <c r="I7" i="4" s="1"/>
  <c r="M2" i="8"/>
  <c r="D2" i="8" s="1"/>
  <c r="M2" i="17"/>
  <c r="M2" i="14"/>
  <c r="D2" i="14" s="1"/>
  <c r="H6" i="4"/>
  <c r="I6" i="4" s="1"/>
  <c r="B5" i="5"/>
  <c r="L2" i="8"/>
  <c r="C2" i="8" s="1"/>
  <c r="H4" i="4"/>
  <c r="I4" i="4" s="1"/>
  <c r="H2" i="4"/>
  <c r="I2" i="4" s="1"/>
  <c r="M2" i="15"/>
  <c r="F2" i="15" s="1"/>
  <c r="L2" i="16"/>
  <c r="E2" i="16" s="1"/>
  <c r="H8" i="4"/>
  <c r="I8" i="4" s="1"/>
  <c r="B9" i="12"/>
  <c r="B6" i="5"/>
  <c r="H2" i="6"/>
  <c r="B3" i="10" s="1"/>
  <c r="B7" i="5"/>
  <c r="L2" i="15"/>
  <c r="M2" i="18"/>
  <c r="F2" i="18" s="1"/>
  <c r="B8" i="11" l="1"/>
  <c r="B3" i="11"/>
  <c r="R2" i="4"/>
  <c r="R4" i="4" s="1"/>
  <c r="R6" i="4" s="1"/>
  <c r="Q2" i="4"/>
  <c r="Q4" i="4" s="1"/>
  <c r="Q6" i="4" s="1"/>
  <c r="B4" i="7"/>
  <c r="B7" i="7"/>
  <c r="B6" i="7"/>
  <c r="B3" i="7"/>
  <c r="E2" i="8"/>
  <c r="F2" i="8"/>
  <c r="C2" i="17"/>
  <c r="I2" i="5"/>
  <c r="K2" i="5" s="1"/>
  <c r="D2" i="15"/>
  <c r="C2" i="14"/>
  <c r="C2" i="16"/>
  <c r="B2" i="7"/>
  <c r="C4" i="15"/>
  <c r="C5" i="15"/>
  <c r="E3" i="15"/>
  <c r="C3" i="15"/>
  <c r="E4" i="15"/>
  <c r="E5" i="15"/>
  <c r="F5" i="17"/>
  <c r="D3" i="17"/>
  <c r="F3" i="17"/>
  <c r="D5" i="17"/>
  <c r="D4" i="17"/>
  <c r="F4" i="17"/>
  <c r="G2" i="18"/>
  <c r="D2" i="16"/>
  <c r="D4" i="16"/>
  <c r="F4" i="16"/>
  <c r="F5" i="16"/>
  <c r="D5" i="16"/>
  <c r="D3" i="16"/>
  <c r="F3" i="16"/>
  <c r="B2" i="6"/>
  <c r="C3" i="16"/>
  <c r="E3" i="16"/>
  <c r="E5" i="16"/>
  <c r="C5" i="16"/>
  <c r="C4" i="16"/>
  <c r="E4" i="16"/>
  <c r="B7" i="6"/>
  <c r="G2" i="16"/>
  <c r="F5" i="8"/>
  <c r="D4" i="8"/>
  <c r="F3" i="8"/>
  <c r="D5" i="8"/>
  <c r="F4" i="8"/>
  <c r="D3" i="8"/>
  <c r="D2" i="18"/>
  <c r="D3" i="18"/>
  <c r="D4" i="18"/>
  <c r="F4" i="18"/>
  <c r="F5" i="18"/>
  <c r="D5" i="18"/>
  <c r="F3" i="18"/>
  <c r="F2" i="14"/>
  <c r="G2" i="14" s="1"/>
  <c r="F4" i="14"/>
  <c r="D4" i="14"/>
  <c r="F5" i="14"/>
  <c r="D5" i="14"/>
  <c r="D3" i="14"/>
  <c r="F3" i="14"/>
  <c r="B3" i="6"/>
  <c r="F2" i="17"/>
  <c r="G2" i="17" s="1"/>
  <c r="E3" i="18"/>
  <c r="E5" i="18"/>
  <c r="C3" i="18"/>
  <c r="E4" i="18"/>
  <c r="C4" i="18"/>
  <c r="C5" i="18"/>
  <c r="C5" i="17"/>
  <c r="E5" i="17"/>
  <c r="C4" i="17"/>
  <c r="E4" i="17"/>
  <c r="C3" i="17"/>
  <c r="E3" i="17"/>
  <c r="C3" i="14"/>
  <c r="C4" i="14"/>
  <c r="E4" i="14"/>
  <c r="E3" i="14"/>
  <c r="C5" i="14"/>
  <c r="E5" i="14"/>
  <c r="B4" i="6"/>
  <c r="C2" i="15"/>
  <c r="D3" i="15"/>
  <c r="D4" i="15"/>
  <c r="F4" i="15"/>
  <c r="D5" i="15"/>
  <c r="F5" i="15"/>
  <c r="F3" i="15"/>
  <c r="E2" i="15"/>
  <c r="G2" i="15" s="1"/>
  <c r="B5" i="6"/>
  <c r="E5" i="8"/>
  <c r="C5" i="8"/>
  <c r="E4" i="8"/>
  <c r="C4" i="8"/>
  <c r="E3" i="8"/>
  <c r="C3" i="8"/>
  <c r="D2" i="17"/>
  <c r="C2" i="18"/>
  <c r="B6" i="6"/>
  <c r="B5" i="7"/>
  <c r="J3" i="4"/>
  <c r="J4" i="4"/>
  <c r="J5" i="4"/>
  <c r="J6" i="4"/>
  <c r="J7" i="4"/>
  <c r="B9" i="11" l="1"/>
  <c r="G2" i="8"/>
  <c r="J2" i="4"/>
  <c r="J8" i="4"/>
  <c r="G5" i="14"/>
  <c r="G3" i="14"/>
  <c r="G5" i="17"/>
  <c r="G5" i="8"/>
  <c r="G4" i="8"/>
  <c r="G3" i="17"/>
  <c r="G4" i="17"/>
  <c r="G5" i="16"/>
  <c r="P2" i="8"/>
  <c r="P2" i="17"/>
  <c r="G5" i="18"/>
  <c r="G3" i="8"/>
  <c r="G4" i="14"/>
  <c r="I2" i="7"/>
  <c r="K2" i="7" s="1"/>
  <c r="M2" i="7" s="1"/>
  <c r="N2" i="7" s="1"/>
  <c r="P2" i="16"/>
  <c r="P2" i="14"/>
  <c r="G4" i="15"/>
  <c r="G3" i="15"/>
  <c r="G3" i="16"/>
  <c r="G4" i="16"/>
  <c r="P2" i="15"/>
  <c r="P2" i="18"/>
  <c r="G4" i="18"/>
  <c r="G3" i="18"/>
  <c r="I2" i="6"/>
  <c r="K2" i="6" s="1"/>
  <c r="M2" i="6" s="1"/>
  <c r="G5" i="15"/>
  <c r="N2" i="14" l="1"/>
  <c r="O2" i="14" s="1"/>
  <c r="H5" i="14" s="1"/>
  <c r="I5" i="14" s="1"/>
  <c r="N2" i="17"/>
  <c r="O2" i="17" s="1"/>
  <c r="H2" i="17" s="1"/>
  <c r="I2" i="17" s="1"/>
  <c r="N2" i="8"/>
  <c r="O2" i="8" s="1"/>
  <c r="N2" i="15"/>
  <c r="N2" i="18"/>
  <c r="N2" i="16"/>
  <c r="B8" i="10"/>
  <c r="B9" i="10" s="1"/>
  <c r="N2" i="6"/>
  <c r="C4" i="19" l="1"/>
  <c r="B3" i="21" s="1"/>
  <c r="F4" i="19"/>
  <c r="B6" i="21" s="1"/>
  <c r="H4" i="8"/>
  <c r="I4" i="8" s="1"/>
  <c r="H5" i="8"/>
  <c r="I5" i="8" s="1"/>
  <c r="B2" i="21"/>
  <c r="H4" i="17"/>
  <c r="I4" i="17" s="1"/>
  <c r="H3" i="17"/>
  <c r="I3" i="17" s="1"/>
  <c r="H5" i="17"/>
  <c r="I5" i="17" s="1"/>
  <c r="H2" i="14"/>
  <c r="I2" i="14" s="1"/>
  <c r="H3" i="14"/>
  <c r="I3" i="14" s="1"/>
  <c r="H4" i="14"/>
  <c r="I4" i="14" s="1"/>
  <c r="H2" i="8"/>
  <c r="I2" i="8" s="1"/>
  <c r="H3" i="8"/>
  <c r="I3" i="8" s="1"/>
  <c r="O2" i="18"/>
  <c r="G4" i="19"/>
  <c r="B7" i="21" s="1"/>
  <c r="O2" i="16"/>
  <c r="E4" i="19"/>
  <c r="B5" i="21" s="1"/>
  <c r="O2" i="15"/>
  <c r="D4" i="19"/>
  <c r="B4" i="21" s="1"/>
  <c r="R2" i="17" l="1"/>
  <c r="R4" i="17" s="1"/>
  <c r="R6" i="17" s="1"/>
  <c r="Q2" i="17"/>
  <c r="Q4" i="17" s="1"/>
  <c r="Q6" i="17" s="1"/>
  <c r="R2" i="14"/>
  <c r="R4" i="14" s="1"/>
  <c r="R6" i="14" s="1"/>
  <c r="R2" i="8"/>
  <c r="R4" i="8" s="1"/>
  <c r="R6" i="8" s="1"/>
  <c r="Q2" i="8"/>
  <c r="Q4" i="8" s="1"/>
  <c r="Q6" i="8" s="1"/>
  <c r="Q2" i="14"/>
  <c r="Q4" i="14" s="1"/>
  <c r="Q6" i="14" s="1"/>
  <c r="M2" i="21"/>
  <c r="D2" i="21" s="1"/>
  <c r="H3" i="18"/>
  <c r="I3" i="18" s="1"/>
  <c r="H2" i="18"/>
  <c r="I2" i="18" s="1"/>
  <c r="H4" i="18"/>
  <c r="I4" i="18" s="1"/>
  <c r="H5" i="18"/>
  <c r="I5" i="18" s="1"/>
  <c r="H2" i="16"/>
  <c r="I2" i="16" s="1"/>
  <c r="H3" i="16"/>
  <c r="I3" i="16" s="1"/>
  <c r="H4" i="16"/>
  <c r="I4" i="16" s="1"/>
  <c r="H5" i="16"/>
  <c r="I5" i="16" s="1"/>
  <c r="H5" i="15"/>
  <c r="I5" i="15" s="1"/>
  <c r="H4" i="15"/>
  <c r="I4" i="15" s="1"/>
  <c r="H3" i="15"/>
  <c r="I3" i="15" s="1"/>
  <c r="H2" i="15"/>
  <c r="I2" i="15" s="1"/>
  <c r="J2" i="17" l="1"/>
  <c r="J4" i="17"/>
  <c r="J3" i="17"/>
  <c r="J5" i="17"/>
  <c r="J2" i="8"/>
  <c r="J4" i="8"/>
  <c r="J3" i="8"/>
  <c r="J2" i="14"/>
  <c r="J5" i="14"/>
  <c r="J3" i="14"/>
  <c r="J4" i="14"/>
  <c r="J5" i="8"/>
  <c r="F5" i="21"/>
  <c r="G5" i="21" s="1"/>
  <c r="F3" i="21"/>
  <c r="G3" i="21" s="1"/>
  <c r="F6" i="21"/>
  <c r="G6" i="21" s="1"/>
  <c r="F4" i="21"/>
  <c r="G4" i="21" s="1"/>
  <c r="D5" i="21"/>
  <c r="D3" i="21"/>
  <c r="D4" i="21"/>
  <c r="F7" i="21"/>
  <c r="G7" i="21" s="1"/>
  <c r="D7" i="21"/>
  <c r="D6" i="21"/>
  <c r="F2" i="21"/>
  <c r="G2" i="21" s="1"/>
  <c r="Q2" i="18"/>
  <c r="Q4" i="18" s="1"/>
  <c r="Q6" i="18" s="1"/>
  <c r="R2" i="18"/>
  <c r="R2" i="16"/>
  <c r="Q2" i="16"/>
  <c r="Q4" i="16" s="1"/>
  <c r="Q6" i="16" s="1"/>
  <c r="Q2" i="15"/>
  <c r="Q4" i="15" s="1"/>
  <c r="Q6" i="15" s="1"/>
  <c r="R2" i="15"/>
  <c r="N2" i="21" l="1"/>
  <c r="O2" i="21" s="1"/>
  <c r="H6" i="21" s="1"/>
  <c r="I6" i="21" s="1"/>
  <c r="R4" i="18"/>
  <c r="R6" i="18" s="1"/>
  <c r="J2" i="18"/>
  <c r="J4" i="18"/>
  <c r="J3" i="18"/>
  <c r="J5" i="18"/>
  <c r="R4" i="16"/>
  <c r="R6" i="16" s="1"/>
  <c r="J3" i="16"/>
  <c r="J5" i="16"/>
  <c r="J2" i="16"/>
  <c r="J4" i="16"/>
  <c r="R4" i="15"/>
  <c r="R6" i="15" s="1"/>
  <c r="J5" i="15"/>
  <c r="J4" i="15"/>
  <c r="J2" i="15"/>
  <c r="J3" i="15"/>
  <c r="H4" i="21" l="1"/>
  <c r="I4" i="21" s="1"/>
  <c r="H3" i="21"/>
  <c r="I3" i="21" s="1"/>
  <c r="H5" i="21"/>
  <c r="I5" i="21" s="1"/>
  <c r="H7" i="21"/>
  <c r="I7" i="21" s="1"/>
  <c r="H2" i="21"/>
  <c r="I2" i="21" s="1"/>
  <c r="R2" i="21" l="1"/>
  <c r="R4" i="21" s="1"/>
  <c r="R6" i="21" s="1"/>
  <c r="Q2" i="21"/>
  <c r="Q4" i="21" s="1"/>
  <c r="Q6" i="21" s="1"/>
  <c r="J6" i="21" l="1"/>
  <c r="J3" i="21"/>
  <c r="J2" i="21"/>
  <c r="J4" i="21"/>
  <c r="J7" i="21"/>
  <c r="J5" i="21"/>
  <c r="N2" i="5"/>
</calcChain>
</file>

<file path=xl/sharedStrings.xml><?xml version="1.0" encoding="utf-8"?>
<sst xmlns="http://schemas.openxmlformats.org/spreadsheetml/2006/main" count="303" uniqueCount="79">
  <si>
    <t>Масса груза, г</t>
  </si>
  <si>
    <t>Положение утяжелителей</t>
  </si>
  <si>
    <t>1.риска</t>
  </si>
  <si>
    <t>2.риска</t>
  </si>
  <si>
    <t>3.риска</t>
  </si>
  <si>
    <t>4.риска</t>
  </si>
  <si>
    <t>5.риска</t>
  </si>
  <si>
    <t>6.риска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</si>
  <si>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</si>
  <si>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sz val="11"/>
        <color theme="1"/>
        <rFont val="Calibri"/>
        <family val="2"/>
        <charset val="204"/>
        <scheme val="minor"/>
      </rPr>
      <t>a, 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</si>
  <si>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ε, с</t>
    </r>
    <r>
      <rPr>
        <vertAlign val="superscript"/>
        <sz val="11"/>
        <color theme="1"/>
        <rFont val="Calibri"/>
        <family val="2"/>
        <charset val="204"/>
      </rPr>
      <t>-2</t>
    </r>
  </si>
  <si>
    <t>M, Н*м</t>
  </si>
  <si>
    <t>h</t>
  </si>
  <si>
    <t>d</t>
  </si>
  <si>
    <r>
      <t>Квадрат разности (x-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</si>
  <si>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Значения x</t>
  </si>
  <si>
    <r>
      <t>Среднее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</si>
  <si>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СКО      S</t>
    </r>
    <r>
      <rPr>
        <vertAlign val="subscript"/>
        <sz val="11"/>
        <color theme="1"/>
        <rFont val="Calibri"/>
        <family val="2"/>
        <charset val="204"/>
        <scheme val="minor"/>
      </rPr>
      <t>xср</t>
    </r>
  </si>
  <si>
    <r>
      <t>Коэфф. Стьюдента  t</t>
    </r>
    <r>
      <rPr>
        <vertAlign val="subscript"/>
        <sz val="11"/>
        <color theme="1"/>
        <rFont val="Calibri"/>
        <family val="2"/>
        <charset val="204"/>
      </rPr>
      <t>α,n</t>
    </r>
  </si>
  <si>
    <r>
      <t xml:space="preserve">Доверительный интервал 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xср</t>
    </r>
  </si>
  <si>
    <r>
      <t xml:space="preserve">Инструментальная погрешность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иx</t>
    </r>
  </si>
  <si>
    <r>
      <t xml:space="preserve">Абсолютная погрешность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</t>
    </r>
  </si>
  <si>
    <r>
      <t xml:space="preserve">Относительная погрешность           </t>
    </r>
    <r>
      <rPr>
        <sz val="11"/>
        <color theme="1"/>
        <rFont val="Calibri"/>
        <family val="2"/>
        <charset val="204"/>
      </rPr>
      <t>ε</t>
    </r>
    <r>
      <rPr>
        <vertAlign val="subscript"/>
        <sz val="11"/>
        <color theme="1"/>
        <rFont val="Calibri"/>
        <family val="2"/>
        <charset val="204"/>
      </rPr>
      <t>x</t>
    </r>
  </si>
  <si>
    <t>x</t>
  </si>
  <si>
    <t>y</t>
  </si>
  <si>
    <r>
      <t>Среднее 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</si>
  <si>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t>b</t>
  </si>
  <si>
    <t>a</t>
  </si>
  <si>
    <r>
      <t>Квадрат разности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</si>
  <si>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Квадрат разности 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</si>
  <si>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Разность    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</si>
  <si>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Разность    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</si>
  <si>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Произведение       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</si>
  <si>
    <t>D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</si>
  <si>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</si>
  <si>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</si>
  <si>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</si>
  <si>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y</t>
    </r>
  </si>
  <si>
    <t>Формулы частных производных по переменным:</t>
  </si>
  <si>
    <t>Абсолютная погрешность функции</t>
  </si>
  <si>
    <t>Среднее значение функции</t>
  </si>
  <si>
    <t>Среднее значение переменной</t>
  </si>
  <si>
    <t>Название переменной</t>
  </si>
  <si>
    <t>Абсолютные погрешности переменных</t>
  </si>
  <si>
    <t>Слагаемые</t>
  </si>
  <si>
    <t>ε</t>
  </si>
  <si>
    <t>Относительные погрешности переменных</t>
  </si>
  <si>
    <t>Относительные погрешности функции</t>
  </si>
  <si>
    <t>M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</si>
  <si>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</si>
  <si>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</si>
  <si>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Номера рисок</t>
  </si>
  <si>
    <t>R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</si>
  <si>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</si>
  <si>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I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</si>
  <si>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тр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</si>
  <si>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</si>
  <si>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4m</t>
    </r>
    <r>
      <rPr>
        <vertAlign val="subscript"/>
        <sz val="11"/>
        <color theme="1"/>
        <rFont val="Calibri"/>
        <family val="2"/>
        <charset val="204"/>
        <scheme val="minor"/>
      </rPr>
      <t>ут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</si>
  <si>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</si>
  <si>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</si>
  <si>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b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</si>
  <si>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a</t>
    </r>
  </si>
  <si>
    <t>Таблица 1. Протокол измерений времени падения груза при разной массе груза и разном положении утяжелителей на крестовине</t>
  </si>
  <si>
    <t>Таблица 2. Значения ускорения каретки, углового ускорения крестовины и момента силы натяжения нити для средних значений времени</t>
  </si>
  <si>
    <t>R, м</t>
  </si>
  <si>
    <t>Масса груза, кг</t>
  </si>
  <si>
    <t>Таблица 3. Значения момента инерции для утяжелителей в разных положениях</t>
  </si>
  <si>
    <r>
      <t>t</t>
    </r>
    <r>
      <rPr>
        <vertAlign val="subscript"/>
        <sz val="10"/>
        <color theme="1"/>
        <rFont val="Calibri"/>
        <family val="2"/>
        <scheme val="minor"/>
      </rPr>
      <t>ср</t>
    </r>
    <r>
      <rPr>
        <sz val="10"/>
        <color theme="1"/>
        <rFont val="Calibri"/>
        <family val="2"/>
        <scheme val="minor"/>
      </rPr>
      <t>, с</t>
    </r>
  </si>
  <si>
    <r>
      <rPr>
        <sz val="10"/>
        <color theme="1"/>
        <rFont val="Calibri"/>
        <family val="2"/>
        <scheme val="minor"/>
      </rPr>
      <t>a, м/с</t>
    </r>
    <r>
      <rPr>
        <vertAlign val="superscript"/>
        <sz val="10"/>
        <color theme="1"/>
        <rFont val="Calibri"/>
        <family val="2"/>
        <scheme val="minor"/>
      </rPr>
      <t>2</t>
    </r>
  </si>
  <si>
    <r>
      <t>ε, с</t>
    </r>
    <r>
      <rPr>
        <vertAlign val="superscript"/>
        <sz val="10"/>
        <color theme="1"/>
        <rFont val="Calibri"/>
        <family val="2"/>
      </rPr>
      <t>-2</t>
    </r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</si>
  <si>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 м</t>
    </r>
  </si>
  <si>
    <r>
      <t>I, кг*м</t>
    </r>
    <r>
      <rPr>
        <vertAlign val="superscript"/>
        <sz val="10"/>
        <color theme="1"/>
        <rFont val="Calibri"/>
        <family val="2"/>
        <scheme val="minor"/>
      </rPr>
      <t>2</t>
    </r>
  </si>
  <si>
    <t>Радуемся сделанной лабе!</t>
  </si>
  <si>
    <t>Далее таблицы вырезаем ножницами и вставляем в отчет (можно и копировать, но ножницы как по мне лучше)</t>
  </si>
  <si>
    <t>На листы печать внимание оформлять не нужно, это сделано для проверки наличия всех графиков и таблиц после подсчета</t>
  </si>
  <si>
    <t>Берете замеры, вставляете в таблицу 1 среднее время и прочие вещи, которые надо считать, появятся сами</t>
  </si>
  <si>
    <t>Все погрешности и графики основаны на первой таблице и параметрах установки</t>
  </si>
  <si>
    <t>M ср</t>
  </si>
  <si>
    <t>эпсилон 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</si>
</sst>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11" xfId="0" applyNumberFormat="1" applyBorder="1"/>
    <xf numFmtId="2" fontId="0" fillId="0" borderId="7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  <xf numFmtId="2" fontId="0" fillId="0" borderId="0" xfId="0" applyNumberFormat="1" applyAlignment="1">
      <alignment vertical="center"/>
    </xf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3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14" fillId="0" borderId="29" xfId="2" applyNumberFormat="1" applyFont="1" applyBorder="1" applyAlignment="1">
      <alignment horizontal="right" vertical="center"/>
    </xf>
    <xf numFmtId="2" fontId="14" fillId="0" borderId="17" xfId="2" applyNumberFormat="1" applyFont="1" applyBorder="1" applyAlignment="1">
      <alignment horizontal="right" vertical="center"/>
    </xf>
    <xf numFmtId="2" fontId="14" fillId="0" borderId="28" xfId="2" applyNumberFormat="1" applyFont="1" applyBorder="1" applyAlignment="1">
      <alignment horizontal="right" vertical="center"/>
    </xf>
    <xf numFmtId="2" fontId="14" fillId="0" borderId="20" xfId="2" applyNumberFormat="1" applyFont="1" applyBorder="1" applyAlignment="1">
      <alignment horizontal="right" vertical="center"/>
    </xf>
    <xf numFmtId="2" fontId="14" fillId="0" borderId="1" xfId="2" applyNumberFormat="1" applyFont="1" applyBorder="1" applyAlignment="1">
      <alignment horizontal="right" vertical="center"/>
    </xf>
    <xf numFmtId="2" fontId="14" fillId="0" borderId="23" xfId="2" applyNumberFormat="1" applyFont="1" applyBorder="1" applyAlignment="1">
      <alignment horizontal="right" vertical="center"/>
    </xf>
    <xf numFmtId="2" fontId="14" fillId="0" borderId="25" xfId="2" applyNumberFormat="1" applyFont="1" applyBorder="1" applyAlignment="1">
      <alignment horizontal="right" vertical="center"/>
    </xf>
    <xf numFmtId="2" fontId="14" fillId="0" borderId="22" xfId="2" applyNumberFormat="1" applyFont="1" applyBorder="1" applyAlignment="1">
      <alignment horizontal="right" vertical="center"/>
    </xf>
    <xf numFmtId="2" fontId="14" fillId="0" borderId="24" xfId="2" applyNumberFormat="1" applyFont="1" applyBorder="1" applyAlignment="1">
      <alignment horizontal="right" vertical="center"/>
    </xf>
    <xf numFmtId="2" fontId="14" fillId="0" borderId="29" xfId="2" applyNumberFormat="1" applyFont="1" applyBorder="1" applyAlignment="1">
      <alignment horizontal="right" vertical="center"/>
    </xf>
    <xf numFmtId="2" fontId="14" fillId="0" borderId="17" xfId="2" applyNumberFormat="1" applyFont="1" applyBorder="1" applyAlignment="1">
      <alignment horizontal="right" vertical="center"/>
    </xf>
    <xf numFmtId="2" fontId="14" fillId="0" borderId="28" xfId="2" applyNumberFormat="1" applyFont="1" applyBorder="1" applyAlignment="1">
      <alignment horizontal="right" vertical="center"/>
    </xf>
    <xf numFmtId="2" fontId="14" fillId="0" borderId="20" xfId="2" applyNumberFormat="1" applyFont="1" applyBorder="1" applyAlignment="1">
      <alignment horizontal="right" vertical="center"/>
    </xf>
    <xf numFmtId="2" fontId="14" fillId="0" borderId="1" xfId="2" applyNumberFormat="1" applyFont="1" applyBorder="1" applyAlignment="1">
      <alignment horizontal="right" vertical="center"/>
    </xf>
    <xf numFmtId="2" fontId="14" fillId="0" borderId="23" xfId="2" applyNumberFormat="1" applyFont="1" applyBorder="1" applyAlignment="1">
      <alignment horizontal="right" vertical="center"/>
    </xf>
    <xf numFmtId="2" fontId="14" fillId="0" borderId="25" xfId="2" applyNumberFormat="1" applyFont="1" applyBorder="1" applyAlignment="1">
      <alignment horizontal="right" vertical="center"/>
    </xf>
    <xf numFmtId="2" fontId="14" fillId="0" borderId="22" xfId="2" applyNumberFormat="1" applyFont="1" applyBorder="1" applyAlignment="1">
      <alignment horizontal="right" vertical="center"/>
    </xf>
    <xf numFmtId="2" fontId="14" fillId="0" borderId="24" xfId="2" applyNumberFormat="1" applyFont="1" applyBorder="1" applyAlignment="1">
      <alignment horizontal="right" vertical="center"/>
    </xf>
    <xf numFmtId="2" fontId="14" fillId="0" borderId="29" xfId="2" applyNumberFormat="1" applyFont="1" applyBorder="1" applyAlignment="1">
      <alignment horizontal="right" vertical="center"/>
    </xf>
    <xf numFmtId="2" fontId="14" fillId="0" borderId="17" xfId="2" applyNumberFormat="1" applyFont="1" applyBorder="1" applyAlignment="1">
      <alignment horizontal="right" vertical="center"/>
    </xf>
    <xf numFmtId="2" fontId="14" fillId="0" borderId="28" xfId="2" applyNumberFormat="1" applyFont="1" applyBorder="1" applyAlignment="1">
      <alignment horizontal="right" vertical="center"/>
    </xf>
    <xf numFmtId="2" fontId="14" fillId="0" borderId="20" xfId="2" applyNumberFormat="1" applyFont="1" applyBorder="1" applyAlignment="1">
      <alignment horizontal="right" vertical="center"/>
    </xf>
    <xf numFmtId="2" fontId="14" fillId="0" borderId="1" xfId="2" applyNumberFormat="1" applyFont="1" applyBorder="1" applyAlignment="1">
      <alignment horizontal="right" vertical="center"/>
    </xf>
    <xf numFmtId="2" fontId="14" fillId="0" borderId="23" xfId="2" applyNumberFormat="1" applyFont="1" applyBorder="1" applyAlignment="1">
      <alignment horizontal="right" vertical="center"/>
    </xf>
    <xf numFmtId="2" fontId="14" fillId="0" borderId="27" xfId="2" applyNumberFormat="1" applyFont="1" applyBorder="1" applyAlignment="1">
      <alignment horizontal="right" vertical="center"/>
    </xf>
    <xf numFmtId="2" fontId="14" fillId="0" borderId="15" xfId="2" applyNumberFormat="1" applyFont="1" applyBorder="1" applyAlignment="1">
      <alignment horizontal="right" vertical="center"/>
    </xf>
    <xf numFmtId="2" fontId="14" fillId="0" borderId="26" xfId="2" applyNumberFormat="1" applyFont="1" applyBorder="1" applyAlignment="1">
      <alignment horizontal="right" vertical="center"/>
    </xf>
    <xf numFmtId="2" fontId="14" fillId="0" borderId="29" xfId="2" applyNumberFormat="1" applyFont="1" applyBorder="1" applyAlignment="1">
      <alignment horizontal="right" vertical="center"/>
    </xf>
    <xf numFmtId="2" fontId="14" fillId="0" borderId="17" xfId="2" applyNumberFormat="1" applyFont="1" applyBorder="1" applyAlignment="1">
      <alignment horizontal="right" vertical="center"/>
    </xf>
    <xf numFmtId="2" fontId="14" fillId="0" borderId="28" xfId="2" applyNumberFormat="1" applyFont="1" applyBorder="1" applyAlignment="1">
      <alignment horizontal="right" vertical="center"/>
    </xf>
    <xf numFmtId="2" fontId="14" fillId="0" borderId="20" xfId="2" applyNumberFormat="1" applyFont="1" applyBorder="1" applyAlignment="1">
      <alignment horizontal="right" vertical="center"/>
    </xf>
    <xf numFmtId="2" fontId="14" fillId="0" borderId="1" xfId="2" applyNumberFormat="1" applyFont="1" applyBorder="1" applyAlignment="1">
      <alignment horizontal="right" vertical="center"/>
    </xf>
    <xf numFmtId="2" fontId="14" fillId="0" borderId="23" xfId="2" applyNumberFormat="1" applyFont="1" applyBorder="1" applyAlignment="1">
      <alignment horizontal="right" vertical="center"/>
    </xf>
    <xf numFmtId="2" fontId="14" fillId="0" borderId="27" xfId="2" applyNumberFormat="1" applyFont="1" applyBorder="1" applyAlignment="1">
      <alignment horizontal="right" vertical="center"/>
    </xf>
    <xf numFmtId="2" fontId="14" fillId="0" borderId="15" xfId="2" applyNumberFormat="1" applyFont="1" applyBorder="1" applyAlignment="1">
      <alignment horizontal="right" vertical="center"/>
    </xf>
    <xf numFmtId="2" fontId="14" fillId="0" borderId="26" xfId="2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2" xr:uid="{464276A5-6D02-4507-B9AC-7746B2C877E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M</a:t>
            </a:r>
            <a:r>
              <a:rPr lang="ru-RU" baseline="0"/>
              <a:t> от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ru-RU" sz="1400" b="0" i="0" u="none" strike="noStrike" baseline="0">
                <a:effectLst/>
              </a:rPr>
              <a:t> для разных положений утяжелителей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807946254424625"/>
          <c:y val="0.939767816292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6243685135688323E-2"/>
          <c:y val="4.696612143510194E-2"/>
          <c:w val="0.91043213176334614"/>
          <c:h val="0.8185194615088679"/>
        </c:manualLayout>
      </c:layout>
      <c:scatterChart>
        <c:scatterStyle val="smoothMarker"/>
        <c:varyColors val="0"/>
        <c:ser>
          <c:idx val="0"/>
          <c:order val="0"/>
          <c:tx>
            <c:v>рис.1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1.3218286793876409E-3</c:v>
                  </c:pt>
                </c:numCache>
              </c:numRef>
            </c:plus>
            <c:min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1.3218286793876409E-3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('Таблица 2'!$D$3,'Таблица 2'!$D$9,'Таблица 2'!$D$15,'Таблица 2'!$D$21)</c:f>
              <c:numCache>
                <c:formatCode>0.000</c:formatCode>
                <c:ptCount val="4"/>
                <c:pt idx="0">
                  <c:v>3.9747197727923989</c:v>
                </c:pt>
                <c:pt idx="1">
                  <c:v>7.204597768450177</c:v>
                </c:pt>
                <c:pt idx="2">
                  <c:v>10.7159486910171</c:v>
                </c:pt>
                <c:pt idx="3">
                  <c:v>15.631451075046845</c:v>
                </c:pt>
              </c:numCache>
            </c:numRef>
          </c:xVal>
          <c:yVal>
            <c:numRef>
              <c:f>('Таблица 2'!$E$3,'Таблица 2'!$E$9,'Таблица 2'!$E$15,'Таблица 2'!$E$21)</c:f>
              <c:numCache>
                <c:formatCode>0.000</c:formatCode>
                <c:ptCount val="4"/>
                <c:pt idx="0">
                  <c:v>5.9620398655131489E-2</c:v>
                </c:pt>
                <c:pt idx="1">
                  <c:v>0.10791372990909856</c:v>
                </c:pt>
                <c:pt idx="2">
                  <c:v>0.15535000304171354</c:v>
                </c:pt>
                <c:pt idx="3">
                  <c:v>0.20128040212746531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3-479B-986A-7D1D329330D6}"/>
            </c:ext>
          </c:extLst>
        </c:ser>
        <c:ser>
          <c:idx val="1"/>
          <c:order val="1"/>
          <c:tx>
            <c:v>рис.2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2'!$D$4,'Таблица 2'!$D$10,'Таблица 2'!$D$16,'Таблица 2'!$D$22)</c:f>
              <c:numCache>
                <c:formatCode>0.000</c:formatCode>
                <c:ptCount val="4"/>
                <c:pt idx="0">
                  <c:v>2.5282911769540561</c:v>
                </c:pt>
                <c:pt idx="1">
                  <c:v>5.1537740985466227</c:v>
                </c:pt>
                <c:pt idx="2">
                  <c:v>7.2045977684501725</c:v>
                </c:pt>
                <c:pt idx="3">
                  <c:v>10.196115813957139</c:v>
                </c:pt>
              </c:numCache>
            </c:numRef>
          </c:xVal>
          <c:yVal>
            <c:numRef>
              <c:f>('Таблица 2'!$E$4,'Таблица 2'!$E$10,'Таблица 2'!$E$16,'Таблица 2'!$E$22)</c:f>
              <c:numCache>
                <c:formatCode>0.000</c:formatCode>
                <c:ptCount val="4"/>
                <c:pt idx="0">
                  <c:v>5.9824696569293491E-2</c:v>
                </c:pt>
                <c:pt idx="1">
                  <c:v>0.10844206925541013</c:v>
                </c:pt>
                <c:pt idx="2">
                  <c:v>0.15666325882080637</c:v>
                </c:pt>
                <c:pt idx="3">
                  <c:v>0.20394579813880426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3-479B-986A-7D1D329330D6}"/>
            </c:ext>
          </c:extLst>
        </c:ser>
        <c:ser>
          <c:idx val="2"/>
          <c:order val="2"/>
          <c:tx>
            <c:v>рис.3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2'!$D$5,'Таблица 2'!$D$11,'Таблица 2'!$D$17,'Таблица 2'!$D$23)</c:f>
              <c:numCache>
                <c:formatCode>0.000</c:formatCode>
                <c:ptCount val="4"/>
                <c:pt idx="0">
                  <c:v>1.8955919963893484</c:v>
                </c:pt>
                <c:pt idx="1">
                  <c:v>3.8750650726453224</c:v>
                </c:pt>
                <c:pt idx="2">
                  <c:v>5.8950655868154138</c:v>
                </c:pt>
                <c:pt idx="3">
                  <c:v>7.3386339237788496</c:v>
                </c:pt>
              </c:numCache>
            </c:numRef>
          </c:xVal>
          <c:yVal>
            <c:numRef>
              <c:f>('Таблица 2'!$E$5,'Таблица 2'!$E$11,'Таблица 2'!$E$17,'Таблица 2'!$E$23)</c:f>
              <c:numCache>
                <c:formatCode>0.000</c:formatCode>
                <c:ptCount val="4"/>
                <c:pt idx="0">
                  <c:v>5.9914060899653995E-2</c:v>
                </c:pt>
                <c:pt idx="1">
                  <c:v>0.1087714941107899</c:v>
                </c:pt>
                <c:pt idx="2">
                  <c:v>0.1571530277853343</c:v>
                </c:pt>
                <c:pt idx="3">
                  <c:v>0.20534705868055558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3-479B-986A-7D1D329330D6}"/>
            </c:ext>
          </c:extLst>
        </c:ser>
        <c:ser>
          <c:idx val="3"/>
          <c:order val="3"/>
          <c:tx>
            <c:v>рис.4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2'!$D$6,'Таблица 2'!$D$12,'Таблица 2'!$D$18,'Таблица 2'!$D$24)</c:f>
              <c:numCache>
                <c:formatCode>0.000</c:formatCode>
                <c:ptCount val="4"/>
                <c:pt idx="0">
                  <c:v>1.3293845687993442</c:v>
                </c:pt>
                <c:pt idx="1">
                  <c:v>2.9102780673684103</c:v>
                </c:pt>
                <c:pt idx="2">
                  <c:v>4.1351575591845231</c:v>
                </c:pt>
                <c:pt idx="3">
                  <c:v>5.6008007900507364</c:v>
                </c:pt>
              </c:numCache>
            </c:numRef>
          </c:xVal>
          <c:yVal>
            <c:numRef>
              <c:f>('Таблица 2'!$E$6,'Таблица 2'!$E$12,'Таблица 2'!$E$18,'Таблица 2'!$E$24)</c:f>
              <c:numCache>
                <c:formatCode>0.000</c:formatCode>
                <c:ptCount val="4"/>
                <c:pt idx="0">
                  <c:v>5.9994033735349082E-2</c:v>
                </c:pt>
                <c:pt idx="1">
                  <c:v>0.10902004543345034</c:v>
                </c:pt>
                <c:pt idx="2">
                  <c:v>0.15781123866739236</c:v>
                </c:pt>
                <c:pt idx="3">
                  <c:v>0.20619926250617254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3-479B-986A-7D1D329330D6}"/>
            </c:ext>
          </c:extLst>
        </c:ser>
        <c:ser>
          <c:idx val="4"/>
          <c:order val="4"/>
          <c:tx>
            <c:v>рис.5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2'!$D$7,'Таблица 2'!$D$13,'Таблица 2'!$D$19,'Таблица 2'!$D$25)</c:f>
              <c:numCache>
                <c:formatCode>0.000</c:formatCode>
                <c:ptCount val="4"/>
                <c:pt idx="0">
                  <c:v>1.0631413125745148</c:v>
                </c:pt>
                <c:pt idx="1">
                  <c:v>2.0771633887489749</c:v>
                </c:pt>
                <c:pt idx="2">
                  <c:v>3.2167824133910048</c:v>
                </c:pt>
                <c:pt idx="3">
                  <c:v>4.050263513037204</c:v>
                </c:pt>
              </c:numCache>
            </c:numRef>
          </c:xVal>
          <c:yVal>
            <c:numRef>
              <c:f>('Таблица 2'!$E$7,'Таблица 2'!$E$13,'Таблица 2'!$E$19,'Таблица 2'!$E$25)</c:f>
              <c:numCache>
                <c:formatCode>0.000</c:formatCode>
                <c:ptCount val="4"/>
                <c:pt idx="0">
                  <c:v>6.0031638731588052E-2</c:v>
                </c:pt>
                <c:pt idx="1">
                  <c:v>0.10923467493630032</c:v>
                </c:pt>
                <c:pt idx="2">
                  <c:v>0.15815471372704454</c:v>
                </c:pt>
                <c:pt idx="3">
                  <c:v>0.20695961962768628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B3-479B-986A-7D1D329330D6}"/>
            </c:ext>
          </c:extLst>
        </c:ser>
        <c:ser>
          <c:idx val="5"/>
          <c:order val="5"/>
          <c:tx>
            <c:v>рис.6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2'!$D$8,'Таблица 2'!$D$14,'Таблица 2'!$D$20,'Таблица 2'!$D$26)</c:f>
              <c:numCache>
                <c:formatCode>0.000</c:formatCode>
                <c:ptCount val="4"/>
                <c:pt idx="0">
                  <c:v>0.88003837246681171</c:v>
                </c:pt>
                <c:pt idx="1">
                  <c:v>1.6076048795044002</c:v>
                </c:pt>
                <c:pt idx="2">
                  <c:v>2.4122160594356252</c:v>
                </c:pt>
                <c:pt idx="3">
                  <c:v>3.1345831795480281</c:v>
                </c:pt>
              </c:numCache>
            </c:numRef>
          </c:xVal>
          <c:yVal>
            <c:numRef>
              <c:f>('Таблица 2'!$E$8,'Таблица 2'!$E$14,'Таблица 2'!$E$20,'Таблица 2'!$E$26)</c:f>
              <c:numCache>
                <c:formatCode>0.000</c:formatCode>
                <c:ptCount val="4"/>
                <c:pt idx="0">
                  <c:v>6.0057500740157678E-2</c:v>
                </c:pt>
                <c:pt idx="1">
                  <c:v>0.10935564400812745</c:v>
                </c:pt>
                <c:pt idx="2">
                  <c:v>0.15845562395712293</c:v>
                </c:pt>
                <c:pt idx="3">
                  <c:v>0.20740865369666373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B3-479B-986A-7D1D3293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5728"/>
        <c:axId val="294941024"/>
      </c:scatterChart>
      <c:valAx>
        <c:axId val="2949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, </a:t>
                </a:r>
                <a:r>
                  <a:rPr lang="ru-RU"/>
                  <a:t>с</a:t>
                </a:r>
                <a:r>
                  <a:rPr lang="ru-RU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1024"/>
        <c:crosses val="autoZero"/>
        <c:crossBetween val="midCat"/>
      </c:valAx>
      <c:valAx>
        <c:axId val="2949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en-US" baseline="0"/>
                  <a:t> </a:t>
                </a:r>
                <a:r>
                  <a:rPr lang="ru-RU" baseline="0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0.000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1.2135740979690725E-2</c:v>
                </c:pt>
                <c:pt idx="1">
                  <c:v>1.9086327390541908E-2</c:v>
                </c:pt>
                <c:pt idx="2">
                  <c:v>2.6277337569282643E-2</c:v>
                </c:pt>
                <c:pt idx="3">
                  <c:v>3.46448260340734E-2</c:v>
                </c:pt>
                <c:pt idx="4">
                  <c:v>4.8318172960177222E-2</c:v>
                </c:pt>
                <c:pt idx="5">
                  <c:v>6.4867730464362949E-2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A-4DC3-9215-65B02991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512"/>
        <c:axId val="294944944"/>
      </c:scatterChart>
      <c:valAx>
        <c:axId val="294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4944"/>
        <c:crosses val="autoZero"/>
        <c:crossBetween val="midCat"/>
      </c:valAx>
      <c:valAx>
        <c:axId val="294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0.000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1.2135740979690725E-2</c:v>
                </c:pt>
                <c:pt idx="1">
                  <c:v>1.9086327390541908E-2</c:v>
                </c:pt>
                <c:pt idx="2">
                  <c:v>2.6277337569282643E-2</c:v>
                </c:pt>
                <c:pt idx="3">
                  <c:v>3.46448260340734E-2</c:v>
                </c:pt>
                <c:pt idx="4">
                  <c:v>4.8318172960177222E-2</c:v>
                </c:pt>
                <c:pt idx="5">
                  <c:v>6.4867730464362949E-2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F-4724-9462-27DB9D76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120"/>
        <c:axId val="294946904"/>
      </c:scatterChart>
      <c:valAx>
        <c:axId val="2949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904"/>
        <c:crosses val="autoZero"/>
        <c:crossBetween val="midCat"/>
      </c:valAx>
      <c:valAx>
        <c:axId val="2949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9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15240</xdr:rowOff>
    </xdr:from>
    <xdr:to>
      <xdr:col>17</xdr:col>
      <xdr:colOff>80010</xdr:colOff>
      <xdr:row>31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1C2F6E-36CC-42C9-B36D-A1F9079A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99654-640A-488E-9ABB-47D651E6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33</xdr:row>
      <xdr:rowOff>117451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DFC4ED-F82E-4BC9-92C9-4A0BD4DA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61524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F76E5-E835-47EC-9407-7BA575B4B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G9"/>
  <sheetViews>
    <sheetView workbookViewId="0">
      <selection activeCell="A18" sqref="A18"/>
    </sheetView>
  </sheetViews>
  <sheetFormatPr defaultRowHeight="14.25" x14ac:dyDescent="0.45"/>
  <cols>
    <col min="1" max="1" width="26.33203125" customWidth="1"/>
  </cols>
  <sheetData>
    <row r="1" spans="1:7" x14ac:dyDescent="0.45">
      <c r="A1" s="29" t="s">
        <v>42</v>
      </c>
    </row>
    <row r="2" spans="1:7" ht="42.75" x14ac:dyDescent="0.45">
      <c r="A2" s="29" t="s">
        <v>38</v>
      </c>
      <c r="B2" s="25">
        <v>1</v>
      </c>
      <c r="C2" s="25">
        <v>1</v>
      </c>
      <c r="D2" s="25">
        <v>1</v>
      </c>
      <c r="E2" s="25">
        <v>1</v>
      </c>
      <c r="F2" s="25"/>
      <c r="G2" s="25"/>
    </row>
    <row r="3" spans="1:7" ht="28.5" x14ac:dyDescent="0.45">
      <c r="A3" s="29" t="s">
        <v>41</v>
      </c>
      <c r="B3" s="25">
        <v>1</v>
      </c>
      <c r="C3" s="25">
        <v>1</v>
      </c>
      <c r="D3" s="25">
        <v>1</v>
      </c>
      <c r="E3" s="25">
        <v>1</v>
      </c>
      <c r="F3" s="25"/>
      <c r="G3" s="25"/>
    </row>
    <row r="4" spans="1:7" x14ac:dyDescent="0.45">
      <c r="A4" s="29" t="s">
        <v>40</v>
      </c>
    </row>
    <row r="5" spans="1:7" ht="28.5" x14ac:dyDescent="0.45">
      <c r="A5" s="29" t="s">
        <v>43</v>
      </c>
    </row>
    <row r="6" spans="1:7" ht="28.5" x14ac:dyDescent="0.45">
      <c r="A6" s="29" t="s">
        <v>46</v>
      </c>
      <c r="B6" s="28"/>
    </row>
    <row r="7" spans="1:7" x14ac:dyDescent="0.45">
      <c r="A7" s="29" t="s">
        <v>44</v>
      </c>
      <c r="B7">
        <f>B5*B5*B2*B2</f>
        <v>0</v>
      </c>
    </row>
    <row r="8" spans="1:7" ht="28.5" x14ac:dyDescent="0.45">
      <c r="A8" s="29" t="s">
        <v>39</v>
      </c>
      <c r="B8">
        <f>SQRT(SUM(7:7))</f>
        <v>0</v>
      </c>
    </row>
    <row r="9" spans="1:7" ht="28.5" x14ac:dyDescent="0.45">
      <c r="A9" s="29" t="s">
        <v>47</v>
      </c>
      <c r="B9">
        <f>B8/B3</f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499984740745262"/>
    <pageSetUpPr fitToPage="1"/>
  </sheetPr>
  <dimension ref="A1"/>
  <sheetViews>
    <sheetView zoomScaleNormal="100" workbookViewId="0"/>
  </sheetViews>
  <sheetFormatPr defaultRowHeight="14.25" x14ac:dyDescent="0.45"/>
  <sheetData/>
  <pageMargins left="0.7" right="0.7" top="0.75" bottom="0.75" header="0.3" footer="0.3"/>
  <pageSetup paperSize="9" scale="81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-0.499984740745262"/>
  </sheetPr>
  <dimension ref="A1"/>
  <sheetViews>
    <sheetView zoomScaleNormal="100"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2"/>
  <sheetViews>
    <sheetView workbookViewId="0">
      <selection activeCell="A3" sqref="A3"/>
    </sheetView>
  </sheetViews>
  <sheetFormatPr defaultRowHeight="14.25" x14ac:dyDescent="0.45"/>
  <sheetData>
    <row r="1" spans="1:5" ht="15.75" x14ac:dyDescent="0.55000000000000004">
      <c r="A1" s="2" t="s">
        <v>12</v>
      </c>
      <c r="B1" s="2" t="s">
        <v>13</v>
      </c>
      <c r="C1" s="2" t="s">
        <v>49</v>
      </c>
      <c r="D1" s="2" t="s">
        <v>50</v>
      </c>
      <c r="E1" s="2" t="s">
        <v>26</v>
      </c>
    </row>
    <row r="2" spans="1:5" x14ac:dyDescent="0.45">
      <c r="A2" s="12">
        <v>0.7</v>
      </c>
      <c r="B2" s="12">
        <v>4.5999999999999999E-2</v>
      </c>
      <c r="C2" s="2">
        <v>5.7000000000000002E-2</v>
      </c>
      <c r="D2" s="2">
        <v>2.5000000000000001E-2</v>
      </c>
      <c r="E2" s="2">
        <v>0.04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N4"/>
  <sheetViews>
    <sheetView topLeftCell="F1" workbookViewId="0">
      <selection activeCell="N2" sqref="N2"/>
    </sheetView>
  </sheetViews>
  <sheetFormatPr defaultRowHeight="14.25" x14ac:dyDescent="0.45"/>
  <cols>
    <col min="1" max="1" width="9.53125" bestFit="1" customWidth="1"/>
    <col min="2" max="2" width="17" bestFit="1" customWidth="1"/>
    <col min="9" max="9" width="9.1328125" customWidth="1"/>
    <col min="10" max="10" width="12" customWidth="1"/>
    <col min="11" max="11" width="19.33203125" customWidth="1"/>
    <col min="12" max="12" width="18.46484375" customWidth="1"/>
    <col min="13" max="13" width="18.53125" customWidth="1"/>
    <col min="14" max="14" width="14.53125" customWidth="1"/>
  </cols>
  <sheetData>
    <row r="1" spans="1:14" ht="45" thickTop="1" thickBot="1" x14ac:dyDescent="0.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4.65" thickTop="1" x14ac:dyDescent="0.45">
      <c r="A2" s="15">
        <f>'Таблица 1'!B3</f>
        <v>3.92</v>
      </c>
      <c r="B2">
        <f>(A2-$H$2)*(A2-$H$2)</f>
        <v>4.4444444444440577E-5</v>
      </c>
      <c r="H2">
        <f>SUM(A:A)/COUNT(A:A)</f>
        <v>3.9133333333333336</v>
      </c>
      <c r="I2">
        <f>SQRT(SUM(B:B)/COUNT(A:A)/(COUNT(A:A)-1))</f>
        <v>2.3333333333333345E-2</v>
      </c>
      <c r="J2">
        <v>4.3</v>
      </c>
      <c r="K2">
        <f>J2*I2</f>
        <v>0.10033333333333339</v>
      </c>
      <c r="L2">
        <v>0.01</v>
      </c>
      <c r="M2">
        <f>SQRT(K2*K2+(2/3*L2)*(2/3*L2))</f>
        <v>0.10055457335309137</v>
      </c>
      <c r="N2" s="28">
        <f>M2/H2</f>
        <v>2.5695376495679226E-2</v>
      </c>
    </row>
    <row r="3" spans="1:14" x14ac:dyDescent="0.45">
      <c r="A3" s="15">
        <f>'Таблица 1'!B4</f>
        <v>3.87</v>
      </c>
      <c r="B3">
        <f t="shared" ref="B3:B4" si="0">(A3-$H$2)*(A3-$H$2)</f>
        <v>1.8777777777777874E-3</v>
      </c>
    </row>
    <row r="4" spans="1:14" x14ac:dyDescent="0.45">
      <c r="A4" s="15">
        <f>'Таблица 1'!B5</f>
        <v>3.95</v>
      </c>
      <c r="B4">
        <f t="shared" si="0"/>
        <v>1.3444444444444413E-3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7"/>
  <sheetViews>
    <sheetView workbookViewId="0">
      <selection activeCell="A2" sqref="A2"/>
    </sheetView>
  </sheetViews>
  <sheetFormatPr defaultRowHeight="14.25" x14ac:dyDescent="0.45"/>
  <cols>
    <col min="1" max="1" width="9.53125" bestFit="1" customWidth="1"/>
    <col min="2" max="2" width="17" bestFit="1" customWidth="1"/>
    <col min="9" max="9" width="9.1328125" customWidth="1"/>
    <col min="10" max="10" width="12" customWidth="1"/>
    <col min="11" max="11" width="19.33203125" customWidth="1"/>
    <col min="12" max="12" width="18.46484375" customWidth="1"/>
    <col min="13" max="13" width="18.53125" customWidth="1"/>
    <col min="14" max="14" width="14.53125" customWidth="1"/>
  </cols>
  <sheetData>
    <row r="1" spans="1:14" ht="45" thickTop="1" thickBot="1" x14ac:dyDescent="0.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4.65" thickTop="1" x14ac:dyDescent="0.45">
      <c r="A2" s="15">
        <f>'Таблица 2'!C3</f>
        <v>9.1418554774225169E-2</v>
      </c>
      <c r="B2" s="15">
        <f>(A2-$H$2)*(A2-$H$2)</f>
        <v>2.1789365570395475E-3</v>
      </c>
      <c r="H2" s="15">
        <f>SUM(A:A)/COUNT(A:A)</f>
        <v>4.4739474266576484E-2</v>
      </c>
      <c r="I2" s="15">
        <f>SQRT(SUM(B:B)/COUNT(A:A)/(COUNT(A:A)-1))</f>
        <v>1.0912469716800837E-2</v>
      </c>
      <c r="J2" s="15">
        <v>4.3</v>
      </c>
      <c r="K2" s="15">
        <f>J2*I2</f>
        <v>4.6923619782243596E-2</v>
      </c>
      <c r="L2" s="15">
        <v>1E-3</v>
      </c>
      <c r="M2" s="15">
        <f>SQRT((2/'Погрешности прямые (t)'!H2^2*0.001)^2+(6*'Параметры установки'!A2/'Погрешности прямые (t)'!H2^3*'Погрешности прямые (t)'!M2)^2)</f>
        <v>7.0483125769816232E-3</v>
      </c>
      <c r="N2" s="28">
        <f>M2/H2</f>
        <v>0.15754124724364957</v>
      </c>
    </row>
    <row r="3" spans="1:14" x14ac:dyDescent="0.45">
      <c r="A3" s="15">
        <f>'Таблица 2'!C4</f>
        <v>5.8150697069943288E-2</v>
      </c>
      <c r="B3" s="15">
        <f t="shared" ref="B3:B7" si="0">(A3-$H$2)*(A3-$H$2)</f>
        <v>1.7986089708154577E-4</v>
      </c>
    </row>
    <row r="4" spans="1:14" x14ac:dyDescent="0.45">
      <c r="A4" s="15">
        <f>'Таблица 2'!C5</f>
        <v>4.3598615916955012E-2</v>
      </c>
      <c r="B4" s="15">
        <f t="shared" si="0"/>
        <v>1.3015577739010294E-6</v>
      </c>
    </row>
    <row r="5" spans="1:14" x14ac:dyDescent="0.45">
      <c r="A5" s="15">
        <f>'Таблица 2'!C6</f>
        <v>3.0575845082384916E-2</v>
      </c>
      <c r="B5" s="15">
        <f>(A5-$H$2)*(A5-$H$2)</f>
        <v>2.0060839166728312E-4</v>
      </c>
    </row>
    <row r="6" spans="1:14" x14ac:dyDescent="0.45">
      <c r="A6" s="15">
        <f>'Таблица 2'!C7</f>
        <v>2.4452250189213841E-2</v>
      </c>
      <c r="B6" s="15">
        <f t="shared" si="0"/>
        <v>4.1157146076512257E-4</v>
      </c>
    </row>
    <row r="7" spans="1:14" x14ac:dyDescent="0.45">
      <c r="A7" s="15">
        <f>'Таблица 2'!C8</f>
        <v>2.024088256673667E-2</v>
      </c>
      <c r="B7" s="15">
        <f t="shared" si="0"/>
        <v>6.0018099527546021E-4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G9"/>
  <sheetViews>
    <sheetView workbookViewId="0">
      <selection activeCell="B8" sqref="B8"/>
    </sheetView>
  </sheetViews>
  <sheetFormatPr defaultRowHeight="14.25" x14ac:dyDescent="0.45"/>
  <cols>
    <col min="1" max="1" width="26.33203125" customWidth="1"/>
  </cols>
  <sheetData>
    <row r="1" spans="1:7" x14ac:dyDescent="0.45">
      <c r="A1" s="29" t="s">
        <v>42</v>
      </c>
      <c r="B1" t="s">
        <v>27</v>
      </c>
    </row>
    <row r="2" spans="1:7" ht="42.75" x14ac:dyDescent="0.45">
      <c r="A2" s="29" t="s">
        <v>38</v>
      </c>
      <c r="B2" s="25">
        <f>-4*'Параметры установки'!A2/'Погрешности прямые (t)'!H2^3</f>
        <v>-4.6721578249178108E-2</v>
      </c>
      <c r="C2" s="25"/>
      <c r="D2" s="25"/>
      <c r="E2" s="25"/>
      <c r="F2" s="25"/>
      <c r="G2" s="25"/>
    </row>
    <row r="3" spans="1:7" ht="28.5" x14ac:dyDescent="0.45">
      <c r="A3" s="29" t="s">
        <v>41</v>
      </c>
      <c r="B3" s="27">
        <f>'Погрешности прямые (t)'!H2</f>
        <v>3.9133333333333336</v>
      </c>
      <c r="C3" s="25"/>
      <c r="D3" s="25"/>
      <c r="E3" s="25"/>
      <c r="F3" s="25"/>
      <c r="G3" s="25"/>
    </row>
    <row r="4" spans="1:7" x14ac:dyDescent="0.45">
      <c r="A4" s="29" t="s">
        <v>40</v>
      </c>
      <c r="B4" s="15">
        <f>2*'Параметры установки'!A2/'Погрешности прямые (t)'!H2^2</f>
        <v>9.1418554774225183E-2</v>
      </c>
    </row>
    <row r="5" spans="1:7" ht="28.5" x14ac:dyDescent="0.45">
      <c r="A5" s="29" t="s">
        <v>43</v>
      </c>
      <c r="B5" s="15">
        <f>'Погрешности прямые (t)'!M2</f>
        <v>0.10055457335309137</v>
      </c>
    </row>
    <row r="6" spans="1:7" ht="28.5" x14ac:dyDescent="0.45">
      <c r="A6" s="29" t="s">
        <v>46</v>
      </c>
      <c r="B6" s="28">
        <f>'Погрешности прямые (t)'!N2</f>
        <v>2.5695376495679226E-2</v>
      </c>
    </row>
    <row r="7" spans="1:7" x14ac:dyDescent="0.45">
      <c r="A7" s="29" t="s">
        <v>44</v>
      </c>
      <c r="B7">
        <f>B5*B5*B2*B2</f>
        <v>2.207184638315944E-5</v>
      </c>
    </row>
    <row r="8" spans="1:7" ht="28.5" x14ac:dyDescent="0.45">
      <c r="A8" s="29" t="s">
        <v>39</v>
      </c>
      <c r="B8">
        <f>SQRT(SUM(7:7))</f>
        <v>4.6980683672291782E-3</v>
      </c>
    </row>
    <row r="9" spans="1:7" ht="28.5" x14ac:dyDescent="0.45">
      <c r="A9" s="29" t="s">
        <v>47</v>
      </c>
      <c r="B9" s="28">
        <f>B8/B4</f>
        <v>5.1390752991358438E-2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N8"/>
  <sheetViews>
    <sheetView workbookViewId="0">
      <selection activeCell="H2" sqref="H2"/>
    </sheetView>
  </sheetViews>
  <sheetFormatPr defaultRowHeight="14.25" x14ac:dyDescent="0.45"/>
  <cols>
    <col min="1" max="1" width="9.53125" bestFit="1" customWidth="1"/>
    <col min="2" max="2" width="17" bestFit="1" customWidth="1"/>
    <col min="9" max="9" width="9.1328125" customWidth="1"/>
    <col min="10" max="10" width="12" customWidth="1"/>
    <col min="11" max="11" width="19.33203125" customWidth="1"/>
    <col min="12" max="12" width="18.46484375" customWidth="1"/>
    <col min="13" max="13" width="18.53125" customWidth="1"/>
    <col min="14" max="14" width="14.53125" customWidth="1"/>
  </cols>
  <sheetData>
    <row r="1" spans="1:14" ht="45" thickTop="1" thickBot="1" x14ac:dyDescent="0.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4.65" thickTop="1" x14ac:dyDescent="0.45">
      <c r="A2" s="15">
        <f>'Таблица 2'!D3</f>
        <v>3.9747197727923989</v>
      </c>
      <c r="B2" s="15">
        <f>(A2-$H$2)*(A2-$H$2)</f>
        <v>4.1189726976172922</v>
      </c>
      <c r="H2" s="15">
        <f>SUM(A:A)/COUNT(A:A)</f>
        <v>1.9451945333294125</v>
      </c>
      <c r="I2" s="15">
        <f>SQRT(SUM(B:B)/COUNT(A:A)/(COUNT(A:A)-1))</f>
        <v>0.4744552050782973</v>
      </c>
      <c r="J2" s="15">
        <v>0.95</v>
      </c>
      <c r="K2" s="15">
        <f>J2*I2</f>
        <v>0.45073244482438241</v>
      </c>
      <c r="L2" s="15">
        <v>1E-3</v>
      </c>
      <c r="M2" s="15">
        <f>SQRT(K2*K2+(2/3*L2)*(2/3*L2))</f>
        <v>0.45073293784879909</v>
      </c>
      <c r="N2" s="28">
        <f>M2/H2</f>
        <v>0.23171612408210943</v>
      </c>
    </row>
    <row r="3" spans="1:14" x14ac:dyDescent="0.45">
      <c r="A3" s="15">
        <f>'Таблица 2'!D4</f>
        <v>2.5282911769540561</v>
      </c>
      <c r="B3" s="15">
        <f t="shared" ref="B3:B7" si="0">(A3-$H$2)*(A3-$H$2)</f>
        <v>0.34000169580632467</v>
      </c>
    </row>
    <row r="4" spans="1:14" x14ac:dyDescent="0.45">
      <c r="A4" s="15">
        <f>'Таблица 2'!D5</f>
        <v>1.8955919963893484</v>
      </c>
      <c r="B4" s="15">
        <f t="shared" si="0"/>
        <v>2.4604116708904248E-3</v>
      </c>
    </row>
    <row r="5" spans="1:14" x14ac:dyDescent="0.45">
      <c r="A5" s="15">
        <f>'Таблица 2'!D6</f>
        <v>1.3293845687993442</v>
      </c>
      <c r="B5" s="15">
        <f t="shared" si="0"/>
        <v>0.37922191241452397</v>
      </c>
    </row>
    <row r="6" spans="1:14" x14ac:dyDescent="0.45">
      <c r="A6" s="15">
        <f>'Таблица 2'!D7</f>
        <v>1.0631413125745148</v>
      </c>
      <c r="B6" s="15">
        <f t="shared" si="0"/>
        <v>0.77801788424408824</v>
      </c>
    </row>
    <row r="7" spans="1:14" x14ac:dyDescent="0.45">
      <c r="A7" s="15">
        <f>'Таблица 2'!D8</f>
        <v>0.88003837246681171</v>
      </c>
      <c r="B7" s="15">
        <f t="shared" si="0"/>
        <v>1.1345576470235548</v>
      </c>
    </row>
    <row r="8" spans="1:14" x14ac:dyDescent="0.45">
      <c r="A8" s="15"/>
      <c r="B8" s="15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9"/>
  <sheetViews>
    <sheetView workbookViewId="0">
      <selection activeCell="B9" sqref="B9"/>
    </sheetView>
  </sheetViews>
  <sheetFormatPr defaultRowHeight="14.25" x14ac:dyDescent="0.45"/>
  <cols>
    <col min="1" max="1" width="26.33203125" customWidth="1"/>
  </cols>
  <sheetData>
    <row r="1" spans="1:7" x14ac:dyDescent="0.45">
      <c r="A1" s="29" t="s">
        <v>42</v>
      </c>
      <c r="B1" s="26" t="s">
        <v>45</v>
      </c>
    </row>
    <row r="2" spans="1:7" ht="42.75" x14ac:dyDescent="0.45">
      <c r="A2" s="29" t="s">
        <v>38</v>
      </c>
      <c r="B2" s="25">
        <f>2*'Погрешности косвенные (a)'!B8/'Параметры установки'!B2</f>
        <v>0.20426384205344253</v>
      </c>
      <c r="C2" s="25"/>
      <c r="D2" s="25"/>
      <c r="E2" s="25"/>
      <c r="F2" s="25"/>
      <c r="G2" s="25"/>
    </row>
    <row r="3" spans="1:7" ht="28.5" x14ac:dyDescent="0.45">
      <c r="A3" s="29" t="s">
        <v>41</v>
      </c>
      <c r="B3" s="27">
        <f>'Погрешности прямые (e)'!H2</f>
        <v>1.9451945333294125</v>
      </c>
      <c r="C3" s="25"/>
      <c r="D3" s="25"/>
      <c r="E3" s="25"/>
      <c r="F3" s="25"/>
      <c r="G3" s="25"/>
    </row>
    <row r="4" spans="1:7" x14ac:dyDescent="0.45">
      <c r="A4" s="29" t="s">
        <v>40</v>
      </c>
      <c r="B4">
        <f>4*'Параметры установки'!A2/'Параметры установки'!B2/'Погрешности прямые (t)'!H2^2</f>
        <v>3.9747197727923993</v>
      </c>
    </row>
    <row r="5" spans="1:7" ht="28.5" x14ac:dyDescent="0.45">
      <c r="A5" s="29" t="s">
        <v>43</v>
      </c>
      <c r="B5" s="15">
        <f>4*'Погрешности прямые (a)'!H2/'Параметры установки'!B2^2*0.001</f>
        <v>8.4573675362148368E-2</v>
      </c>
    </row>
    <row r="6" spans="1:7" ht="28.5" x14ac:dyDescent="0.45">
      <c r="A6" s="29" t="s">
        <v>46</v>
      </c>
      <c r="B6" s="28">
        <f>'Погрешности прямые (t)'!N2</f>
        <v>2.5695376495679226E-2</v>
      </c>
    </row>
    <row r="7" spans="1:7" x14ac:dyDescent="0.45">
      <c r="A7" s="29" t="s">
        <v>44</v>
      </c>
      <c r="B7" s="15">
        <f>B5^2</f>
        <v>7.1527065642620615E-3</v>
      </c>
      <c r="C7">
        <f>B2^2</f>
        <v>4.1723717170433716E-2</v>
      </c>
    </row>
    <row r="8" spans="1:7" ht="28.5" x14ac:dyDescent="0.45">
      <c r="A8" s="29" t="s">
        <v>39</v>
      </c>
      <c r="B8">
        <f>SQRT(SUM(7:7))</f>
        <v>0.22108012966952906</v>
      </c>
    </row>
    <row r="9" spans="1:7" ht="28.5" x14ac:dyDescent="0.45">
      <c r="A9" s="29" t="s">
        <v>47</v>
      </c>
      <c r="B9" s="28">
        <f>B8/B3</f>
        <v>0.11365450903829465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7"/>
  <sheetViews>
    <sheetView workbookViewId="0">
      <selection activeCell="H2" sqref="H2"/>
    </sheetView>
  </sheetViews>
  <sheetFormatPr defaultRowHeight="14.25" x14ac:dyDescent="0.45"/>
  <cols>
    <col min="1" max="1" width="9.53125" bestFit="1" customWidth="1"/>
    <col min="2" max="2" width="17" bestFit="1" customWidth="1"/>
    <col min="9" max="9" width="9.1328125" customWidth="1"/>
    <col min="10" max="10" width="12" customWidth="1"/>
    <col min="11" max="11" width="19.33203125" customWidth="1"/>
    <col min="12" max="12" width="18.46484375" customWidth="1"/>
    <col min="13" max="13" width="18.53125" customWidth="1"/>
    <col min="14" max="14" width="14.53125" customWidth="1"/>
  </cols>
  <sheetData>
    <row r="1" spans="1:14" ht="45" thickTop="1" thickBot="1" x14ac:dyDescent="0.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4.65" thickTop="1" x14ac:dyDescent="0.45">
      <c r="A2" s="15">
        <f>'Таблица 2'!E3</f>
        <v>5.9620398655131489E-2</v>
      </c>
      <c r="B2" s="15">
        <f>(A2-$H$2)*(A2-$H$2)</f>
        <v>8.2171796145629465E-8</v>
      </c>
      <c r="H2" s="15">
        <f>SUM(A:A)/COUNT(A:A)</f>
        <v>5.9907054888528967E-2</v>
      </c>
      <c r="I2" s="15">
        <f>SQRT(SUM(B:B)/COUNT(A:A)/(COUNT(A:A)-1))</f>
        <v>6.7013476530874524E-5</v>
      </c>
      <c r="J2" s="15">
        <v>4.3</v>
      </c>
      <c r="K2" s="15">
        <f>J2*I2</f>
        <v>2.8815794908276045E-4</v>
      </c>
      <c r="L2" s="15">
        <v>1E-3</v>
      </c>
      <c r="M2" s="15">
        <f>SQRT(K2*K2+(2/3*L2)*(2/3*L2))</f>
        <v>7.2627780364267443E-4</v>
      </c>
      <c r="N2" s="28">
        <f>M2/H2</f>
        <v>1.2123410256005466E-2</v>
      </c>
    </row>
    <row r="3" spans="1:14" x14ac:dyDescent="0.45">
      <c r="A3" s="15">
        <f>'Таблица 2'!E4</f>
        <v>5.9824696569293491E-2</v>
      </c>
      <c r="B3" s="15">
        <f t="shared" ref="B3:B7" si="0">(A3-$H$2)*(A3-$H$2)</f>
        <v>6.7828927472925733E-9</v>
      </c>
    </row>
    <row r="4" spans="1:14" x14ac:dyDescent="0.45">
      <c r="A4" s="15">
        <f>'Таблица 2'!E5</f>
        <v>5.9914060899653995E-2</v>
      </c>
      <c r="B4" s="15">
        <f t="shared" si="0"/>
        <v>4.908419188402108E-11</v>
      </c>
    </row>
    <row r="5" spans="1:14" x14ac:dyDescent="0.45">
      <c r="A5" s="15">
        <f>'Таблица 2'!E6</f>
        <v>5.9994033735349082E-2</v>
      </c>
      <c r="B5" s="15">
        <f t="shared" si="0"/>
        <v>7.5653197941571118E-9</v>
      </c>
    </row>
    <row r="6" spans="1:14" x14ac:dyDescent="0.45">
      <c r="A6" s="15">
        <f>'Таблица 2'!E7</f>
        <v>6.0031638731588052E-2</v>
      </c>
      <c r="B6" s="15">
        <f t="shared" si="0"/>
        <v>1.5521133951370816E-8</v>
      </c>
    </row>
    <row r="7" spans="1:14" x14ac:dyDescent="0.45">
      <c r="A7" s="15">
        <f>'Таблица 2'!E8</f>
        <v>6.0057500740157678E-2</v>
      </c>
      <c r="B7" s="15">
        <f t="shared" si="0"/>
        <v>2.2633954272288139E-8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G9"/>
  <sheetViews>
    <sheetView workbookViewId="0">
      <selection activeCell="B9" sqref="B9"/>
    </sheetView>
  </sheetViews>
  <sheetFormatPr defaultRowHeight="14.25" x14ac:dyDescent="0.45"/>
  <cols>
    <col min="1" max="1" width="26.33203125" customWidth="1"/>
    <col min="2" max="2" width="12" bestFit="1" customWidth="1"/>
    <col min="3" max="3" width="11" bestFit="1" customWidth="1"/>
    <col min="4" max="4" width="12" bestFit="1" customWidth="1"/>
  </cols>
  <sheetData>
    <row r="1" spans="1:7" x14ac:dyDescent="0.45">
      <c r="A1" s="29" t="s">
        <v>42</v>
      </c>
      <c r="B1" t="s">
        <v>48</v>
      </c>
    </row>
    <row r="2" spans="1:7" x14ac:dyDescent="0.45">
      <c r="A2" s="29"/>
      <c r="B2" s="25">
        <f>'Параметры установки'!B2/2*(9.8-'Погрешности прямые (a)'!H2)*0.001</f>
        <v>2.2437099209186875E-4</v>
      </c>
      <c r="C2" s="25"/>
      <c r="D2" s="25"/>
      <c r="E2" s="25"/>
      <c r="F2" s="25"/>
      <c r="G2" s="25"/>
    </row>
    <row r="3" spans="1:7" ht="28.5" x14ac:dyDescent="0.45">
      <c r="A3" s="29" t="s">
        <v>41</v>
      </c>
      <c r="B3" s="27">
        <f>'Погрешности прямые (M)'!H2</f>
        <v>5.9907054888528967E-2</v>
      </c>
      <c r="C3" s="25"/>
      <c r="D3" s="25"/>
      <c r="E3" s="25"/>
      <c r="F3" s="25"/>
      <c r="G3" s="25"/>
    </row>
    <row r="4" spans="1:7" x14ac:dyDescent="0.45">
      <c r="A4" s="29"/>
      <c r="B4">
        <f>'Таблица 2'!A3*'Параметры установки'!B2/2*'Погрешности косвенные (a)'!B8</f>
        <v>2.8850837843154386E-5</v>
      </c>
    </row>
    <row r="5" spans="1:7" x14ac:dyDescent="0.45">
      <c r="A5" s="29"/>
      <c r="B5">
        <f>'Таблица 2'!A3/2*(9.8-'Погрешности прямые (a)'!H2)*0.001</f>
        <v>1.3023272801854122E-3</v>
      </c>
    </row>
    <row r="6" spans="1:7" ht="28.5" x14ac:dyDescent="0.45">
      <c r="A6" s="29" t="s">
        <v>46</v>
      </c>
      <c r="B6" s="28">
        <f>'Погрешности прямые (t)'!N2</f>
        <v>2.5695376495679226E-2</v>
      </c>
    </row>
    <row r="7" spans="1:7" x14ac:dyDescent="0.45">
      <c r="A7" s="29" t="s">
        <v>44</v>
      </c>
      <c r="B7">
        <f>B5^2</f>
        <v>1.6960563447151332E-6</v>
      </c>
      <c r="C7">
        <f>B2^2</f>
        <v>5.0342342092289426E-8</v>
      </c>
      <c r="D7">
        <f>B4^2</f>
        <v>8.3237084425198929E-10</v>
      </c>
    </row>
    <row r="8" spans="1:7" ht="28.5" x14ac:dyDescent="0.45">
      <c r="A8" s="29" t="s">
        <v>39</v>
      </c>
      <c r="B8">
        <f>SQRT(SUM(7:7))</f>
        <v>1.3218286793876409E-3</v>
      </c>
    </row>
    <row r="9" spans="1:7" ht="28.5" x14ac:dyDescent="0.45">
      <c r="A9" s="29" t="s">
        <v>47</v>
      </c>
      <c r="B9" s="28">
        <f>B8/B3</f>
        <v>2.2064658024788752E-2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R9"/>
  <sheetViews>
    <sheetView workbookViewId="0">
      <selection activeCell="A3" sqref="A3"/>
    </sheetView>
  </sheetViews>
  <sheetFormatPr defaultRowHeight="14.25" x14ac:dyDescent="0.45"/>
  <cols>
    <col min="1" max="1" width="9" bestFit="1" customWidth="1"/>
    <col min="2" max="2" width="9.46484375" bestFit="1" customWidth="1"/>
    <col min="3" max="3" width="9" bestFit="1" customWidth="1"/>
    <col min="4" max="4" width="9.6640625" customWidth="1"/>
    <col min="5" max="5" width="9" bestFit="1" customWidth="1"/>
    <col min="6" max="6" width="10.1328125" bestFit="1" customWidth="1"/>
    <col min="7" max="7" width="14" customWidth="1"/>
    <col min="8" max="10" width="9" bestFit="1" customWidth="1"/>
    <col min="12" max="12" width="9" bestFit="1" customWidth="1"/>
    <col min="13" max="14" width="9.464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v>8.1666666666666637E-2</v>
      </c>
      <c r="B2" s="14">
        <v>48.691666666666663</v>
      </c>
      <c r="C2" s="15">
        <f>(A2-$L$2)*(A2-$L$2)</f>
        <v>0.67521436734693863</v>
      </c>
      <c r="D2" s="14">
        <f>(B2-$M$2)*(B2-$M$2)</f>
        <v>63998.398534240383</v>
      </c>
      <c r="E2" s="16">
        <f>A2-$L$2</f>
        <v>-0.82171428571428562</v>
      </c>
      <c r="F2" s="14">
        <f>B2-$M$2</f>
        <v>-252.97904761904766</v>
      </c>
      <c r="G2" s="17">
        <f>E2*F2</f>
        <v>207.876497414966</v>
      </c>
      <c r="H2" s="15">
        <f>B2-($O$2+$N$2*A2)</f>
        <v>0.42403696602093532</v>
      </c>
      <c r="I2" s="18">
        <f>H2*H2</f>
        <v>0.17980734855223987</v>
      </c>
      <c r="J2" s="23">
        <f>SQRT(4*$R$2+4*$Q$2*A2*A2)</f>
        <v>4.9576164097232098</v>
      </c>
      <c r="K2" s="15"/>
      <c r="L2" s="15">
        <f>SUM(A:A)/COUNT(A:A)</f>
        <v>0.90338095238095228</v>
      </c>
      <c r="M2" s="15">
        <f>SUM(B:B)/COUNT(B:B)</f>
        <v>301.67071428571433</v>
      </c>
      <c r="N2" s="15">
        <f>SUM(G:G)/SUM(C:C)</f>
        <v>308.38344786082757</v>
      </c>
      <c r="O2" s="15">
        <f>M2-N2*L2</f>
        <v>23.082981458678148</v>
      </c>
      <c r="P2" s="15">
        <f>SUM(C:C)</f>
        <v>1.902756984126984</v>
      </c>
      <c r="Q2" s="15">
        <f>1/P2*SUM(I:I)/(COUNT(I:I)-2)</f>
        <v>5.6135134076679245</v>
      </c>
      <c r="R2" s="15">
        <f>(1/COUNT(I:I)+L2*L2/P2)*SUM(I:I)/(COUNT(I:I)-2)</f>
        <v>6.1070511006786266</v>
      </c>
    </row>
    <row r="3" spans="1:18" ht="16.5" thickTop="1" thickBot="1" x14ac:dyDescent="0.5">
      <c r="A3" s="13">
        <v>0.38399999999999995</v>
      </c>
      <c r="B3" s="14">
        <v>141.54</v>
      </c>
      <c r="C3" s="15">
        <f>(A3-$L$2)*(A3-$L$2)</f>
        <v>0.26975657369614503</v>
      </c>
      <c r="D3" s="14">
        <f>(B3-$M$2)*(B3-$M$2)</f>
        <v>25641.845657653077</v>
      </c>
      <c r="E3" s="19">
        <f>A3-$L$2</f>
        <v>-0.51938095238095228</v>
      </c>
      <c r="F3" s="14">
        <f>B3-$M$2</f>
        <v>-160.13071428571433</v>
      </c>
      <c r="G3" s="17">
        <f>E3*F3</f>
        <v>83.168842891156473</v>
      </c>
      <c r="H3" s="15">
        <f>B3-($O$2+$N$2*A3)</f>
        <v>3.7774562764070652E-2</v>
      </c>
      <c r="I3" s="14">
        <f>H3*H3</f>
        <v>1.426917592016713E-3</v>
      </c>
      <c r="J3" s="17">
        <f t="shared" ref="J3:J8" si="0">SQRT(4*$R$2+4*$Q$2*A3*A3)</f>
        <v>5.2668006735473512</v>
      </c>
      <c r="K3" s="24"/>
      <c r="L3" s="15"/>
      <c r="M3" s="15"/>
      <c r="N3" s="30"/>
      <c r="O3" s="30"/>
      <c r="P3" s="15"/>
      <c r="Q3" s="30" t="s">
        <v>58</v>
      </c>
      <c r="R3" s="30" t="s">
        <v>59</v>
      </c>
    </row>
    <row r="4" spans="1:18" ht="15" thickTop="1" thickBot="1" x14ac:dyDescent="0.5">
      <c r="A4" s="13">
        <v>0.66499999999999992</v>
      </c>
      <c r="B4" s="14">
        <v>228.87500000000003</v>
      </c>
      <c r="C4" s="15">
        <f t="shared" ref="C4:C8" si="1">(A4-$L$2)*(A4-$L$2)</f>
        <v>5.6825478458049875E-2</v>
      </c>
      <c r="D4" s="14">
        <f t="shared" ref="D4:D8" si="2">(B4-$M$2)*(B4-$M$2)</f>
        <v>5299.2160183673486</v>
      </c>
      <c r="E4" s="19">
        <f t="shared" ref="E4:E8" si="3">A4-$L$2</f>
        <v>-0.23838095238095236</v>
      </c>
      <c r="F4" s="14">
        <f t="shared" ref="F4:F8" si="4">B4-$M$2</f>
        <v>-72.795714285714297</v>
      </c>
      <c r="G4" s="17">
        <f t="shared" ref="G4:G8" si="5">E4*F4</f>
        <v>17.353111700680273</v>
      </c>
      <c r="H4" s="15">
        <f t="shared" ref="H4:H8" si="6">B4-($O$2+$N$2*A4)</f>
        <v>0.71702571387157832</v>
      </c>
      <c r="I4" s="14">
        <f t="shared" ref="I4:I8" si="7">H4*H4</f>
        <v>0.51412587435304646</v>
      </c>
      <c r="J4" s="17">
        <f t="shared" si="0"/>
        <v>5.8615653429385484</v>
      </c>
      <c r="K4" s="15"/>
      <c r="L4" s="15"/>
      <c r="M4" s="15"/>
      <c r="N4" s="15"/>
      <c r="O4" s="15"/>
      <c r="P4" s="15"/>
      <c r="Q4" s="15">
        <f>SQRT(Q2)</f>
        <v>2.3692854213175591</v>
      </c>
      <c r="R4" s="15">
        <f>SQRT(R2)</f>
        <v>2.4712448483868665</v>
      </c>
    </row>
    <row r="5" spans="1:18" ht="16.5" thickTop="1" thickBot="1" x14ac:dyDescent="0.5">
      <c r="A5" s="13">
        <v>0.94166666666666643</v>
      </c>
      <c r="B5" s="14">
        <v>310.74166666666667</v>
      </c>
      <c r="C5" s="15">
        <f t="shared" si="1"/>
        <v>1.4657959183673362E-3</v>
      </c>
      <c r="D5" s="14">
        <f t="shared" si="2"/>
        <v>82.282177097505084</v>
      </c>
      <c r="E5" s="19">
        <f t="shared" si="3"/>
        <v>3.8285714285714145E-2</v>
      </c>
      <c r="F5" s="14">
        <f t="shared" si="4"/>
        <v>9.0709523809523489</v>
      </c>
      <c r="G5" s="17">
        <f t="shared" si="5"/>
        <v>0.34728789115646008</v>
      </c>
      <c r="H5" s="15">
        <f t="shared" si="6"/>
        <v>-2.7357281942906866</v>
      </c>
      <c r="I5" s="14">
        <f t="shared" si="7"/>
        <v>7.484208753036981</v>
      </c>
      <c r="J5" s="17">
        <f t="shared" si="0"/>
        <v>6.6587554841619347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>
        <v>1.1760000000000002</v>
      </c>
      <c r="B6" s="14">
        <v>388.98</v>
      </c>
      <c r="C6" s="15">
        <f t="shared" si="1"/>
        <v>7.4321145124716687E-2</v>
      </c>
      <c r="D6" s="14">
        <f t="shared" si="2"/>
        <v>7622.9113719387715</v>
      </c>
      <c r="E6" s="19">
        <f t="shared" si="3"/>
        <v>0.27261904761904787</v>
      </c>
      <c r="F6" s="14">
        <f t="shared" si="4"/>
        <v>87.309285714285693</v>
      </c>
      <c r="G6" s="17">
        <f t="shared" si="5"/>
        <v>23.802174319727907</v>
      </c>
      <c r="H6" s="15">
        <f t="shared" si="6"/>
        <v>3.2380838569886237</v>
      </c>
      <c r="I6" s="14">
        <f t="shared" si="7"/>
        <v>10.485187064890322</v>
      </c>
      <c r="J6" s="17">
        <f t="shared" si="0"/>
        <v>7.4485986384451097</v>
      </c>
      <c r="K6" s="15"/>
      <c r="L6" s="15"/>
      <c r="M6" s="15"/>
      <c r="N6" s="15"/>
      <c r="O6" s="15"/>
      <c r="P6" s="15"/>
      <c r="Q6" s="15">
        <f>Q4*2</f>
        <v>4.7385708426351183</v>
      </c>
      <c r="R6" s="15">
        <f>R4*2</f>
        <v>4.9424896967737331</v>
      </c>
    </row>
    <row r="7" spans="1:18" x14ac:dyDescent="0.45">
      <c r="A7" s="13">
        <v>1.436333333333333</v>
      </c>
      <c r="B7" s="14">
        <v>461.10166666666669</v>
      </c>
      <c r="C7" s="15">
        <f t="shared" si="1"/>
        <v>0.28403824036281156</v>
      </c>
      <c r="D7" s="14">
        <f t="shared" si="2"/>
        <v>25418.2285770975</v>
      </c>
      <c r="E7" s="19">
        <f t="shared" si="3"/>
        <v>0.53295238095238073</v>
      </c>
      <c r="F7" s="14">
        <f t="shared" si="4"/>
        <v>159.43095238095236</v>
      </c>
      <c r="G7" s="17">
        <f t="shared" si="5"/>
        <v>84.969105668934191</v>
      </c>
      <c r="H7" s="15">
        <f t="shared" si="6"/>
        <v>-4.9227404027800503</v>
      </c>
      <c r="I7" s="14">
        <f t="shared" si="7"/>
        <v>24.233373073163094</v>
      </c>
      <c r="J7" s="17">
        <f t="shared" si="0"/>
        <v>8.4114277674608857</v>
      </c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>
        <v>1.6390000000000002</v>
      </c>
      <c r="B8" s="14">
        <v>531.7650000000001</v>
      </c>
      <c r="C8" s="15">
        <f t="shared" si="1"/>
        <v>0.54113538321995514</v>
      </c>
      <c r="D8" s="14">
        <f t="shared" si="2"/>
        <v>52943.380318367374</v>
      </c>
      <c r="E8" s="19">
        <f t="shared" si="3"/>
        <v>0.73561904761904795</v>
      </c>
      <c r="F8" s="14">
        <f t="shared" si="4"/>
        <v>230.09428571428577</v>
      </c>
      <c r="G8" s="17">
        <f t="shared" si="5"/>
        <v>169.26173931972801</v>
      </c>
      <c r="H8" s="15">
        <f t="shared" si="6"/>
        <v>3.2415474974254721</v>
      </c>
      <c r="I8" s="14">
        <f t="shared" si="7"/>
        <v>10.507630178065341</v>
      </c>
      <c r="J8" s="17">
        <f t="shared" si="0"/>
        <v>9.2058133918689755</v>
      </c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R23"/>
  <sheetViews>
    <sheetView zoomScaleNormal="100" workbookViewId="0">
      <selection activeCell="O2" sqref="O2"/>
    </sheetView>
  </sheetViews>
  <sheetFormatPr defaultRowHeight="14.25" x14ac:dyDescent="0.45"/>
  <cols>
    <col min="1" max="1" width="9" bestFit="1" customWidth="1"/>
    <col min="2" max="2" width="9.46484375" bestFit="1" customWidth="1"/>
    <col min="3" max="3" width="9" bestFit="1" customWidth="1"/>
    <col min="4" max="4" width="9.6640625" customWidth="1"/>
    <col min="5" max="5" width="9" bestFit="1" customWidth="1"/>
    <col min="6" max="6" width="10.1328125" bestFit="1" customWidth="1"/>
    <col min="7" max="7" width="15.53125" customWidth="1"/>
    <col min="8" max="10" width="9" bestFit="1" customWidth="1"/>
    <col min="12" max="12" width="9" bestFit="1" customWidth="1"/>
    <col min="13" max="14" width="9.464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2'!D3</f>
        <v>3.9747197727923989</v>
      </c>
      <c r="B2" s="14">
        <f>'Таблица 2'!E3</f>
        <v>5.9620398655131489E-2</v>
      </c>
      <c r="C2" s="31">
        <f>(A2-$L$2)*(A2-$L$2)</f>
        <v>29.235211618962044</v>
      </c>
      <c r="D2" s="33">
        <f>(B2-$M$2)*(B2-$M$2)</f>
        <v>5.1009213562609474E-3</v>
      </c>
      <c r="E2" s="16">
        <f>A2-$L$2</f>
        <v>-5.4069595540342306</v>
      </c>
      <c r="F2" s="14">
        <f>B2-$M$2</f>
        <v>-7.1420734778220724E-2</v>
      </c>
      <c r="G2" s="34">
        <f>E2*F2</f>
        <v>0.38616902426524541</v>
      </c>
      <c r="H2" s="15">
        <f>B2-($O$2+$N$2*A2)</f>
        <v>-5.8032741427972226E-3</v>
      </c>
      <c r="I2" s="32">
        <f>H2*H2</f>
        <v>3.3677990776458837E-5</v>
      </c>
      <c r="J2" s="23">
        <f>SQRT(4*$R$2+4*$Q$2*A2*A2)</f>
        <v>2.1552986329941959E-2</v>
      </c>
      <c r="K2" s="15"/>
      <c r="L2" s="15">
        <f>SUM(A:A)/COUNT(A:A)</f>
        <v>9.3816793268266299</v>
      </c>
      <c r="M2" s="15">
        <f>SUM(B:B)/COUNT(B:B)</f>
        <v>0.13104113343335222</v>
      </c>
      <c r="N2" s="15">
        <f>SUM(G:G)/SUM(C:C)</f>
        <v>1.2135740979690725E-2</v>
      </c>
      <c r="O2" s="15">
        <f>M2-N2*L2</f>
        <v>1.7187503168464985E-2</v>
      </c>
      <c r="P2" s="15">
        <f>SUM(C:C)</f>
        <v>74.814817371853707</v>
      </c>
      <c r="Q2" s="31">
        <f>1/P2*SUM(I:I)/(COUNT(I:I)-2)</f>
        <v>9.4788354998134982E-7</v>
      </c>
      <c r="R2" s="31">
        <f>(1/COUNT(I:I)+L2*L2/P2)*SUM(I:I)/(COUNT(I:I)-2)</f>
        <v>1.0115776404425215E-4</v>
      </c>
    </row>
    <row r="3" spans="1:18" ht="16.5" thickTop="1" thickBot="1" x14ac:dyDescent="0.5">
      <c r="A3" s="13">
        <f>'Таблица 2'!D9</f>
        <v>7.204597768450177</v>
      </c>
      <c r="B3" s="14">
        <f>'Таблица 2'!E9</f>
        <v>0.10791372990909856</v>
      </c>
      <c r="C3" s="31">
        <f t="shared" ref="C3:C5" si="0">(A3-$L$2)*(A3-$L$2)</f>
        <v>4.7396841118228448</v>
      </c>
      <c r="D3" s="33">
        <f t="shared" ref="D3:D5" si="1">(B3-$M$2)*(B3-$M$2)</f>
        <v>5.3487679377366062E-4</v>
      </c>
      <c r="E3" s="19">
        <f>A3-$L$2</f>
        <v>-2.1770815583764529</v>
      </c>
      <c r="F3" s="14">
        <f>B3-$M$2</f>
        <v>-2.3127403524253659E-2</v>
      </c>
      <c r="G3" s="34">
        <f>E3*F3</f>
        <v>5.0350243705783226E-2</v>
      </c>
      <c r="H3" s="15">
        <f>B3-($O$2+$N$2*A3)</f>
        <v>3.2930943598644125E-3</v>
      </c>
      <c r="I3" s="33">
        <f>H3*H3</f>
        <v>1.0844470462970805E-5</v>
      </c>
      <c r="J3" s="17">
        <f t="shared" ref="J3:J5" si="2">SQRT(4*$R$2+4*$Q$2*A3*A3)</f>
        <v>2.452417783819107E-2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2'!D15</f>
        <v>10.7159486910171</v>
      </c>
      <c r="B4" s="14">
        <f>'Таблица 2'!E15</f>
        <v>0.15535000304171354</v>
      </c>
      <c r="C4" s="31">
        <f t="shared" si="0"/>
        <v>1.7802747362172426</v>
      </c>
      <c r="D4" s="33">
        <f t="shared" si="1"/>
        <v>5.9092114163631249E-4</v>
      </c>
      <c r="E4" s="19">
        <f t="shared" ref="E4:E5" si="3">A4-$L$2</f>
        <v>1.3342693641904706</v>
      </c>
      <c r="F4" s="14">
        <f t="shared" ref="F4:F5" si="4">B4-$M$2</f>
        <v>2.4308869608361316E-2</v>
      </c>
      <c r="G4" s="34">
        <f t="shared" ref="G4:G5" si="5">E4*F4</f>
        <v>3.2434579996537309E-2</v>
      </c>
      <c r="H4" s="15">
        <f t="shared" ref="H4:H5" si="6">B4-($O$2+$N$2*A4)</f>
        <v>8.1165222074091325E-3</v>
      </c>
      <c r="I4" s="33">
        <f t="shared" ref="I4:I5" si="7">H4*H4</f>
        <v>6.5877932743365624E-5</v>
      </c>
      <c r="J4" s="17">
        <f t="shared" si="2"/>
        <v>2.8983078326897043E-2</v>
      </c>
      <c r="K4" s="15"/>
      <c r="L4" s="15"/>
      <c r="M4" s="15"/>
      <c r="N4" s="15"/>
      <c r="O4" s="15"/>
      <c r="P4" s="15"/>
      <c r="Q4" s="15">
        <f>SQRT(Q2)</f>
        <v>9.7359311315423232E-4</v>
      </c>
      <c r="R4" s="15">
        <f>SQRT(R2)</f>
        <v>1.0057721612982344E-2</v>
      </c>
    </row>
    <row r="5" spans="1:18" ht="16.5" thickTop="1" thickBot="1" x14ac:dyDescent="0.5">
      <c r="A5" s="13">
        <f>'Таблица 2'!D21</f>
        <v>15.631451075046845</v>
      </c>
      <c r="B5" s="14">
        <f>'Таблица 2'!E21</f>
        <v>0.20128040212746531</v>
      </c>
      <c r="C5" s="31">
        <f t="shared" si="0"/>
        <v>39.059646904851569</v>
      </c>
      <c r="D5" s="33">
        <f t="shared" si="1"/>
        <v>4.9335548666838156E-3</v>
      </c>
      <c r="E5" s="19">
        <f t="shared" si="3"/>
        <v>6.2497717482202155</v>
      </c>
      <c r="F5" s="14">
        <f t="shared" si="4"/>
        <v>7.0239268694113094E-2</v>
      </c>
      <c r="G5" s="34">
        <f t="shared" si="5"/>
        <v>0.43897939710011663</v>
      </c>
      <c r="H5" s="15">
        <f t="shared" si="6"/>
        <v>-5.6063424244763016E-3</v>
      </c>
      <c r="I5" s="33">
        <f t="shared" si="7"/>
        <v>3.1431075380482819E-5</v>
      </c>
      <c r="J5" s="17">
        <f t="shared" si="2"/>
        <v>3.6483737496796197E-2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1.9471862263084646E-3</v>
      </c>
      <c r="R6" s="15">
        <f>R4*2</f>
        <v>2.0115443225964688E-2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R23"/>
  <sheetViews>
    <sheetView workbookViewId="0">
      <selection activeCell="N6" sqref="N6"/>
    </sheetView>
  </sheetViews>
  <sheetFormatPr defaultRowHeight="14.25" x14ac:dyDescent="0.45"/>
  <cols>
    <col min="1" max="1" width="9" bestFit="1" customWidth="1"/>
    <col min="2" max="2" width="9.46484375" bestFit="1" customWidth="1"/>
    <col min="3" max="3" width="9" bestFit="1" customWidth="1"/>
    <col min="4" max="4" width="9.6640625" customWidth="1"/>
    <col min="5" max="5" width="9" bestFit="1" customWidth="1"/>
    <col min="6" max="6" width="10.1328125" bestFit="1" customWidth="1"/>
    <col min="7" max="7" width="15.53125" customWidth="1"/>
    <col min="8" max="10" width="9" bestFit="1" customWidth="1"/>
    <col min="12" max="12" width="9" bestFit="1" customWidth="1"/>
    <col min="13" max="14" width="9.464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2'!D4</f>
        <v>2.5282911769540561</v>
      </c>
      <c r="B2" s="14">
        <f>'Таблица 2'!E4</f>
        <v>5.9824696569293491E-2</v>
      </c>
      <c r="C2" s="15">
        <f>(A2-$L$2)*(A2-$L$2)</f>
        <v>14.005584237664225</v>
      </c>
      <c r="D2" s="14">
        <f>(B2-$M$2)*(B2-$M$2)</f>
        <v>5.2409287545161038E-3</v>
      </c>
      <c r="E2" s="16">
        <f>A2-$L$2</f>
        <v>-3.7424035375229412</v>
      </c>
      <c r="F2" s="14">
        <f>B2-$M$2</f>
        <v>-7.2394259126785071E-2</v>
      </c>
      <c r="G2" s="17">
        <f>E2*F2</f>
        <v>0.2709285314524329</v>
      </c>
      <c r="H2" s="15">
        <f>B2-($O$2+$N$2*A2)</f>
        <v>-9.6551998210001738E-4</v>
      </c>
      <c r="I2" s="18">
        <f>H2*H2</f>
        <v>9.3222883583441791E-7</v>
      </c>
      <c r="J2" s="23">
        <f>SQRT(4*$R$2+4*$Q$2*A2*A2)</f>
        <v>1.4400549170190138E-2</v>
      </c>
      <c r="K2" s="15"/>
      <c r="L2" s="15">
        <f>SUM(A:A)/COUNT(A:A)</f>
        <v>6.2706947144769973</v>
      </c>
      <c r="M2" s="15">
        <f>SUM(B:B)/COUNT(B:B)</f>
        <v>0.13221895569607856</v>
      </c>
      <c r="N2" s="15">
        <f>SUM(G:G)/SUM(C:C)</f>
        <v>1.9086327390541908E-2</v>
      </c>
      <c r="O2" s="15">
        <f>M2-N2*L2</f>
        <v>1.2534423409429868E-2</v>
      </c>
      <c r="P2" s="15">
        <f>SUM(C:C)</f>
        <v>31.53420162241882</v>
      </c>
      <c r="Q2" s="15">
        <f>1/P2*SUM(I:I)/(COUNT(I:I)-2)</f>
        <v>9.6728452938578744E-7</v>
      </c>
      <c r="R2" s="15">
        <f>(1/COUNT(I:I)+L2*L2/P2)*SUM(I:I)/(COUNT(I:I)-2)</f>
        <v>4.5660823497640691E-5</v>
      </c>
    </row>
    <row r="3" spans="1:18" ht="16.5" thickTop="1" thickBot="1" x14ac:dyDescent="0.5">
      <c r="A3" s="13">
        <f>'Таблица 2'!D10</f>
        <v>5.1537740985466227</v>
      </c>
      <c r="B3" s="14">
        <f>'Таблица 2'!E10</f>
        <v>0.10844206925541013</v>
      </c>
      <c r="C3" s="15">
        <f t="shared" ref="C3:C5" si="0">(A3-$L$2)*(A3-$L$2)</f>
        <v>1.2475116622902873</v>
      </c>
      <c r="D3" s="14">
        <f t="shared" ref="D3:D5" si="1">(B3-$M$2)*(B3-$M$2)</f>
        <v>5.6534032881244223E-4</v>
      </c>
      <c r="E3" s="19">
        <f>A3-$L$2</f>
        <v>-1.1169206159303746</v>
      </c>
      <c r="F3" s="14">
        <f>B3-$M$2</f>
        <v>-2.3776886440668429E-2</v>
      </c>
      <c r="G3" s="17">
        <f>E3*F3</f>
        <v>2.6556894648217956E-2</v>
      </c>
      <c r="H3" s="15">
        <f>B3-($O$2+$N$2*A3)</f>
        <v>-2.4589738957755819E-3</v>
      </c>
      <c r="I3" s="14">
        <f>H3*H3</f>
        <v>6.0465526201057422E-6</v>
      </c>
      <c r="J3" s="17">
        <f t="shared" ref="J3:J5" si="2">SQRT(4*$R$2+4*$Q$2*A3*A3)</f>
        <v>1.6894169723973774E-2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2'!D16</f>
        <v>7.2045977684501725</v>
      </c>
      <c r="B4" s="14">
        <f>'Таблица 2'!E16</f>
        <v>0.15666325882080637</v>
      </c>
      <c r="C4" s="15">
        <f t="shared" si="0"/>
        <v>0.87217491422042337</v>
      </c>
      <c r="D4" s="14">
        <f t="shared" si="1"/>
        <v>5.9752395525357782E-4</v>
      </c>
      <c r="E4" s="19">
        <f t="shared" ref="E4:E5" si="3">A4-$L$2</f>
        <v>0.93390305397317519</v>
      </c>
      <c r="F4" s="14">
        <f t="shared" ref="F4:F5" si="4">B4-$M$2</f>
        <v>2.4444303124727812E-2</v>
      </c>
      <c r="G4" s="17">
        <f t="shared" ref="G4:G5" si="5">E4*F4</f>
        <v>2.2828609340429334E-2</v>
      </c>
      <c r="H4" s="15">
        <f t="shared" ref="H4:H5" si="6">B4-($O$2+$N$2*A4)</f>
        <v>6.6195236855688677E-3</v>
      </c>
      <c r="I4" s="14">
        <f t="shared" ref="I4:I5" si="7">H4*H4</f>
        <v>4.3818093823807244E-5</v>
      </c>
      <c r="J4" s="17">
        <f t="shared" si="2"/>
        <v>1.9582534646269373E-2</v>
      </c>
      <c r="K4" s="15"/>
      <c r="L4" s="15"/>
      <c r="M4" s="15"/>
      <c r="N4" s="15"/>
      <c r="O4" s="15"/>
      <c r="P4" s="15"/>
      <c r="Q4" s="15">
        <f>SQRT(Q2)</f>
        <v>9.835062426775884E-4</v>
      </c>
      <c r="R4" s="15">
        <f>SQRT(R2)</f>
        <v>6.7572792969982148E-3</v>
      </c>
    </row>
    <row r="5" spans="1:18" ht="16.5" thickTop="1" thickBot="1" x14ac:dyDescent="0.5">
      <c r="A5" s="13">
        <f>'Таблица 2'!D22</f>
        <v>10.196115813957139</v>
      </c>
      <c r="B5" s="14">
        <f>'Таблица 2'!E22</f>
        <v>0.20394579813880426</v>
      </c>
      <c r="C5" s="15">
        <f t="shared" si="0"/>
        <v>15.408930808243882</v>
      </c>
      <c r="D5" s="14">
        <f t="shared" si="1"/>
        <v>5.1447399268035971E-3</v>
      </c>
      <c r="E5" s="19">
        <f t="shared" si="3"/>
        <v>3.9254210994801415</v>
      </c>
      <c r="F5" s="14">
        <f t="shared" si="4"/>
        <v>7.1726842442725702E-2</v>
      </c>
      <c r="G5" s="17">
        <f t="shared" si="5"/>
        <v>0.28155806072376321</v>
      </c>
      <c r="H5" s="15">
        <f t="shared" si="6"/>
        <v>-3.1950298076932615E-3</v>
      </c>
      <c r="I5" s="14">
        <f t="shared" si="7"/>
        <v>1.020821547204844E-5</v>
      </c>
      <c r="J5" s="17">
        <f t="shared" si="2"/>
        <v>2.4184331739509898E-2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1.9670124853551768E-3</v>
      </c>
      <c r="R6" s="15">
        <f>R4*2</f>
        <v>1.351455859399643E-2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R23"/>
  <sheetViews>
    <sheetView workbookViewId="0">
      <selection activeCell="B5" sqref="B5"/>
    </sheetView>
  </sheetViews>
  <sheetFormatPr defaultRowHeight="14.25" x14ac:dyDescent="0.45"/>
  <cols>
    <col min="1" max="1" width="9" bestFit="1" customWidth="1"/>
    <col min="2" max="2" width="9.46484375" bestFit="1" customWidth="1"/>
    <col min="3" max="3" width="9" bestFit="1" customWidth="1"/>
    <col min="4" max="4" width="9.6640625" customWidth="1"/>
    <col min="5" max="5" width="9" bestFit="1" customWidth="1"/>
    <col min="6" max="6" width="10.1328125" bestFit="1" customWidth="1"/>
    <col min="7" max="7" width="15.53125" customWidth="1"/>
    <col min="8" max="10" width="9" bestFit="1" customWidth="1"/>
    <col min="12" max="12" width="9" bestFit="1" customWidth="1"/>
    <col min="13" max="14" width="9.464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2'!D5</f>
        <v>1.8955919963893484</v>
      </c>
      <c r="B2" s="14">
        <f>'Таблица 2'!E5</f>
        <v>5.9914060899653995E-2</v>
      </c>
      <c r="C2" s="15">
        <f>(A2-$L$2)*(A2-$L$2)</f>
        <v>8.1538639651937768</v>
      </c>
      <c r="D2" s="14">
        <f>(B2-$M$2)*(B2-$M$2)</f>
        <v>5.3118368641840458E-3</v>
      </c>
      <c r="E2" s="16">
        <f>A2-$L$2</f>
        <v>-2.8554971485178857</v>
      </c>
      <c r="F2" s="14">
        <f>B2-$M$2</f>
        <v>-7.2882349469429467E-2</v>
      </c>
      <c r="G2" s="17">
        <f>E2*F2</f>
        <v>0.20811534108723989</v>
      </c>
      <c r="H2" s="15">
        <f>B2-($O$2+$N$2*A2)</f>
        <v>2.1525130302990358E-3</v>
      </c>
      <c r="I2" s="18">
        <f>H2*H2</f>
        <v>4.6333123456071384E-6</v>
      </c>
      <c r="J2" s="23">
        <f>SQRT(4*$R$2+4*$Q$2*A2*A2)</f>
        <v>1.4550850566688136E-2</v>
      </c>
      <c r="K2" s="15"/>
      <c r="L2" s="15">
        <f>SUM(A:A)/COUNT(A:A)</f>
        <v>4.7510891449072341</v>
      </c>
      <c r="M2" s="15">
        <f>SUM(B:B)/COUNT(B:B)</f>
        <v>0.13279641036908346</v>
      </c>
      <c r="N2" s="15">
        <f>SUM(G:G)/SUM(C:C)</f>
        <v>2.6277337569282643E-2</v>
      </c>
      <c r="O2" s="15">
        <f>M2-N2*L2</f>
        <v>7.9504370866016472E-3</v>
      </c>
      <c r="P2" s="15">
        <f>SUM(C:C)</f>
        <v>16.925352222682776</v>
      </c>
      <c r="Q2" s="15">
        <f>1/P2*SUM(I:I)/(COUNT(I:I)-2)</f>
        <v>1.7413238318115303E-6</v>
      </c>
      <c r="R2" s="15">
        <f>(1/COUNT(I:I)+L2*L2/P2)*SUM(I:I)/(COUNT(I:I)-2)</f>
        <v>4.6674768080501207E-5</v>
      </c>
    </row>
    <row r="3" spans="1:18" ht="16.5" thickTop="1" thickBot="1" x14ac:dyDescent="0.5">
      <c r="A3" s="13">
        <f>'Таблица 2'!D11</f>
        <v>3.8750650726453224</v>
      </c>
      <c r="B3" s="14">
        <f>'Таблица 2'!E11</f>
        <v>0.1087714941107899</v>
      </c>
      <c r="C3" s="15">
        <f t="shared" ref="C3:C5" si="0">(A3-$L$2)*(A3-$L$2)</f>
        <v>0.76741817518234312</v>
      </c>
      <c r="D3" s="14">
        <f t="shared" ref="D3:D5" si="1">(B3-$M$2)*(B3-$M$2)</f>
        <v>5.7719660121801828E-4</v>
      </c>
      <c r="E3" s="19">
        <f>A3-$L$2</f>
        <v>-0.8760240722619117</v>
      </c>
      <c r="F3" s="14">
        <f>B3-$M$2</f>
        <v>-2.402491625829356E-2</v>
      </c>
      <c r="G3" s="17">
        <f>E3*F3</f>
        <v>2.1046404976341734E-2</v>
      </c>
      <c r="H3" s="15">
        <f>B3-($O$2+$N$2*A3)</f>
        <v>-1.005335992649653E-3</v>
      </c>
      <c r="I3" s="14">
        <f>H3*H3</f>
        <v>1.0107004581168631E-6</v>
      </c>
      <c r="J3" s="17">
        <f t="shared" ref="J3:J5" si="2">SQRT(4*$R$2+4*$Q$2*A3*A3)</f>
        <v>1.70672448769176E-2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2'!D17</f>
        <v>5.8950655868154138</v>
      </c>
      <c r="B4" s="14">
        <f>'Таблица 2'!E17</f>
        <v>0.1571530277853343</v>
      </c>
      <c r="C4" s="15">
        <f t="shared" si="0"/>
        <v>1.3086820996408988</v>
      </c>
      <c r="D4" s="14">
        <f t="shared" si="1"/>
        <v>5.9324481196161355E-4</v>
      </c>
      <c r="E4" s="19">
        <f t="shared" ref="E4:E5" si="3">A4-$L$2</f>
        <v>1.1439764419081797</v>
      </c>
      <c r="F4" s="14">
        <f t="shared" ref="F4:F5" si="4">B4-$M$2</f>
        <v>2.4356617416250836E-2</v>
      </c>
      <c r="G4" s="17">
        <f t="shared" ref="G4:G5" si="5">E4*F4</f>
        <v>2.7863396528761433E-2</v>
      </c>
      <c r="H4" s="15">
        <f t="shared" ref="H4:H5" si="6">B4-($O$2+$N$2*A4)</f>
        <v>-5.7040377190772651E-3</v>
      </c>
      <c r="I4" s="14">
        <f t="shared" ref="I4:I5" si="7">H4*H4</f>
        <v>3.2536046300656168E-5</v>
      </c>
      <c r="J4" s="17">
        <f t="shared" si="2"/>
        <v>2.0706414717312219E-2</v>
      </c>
      <c r="K4" s="15"/>
      <c r="L4" s="15"/>
      <c r="M4" s="15"/>
      <c r="N4" s="15"/>
      <c r="O4" s="15"/>
      <c r="P4" s="15"/>
      <c r="Q4" s="15">
        <f>SQRT(Q2)</f>
        <v>1.3195922975720684E-3</v>
      </c>
      <c r="R4" s="15">
        <f>SQRT(R2)</f>
        <v>6.8318934476835338E-3</v>
      </c>
    </row>
    <row r="5" spans="1:18" ht="16.5" thickTop="1" thickBot="1" x14ac:dyDescent="0.5">
      <c r="A5" s="13">
        <f>'Таблица 2'!D23</f>
        <v>7.3386339237788496</v>
      </c>
      <c r="B5" s="14">
        <f>'Таблица 2'!E23</f>
        <v>0.20534705868055558</v>
      </c>
      <c r="C5" s="15">
        <f t="shared" si="0"/>
        <v>6.6953879826657579</v>
      </c>
      <c r="D5" s="14">
        <f t="shared" si="1"/>
        <v>5.2635965704149129E-3</v>
      </c>
      <c r="E5" s="19">
        <f t="shared" si="3"/>
        <v>2.5875447788716155</v>
      </c>
      <c r="F5" s="14">
        <f t="shared" si="4"/>
        <v>7.2550648311472121E-2</v>
      </c>
      <c r="G5" s="17">
        <f t="shared" si="5"/>
        <v>0.18772805124210049</v>
      </c>
      <c r="H5" s="15">
        <f t="shared" si="6"/>
        <v>4.5568606814278823E-3</v>
      </c>
      <c r="I5" s="14">
        <f t="shared" si="7"/>
        <v>2.0764979269943384E-5</v>
      </c>
      <c r="J5" s="17">
        <f t="shared" si="2"/>
        <v>2.3702718583064598E-2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2.6391845951441368E-3</v>
      </c>
      <c r="R6" s="15">
        <f>R4*2</f>
        <v>1.3663786895367068E-2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25" x14ac:dyDescent="0.45"/>
  <cols>
    <col min="1" max="1" width="9" bestFit="1" customWidth="1"/>
    <col min="2" max="2" width="9.46484375" bestFit="1" customWidth="1"/>
    <col min="3" max="3" width="9" bestFit="1" customWidth="1"/>
    <col min="4" max="4" width="9.6640625" customWidth="1"/>
    <col min="5" max="5" width="9" bestFit="1" customWidth="1"/>
    <col min="6" max="6" width="10.1328125" bestFit="1" customWidth="1"/>
    <col min="7" max="7" width="15.53125" customWidth="1"/>
    <col min="8" max="10" width="9" bestFit="1" customWidth="1"/>
    <col min="12" max="12" width="9" bestFit="1" customWidth="1"/>
    <col min="13" max="14" width="9.464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2'!D6</f>
        <v>1.3293845687993442</v>
      </c>
      <c r="B2" s="14">
        <f>'Таблица 2'!E6</f>
        <v>5.9994033735349082E-2</v>
      </c>
      <c r="C2" s="15">
        <f>(A2-$L$2)*(A2-$L$2)</f>
        <v>4.6851497635476136</v>
      </c>
      <c r="D2" s="14">
        <f>(B2-$M$2)*(B2-$M$2)</f>
        <v>5.367336959495257E-3</v>
      </c>
      <c r="E2" s="16">
        <f>A2-$L$2</f>
        <v>-2.1645206775514096</v>
      </c>
      <c r="F2" s="14">
        <f>B2-$M$2</f>
        <v>-7.3262111350241993E-2</v>
      </c>
      <c r="G2" s="17">
        <f>E2*F2</f>
        <v>0.15857735489867261</v>
      </c>
      <c r="H2" s="15">
        <f>B2-($O$2+$N$2*A2)</f>
        <v>1.7273309706812706E-3</v>
      </c>
      <c r="I2" s="18">
        <f>H2*H2</f>
        <v>2.9836722822747008E-6</v>
      </c>
      <c r="J2" s="23">
        <f>SQRT(4*$R$2+4*$Q$2*A2*A2)</f>
        <v>9.0488550820033865E-3</v>
      </c>
      <c r="K2" s="15"/>
      <c r="L2" s="15">
        <f>SUM(A:A)/COUNT(A:A)</f>
        <v>3.4939052463507538</v>
      </c>
      <c r="M2" s="15">
        <f>SUM(B:B)/COUNT(B:B)</f>
        <v>0.13325614508559108</v>
      </c>
      <c r="N2" s="15">
        <f>SUM(G:G)/SUM(C:C)</f>
        <v>3.46448260340734E-2</v>
      </c>
      <c r="O2" s="15">
        <f>M2-N2*L2</f>
        <v>1.2210405646232853E-2</v>
      </c>
      <c r="P2" s="15">
        <f>SUM(C:C)</f>
        <v>9.8759838083720055</v>
      </c>
      <c r="Q2" s="15">
        <f>1/P2*SUM(I:I)/(COUNT(I:I)-2)</f>
        <v>1.2448857488882622E-6</v>
      </c>
      <c r="R2" s="15">
        <f>(1/COUNT(I:I)+L2*L2/P2)*SUM(I:I)/(COUNT(I:I)-2)</f>
        <v>1.827040363753155E-5</v>
      </c>
    </row>
    <row r="3" spans="1:18" ht="16.5" thickTop="1" thickBot="1" x14ac:dyDescent="0.5">
      <c r="A3" s="13">
        <f>'Таблица 2'!D12</f>
        <v>2.9102780673684103</v>
      </c>
      <c r="B3" s="14">
        <f>'Таблица 2'!E12</f>
        <v>0.10902004543345034</v>
      </c>
      <c r="C3" s="15">
        <f t="shared" ref="C3:C5" si="0">(A3-$L$2)*(A3-$L$2)</f>
        <v>0.34062068404688844</v>
      </c>
      <c r="D3" s="14">
        <f t="shared" ref="D3:D5" si="1">(B3-$M$2)*(B3-$M$2)</f>
        <v>5.8738852634849657E-4</v>
      </c>
      <c r="E3" s="19">
        <f>A3-$L$2</f>
        <v>-0.58362717898234351</v>
      </c>
      <c r="F3" s="14">
        <f>B3-$M$2</f>
        <v>-2.4236099652140741E-2</v>
      </c>
      <c r="G3" s="17">
        <f>E3*F3</f>
        <v>1.4144846469513857E-2</v>
      </c>
      <c r="H3" s="15">
        <f>B3-($O$2+$N$2*A3)</f>
        <v>-4.016437567540429E-3</v>
      </c>
      <c r="I3" s="14">
        <f>H3*H3</f>
        <v>1.6131770733950079E-5</v>
      </c>
      <c r="J3" s="17">
        <f t="shared" ref="J3:J5" si="2">SQRT(4*$R$2+4*$Q$2*A3*A3)</f>
        <v>1.0735778575845326E-2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2'!D18</f>
        <v>4.1351575591845231</v>
      </c>
      <c r="B4" s="14">
        <f>'Таблица 2'!E18</f>
        <v>0.15781123866739236</v>
      </c>
      <c r="C4" s="15">
        <f t="shared" si="0"/>
        <v>0.41120452871465829</v>
      </c>
      <c r="D4" s="14">
        <f t="shared" si="1"/>
        <v>6.0295262081101807E-4</v>
      </c>
      <c r="E4" s="19">
        <f t="shared" ref="E4:E5" si="3">A4-$L$2</f>
        <v>0.64125231283376927</v>
      </c>
      <c r="F4" s="14">
        <f t="shared" ref="F4:F5" si="4">B4-$M$2</f>
        <v>2.4555093581801274E-2</v>
      </c>
      <c r="G4" s="17">
        <f t="shared" ref="G4:G5" si="5">E4*F4</f>
        <v>1.5746010551179711E-2</v>
      </c>
      <c r="H4" s="15">
        <f t="shared" ref="H4:H5" si="6">B4-($O$2+$N$2*A4)</f>
        <v>2.339018759728112E-3</v>
      </c>
      <c r="I4" s="14">
        <f t="shared" ref="I4:I5" si="7">H4*H4</f>
        <v>5.4710087583600352E-6</v>
      </c>
      <c r="J4" s="17">
        <f t="shared" si="2"/>
        <v>1.2578928794829487E-2</v>
      </c>
      <c r="K4" s="15"/>
      <c r="L4" s="15"/>
      <c r="M4" s="15"/>
      <c r="N4" s="15"/>
      <c r="O4" s="15"/>
      <c r="P4" s="15"/>
      <c r="Q4" s="15">
        <f>SQRT(Q2)</f>
        <v>1.1157444818990872E-3</v>
      </c>
      <c r="R4" s="15">
        <f>SQRT(R2)</f>
        <v>4.2743892707065821E-3</v>
      </c>
    </row>
    <row r="5" spans="1:18" ht="16.5" thickTop="1" thickBot="1" x14ac:dyDescent="0.5">
      <c r="A5" s="13">
        <f>'Таблица 2'!D24</f>
        <v>5.6008007900507364</v>
      </c>
      <c r="B5" s="14">
        <f>'Таблица 2'!E24</f>
        <v>0.20619926250617254</v>
      </c>
      <c r="C5" s="15">
        <f t="shared" si="0"/>
        <v>4.4390088320628447</v>
      </c>
      <c r="D5" s="14">
        <f t="shared" si="1"/>
        <v>5.3206983790327345E-3</v>
      </c>
      <c r="E5" s="19">
        <f t="shared" si="3"/>
        <v>2.1068955436999826</v>
      </c>
      <c r="F5" s="14">
        <f t="shared" si="4"/>
        <v>7.294311742058146E-2</v>
      </c>
      <c r="G5" s="17">
        <f t="shared" si="5"/>
        <v>0.15368352903700763</v>
      </c>
      <c r="H5" s="15">
        <f t="shared" si="6"/>
        <v>-4.9912162868925858E-5</v>
      </c>
      <c r="I5" s="14">
        <f t="shared" si="7"/>
        <v>2.4912240022541809E-9</v>
      </c>
      <c r="J5" s="17">
        <f t="shared" si="2"/>
        <v>1.514215132835956E-2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2.2314889637981743E-3</v>
      </c>
      <c r="R6" s="15">
        <f>R4*2</f>
        <v>8.5487785414131642E-3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RowHeight="14.25" x14ac:dyDescent="0.45"/>
  <cols>
    <col min="1" max="1" width="9" bestFit="1" customWidth="1"/>
    <col min="2" max="2" width="9.46484375" bestFit="1" customWidth="1"/>
    <col min="3" max="3" width="9" bestFit="1" customWidth="1"/>
    <col min="4" max="4" width="9.6640625" customWidth="1"/>
    <col min="5" max="5" width="9" bestFit="1" customWidth="1"/>
    <col min="6" max="6" width="10.1328125" bestFit="1" customWidth="1"/>
    <col min="7" max="7" width="15.53125" customWidth="1"/>
    <col min="8" max="10" width="9" bestFit="1" customWidth="1"/>
    <col min="12" max="12" width="9" bestFit="1" customWidth="1"/>
    <col min="13" max="14" width="9.464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2'!D7</f>
        <v>1.0631413125745148</v>
      </c>
      <c r="B2" s="14">
        <f>'Таблица 2'!E7</f>
        <v>6.0031638731588052E-2</v>
      </c>
      <c r="C2" s="15">
        <f>(A2-$L$2)*(A2-$L$2)</f>
        <v>2.3675864401573197</v>
      </c>
      <c r="D2" s="14">
        <f>(B2-$M$2)*(B2-$M$2)</f>
        <v>5.4115919197123951E-3</v>
      </c>
      <c r="E2" s="16">
        <f>A2-$L$2</f>
        <v>-1.5386963443634094</v>
      </c>
      <c r="F2" s="14">
        <f>B2-$M$2</f>
        <v>-7.3563523024066726E-2</v>
      </c>
      <c r="G2" s="17">
        <f>E2*F2</f>
        <v>0.11319192395562497</v>
      </c>
      <c r="H2" s="15">
        <f>B2-($O$2+$N$2*A2)</f>
        <v>7.8347307607690847E-4</v>
      </c>
      <c r="I2" s="18">
        <f>H2*H2</f>
        <v>6.1383006093741321E-7</v>
      </c>
      <c r="J2" s="23">
        <f>SQRT(4*$R$2+4*$Q$2*A2*A2)</f>
        <v>1.1913281025608834E-2</v>
      </c>
      <c r="K2" s="15"/>
      <c r="L2" s="15">
        <f>SUM(A:A)/COUNT(A:A)</f>
        <v>2.6018376569379242</v>
      </c>
      <c r="M2" s="15">
        <f>SUM(B:B)/COUNT(B:B)</f>
        <v>0.13359516175565478</v>
      </c>
      <c r="N2" s="15">
        <f>SUM(G:G)/SUM(C:C)</f>
        <v>4.8318172960177222E-2</v>
      </c>
      <c r="O2" s="15">
        <f>M2-N2*L2</f>
        <v>7.8791198334259016E-3</v>
      </c>
      <c r="P2" s="15">
        <f>SUM(C:C)</f>
        <v>5.1189640419630003</v>
      </c>
      <c r="Q2" s="15">
        <f>1/P2*SUM(I:I)/(COUNT(I:I)-2)</f>
        <v>3.8652755560403017E-6</v>
      </c>
      <c r="R2" s="15">
        <f>(1/COUNT(I:I)+L2*L2/P2)*SUM(I:I)/(COUNT(I:I)-2)</f>
        <v>3.111276332001582E-5</v>
      </c>
    </row>
    <row r="3" spans="1:18" ht="16.5" thickTop="1" thickBot="1" x14ac:dyDescent="0.5">
      <c r="A3" s="13">
        <f>'Таблица 2'!D13</f>
        <v>2.0771633887489749</v>
      </c>
      <c r="B3" s="14">
        <f>'Таблица 2'!E13</f>
        <v>0.10923467493630032</v>
      </c>
      <c r="C3" s="15">
        <f t="shared" ref="C3:C5" si="0">(A3-$L$2)*(A3-$L$2)</f>
        <v>0.27528308769960957</v>
      </c>
      <c r="D3" s="14">
        <f t="shared" ref="D3:D5" si="1">(B3-$M$2)*(B3-$M$2)</f>
        <v>5.9343331807594241E-4</v>
      </c>
      <c r="E3" s="19">
        <f>A3-$L$2</f>
        <v>-0.52467426818894936</v>
      </c>
      <c r="F3" s="14">
        <f>B3-$M$2</f>
        <v>-2.436048681935446E-2</v>
      </c>
      <c r="G3" s="17">
        <f>E3*F3</f>
        <v>1.2781320594671347E-2</v>
      </c>
      <c r="H3" s="15">
        <f>B3-($O$2+$N$2*A3)</f>
        <v>9.9081521875361844E-4</v>
      </c>
      <c r="I3" s="14">
        <f>H3*H3</f>
        <v>9.8171479771378075E-7</v>
      </c>
      <c r="J3" s="17">
        <f t="shared" ref="J3:J5" si="2">SQRT(4*$R$2+4*$Q$2*A3*A3)</f>
        <v>1.3826049495802784E-2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2'!D19</f>
        <v>3.2167824133910048</v>
      </c>
      <c r="B4" s="14">
        <f>'Таблица 2'!E19</f>
        <v>0.15815471372704454</v>
      </c>
      <c r="C4" s="15">
        <f t="shared" si="0"/>
        <v>0.37815705348913858</v>
      </c>
      <c r="D4" s="14">
        <f t="shared" si="1"/>
        <v>6.0317159303539456E-4</v>
      </c>
      <c r="E4" s="19">
        <f t="shared" ref="E4:E5" si="3">A4-$L$2</f>
        <v>0.61494475645308055</v>
      </c>
      <c r="F4" s="14">
        <f t="shared" ref="F4:F5" si="4">B4-$M$2</f>
        <v>2.4559551971389759E-2</v>
      </c>
      <c r="G4" s="17">
        <f t="shared" ref="G4:G5" si="5">E4*F4</f>
        <v>1.5102767705643051E-2</v>
      </c>
      <c r="H4" s="15">
        <f t="shared" ref="H4:H5" si="6">B4-($O$2+$N$2*A4)</f>
        <v>-5.153455131864243E-3</v>
      </c>
      <c r="I4" s="14">
        <f t="shared" ref="I4:I5" si="7">H4*H4</f>
        <v>2.6558099796137902E-5</v>
      </c>
      <c r="J4" s="17">
        <f t="shared" si="2"/>
        <v>1.6865281858399764E-2</v>
      </c>
      <c r="K4" s="15"/>
      <c r="L4" s="15"/>
      <c r="M4" s="15"/>
      <c r="N4" s="15"/>
      <c r="O4" s="15"/>
      <c r="P4" s="15"/>
      <c r="Q4" s="15">
        <f>SQRT(Q2)</f>
        <v>1.9660304056754313E-3</v>
      </c>
      <c r="R4" s="15">
        <f>SQRT(R2)</f>
        <v>5.5778816158122092E-3</v>
      </c>
    </row>
    <row r="5" spans="1:18" ht="16.5" thickTop="1" thickBot="1" x14ac:dyDescent="0.5">
      <c r="A5" s="13">
        <f>'Таблица 2'!D25</f>
        <v>4.050263513037204</v>
      </c>
      <c r="B5" s="14">
        <f>'Таблица 2'!E25</f>
        <v>0.20695961962768628</v>
      </c>
      <c r="C5" s="15">
        <f t="shared" si="0"/>
        <v>2.0979374606169316</v>
      </c>
      <c r="D5" s="14">
        <f t="shared" si="1"/>
        <v>5.3823436788570846E-3</v>
      </c>
      <c r="E5" s="19">
        <f t="shared" si="3"/>
        <v>1.4484258560992798</v>
      </c>
      <c r="F5" s="14">
        <f t="shared" si="4"/>
        <v>7.3364457872031497E-2</v>
      </c>
      <c r="G5" s="17">
        <f t="shared" si="5"/>
        <v>0.10626297770055676</v>
      </c>
      <c r="H5" s="15">
        <f t="shared" si="6"/>
        <v>3.3791668370337369E-3</v>
      </c>
      <c r="I5" s="14">
        <f t="shared" si="7"/>
        <v>1.141876851250859E-5</v>
      </c>
      <c r="J5" s="17">
        <f t="shared" si="2"/>
        <v>1.9444402398163804E-2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3.9320608113508626E-3</v>
      </c>
      <c r="R6" s="15">
        <f>R4*2</f>
        <v>1.1155763231624418E-2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R23"/>
  <sheetViews>
    <sheetView workbookViewId="0">
      <selection activeCell="B3" sqref="B3"/>
    </sheetView>
  </sheetViews>
  <sheetFormatPr defaultRowHeight="14.25" x14ac:dyDescent="0.45"/>
  <cols>
    <col min="1" max="1" width="9" bestFit="1" customWidth="1"/>
    <col min="2" max="2" width="9.46484375" bestFit="1" customWidth="1"/>
    <col min="3" max="3" width="9" bestFit="1" customWidth="1"/>
    <col min="4" max="4" width="9.6640625" customWidth="1"/>
    <col min="5" max="5" width="9" bestFit="1" customWidth="1"/>
    <col min="6" max="6" width="10.1328125" bestFit="1" customWidth="1"/>
    <col min="7" max="7" width="15.53125" customWidth="1"/>
    <col min="8" max="10" width="9" bestFit="1" customWidth="1"/>
    <col min="12" max="12" width="9" bestFit="1" customWidth="1"/>
    <col min="13" max="14" width="9.464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2'!D8</f>
        <v>0.88003837246681171</v>
      </c>
      <c r="B2" s="14">
        <f>'Таблица 2'!E8</f>
        <v>6.0057500740157678E-2</v>
      </c>
      <c r="C2" s="15">
        <f>(A2-$L$2)*(A2-$L$2)</f>
        <v>1.273675324083791</v>
      </c>
      <c r="D2" s="14">
        <f>(B2-$M$2)*(B2-$M$2)</f>
        <v>5.4408112324408541E-3</v>
      </c>
      <c r="E2" s="16">
        <f>A2-$L$2</f>
        <v>-1.1285722502719049</v>
      </c>
      <c r="F2" s="14">
        <f>B2-$M$2</f>
        <v>-7.3761854860360271E-2</v>
      </c>
      <c r="G2" s="17">
        <f>E2*F2</f>
        <v>8.3245582523986436E-2</v>
      </c>
      <c r="H2" s="15">
        <f>B2-($O$2+$N$2*A2)</f>
        <v>-5.5393432016277028E-4</v>
      </c>
      <c r="I2" s="18">
        <f>H2*H2</f>
        <v>3.068432310541905E-7</v>
      </c>
      <c r="J2" s="23">
        <f>SQRT(4*$R$2+4*$Q$2*A2*A2)</f>
        <v>4.5609791322794779E-3</v>
      </c>
      <c r="K2" s="15"/>
      <c r="L2" s="15">
        <f>SUM(A:A)/COUNT(A:A)</f>
        <v>2.0086106227387166</v>
      </c>
      <c r="M2" s="15">
        <f>SUM(B:B)/COUNT(B:B)</f>
        <v>0.13381935560051794</v>
      </c>
      <c r="N2" s="15">
        <f>SUM(G:G)/SUM(C:C)</f>
        <v>6.4867730464362949E-2</v>
      </c>
      <c r="O2" s="15">
        <f>M2-N2*L2</f>
        <v>3.5253431168466576E-3</v>
      </c>
      <c r="P2" s="15">
        <f>SUM(C:C)</f>
        <v>2.865192477409698</v>
      </c>
      <c r="Q2" s="15">
        <f>1/P2*SUM(I:I)/(COUNT(I:I)-2)</f>
        <v>9.4124288826797234E-7</v>
      </c>
      <c r="R2" s="15">
        <f>(1/COUNT(I:I)+L2*L2/P2)*SUM(I:I)/(COUNT(I:I)-2)</f>
        <v>4.4716705998633422E-6</v>
      </c>
    </row>
    <row r="3" spans="1:18" ht="16.5" thickTop="1" thickBot="1" x14ac:dyDescent="0.5">
      <c r="A3" s="13">
        <f>'Таблица 2'!D14</f>
        <v>1.6076048795044002</v>
      </c>
      <c r="B3" s="14">
        <f>'Таблица 2'!E14</f>
        <v>0.10935564400812745</v>
      </c>
      <c r="C3" s="15">
        <f t="shared" ref="C3:C5" si="0">(A3-$L$2)*(A3-$L$2)</f>
        <v>0.16080560610690647</v>
      </c>
      <c r="D3" s="14">
        <f t="shared" ref="D3:D5" si="1">(B3-$M$2)*(B3-$M$2)</f>
        <v>5.9847318487566119E-4</v>
      </c>
      <c r="E3" s="19">
        <f>A3-$L$2</f>
        <v>-0.40100574323431637</v>
      </c>
      <c r="F3" s="14">
        <f>B3-$M$2</f>
        <v>-2.4463711592390497E-2</v>
      </c>
      <c r="G3" s="17">
        <f>E3*F3</f>
        <v>9.8100888493765116E-3</v>
      </c>
      <c r="H3" s="15">
        <f>B3-($O$2+$N$2*A3)</f>
        <v>1.5486208743946822E-3</v>
      </c>
      <c r="I3" s="14">
        <f>H3*H3</f>
        <v>2.3982266126109502E-6</v>
      </c>
      <c r="J3" s="17">
        <f t="shared" ref="J3:J5" si="2">SQRT(4*$R$2+4*$Q$2*A3*A3)</f>
        <v>5.2551736617738581E-3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2'!D20</f>
        <v>2.4122160594356252</v>
      </c>
      <c r="B4" s="14">
        <f>'Таблица 2'!E20</f>
        <v>0.15845562395712293</v>
      </c>
      <c r="C4" s="15">
        <f t="shared" si="0"/>
        <v>0.16289734853130231</v>
      </c>
      <c r="D4" s="14">
        <f t="shared" si="1"/>
        <v>6.069457185386561E-4</v>
      </c>
      <c r="E4" s="19">
        <f t="shared" ref="E4:E5" si="3">A4-$L$2</f>
        <v>0.40360543669690863</v>
      </c>
      <c r="F4" s="14">
        <f t="shared" ref="F4:F5" si="4">B4-$M$2</f>
        <v>2.4636268356604984E-2</v>
      </c>
      <c r="G4" s="17">
        <f t="shared" ref="G4:G5" si="5">E4*F4</f>
        <v>9.9433318486497856E-3</v>
      </c>
      <c r="H4" s="15">
        <f t="shared" ref="H4:H5" si="6">B4-($O$2+$N$2*A4)</f>
        <v>-1.5447003250015912E-3</v>
      </c>
      <c r="I4" s="14">
        <f t="shared" ref="I4:I5" si="7">H4*H4</f>
        <v>2.3860990940600214E-6</v>
      </c>
      <c r="J4" s="17">
        <f t="shared" si="2"/>
        <v>6.308268174219059E-3</v>
      </c>
      <c r="K4" s="15"/>
      <c r="L4" s="15"/>
      <c r="M4" s="15"/>
      <c r="N4" s="15"/>
      <c r="O4" s="15"/>
      <c r="P4" s="15"/>
      <c r="Q4" s="15">
        <f>SQRT(Q2)</f>
        <v>9.7017673043006572E-4</v>
      </c>
      <c r="R4" s="15">
        <f>SQRT(R2)</f>
        <v>2.1146324975899102E-3</v>
      </c>
    </row>
    <row r="5" spans="1:18" ht="16.5" thickTop="1" thickBot="1" x14ac:dyDescent="0.5">
      <c r="A5" s="13">
        <f>'Таблица 2'!D26</f>
        <v>3.1345831795480281</v>
      </c>
      <c r="B5" s="14">
        <f>'Таблица 2'!E26</f>
        <v>0.20740865369666373</v>
      </c>
      <c r="C5" s="15">
        <f t="shared" si="0"/>
        <v>1.2678141986876983</v>
      </c>
      <c r="D5" s="14">
        <f t="shared" si="1"/>
        <v>5.4153847942834052E-3</v>
      </c>
      <c r="E5" s="19">
        <f t="shared" si="3"/>
        <v>1.1259725568093115</v>
      </c>
      <c r="F5" s="14">
        <f t="shared" si="4"/>
        <v>7.3589298096145783E-2</v>
      </c>
      <c r="G5" s="17">
        <f t="shared" si="5"/>
        <v>8.2859530131119866E-2</v>
      </c>
      <c r="H5" s="15">
        <f t="shared" si="6"/>
        <v>5.5001377076976943E-4</v>
      </c>
      <c r="I5" s="14">
        <f t="shared" si="7"/>
        <v>3.0251514803638045E-7</v>
      </c>
      <c r="J5" s="17">
        <f t="shared" si="2"/>
        <v>7.4080922630101846E-3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1.9403534608601314E-3</v>
      </c>
      <c r="R6" s="15">
        <f>R4*2</f>
        <v>4.2292649951798204E-3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R9"/>
  <sheetViews>
    <sheetView workbookViewId="0">
      <selection activeCell="O5" sqref="O5"/>
    </sheetView>
  </sheetViews>
  <sheetFormatPr defaultRowHeight="14.25" x14ac:dyDescent="0.45"/>
  <cols>
    <col min="1" max="1" width="9" bestFit="1" customWidth="1"/>
    <col min="2" max="2" width="9.46484375" bestFit="1" customWidth="1"/>
    <col min="3" max="3" width="9" bestFit="1" customWidth="1"/>
    <col min="4" max="4" width="9.6640625" customWidth="1"/>
    <col min="5" max="5" width="9" bestFit="1" customWidth="1"/>
    <col min="6" max="6" width="10.1328125" bestFit="1" customWidth="1"/>
    <col min="7" max="7" width="14" customWidth="1"/>
    <col min="8" max="10" width="9" bestFit="1" customWidth="1"/>
    <col min="12" max="12" width="9" bestFit="1" customWidth="1"/>
    <col min="13" max="14" width="9.464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3'!B3</f>
        <v>5.9290000000000002E-3</v>
      </c>
      <c r="B2" s="14">
        <f>'Таблица 3'!B4</f>
        <v>1.2135740979690725E-2</v>
      </c>
      <c r="C2" s="15">
        <f>(A2-$L$2)*(A2-$L$2)</f>
        <v>2.3575043402777784E-4</v>
      </c>
      <c r="D2" s="14">
        <f>(B2-$M$2)*(B2-$M$2)</f>
        <v>4.8778911024880344E-4</v>
      </c>
      <c r="E2" s="16">
        <f>A2-$L$2</f>
        <v>-1.5354166666666669E-2</v>
      </c>
      <c r="F2" s="14">
        <f>B2-$M$2</f>
        <v>-2.2085948253330746E-2</v>
      </c>
      <c r="G2" s="17">
        <f>E2*F2</f>
        <v>3.3911133047301588E-4</v>
      </c>
      <c r="H2" s="15">
        <f>B2-($O$2+$N$2*A2)</f>
        <v>7.038411368888095E-4</v>
      </c>
      <c r="I2" s="18">
        <f>H2*H2</f>
        <v>4.9539234597693183E-7</v>
      </c>
      <c r="J2" s="23">
        <f>SQRT(4*$R$2+4*$Q$2*A2*A2)</f>
        <v>2.7374720013491139E-3</v>
      </c>
      <c r="K2" s="15"/>
      <c r="L2" s="15">
        <f>SUM(A:A)/COUNT(A:A)</f>
        <v>2.1283166666666669E-2</v>
      </c>
      <c r="M2" s="15">
        <f>SUM(B:B)/COUNT(B:B)</f>
        <v>3.422168923302147E-2</v>
      </c>
      <c r="N2" s="15">
        <f>SUM(G:G)/SUM(C:C)</f>
        <v>1.4842739358623316</v>
      </c>
      <c r="O2" s="15">
        <f>M2-N2*L2</f>
        <v>2.6316396770741518E-3</v>
      </c>
      <c r="P2" s="15">
        <f>SUM(C:C)</f>
        <v>8.6596927083333294E-4</v>
      </c>
      <c r="Q2" s="15">
        <f>1/P2*SUM(I:I)/(COUNT(I:I)-2)</f>
        <v>2.9621710789121351E-3</v>
      </c>
      <c r="R2" s="15">
        <f>(1/COUNT(I:I)+L2*L2/P2)*SUM(I:I)/(COUNT(I:I)-2)</f>
        <v>1.7693089181565684E-6</v>
      </c>
    </row>
    <row r="3" spans="1:18" ht="16.5" thickTop="1" thickBot="1" x14ac:dyDescent="0.5">
      <c r="A3" s="13">
        <f>'Таблица 3'!C3</f>
        <v>1.0404000000000002E-2</v>
      </c>
      <c r="B3" s="14">
        <f>'Таблица 3'!C4</f>
        <v>1.9086327390541908E-2</v>
      </c>
      <c r="C3" s="15">
        <f>(A3-$L$2)*(A3-$L$2)</f>
        <v>1.1835626736111112E-4</v>
      </c>
      <c r="D3" s="14">
        <f>(B3-$M$2)*(B3-$M$2)</f>
        <v>2.2907917810278632E-4</v>
      </c>
      <c r="E3" s="19">
        <f>A3-$L$2</f>
        <v>-1.0879166666666667E-2</v>
      </c>
      <c r="F3" s="14">
        <f>B3-$M$2</f>
        <v>-1.5135361842479562E-2</v>
      </c>
      <c r="G3" s="17">
        <f>E3*F3</f>
        <v>1.6466012404464225E-4</v>
      </c>
      <c r="H3" s="15">
        <f>B3-($O$2+$N$2*A3)</f>
        <v>1.0123016847560541E-3</v>
      </c>
      <c r="I3" s="14">
        <f>H3*H3</f>
        <v>1.0247547009599455E-6</v>
      </c>
      <c r="J3" s="17">
        <f t="shared" ref="J3:J7" si="0">SQRT(4*$R$2+4*$Q$2*A3*A3)</f>
        <v>2.8913276134538667E-3</v>
      </c>
      <c r="K3" s="24"/>
      <c r="L3" s="15"/>
      <c r="M3" s="15"/>
      <c r="N3" s="30" t="s">
        <v>57</v>
      </c>
      <c r="O3" s="30" t="s">
        <v>56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3'!D3</f>
        <v>1.6129000000000001E-2</v>
      </c>
      <c r="B4" s="14">
        <f>'Таблица 3'!D4</f>
        <v>2.6277337569282643E-2</v>
      </c>
      <c r="C4" s="15">
        <f t="shared" ref="C4:C7" si="1">(A4-$L$2)*(A4-$L$2)</f>
        <v>2.6565434027777793E-5</v>
      </c>
      <c r="D4" s="14">
        <f t="shared" ref="D4:D7" si="2">(B4-$M$2)*(B4-$M$2)</f>
        <v>6.3112723357149856E-5</v>
      </c>
      <c r="E4" s="19">
        <f t="shared" ref="E4:E7" si="3">A4-$L$2</f>
        <v>-5.154166666666668E-3</v>
      </c>
      <c r="F4" s="14">
        <f t="shared" ref="F4:F7" si="4">B4-$M$2</f>
        <v>-7.9443516637388266E-3</v>
      </c>
      <c r="G4" s="17">
        <f t="shared" ref="G4:G7" si="5">E4*F4</f>
        <v>4.0946512533520545E-5</v>
      </c>
      <c r="H4" s="15">
        <f t="shared" ref="H4:H7" si="6">B4-($O$2+$N$2*A4)</f>
        <v>-2.9415641931505518E-4</v>
      </c>
      <c r="I4" s="14">
        <f t="shared" ref="I4:I7" si="7">H4*H4</f>
        <v>8.6527999024254565E-8</v>
      </c>
      <c r="J4" s="17">
        <f t="shared" si="0"/>
        <v>3.1874139047577419E-3</v>
      </c>
      <c r="K4" s="15"/>
      <c r="L4" s="15"/>
      <c r="M4" s="15"/>
      <c r="N4" s="15"/>
      <c r="O4" s="15"/>
      <c r="P4" s="15"/>
      <c r="Q4" s="15">
        <f>SQRT(Q2)</f>
        <v>5.4425830989633363E-2</v>
      </c>
      <c r="R4" s="15">
        <f>SQRT(R2)</f>
        <v>1.3301537197469202E-3</v>
      </c>
    </row>
    <row r="5" spans="1:18" ht="16.5" thickTop="1" thickBot="1" x14ac:dyDescent="0.5">
      <c r="A5" s="13">
        <f>'Таблица 3'!E3</f>
        <v>2.3104E-2</v>
      </c>
      <c r="B5" s="14">
        <f>'Таблица 3'!E4</f>
        <v>3.46448260340734E-2</v>
      </c>
      <c r="C5" s="15">
        <f t="shared" si="1"/>
        <v>3.3154340277777676E-6</v>
      </c>
      <c r="D5" s="14">
        <f t="shared" si="2"/>
        <v>1.7904475240446117E-7</v>
      </c>
      <c r="E5" s="19">
        <f t="shared" si="3"/>
        <v>1.8208333333333306E-3</v>
      </c>
      <c r="F5" s="14">
        <f t="shared" si="4"/>
        <v>4.2313680105193069E-4</v>
      </c>
      <c r="G5" s="17">
        <f t="shared" si="5"/>
        <v>7.7046159191538933E-7</v>
      </c>
      <c r="H5" s="15">
        <f t="shared" si="6"/>
        <v>-2.2794786571640607E-3</v>
      </c>
      <c r="I5" s="14">
        <f t="shared" si="7"/>
        <v>5.1960229484664692E-6</v>
      </c>
      <c r="J5" s="17">
        <f t="shared" si="0"/>
        <v>3.660874477053259E-3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>
        <f>'Таблица 3'!F3</f>
        <v>3.1328999999999996E-2</v>
      </c>
      <c r="B6" s="14">
        <f>'Таблица 3'!F4</f>
        <v>4.8318172960177222E-2</v>
      </c>
      <c r="C6" s="15">
        <f t="shared" si="1"/>
        <v>1.0091876736111099E-4</v>
      </c>
      <c r="D6" s="14">
        <f t="shared" si="2"/>
        <v>1.9871085346996693E-4</v>
      </c>
      <c r="E6" s="19">
        <f t="shared" si="3"/>
        <v>1.0045833333333327E-2</v>
      </c>
      <c r="F6" s="14">
        <f t="shared" si="4"/>
        <v>1.4096483727155752E-2</v>
      </c>
      <c r="G6" s="17">
        <f t="shared" si="5"/>
        <v>1.4161092610905207E-4</v>
      </c>
      <c r="H6" s="15">
        <f t="shared" si="6"/>
        <v>-8.1428485352790653E-4</v>
      </c>
      <c r="I6" s="14">
        <f t="shared" si="7"/>
        <v>6.630598226849642E-7</v>
      </c>
      <c r="J6" s="17">
        <f t="shared" si="0"/>
        <v>4.3251350587090488E-3</v>
      </c>
      <c r="K6" s="15"/>
      <c r="L6" s="15"/>
      <c r="M6" s="15"/>
      <c r="N6" s="15"/>
      <c r="O6" s="15"/>
      <c r="P6" s="15"/>
      <c r="Q6" s="15">
        <f>Q4*2</f>
        <v>0.10885166197926673</v>
      </c>
      <c r="R6" s="15">
        <f>R4*2</f>
        <v>2.6603074394938404E-3</v>
      </c>
    </row>
    <row r="7" spans="1:18" x14ac:dyDescent="0.45">
      <c r="A7" s="13">
        <f>'Таблица 3'!G3</f>
        <v>4.0803999999999993E-2</v>
      </c>
      <c r="B7" s="14">
        <f>'Таблица 3'!G4</f>
        <v>6.4867730464362949E-2</v>
      </c>
      <c r="C7" s="15">
        <f t="shared" si="1"/>
        <v>3.8106293402777742E-4</v>
      </c>
      <c r="D7" s="14">
        <f t="shared" si="2"/>
        <v>9.3917984315308202E-4</v>
      </c>
      <c r="E7" s="19">
        <f t="shared" si="3"/>
        <v>1.9520833333333324E-2</v>
      </c>
      <c r="F7" s="14">
        <f t="shared" si="4"/>
        <v>3.064604123134148E-2</v>
      </c>
      <c r="G7" s="17">
        <f t="shared" si="5"/>
        <v>5.9823626320347815E-4</v>
      </c>
      <c r="H7" s="15">
        <f t="shared" si="6"/>
        <v>1.6717771083622213E-3</v>
      </c>
      <c r="I7" s="14">
        <f t="shared" si="7"/>
        <v>2.7948387000439501E-6</v>
      </c>
      <c r="J7" s="17">
        <f t="shared" si="0"/>
        <v>5.1773446023967761E-3</v>
      </c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9"/>
  <sheetViews>
    <sheetView workbookViewId="0">
      <selection activeCell="A7" sqref="A7"/>
    </sheetView>
  </sheetViews>
  <sheetFormatPr defaultRowHeight="14.25" x14ac:dyDescent="0.45"/>
  <sheetData>
    <row r="1" spans="1:1" x14ac:dyDescent="0.45">
      <c r="A1" t="s">
        <v>75</v>
      </c>
    </row>
    <row r="3" spans="1:1" x14ac:dyDescent="0.45">
      <c r="A3" t="s">
        <v>76</v>
      </c>
    </row>
    <row r="5" spans="1:1" x14ac:dyDescent="0.45">
      <c r="A5" t="s">
        <v>74</v>
      </c>
    </row>
    <row r="7" spans="1:1" x14ac:dyDescent="0.45">
      <c r="A7" t="s">
        <v>73</v>
      </c>
    </row>
    <row r="9" spans="1:1" x14ac:dyDescent="0.45">
      <c r="A9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8"/>
  <sheetViews>
    <sheetView zoomScale="126" workbookViewId="0">
      <selection activeCell="D6" sqref="D6"/>
    </sheetView>
  </sheetViews>
  <sheetFormatPr defaultRowHeight="14.25" x14ac:dyDescent="0.45"/>
  <cols>
    <col min="1" max="1" width="13.46484375" bestFit="1" customWidth="1"/>
  </cols>
  <sheetData>
    <row r="1" spans="1:7" x14ac:dyDescent="0.45">
      <c r="A1" s="47" t="s">
        <v>0</v>
      </c>
      <c r="B1" s="47" t="s">
        <v>1</v>
      </c>
      <c r="C1" s="47"/>
      <c r="D1" s="47"/>
      <c r="E1" s="47"/>
      <c r="F1" s="47"/>
      <c r="G1" s="47"/>
    </row>
    <row r="2" spans="1:7" x14ac:dyDescent="0.45">
      <c r="A2" s="47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45">
      <c r="A3" s="59">
        <f>0.047+0.22</f>
        <v>0.26700000000000002</v>
      </c>
      <c r="B3" s="60">
        <v>3.92</v>
      </c>
      <c r="C3" s="61">
        <v>4.8600000000000003</v>
      </c>
      <c r="D3" s="61">
        <v>5.76</v>
      </c>
      <c r="E3" s="61">
        <v>6.87</v>
      </c>
      <c r="F3" s="61">
        <v>7.65</v>
      </c>
      <c r="G3" s="62">
        <v>8.32</v>
      </c>
    </row>
    <row r="4" spans="1:7" x14ac:dyDescent="0.45">
      <c r="A4" s="59"/>
      <c r="B4" s="63">
        <v>3.87</v>
      </c>
      <c r="C4" s="64">
        <v>5</v>
      </c>
      <c r="D4" s="64">
        <v>5.59</v>
      </c>
      <c r="E4" s="64">
        <v>6.66</v>
      </c>
      <c r="F4" s="64">
        <v>7.6</v>
      </c>
      <c r="G4" s="65">
        <v>8.2799999999999994</v>
      </c>
    </row>
    <row r="5" spans="1:7" ht="14.65" thickBot="1" x14ac:dyDescent="0.5">
      <c r="A5" s="59"/>
      <c r="B5" s="66">
        <v>3.95</v>
      </c>
      <c r="C5" s="67">
        <v>4.8600000000000003</v>
      </c>
      <c r="D5" s="67">
        <v>5.65</v>
      </c>
      <c r="E5" s="67">
        <v>6.77</v>
      </c>
      <c r="F5" s="67">
        <v>7.45</v>
      </c>
      <c r="G5" s="68">
        <v>8.35</v>
      </c>
    </row>
    <row r="6" spans="1:7" x14ac:dyDescent="0.45">
      <c r="A6" s="59"/>
      <c r="B6" s="12">
        <f>SUM(B3:B5)/3</f>
        <v>3.9133333333333336</v>
      </c>
      <c r="C6" s="12">
        <f t="shared" ref="C6:G6" si="0">SUM(C3:C5)/3</f>
        <v>4.9066666666666663</v>
      </c>
      <c r="D6" s="12">
        <f t="shared" si="0"/>
        <v>5.666666666666667</v>
      </c>
      <c r="E6" s="12">
        <f t="shared" si="0"/>
        <v>6.7666666666666666</v>
      </c>
      <c r="F6" s="12">
        <f t="shared" si="0"/>
        <v>7.5666666666666664</v>
      </c>
      <c r="G6" s="12">
        <f t="shared" si="0"/>
        <v>8.3166666666666682</v>
      </c>
    </row>
    <row r="7" spans="1:7" x14ac:dyDescent="0.45">
      <c r="A7" s="59">
        <f>0.047+0.22*2</f>
        <v>0.48699999999999999</v>
      </c>
      <c r="B7" s="69">
        <v>2.78</v>
      </c>
      <c r="C7" s="70">
        <v>3.37</v>
      </c>
      <c r="D7" s="70">
        <v>4</v>
      </c>
      <c r="E7" s="70">
        <v>4.58</v>
      </c>
      <c r="F7" s="70">
        <v>5.39</v>
      </c>
      <c r="G7" s="71">
        <v>6.15</v>
      </c>
    </row>
    <row r="8" spans="1:7" x14ac:dyDescent="0.45">
      <c r="A8" s="59"/>
      <c r="B8" s="72">
        <v>2.98</v>
      </c>
      <c r="C8" s="73">
        <v>3.49</v>
      </c>
      <c r="D8" s="73">
        <v>3.91</v>
      </c>
      <c r="E8" s="73">
        <v>4.51</v>
      </c>
      <c r="F8" s="73">
        <v>5.44</v>
      </c>
      <c r="G8" s="74">
        <v>6.21</v>
      </c>
    </row>
    <row r="9" spans="1:7" ht="14.65" thickBot="1" x14ac:dyDescent="0.5">
      <c r="A9" s="59"/>
      <c r="B9" s="75">
        <v>2.96</v>
      </c>
      <c r="C9" s="76">
        <v>3.45</v>
      </c>
      <c r="D9" s="76">
        <v>3.98</v>
      </c>
      <c r="E9" s="76">
        <v>4.63</v>
      </c>
      <c r="F9" s="76">
        <v>5.41</v>
      </c>
      <c r="G9" s="77">
        <v>6.1</v>
      </c>
    </row>
    <row r="10" spans="1:7" x14ac:dyDescent="0.45">
      <c r="A10" s="59"/>
      <c r="B10" s="12">
        <f>SUM(B7:B9)/3</f>
        <v>2.9066666666666663</v>
      </c>
      <c r="C10" s="12">
        <f t="shared" ref="C10:G10" si="1">SUM(C7:C9)/3</f>
        <v>3.436666666666667</v>
      </c>
      <c r="D10" s="12">
        <f t="shared" si="1"/>
        <v>3.9633333333333334</v>
      </c>
      <c r="E10" s="12">
        <f t="shared" si="1"/>
        <v>4.5733333333333333</v>
      </c>
      <c r="F10" s="12">
        <f t="shared" si="1"/>
        <v>5.413333333333334</v>
      </c>
      <c r="G10" s="12">
        <f t="shared" si="1"/>
        <v>6.1533333333333333</v>
      </c>
    </row>
    <row r="11" spans="1:7" x14ac:dyDescent="0.45">
      <c r="A11" s="59">
        <f>0.047+0.22*3</f>
        <v>0.70700000000000007</v>
      </c>
      <c r="B11" s="78">
        <v>2.39</v>
      </c>
      <c r="C11" s="79">
        <v>2.85</v>
      </c>
      <c r="D11" s="79">
        <v>3.17</v>
      </c>
      <c r="E11" s="79">
        <v>3.81</v>
      </c>
      <c r="F11" s="79">
        <v>4.34</v>
      </c>
      <c r="G11" s="80">
        <v>5.0599999999999996</v>
      </c>
    </row>
    <row r="12" spans="1:7" x14ac:dyDescent="0.45">
      <c r="A12" s="59"/>
      <c r="B12" s="81">
        <v>2.35</v>
      </c>
      <c r="C12" s="82">
        <v>2.93</v>
      </c>
      <c r="D12" s="82">
        <v>3.23</v>
      </c>
      <c r="E12" s="82">
        <v>3.83</v>
      </c>
      <c r="F12" s="82">
        <v>4.37</v>
      </c>
      <c r="G12" s="83">
        <v>5.05</v>
      </c>
    </row>
    <row r="13" spans="1:7" x14ac:dyDescent="0.45">
      <c r="A13" s="59"/>
      <c r="B13" s="84">
        <v>2.41</v>
      </c>
      <c r="C13" s="85">
        <v>2.94</v>
      </c>
      <c r="D13" s="85">
        <v>3.24</v>
      </c>
      <c r="E13" s="85">
        <v>3.87</v>
      </c>
      <c r="F13" s="85">
        <v>4.34</v>
      </c>
      <c r="G13" s="86">
        <v>4.96</v>
      </c>
    </row>
    <row r="14" spans="1:7" x14ac:dyDescent="0.45">
      <c r="A14" s="59"/>
      <c r="B14" s="12">
        <f>SUM(B11:B13)/3</f>
        <v>2.3833333333333333</v>
      </c>
      <c r="C14" s="12">
        <f t="shared" ref="C14" si="2">SUM(C11:C13)/3</f>
        <v>2.9066666666666667</v>
      </c>
      <c r="D14" s="12">
        <f t="shared" ref="D14" si="3">SUM(D11:D13)/3</f>
        <v>3.2133333333333334</v>
      </c>
      <c r="E14" s="12">
        <f t="shared" ref="E14" si="4">SUM(E11:E13)/3</f>
        <v>3.8366666666666673</v>
      </c>
      <c r="F14" s="12">
        <f t="shared" ref="F14" si="5">SUM(F11:F13)/3</f>
        <v>4.3500000000000005</v>
      </c>
      <c r="G14" s="12">
        <f t="shared" ref="G14" si="6">SUM(G11:G13)/3</f>
        <v>5.0233333333333334</v>
      </c>
    </row>
    <row r="15" spans="1:7" x14ac:dyDescent="0.45">
      <c r="A15" s="59">
        <f>0.047+0.22*4</f>
        <v>0.92700000000000005</v>
      </c>
      <c r="B15" s="87">
        <v>1.92</v>
      </c>
      <c r="C15" s="88">
        <v>2.42</v>
      </c>
      <c r="D15" s="88">
        <v>2.89</v>
      </c>
      <c r="E15" s="88">
        <v>3.28</v>
      </c>
      <c r="F15" s="88">
        <v>3.91</v>
      </c>
      <c r="G15" s="89">
        <v>4.45</v>
      </c>
    </row>
    <row r="16" spans="1:7" x14ac:dyDescent="0.45">
      <c r="A16" s="59"/>
      <c r="B16" s="90">
        <v>1.99</v>
      </c>
      <c r="C16" s="91">
        <v>2.44</v>
      </c>
      <c r="D16" s="91">
        <v>2.91</v>
      </c>
      <c r="E16" s="91">
        <v>3.32</v>
      </c>
      <c r="F16" s="91">
        <v>3.85</v>
      </c>
      <c r="G16" s="92">
        <v>4.33</v>
      </c>
    </row>
    <row r="17" spans="1:7" x14ac:dyDescent="0.45">
      <c r="A17" s="59"/>
      <c r="B17" s="93">
        <v>2.0099999999999998</v>
      </c>
      <c r="C17" s="94">
        <v>2.4700000000000002</v>
      </c>
      <c r="D17" s="94">
        <v>2.84</v>
      </c>
      <c r="E17" s="94">
        <v>3.29</v>
      </c>
      <c r="F17" s="94">
        <v>3.87</v>
      </c>
      <c r="G17" s="95">
        <v>4.4400000000000004</v>
      </c>
    </row>
    <row r="18" spans="1:7" x14ac:dyDescent="0.45">
      <c r="A18" s="59"/>
      <c r="B18" s="12">
        <f>SUM(B15:B17)/3</f>
        <v>1.9733333333333334</v>
      </c>
      <c r="C18" s="12">
        <f t="shared" ref="C18" si="7">SUM(C15:C17)/3</f>
        <v>2.4433333333333334</v>
      </c>
      <c r="D18" s="12">
        <f t="shared" ref="D18" si="8">SUM(D15:D17)/3</f>
        <v>2.8800000000000003</v>
      </c>
      <c r="E18" s="12">
        <f t="shared" ref="E18" si="9">SUM(E15:E17)/3</f>
        <v>3.2966666666666669</v>
      </c>
      <c r="F18" s="12">
        <f t="shared" ref="F18" si="10">SUM(F15:F17)/3</f>
        <v>3.8766666666666665</v>
      </c>
      <c r="G18" s="12">
        <f t="shared" ref="G18" si="11">SUM(G15:G17)/3</f>
        <v>4.4066666666666672</v>
      </c>
    </row>
  </sheetData>
  <mergeCells count="6">
    <mergeCell ref="A15:A18"/>
    <mergeCell ref="A1:A2"/>
    <mergeCell ref="B1:G1"/>
    <mergeCell ref="A3:A6"/>
    <mergeCell ref="A7:A10"/>
    <mergeCell ref="A11:A1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S26"/>
  <sheetViews>
    <sheetView workbookViewId="0">
      <selection activeCell="J6" sqref="J6"/>
    </sheetView>
  </sheetViews>
  <sheetFormatPr defaultRowHeight="14.25" x14ac:dyDescent="0.45"/>
  <cols>
    <col min="1" max="1" width="13.46484375" bestFit="1" customWidth="1"/>
    <col min="8" max="8" width="11.19921875" customWidth="1"/>
    <col min="9" max="12" width="9.46484375" bestFit="1" customWidth="1"/>
  </cols>
  <sheetData>
    <row r="1" spans="1:19" ht="18" customHeight="1" x14ac:dyDescent="0.45"/>
    <row r="2" spans="1:19" ht="16.5" x14ac:dyDescent="0.55000000000000004">
      <c r="A2" s="20" t="s">
        <v>0</v>
      </c>
      <c r="B2" s="20" t="s">
        <v>8</v>
      </c>
      <c r="C2" s="21" t="s">
        <v>9</v>
      </c>
      <c r="D2" s="22" t="s">
        <v>10</v>
      </c>
      <c r="E2" s="2" t="s">
        <v>11</v>
      </c>
      <c r="G2" t="s">
        <v>77</v>
      </c>
      <c r="H2" t="s">
        <v>78</v>
      </c>
    </row>
    <row r="3" spans="1:19" x14ac:dyDescent="0.45">
      <c r="A3" s="46">
        <f>'Таблица 1'!A3</f>
        <v>0.26700000000000002</v>
      </c>
      <c r="B3" s="45">
        <f>'Таблица 1'!B6</f>
        <v>3.9133333333333336</v>
      </c>
      <c r="C3" s="45">
        <f>'Параметры установки'!$A$2*2/B3/B3</f>
        <v>9.1418554774225169E-2</v>
      </c>
      <c r="D3" s="45">
        <f>2*C3/'Параметры установки'!$B$2</f>
        <v>3.9747197727923989</v>
      </c>
      <c r="E3" s="45">
        <f>$A$3*'Параметры установки'!$B$2/2*(9.8-C3)</f>
        <v>5.9620398655131489E-2</v>
      </c>
      <c r="G3" s="44">
        <f xml:space="preserve"> AVERAGE(E3,E9,E15,E21)</f>
        <v>0.13104113343335222</v>
      </c>
      <c r="H3" s="44">
        <f xml:space="preserve"> AVERAGE(D3,D9,D15,D21)</f>
        <v>9.3816793268266299</v>
      </c>
      <c r="J3" s="44">
        <f>G3 - 0.01 * H3</f>
        <v>3.7224340165085912E-2</v>
      </c>
    </row>
    <row r="4" spans="1:19" x14ac:dyDescent="0.45">
      <c r="A4" s="46"/>
      <c r="B4" s="45">
        <f>'Таблица 1'!C6</f>
        <v>4.9066666666666663</v>
      </c>
      <c r="C4" s="45">
        <f>'Параметры установки'!$A$2*2/B4/B4</f>
        <v>5.8150697069943288E-2</v>
      </c>
      <c r="D4" s="45">
        <f>2*C4/'Параметры установки'!$B$2</f>
        <v>2.5282911769540561</v>
      </c>
      <c r="E4" s="45">
        <f>$A$3*'Параметры установки'!$B$2/2*(9.8-C4)</f>
        <v>5.9824696569293491E-2</v>
      </c>
      <c r="G4" s="44">
        <f xml:space="preserve"> AVERAGE(E4,E10,E16,E22)</f>
        <v>0.13221895569607856</v>
      </c>
      <c r="H4" s="44">
        <f xml:space="preserve"> AVERAGE(D4,D10,D16,D22)</f>
        <v>6.2706947144769973</v>
      </c>
      <c r="J4" s="44">
        <f>G4 - 0.02 * H4</f>
        <v>6.8050614065386095E-3</v>
      </c>
    </row>
    <row r="5" spans="1:19" x14ac:dyDescent="0.45">
      <c r="A5" s="46"/>
      <c r="B5" s="45">
        <f>'Таблица 1'!D6</f>
        <v>5.666666666666667</v>
      </c>
      <c r="C5" s="45">
        <f>'Параметры установки'!$A$2*2/B5/B5</f>
        <v>4.3598615916955012E-2</v>
      </c>
      <c r="D5" s="45">
        <f>2*C5/'Параметры установки'!$B$2</f>
        <v>1.8955919963893484</v>
      </c>
      <c r="E5" s="45">
        <f>$A$3*'Параметры установки'!$B$2/2*(9.8-C5)</f>
        <v>5.9914060899653995E-2</v>
      </c>
      <c r="G5" s="44">
        <f xml:space="preserve"> AVERAGE(E5,E11,E17,E23)</f>
        <v>0.13279641036908346</v>
      </c>
      <c r="H5" s="44">
        <f xml:space="preserve"> AVERAGE(D5,D11,D17,D23)</f>
        <v>4.7510891449072341</v>
      </c>
      <c r="J5" s="44">
        <f>G5 - 0.03 * H5</f>
        <v>-9.7362639781335691E-3</v>
      </c>
    </row>
    <row r="6" spans="1:19" x14ac:dyDescent="0.45">
      <c r="A6" s="46"/>
      <c r="B6" s="45">
        <f>'Таблица 1'!E6</f>
        <v>6.7666666666666666</v>
      </c>
      <c r="C6" s="45">
        <f>'Параметры установки'!$A$2*2/B6/B6</f>
        <v>3.0575845082384916E-2</v>
      </c>
      <c r="D6" s="45">
        <f>2*C6/'Параметры установки'!$B$2</f>
        <v>1.3293845687993442</v>
      </c>
      <c r="E6" s="45">
        <f>$A$3*'Параметры установки'!$B$2/2*(9.8-C6)</f>
        <v>5.9994033735349082E-2</v>
      </c>
      <c r="G6" s="44">
        <f t="shared" ref="G5:G8" si="0" xml:space="preserve"> AVERAGE(E6,E12,E18,E24)</f>
        <v>0.13325614508559108</v>
      </c>
      <c r="H6" s="44">
        <f t="shared" ref="H4:H8" si="1" xml:space="preserve"> AVERAGE(D6,D12,D18,D24)</f>
        <v>3.4939052463507538</v>
      </c>
      <c r="J6" s="44">
        <f>G6 - 0.03 * H6</f>
        <v>2.8438987695068474E-2</v>
      </c>
    </row>
    <row r="7" spans="1:19" x14ac:dyDescent="0.45">
      <c r="A7" s="46"/>
      <c r="B7" s="45">
        <f>'Таблица 1'!F6</f>
        <v>7.5666666666666664</v>
      </c>
      <c r="C7" s="45">
        <f>'Параметры установки'!$A$2*2/B7/B7</f>
        <v>2.4452250189213841E-2</v>
      </c>
      <c r="D7" s="45">
        <f>2*C7/'Параметры установки'!$B$2</f>
        <v>1.0631413125745148</v>
      </c>
      <c r="E7" s="45">
        <f>$A$3*'Параметры установки'!$B$2/2*(9.8-C7)</f>
        <v>6.0031638731588052E-2</v>
      </c>
      <c r="G7" s="44">
        <f xml:space="preserve"> AVERAGE(E7,E13,E19,E25)</f>
        <v>0.13359516175565478</v>
      </c>
      <c r="H7" s="44">
        <f t="shared" si="1"/>
        <v>2.6018376569379242</v>
      </c>
      <c r="J7" s="44">
        <f>G7 - 0.05* H7</f>
        <v>3.503278908758567E-3</v>
      </c>
    </row>
    <row r="8" spans="1:19" x14ac:dyDescent="0.45">
      <c r="A8" s="46"/>
      <c r="B8" s="45">
        <f>'Таблица 1'!G6</f>
        <v>8.3166666666666682</v>
      </c>
      <c r="C8" s="45">
        <f>'Параметры установки'!$A$2*2/B8/B8</f>
        <v>2.024088256673667E-2</v>
      </c>
      <c r="D8" s="45">
        <f>2*C8/'Параметры установки'!$B$2</f>
        <v>0.88003837246681171</v>
      </c>
      <c r="E8" s="45">
        <f>$A$3*'Параметры установки'!$B$2/2*(9.8-C8)</f>
        <v>6.0057500740157678E-2</v>
      </c>
      <c r="G8" s="44">
        <f t="shared" si="0"/>
        <v>0.13381935560051794</v>
      </c>
      <c r="H8" s="44">
        <f t="shared" si="1"/>
        <v>2.0086106227387166</v>
      </c>
      <c r="J8" s="44">
        <f>G8 - 0.06 * H8</f>
        <v>1.3302718236194944E-2</v>
      </c>
    </row>
    <row r="9" spans="1:19" x14ac:dyDescent="0.45">
      <c r="A9" s="46">
        <f>'Таблица 1'!A7</f>
        <v>0.48699999999999999</v>
      </c>
      <c r="B9" s="45">
        <f>'Таблица 1'!B10</f>
        <v>2.9066666666666663</v>
      </c>
      <c r="C9" s="45">
        <f>'Параметры установки'!$A$2*2/B9/B9</f>
        <v>0.16570574867435406</v>
      </c>
      <c r="D9" s="45">
        <f>2*C9/'Параметры установки'!$B$2</f>
        <v>7.204597768450177</v>
      </c>
      <c r="E9" s="45">
        <f>$A$9*'Параметры установки'!$B$2/2*(9.8-C9)</f>
        <v>0.10791372990909856</v>
      </c>
      <c r="N9" s="15"/>
      <c r="O9" s="15"/>
      <c r="P9" s="15"/>
      <c r="Q9" s="15"/>
      <c r="R9" s="15"/>
      <c r="S9" s="15"/>
    </row>
    <row r="10" spans="1:19" x14ac:dyDescent="0.45">
      <c r="A10" s="46"/>
      <c r="B10" s="45">
        <f>'Таблица 1'!C10</f>
        <v>3.436666666666667</v>
      </c>
      <c r="C10" s="45">
        <f>'Параметры установки'!$A$2*2/B10/B10</f>
        <v>0.11853680426657232</v>
      </c>
      <c r="D10" s="45">
        <f>2*C10/'Параметры установки'!$B$2</f>
        <v>5.1537740985466227</v>
      </c>
      <c r="E10" s="45">
        <f>$A$9*'Параметры установки'!$B$2/2*(9.8-C10)</f>
        <v>0.10844206925541013</v>
      </c>
      <c r="N10" s="15"/>
      <c r="O10" s="15"/>
      <c r="P10" s="15"/>
      <c r="Q10" s="15"/>
      <c r="R10" s="15"/>
      <c r="S10" s="15"/>
    </row>
    <row r="11" spans="1:19" x14ac:dyDescent="0.45">
      <c r="A11" s="46"/>
      <c r="B11" s="45">
        <f>'Таблица 1'!D10</f>
        <v>3.9633333333333334</v>
      </c>
      <c r="C11" s="45">
        <f>'Параметры установки'!$A$2*2/B11/B11</f>
        <v>8.9126496670842409E-2</v>
      </c>
      <c r="D11" s="45">
        <f>2*C11/'Параметры установки'!$B$2</f>
        <v>3.8750650726453224</v>
      </c>
      <c r="E11" s="45">
        <f>$A$9*'Параметры установки'!$B$2/2*(9.8-C11)</f>
        <v>0.1087714941107899</v>
      </c>
      <c r="N11" s="15"/>
      <c r="O11" s="15"/>
      <c r="P11" s="15"/>
      <c r="Q11" s="15"/>
      <c r="R11" s="15"/>
      <c r="S11" s="15"/>
    </row>
    <row r="12" spans="1:19" x14ac:dyDescent="0.45">
      <c r="A12" s="46"/>
      <c r="B12" s="45">
        <f>'Таблица 1'!E10</f>
        <v>4.5733333333333333</v>
      </c>
      <c r="C12" s="45">
        <f>'Параметры установки'!$A$2*2/B12/B12</f>
        <v>6.6936395549473435E-2</v>
      </c>
      <c r="D12" s="45">
        <f>2*C12/'Параметры установки'!$B$2</f>
        <v>2.9102780673684103</v>
      </c>
      <c r="E12" s="45">
        <f>$A$9*'Параметры установки'!$B$2/2*(9.8-C12)</f>
        <v>0.10902004543345034</v>
      </c>
      <c r="N12" s="15"/>
      <c r="O12" s="15"/>
      <c r="P12" s="15"/>
      <c r="Q12" s="15"/>
      <c r="R12" s="15"/>
      <c r="S12" s="15"/>
    </row>
    <row r="13" spans="1:19" x14ac:dyDescent="0.45">
      <c r="A13" s="46"/>
      <c r="B13" s="45">
        <f>'Таблица 1'!F10</f>
        <v>5.413333333333334</v>
      </c>
      <c r="C13" s="45">
        <f>'Параметры установки'!$A$2*2/B13/B13</f>
        <v>4.7774757941226417E-2</v>
      </c>
      <c r="D13" s="45">
        <f>2*C13/'Параметры установки'!$B$2</f>
        <v>2.0771633887489749</v>
      </c>
      <c r="E13" s="45">
        <f>$A$9*'Параметры установки'!$B$2/2*(9.8-C13)</f>
        <v>0.10923467493630032</v>
      </c>
    </row>
    <row r="14" spans="1:19" x14ac:dyDescent="0.45">
      <c r="A14" s="46"/>
      <c r="B14" s="45">
        <f>'Таблица 1'!G10</f>
        <v>6.1533333333333333</v>
      </c>
      <c r="C14" s="45">
        <f>'Параметры установки'!$A$2*2/B14/B14</f>
        <v>3.6974912228601206E-2</v>
      </c>
      <c r="D14" s="45">
        <f>2*C14/'Параметры установки'!$B$2</f>
        <v>1.6076048795044002</v>
      </c>
      <c r="E14" s="45">
        <f>$A$9*'Параметры установки'!$B$2/2*(9.8-C14)</f>
        <v>0.10935564400812745</v>
      </c>
    </row>
    <row r="15" spans="1:19" x14ac:dyDescent="0.45">
      <c r="A15" s="46">
        <f>'Таблица 1'!A11</f>
        <v>0.70700000000000007</v>
      </c>
      <c r="B15" s="45">
        <f>'Таблица 1'!B14</f>
        <v>2.3833333333333333</v>
      </c>
      <c r="C15" s="45">
        <f>'Параметры установки'!$A$2*2/B15/B15</f>
        <v>0.24646681989339331</v>
      </c>
      <c r="D15" s="45">
        <f>2*C15/'Параметры установки'!$B$2</f>
        <v>10.7159486910171</v>
      </c>
      <c r="E15" s="45">
        <f>$A$15*'Параметры установки'!$B$2/2*(9.8-C15)</f>
        <v>0.15535000304171354</v>
      </c>
    </row>
    <row r="16" spans="1:19" x14ac:dyDescent="0.45">
      <c r="A16" s="46"/>
      <c r="B16" s="45">
        <f>'Таблица 1'!C14</f>
        <v>2.9066666666666667</v>
      </c>
      <c r="C16" s="45">
        <f>'Параметры установки'!$A$2*2/B16/B16</f>
        <v>0.16570574867435398</v>
      </c>
      <c r="D16" s="45">
        <f>2*C16/'Параметры установки'!$B$2</f>
        <v>7.2045977684501725</v>
      </c>
      <c r="E16" s="45">
        <f>$A$15*'Параметры установки'!$B$2/2*(9.8-C16)</f>
        <v>0.15666325882080637</v>
      </c>
    </row>
    <row r="17" spans="1:12" x14ac:dyDescent="0.45">
      <c r="A17" s="46"/>
      <c r="B17" s="45">
        <f>'Таблица 1'!D14</f>
        <v>3.2133333333333334</v>
      </c>
      <c r="C17" s="45">
        <f>'Параметры установки'!$A$2*2/B17/B17</f>
        <v>0.13558650849675452</v>
      </c>
      <c r="D17" s="45">
        <f>2*C17/'Параметры установки'!$B$2</f>
        <v>5.8950655868154138</v>
      </c>
      <c r="E17" s="45">
        <f>$A$15*'Параметры установки'!$B$2/2*(9.8-C17)</f>
        <v>0.1571530277853343</v>
      </c>
    </row>
    <row r="18" spans="1:12" x14ac:dyDescent="0.45">
      <c r="A18" s="46"/>
      <c r="B18" s="45">
        <f>'Таблица 1'!E14</f>
        <v>3.8366666666666673</v>
      </c>
      <c r="C18" s="45">
        <f>'Параметры установки'!$A$2*2/B18/B18</f>
        <v>9.5108623861244024E-2</v>
      </c>
      <c r="D18" s="45">
        <f>2*C18/'Параметры установки'!$B$2</f>
        <v>4.1351575591845231</v>
      </c>
      <c r="E18" s="45">
        <f>$A$15*'Параметры установки'!$B$2/2*(9.8-C18)</f>
        <v>0.15781123866739236</v>
      </c>
      <c r="I18" s="15"/>
      <c r="J18" s="15"/>
      <c r="K18" s="15"/>
      <c r="L18" s="15"/>
    </row>
    <row r="19" spans="1:12" x14ac:dyDescent="0.45">
      <c r="A19" s="46"/>
      <c r="B19" s="45">
        <f>'Таблица 1'!F14</f>
        <v>4.3500000000000005</v>
      </c>
      <c r="C19" s="45">
        <f>'Параметры установки'!$A$2*2/B19/B19</f>
        <v>7.3985995507993105E-2</v>
      </c>
      <c r="D19" s="45">
        <f>2*C19/'Параметры установки'!$B$2</f>
        <v>3.2167824133910048</v>
      </c>
      <c r="E19" s="45">
        <f>$A$15*'Параметры установки'!$B$2/2*(9.8-C19)</f>
        <v>0.15815471372704454</v>
      </c>
      <c r="I19" s="15"/>
      <c r="J19" s="15"/>
      <c r="K19" s="15"/>
      <c r="L19" s="15"/>
    </row>
    <row r="20" spans="1:12" x14ac:dyDescent="0.45">
      <c r="A20" s="46"/>
      <c r="B20" s="45">
        <f>'Таблица 1'!G14</f>
        <v>5.0233333333333334</v>
      </c>
      <c r="C20" s="45">
        <f>'Параметры установки'!$A$2*2/B20/B20</f>
        <v>5.5480969367019378E-2</v>
      </c>
      <c r="D20" s="45">
        <f>2*C20/'Параметры установки'!$B$2</f>
        <v>2.4122160594356252</v>
      </c>
      <c r="E20" s="45">
        <f>$A$15*'Параметры установки'!$B$2/2*(9.8-C20)</f>
        <v>0.15845562395712293</v>
      </c>
      <c r="I20" s="15"/>
      <c r="J20" s="15"/>
      <c r="K20" s="15"/>
      <c r="L20" s="15"/>
    </row>
    <row r="21" spans="1:12" x14ac:dyDescent="0.45">
      <c r="A21" s="46">
        <f>'Таблица 1'!A15</f>
        <v>0.92700000000000005</v>
      </c>
      <c r="B21" s="45">
        <f>'Таблица 1'!B18</f>
        <v>1.9733333333333334</v>
      </c>
      <c r="C21" s="45">
        <f>'Параметры установки'!$A$2*2/B21/B21</f>
        <v>0.35952337472607743</v>
      </c>
      <c r="D21" s="45">
        <f>2*C21/'Параметры установки'!$B$2</f>
        <v>15.631451075046845</v>
      </c>
      <c r="E21" s="45">
        <f>$A$21*'Параметры установки'!$B$2/2*(9.8-C21)</f>
        <v>0.20128040212746531</v>
      </c>
      <c r="I21" s="15"/>
      <c r="J21" s="15"/>
      <c r="K21" s="15"/>
      <c r="L21" s="15"/>
    </row>
    <row r="22" spans="1:12" x14ac:dyDescent="0.45">
      <c r="A22" s="46"/>
      <c r="B22" s="45">
        <f>'Таблица 1'!C18</f>
        <v>2.4433333333333334</v>
      </c>
      <c r="C22" s="45">
        <f>'Параметры установки'!$A$2*2/B22/B22</f>
        <v>0.23451066372101417</v>
      </c>
      <c r="D22" s="45">
        <f>2*C22/'Параметры установки'!$B$2</f>
        <v>10.196115813957139</v>
      </c>
      <c r="E22" s="45">
        <f>$A$21*'Параметры установки'!$B$2/2*(9.8-C22)</f>
        <v>0.20394579813880426</v>
      </c>
      <c r="I22" s="15"/>
      <c r="J22" s="15"/>
      <c r="K22" s="15"/>
      <c r="L22" s="15"/>
    </row>
    <row r="23" spans="1:12" x14ac:dyDescent="0.45">
      <c r="A23" s="46"/>
      <c r="B23" s="45">
        <f>'Таблица 1'!D18</f>
        <v>2.8800000000000003</v>
      </c>
      <c r="C23" s="45">
        <f>'Параметры установки'!$A$2*2/B23/B23</f>
        <v>0.16878858024691354</v>
      </c>
      <c r="D23" s="45">
        <f>2*C23/'Параметры установки'!$B$2</f>
        <v>7.3386339237788496</v>
      </c>
      <c r="E23" s="45">
        <f>$A$21*'Параметры установки'!$B$2/2*(9.8-C23)</f>
        <v>0.20534705868055558</v>
      </c>
      <c r="I23" s="15"/>
      <c r="J23" s="15"/>
      <c r="K23" s="15"/>
      <c r="L23" s="15"/>
    </row>
    <row r="24" spans="1:12" x14ac:dyDescent="0.45">
      <c r="A24" s="46"/>
      <c r="B24" s="45">
        <f>'Таблица 1'!E18</f>
        <v>3.2966666666666669</v>
      </c>
      <c r="C24" s="45">
        <f>'Параметры установки'!$A$2*2/B24/B24</f>
        <v>0.12881841817116693</v>
      </c>
      <c r="D24" s="45">
        <f>2*C24/'Параметры установки'!$B$2</f>
        <v>5.6008007900507364</v>
      </c>
      <c r="E24" s="45">
        <f>$A$21*'Параметры установки'!$B$2/2*(9.8-C24)</f>
        <v>0.20619926250617254</v>
      </c>
    </row>
    <row r="25" spans="1:12" x14ac:dyDescent="0.45">
      <c r="A25" s="46"/>
      <c r="B25" s="45">
        <f>'Таблица 1'!F18</f>
        <v>3.8766666666666665</v>
      </c>
      <c r="C25" s="45">
        <f>'Параметры установки'!$A$2*2/B25/B25</f>
        <v>9.3156060799855681E-2</v>
      </c>
      <c r="D25" s="45">
        <f>2*C25/'Параметры установки'!$B$2</f>
        <v>4.050263513037204</v>
      </c>
      <c r="E25" s="45">
        <f>$A$21*'Параметры установки'!$B$2/2*(9.8-C25)</f>
        <v>0.20695961962768628</v>
      </c>
    </row>
    <row r="26" spans="1:12" x14ac:dyDescent="0.45">
      <c r="A26" s="46"/>
      <c r="B26" s="45">
        <f>'Таблица 1'!G18</f>
        <v>4.4066666666666672</v>
      </c>
      <c r="C26" s="45">
        <f>'Параметры установки'!$A$2*2/B26/B26</f>
        <v>7.2095413129604644E-2</v>
      </c>
      <c r="D26" s="45">
        <f>2*C26/'Параметры установки'!$B$2</f>
        <v>3.1345831795480281</v>
      </c>
      <c r="E26" s="45">
        <f>$A$21*'Параметры установки'!$B$2/2*(9.8-C26)</f>
        <v>0.20740865369666373</v>
      </c>
    </row>
  </sheetData>
  <mergeCells count="4">
    <mergeCell ref="A21:A26"/>
    <mergeCell ref="A3:A8"/>
    <mergeCell ref="A9:A14"/>
    <mergeCell ref="A15:A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I15"/>
  <sheetViews>
    <sheetView tabSelected="1" workbookViewId="0">
      <selection activeCell="L15" sqref="L15"/>
    </sheetView>
  </sheetViews>
  <sheetFormatPr defaultRowHeight="14.25" x14ac:dyDescent="0.45"/>
  <cols>
    <col min="1" max="1" width="12.86328125" bestFit="1" customWidth="1"/>
  </cols>
  <sheetData>
    <row r="1" spans="1:9" x14ac:dyDescent="0.45">
      <c r="A1" s="29" t="s">
        <v>51</v>
      </c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</row>
    <row r="2" spans="1:9" x14ac:dyDescent="0.45">
      <c r="A2" s="29" t="s">
        <v>52</v>
      </c>
      <c r="B2" s="2">
        <f>'Параметры установки'!$C$2+(B1-1)*'Параметры установки'!$D$2+'Параметры установки'!$E$2/2</f>
        <v>7.6999999999999999E-2</v>
      </c>
      <c r="C2" s="2">
        <f>'Параметры установки'!$C$2+(C1-1)*'Параметры установки'!$D$2+'Параметры установки'!$E$2/2</f>
        <v>0.10200000000000001</v>
      </c>
      <c r="D2" s="2">
        <f>'Параметры установки'!$C$2+(D1-1)*'Параметры установки'!$D$2+'Параметры установки'!$E$2/2</f>
        <v>0.127</v>
      </c>
      <c r="E2" s="2">
        <f>'Параметры установки'!$C$2+(E1-1)*'Параметры установки'!$D$2+'Параметры установки'!$E$2/2</f>
        <v>0.152</v>
      </c>
      <c r="F2" s="2">
        <f>'Параметры установки'!$C$2+(F1-1)*'Параметры установки'!$D$2+'Параметры установки'!$E$2/2</f>
        <v>0.17699999999999999</v>
      </c>
      <c r="G2" s="2">
        <f>'Параметры установки'!$C$2+(G1-1)*'Параметры установки'!$D$2+'Параметры установки'!$E$2/2</f>
        <v>0.20199999999999999</v>
      </c>
    </row>
    <row r="3" spans="1:9" ht="15.75" x14ac:dyDescent="0.45">
      <c r="A3" s="29" t="s">
        <v>53</v>
      </c>
      <c r="B3" s="45">
        <f>B2*B2</f>
        <v>5.9290000000000002E-3</v>
      </c>
      <c r="C3" s="45">
        <f t="shared" ref="C3:G3" si="0">C2*C2</f>
        <v>1.0404000000000002E-2</v>
      </c>
      <c r="D3" s="45">
        <f t="shared" si="0"/>
        <v>1.6129000000000001E-2</v>
      </c>
      <c r="E3" s="45">
        <f t="shared" si="0"/>
        <v>2.3104E-2</v>
      </c>
      <c r="F3" s="45">
        <f t="shared" si="0"/>
        <v>3.1328999999999996E-2</v>
      </c>
      <c r="G3" s="45">
        <f t="shared" si="0"/>
        <v>4.0803999999999993E-2</v>
      </c>
    </row>
    <row r="4" spans="1:9" x14ac:dyDescent="0.45">
      <c r="A4" s="29" t="s">
        <v>54</v>
      </c>
      <c r="B4" s="12">
        <f>'МНК рис.1'!N2</f>
        <v>1.2135740979690725E-2</v>
      </c>
      <c r="C4" s="12">
        <f>'МНК рис.2'!N2</f>
        <v>1.9086327390541908E-2</v>
      </c>
      <c r="D4" s="12">
        <f>'МНК рис.3'!N2</f>
        <v>2.6277337569282643E-2</v>
      </c>
      <c r="E4" s="12">
        <f>'МНК рис.4'!N2</f>
        <v>3.46448260340734E-2</v>
      </c>
      <c r="F4" s="12">
        <f>'МНК рис.5'!N2</f>
        <v>4.8318172960177222E-2</v>
      </c>
      <c r="G4" s="12">
        <f>'МНК рис.6'!N2</f>
        <v>6.4867730464362949E-2</v>
      </c>
    </row>
    <row r="10" spans="1:9" x14ac:dyDescent="0.45">
      <c r="I10" s="44"/>
    </row>
    <row r="11" spans="1:9" x14ac:dyDescent="0.45">
      <c r="I11" s="44"/>
    </row>
    <row r="12" spans="1:9" x14ac:dyDescent="0.45">
      <c r="I12" s="44"/>
    </row>
    <row r="13" spans="1:9" x14ac:dyDescent="0.45">
      <c r="I13" s="44"/>
    </row>
    <row r="14" spans="1:9" x14ac:dyDescent="0.45">
      <c r="I14" s="44"/>
    </row>
    <row r="15" spans="1:9" x14ac:dyDescent="0.45">
      <c r="I15" s="44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"/>
  <sheetViews>
    <sheetView zoomScale="60" zoomScaleNormal="100" workbookViewId="0">
      <selection activeCell="L35" sqref="L35"/>
    </sheetView>
  </sheetViews>
  <sheetFormatPr defaultRowHeight="14.25" x14ac:dyDescent="0.45"/>
  <sheetData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499984740745262"/>
  </sheetPr>
  <dimension ref="A1:G51"/>
  <sheetViews>
    <sheetView topLeftCell="A6" workbookViewId="0">
      <selection activeCell="F50" sqref="F50"/>
    </sheetView>
  </sheetViews>
  <sheetFormatPr defaultRowHeight="14.25" x14ac:dyDescent="0.45"/>
  <cols>
    <col min="1" max="1" width="14.33203125" customWidth="1"/>
    <col min="2" max="2" width="11" customWidth="1"/>
    <col min="3" max="3" width="11.33203125" customWidth="1"/>
    <col min="4" max="4" width="10.6640625" customWidth="1"/>
    <col min="5" max="5" width="10" customWidth="1"/>
    <col min="6" max="6" width="10.33203125" customWidth="1"/>
    <col min="7" max="7" width="13.46484375" customWidth="1"/>
  </cols>
  <sheetData>
    <row r="1" spans="1:7" ht="47.45" customHeight="1" x14ac:dyDescent="0.45">
      <c r="A1" s="48" t="s">
        <v>62</v>
      </c>
      <c r="B1" s="48"/>
      <c r="C1" s="48"/>
      <c r="D1" s="48"/>
      <c r="E1" s="48"/>
      <c r="F1" s="48"/>
      <c r="G1" s="48"/>
    </row>
    <row r="2" spans="1:7" x14ac:dyDescent="0.45">
      <c r="A2" s="57" t="s">
        <v>65</v>
      </c>
      <c r="B2" s="50" t="s">
        <v>1</v>
      </c>
      <c r="C2" s="51"/>
      <c r="D2" s="51"/>
      <c r="E2" s="51"/>
      <c r="F2" s="51"/>
      <c r="G2" s="52"/>
    </row>
    <row r="3" spans="1:7" x14ac:dyDescent="0.45">
      <c r="A3" s="58"/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</row>
    <row r="4" spans="1:7" x14ac:dyDescent="0.45">
      <c r="A4" s="53">
        <f>0.047+0.22</f>
        <v>0.26700000000000002</v>
      </c>
      <c r="B4" s="12">
        <v>4.8099999999999996</v>
      </c>
      <c r="C4" s="12">
        <v>5.51</v>
      </c>
      <c r="D4" s="12">
        <v>6.72</v>
      </c>
      <c r="E4" s="12">
        <v>7.53</v>
      </c>
      <c r="F4" s="12">
        <v>8.5299999999999994</v>
      </c>
      <c r="G4" s="12">
        <v>9.66</v>
      </c>
    </row>
    <row r="5" spans="1:7" x14ac:dyDescent="0.45">
      <c r="A5" s="54"/>
      <c r="B5" s="12">
        <v>4.8899999999999997</v>
      </c>
      <c r="C5" s="12">
        <v>5.51</v>
      </c>
      <c r="D5" s="12">
        <v>6.57</v>
      </c>
      <c r="E5" s="12">
        <v>7.55</v>
      </c>
      <c r="F5" s="12">
        <v>8.51</v>
      </c>
      <c r="G5" s="12">
        <v>9.7899999999999991</v>
      </c>
    </row>
    <row r="6" spans="1:7" x14ac:dyDescent="0.45">
      <c r="A6" s="54"/>
      <c r="B6" s="12">
        <v>4.95</v>
      </c>
      <c r="C6" s="12">
        <v>5.67</v>
      </c>
      <c r="D6" s="12">
        <v>6.67</v>
      </c>
      <c r="E6" s="12">
        <v>7.84</v>
      </c>
      <c r="F6" s="12">
        <v>8.5299999999999994</v>
      </c>
      <c r="G6" s="12">
        <v>9.75</v>
      </c>
    </row>
    <row r="7" spans="1:7" x14ac:dyDescent="0.45">
      <c r="A7" s="55"/>
      <c r="B7" s="12">
        <f>SUM(B4:B6)/3</f>
        <v>4.8833333333333329</v>
      </c>
      <c r="C7" s="12">
        <f t="shared" ref="C7:G7" si="0">SUM(C4:C6)/3</f>
        <v>5.5633333333333326</v>
      </c>
      <c r="D7" s="12">
        <f t="shared" si="0"/>
        <v>6.6533333333333333</v>
      </c>
      <c r="E7" s="12">
        <f t="shared" si="0"/>
        <v>7.6400000000000006</v>
      </c>
      <c r="F7" s="12">
        <f t="shared" si="0"/>
        <v>8.5233333333333334</v>
      </c>
      <c r="G7" s="12">
        <f t="shared" si="0"/>
        <v>9.7333333333333325</v>
      </c>
    </row>
    <row r="8" spans="1:7" x14ac:dyDescent="0.45">
      <c r="A8" s="53">
        <f>0.047+0.22*2</f>
        <v>0.48699999999999999</v>
      </c>
      <c r="B8" s="12">
        <v>3.39</v>
      </c>
      <c r="C8" s="12">
        <v>3.98</v>
      </c>
      <c r="D8" s="12">
        <v>4.8600000000000003</v>
      </c>
      <c r="E8" s="12">
        <v>5.25</v>
      </c>
      <c r="F8" s="12">
        <v>6.11</v>
      </c>
      <c r="G8" s="12">
        <v>6.88</v>
      </c>
    </row>
    <row r="9" spans="1:7" x14ac:dyDescent="0.45">
      <c r="A9" s="54"/>
      <c r="B9" s="12">
        <v>3.21</v>
      </c>
      <c r="C9" s="12">
        <v>4.0199999999999996</v>
      </c>
      <c r="D9" s="12">
        <v>4.58</v>
      </c>
      <c r="E9" s="12">
        <v>5.54</v>
      </c>
      <c r="F9" s="12">
        <v>6.13</v>
      </c>
      <c r="G9" s="12">
        <v>6.96</v>
      </c>
    </row>
    <row r="10" spans="1:7" x14ac:dyDescent="0.45">
      <c r="A10" s="54"/>
      <c r="B10" s="12">
        <v>3.36</v>
      </c>
      <c r="C10" s="12">
        <v>3.88</v>
      </c>
      <c r="D10" s="12">
        <v>4.8499999999999996</v>
      </c>
      <c r="E10" s="12">
        <v>5.38</v>
      </c>
      <c r="F10" s="12">
        <v>6.2</v>
      </c>
      <c r="G10" s="12">
        <v>7.01</v>
      </c>
    </row>
    <row r="11" spans="1:7" x14ac:dyDescent="0.45">
      <c r="A11" s="55"/>
      <c r="B11" s="12">
        <f>SUM(B8:B10)/3</f>
        <v>3.32</v>
      </c>
      <c r="C11" s="12">
        <f t="shared" ref="C11:G11" si="1">SUM(C8:C10)/3</f>
        <v>3.9599999999999995</v>
      </c>
      <c r="D11" s="12">
        <f t="shared" si="1"/>
        <v>4.7633333333333336</v>
      </c>
      <c r="E11" s="12">
        <f t="shared" si="1"/>
        <v>5.39</v>
      </c>
      <c r="F11" s="12">
        <f t="shared" si="1"/>
        <v>6.1466666666666674</v>
      </c>
      <c r="G11" s="12">
        <f t="shared" si="1"/>
        <v>6.95</v>
      </c>
    </row>
    <row r="12" spans="1:7" x14ac:dyDescent="0.45">
      <c r="A12" s="53">
        <f>0.047+0.22*3</f>
        <v>0.70700000000000007</v>
      </c>
      <c r="B12" s="12">
        <v>2.87</v>
      </c>
      <c r="C12" s="12">
        <v>3.36</v>
      </c>
      <c r="D12" s="12">
        <v>3.77</v>
      </c>
      <c r="E12" s="12">
        <v>4.4800000000000004</v>
      </c>
      <c r="F12" s="12">
        <v>5.0599999999999996</v>
      </c>
      <c r="G12" s="12">
        <v>5.61</v>
      </c>
    </row>
    <row r="13" spans="1:7" x14ac:dyDescent="0.45">
      <c r="A13" s="54"/>
      <c r="B13" s="12">
        <v>2.9</v>
      </c>
      <c r="C13" s="12">
        <v>3.4</v>
      </c>
      <c r="D13" s="12">
        <v>3.75</v>
      </c>
      <c r="E13" s="12">
        <v>4.45</v>
      </c>
      <c r="F13" s="12">
        <v>5.25</v>
      </c>
      <c r="G13" s="12">
        <v>5.82</v>
      </c>
    </row>
    <row r="14" spans="1:7" x14ac:dyDescent="0.45">
      <c r="A14" s="54"/>
      <c r="B14" s="12">
        <v>2.81</v>
      </c>
      <c r="C14" s="12">
        <v>3.17</v>
      </c>
      <c r="D14" s="12">
        <v>3.82</v>
      </c>
      <c r="E14" s="12">
        <v>4.3600000000000003</v>
      </c>
      <c r="F14" s="12">
        <v>5.0599999999999996</v>
      </c>
      <c r="G14" s="12">
        <v>5.58</v>
      </c>
    </row>
    <row r="15" spans="1:7" x14ac:dyDescent="0.45">
      <c r="A15" s="55"/>
      <c r="B15" s="12">
        <f>SUM(B12:B14)/3</f>
        <v>2.86</v>
      </c>
      <c r="C15" s="12">
        <f t="shared" ref="C15" si="2">SUM(C12:C14)/3</f>
        <v>3.31</v>
      </c>
      <c r="D15" s="12">
        <f t="shared" ref="D15:G15" si="3">SUM(D12:D14)/3</f>
        <v>3.78</v>
      </c>
      <c r="E15" s="12">
        <f t="shared" si="3"/>
        <v>4.43</v>
      </c>
      <c r="F15" s="12">
        <f t="shared" si="3"/>
        <v>5.1233333333333322</v>
      </c>
      <c r="G15" s="12">
        <f t="shared" si="3"/>
        <v>5.669999999999999</v>
      </c>
    </row>
    <row r="16" spans="1:7" x14ac:dyDescent="0.45">
      <c r="A16" s="53">
        <f>0.047+0.22*4</f>
        <v>0.92700000000000005</v>
      </c>
      <c r="B16" s="12">
        <v>2.5299999999999998</v>
      </c>
      <c r="C16" s="12">
        <v>2.88</v>
      </c>
      <c r="D16" s="12">
        <v>3.18</v>
      </c>
      <c r="E16" s="12">
        <v>3.86</v>
      </c>
      <c r="F16" s="12">
        <v>4.4400000000000004</v>
      </c>
      <c r="G16" s="12">
        <v>4.93</v>
      </c>
    </row>
    <row r="17" spans="1:7" x14ac:dyDescent="0.45">
      <c r="A17" s="54"/>
      <c r="B17" s="12">
        <v>2.38</v>
      </c>
      <c r="C17" s="12">
        <v>2.92</v>
      </c>
      <c r="D17" s="12">
        <v>3.48</v>
      </c>
      <c r="E17" s="12">
        <v>3.8</v>
      </c>
      <c r="F17" s="12">
        <v>4.3099999999999996</v>
      </c>
      <c r="G17" s="12">
        <v>4.93</v>
      </c>
    </row>
    <row r="18" spans="1:7" x14ac:dyDescent="0.45">
      <c r="A18" s="54"/>
      <c r="B18" s="12">
        <v>2.4500000000000002</v>
      </c>
      <c r="C18" s="12">
        <v>2.9</v>
      </c>
      <c r="D18" s="12">
        <v>3.42</v>
      </c>
      <c r="E18" s="12">
        <v>3.88</v>
      </c>
      <c r="F18" s="12">
        <v>4.3</v>
      </c>
      <c r="G18" s="12">
        <v>4.7699999999999996</v>
      </c>
    </row>
    <row r="19" spans="1:7" x14ac:dyDescent="0.45">
      <c r="A19" s="55"/>
      <c r="B19" s="12">
        <f>SUM(B16:B18)/3</f>
        <v>2.4533333333333336</v>
      </c>
      <c r="C19" s="12">
        <f t="shared" ref="C19" si="4">SUM(C16:C18)/3</f>
        <v>2.9</v>
      </c>
      <c r="D19" s="12">
        <f t="shared" ref="D19:G19" si="5">SUM(D16:D18)/3</f>
        <v>3.36</v>
      </c>
      <c r="E19" s="12">
        <f t="shared" si="5"/>
        <v>3.8466666666666662</v>
      </c>
      <c r="F19" s="12">
        <f t="shared" si="5"/>
        <v>4.3500000000000005</v>
      </c>
      <c r="G19" s="12">
        <f t="shared" si="5"/>
        <v>4.876666666666666</v>
      </c>
    </row>
    <row r="20" spans="1:7" ht="41.45" customHeight="1" x14ac:dyDescent="0.45">
      <c r="A20" s="48" t="s">
        <v>63</v>
      </c>
      <c r="B20" s="48"/>
      <c r="C20" s="48"/>
      <c r="D20" s="48"/>
      <c r="E20" s="48"/>
      <c r="F20" s="36"/>
      <c r="G20" s="36"/>
    </row>
    <row r="21" spans="1:7" ht="15.75" x14ac:dyDescent="0.55000000000000004">
      <c r="A21" s="35" t="s">
        <v>65</v>
      </c>
      <c r="B21" s="37" t="s">
        <v>67</v>
      </c>
      <c r="C21" s="38" t="s">
        <v>68</v>
      </c>
      <c r="D21" s="39" t="s">
        <v>69</v>
      </c>
      <c r="E21" s="40" t="s">
        <v>11</v>
      </c>
      <c r="F21" s="36"/>
      <c r="G21" s="36"/>
    </row>
    <row r="22" spans="1:7" x14ac:dyDescent="0.45">
      <c r="A22" s="53">
        <v>0.26700000000000002</v>
      </c>
      <c r="B22" s="12">
        <v>4.8833333333333329</v>
      </c>
      <c r="C22" s="12">
        <v>5.8707731016086388E-2</v>
      </c>
      <c r="D22" s="12">
        <v>2.5525100441776689</v>
      </c>
      <c r="E22" s="12">
        <v>5.9821275823830219E-2</v>
      </c>
      <c r="F22" s="36"/>
      <c r="G22" s="36"/>
    </row>
    <row r="23" spans="1:7" x14ac:dyDescent="0.45">
      <c r="A23" s="54"/>
      <c r="B23" s="12">
        <v>5.5633333333333326</v>
      </c>
      <c r="C23" s="12">
        <v>4.523325821979847E-2</v>
      </c>
      <c r="D23" s="12">
        <v>1.966663400860803</v>
      </c>
      <c r="E23" s="12">
        <v>5.9904022561272224E-2</v>
      </c>
      <c r="F23" s="36"/>
      <c r="G23" s="36"/>
    </row>
    <row r="24" spans="1:7" x14ac:dyDescent="0.45">
      <c r="A24" s="54"/>
      <c r="B24" s="12">
        <v>6.6533333333333333</v>
      </c>
      <c r="C24" s="12">
        <v>3.1626379010526062E-2</v>
      </c>
      <c r="D24" s="12">
        <v>1.375059956979394</v>
      </c>
      <c r="E24" s="12">
        <v>5.9987582406496376E-2</v>
      </c>
      <c r="F24" s="36"/>
      <c r="G24" s="36"/>
    </row>
    <row r="25" spans="1:7" x14ac:dyDescent="0.45">
      <c r="A25" s="54"/>
      <c r="B25" s="12">
        <v>7.6400000000000006</v>
      </c>
      <c r="C25" s="12">
        <v>2.398508812806666E-2</v>
      </c>
      <c r="D25" s="12">
        <v>1.0428299186115939</v>
      </c>
      <c r="E25" s="12">
        <v>6.0034507573805553E-2</v>
      </c>
      <c r="F25" s="36"/>
      <c r="G25" s="36"/>
    </row>
    <row r="26" spans="1:7" x14ac:dyDescent="0.45">
      <c r="A26" s="54"/>
      <c r="B26" s="12">
        <v>8.5233333333333334</v>
      </c>
      <c r="C26" s="12">
        <v>1.9271214663130753E-2</v>
      </c>
      <c r="D26" s="12">
        <v>0.83787889839698926</v>
      </c>
      <c r="E26" s="12">
        <v>6.0063455470753722E-2</v>
      </c>
      <c r="F26" s="36"/>
      <c r="G26" s="36"/>
    </row>
    <row r="27" spans="1:7" x14ac:dyDescent="0.45">
      <c r="A27" s="55"/>
      <c r="B27" s="12">
        <v>9.7333333333333325</v>
      </c>
      <c r="C27" s="12">
        <v>1.4777631825858511E-2</v>
      </c>
      <c r="D27" s="12">
        <v>0.64250573155906576</v>
      </c>
      <c r="E27" s="12">
        <v>6.0091050562957417E-2</v>
      </c>
      <c r="F27" s="36"/>
      <c r="G27" s="36"/>
    </row>
    <row r="28" spans="1:7" x14ac:dyDescent="0.45">
      <c r="A28" s="53">
        <v>0.48699999999999999</v>
      </c>
      <c r="B28" s="12">
        <v>3.32</v>
      </c>
      <c r="C28" s="12">
        <v>0.12701408041805776</v>
      </c>
      <c r="D28" s="12">
        <v>5.5223513225242504</v>
      </c>
      <c r="E28" s="12">
        <v>0.10834711528523734</v>
      </c>
      <c r="F28" s="36"/>
      <c r="G28" s="36"/>
    </row>
    <row r="29" spans="1:7" x14ac:dyDescent="0.45">
      <c r="A29" s="54"/>
      <c r="B29" s="12">
        <v>3.9599999999999995</v>
      </c>
      <c r="C29" s="12">
        <v>8.9276604428119591E-2</v>
      </c>
      <c r="D29" s="12">
        <v>3.8815914968747647</v>
      </c>
      <c r="E29" s="12">
        <v>0.10876981275380063</v>
      </c>
      <c r="F29" s="36"/>
      <c r="G29" s="36"/>
    </row>
    <row r="30" spans="1:7" x14ac:dyDescent="0.45">
      <c r="A30" s="54"/>
      <c r="B30" s="12">
        <v>4.7633333333333336</v>
      </c>
      <c r="C30" s="12">
        <v>6.1702972663134563E-2</v>
      </c>
      <c r="D30" s="12">
        <v>2.6827379418754158</v>
      </c>
      <c r="E30" s="12">
        <v>0.10907866500320024</v>
      </c>
      <c r="F30" s="36"/>
      <c r="G30" s="36"/>
    </row>
    <row r="31" spans="1:7" x14ac:dyDescent="0.45">
      <c r="A31" s="54"/>
      <c r="B31" s="12">
        <v>5.39</v>
      </c>
      <c r="C31" s="12">
        <v>4.8189287521383996E-2</v>
      </c>
      <c r="D31" s="12">
        <v>2.095186413973217</v>
      </c>
      <c r="E31" s="12">
        <v>0.10923003179047298</v>
      </c>
      <c r="F31" s="36"/>
      <c r="G31" s="36"/>
    </row>
    <row r="32" spans="1:7" x14ac:dyDescent="0.45">
      <c r="A32" s="54"/>
      <c r="B32" s="12">
        <v>6.1466666666666674</v>
      </c>
      <c r="C32" s="12">
        <v>3.705516160755877E-2</v>
      </c>
      <c r="D32" s="12">
        <v>1.6110939829373379</v>
      </c>
      <c r="E32" s="12">
        <v>0.10935474513483374</v>
      </c>
      <c r="F32" s="36"/>
      <c r="G32" s="36"/>
    </row>
    <row r="33" spans="1:7" x14ac:dyDescent="0.45">
      <c r="A33" s="55"/>
      <c r="B33" s="12">
        <v>6.95</v>
      </c>
      <c r="C33" s="12">
        <v>2.8984007038973133E-2</v>
      </c>
      <c r="D33" s="12">
        <v>1.2601742190857883</v>
      </c>
      <c r="E33" s="12">
        <v>0.10944515013715646</v>
      </c>
      <c r="F33" s="36"/>
      <c r="G33" s="36"/>
    </row>
    <row r="34" spans="1:7" x14ac:dyDescent="0.45">
      <c r="A34" s="53">
        <v>0.70700000000000007</v>
      </c>
      <c r="B34" s="12">
        <v>2.86</v>
      </c>
      <c r="C34" s="12">
        <v>0.17115751381485647</v>
      </c>
      <c r="D34" s="12">
        <v>7.441631035428542</v>
      </c>
      <c r="E34" s="12">
        <v>0.15657460766785664</v>
      </c>
      <c r="F34" s="36"/>
      <c r="G34" s="36"/>
    </row>
    <row r="35" spans="1:7" x14ac:dyDescent="0.45">
      <c r="A35" s="54"/>
      <c r="B35" s="12">
        <v>3.31</v>
      </c>
      <c r="C35" s="12">
        <v>0.12778269639744069</v>
      </c>
      <c r="D35" s="12">
        <v>5.5557694085843776</v>
      </c>
      <c r="E35" s="12">
        <v>0.15727992557388124</v>
      </c>
      <c r="F35" s="36"/>
      <c r="G35" s="36"/>
    </row>
    <row r="36" spans="1:7" x14ac:dyDescent="0.45">
      <c r="A36" s="54"/>
      <c r="B36" s="12">
        <v>3.78</v>
      </c>
      <c r="C36" s="12">
        <v>9.798157946306095E-2</v>
      </c>
      <c r="D36" s="12">
        <v>4.260068672306998</v>
      </c>
      <c r="E36" s="12">
        <v>0.15776452153635118</v>
      </c>
      <c r="F36" s="36"/>
      <c r="G36" s="36"/>
    </row>
    <row r="37" spans="1:7" x14ac:dyDescent="0.45">
      <c r="A37" s="54"/>
      <c r="B37" s="12">
        <v>4.43</v>
      </c>
      <c r="C37" s="12">
        <v>7.133794312327707E-2</v>
      </c>
      <c r="D37" s="12">
        <v>3.1016497010120467</v>
      </c>
      <c r="E37" s="12">
        <v>0.15819777370687241</v>
      </c>
      <c r="F37" s="36"/>
      <c r="G37" s="36"/>
    </row>
    <row r="38" spans="1:7" x14ac:dyDescent="0.45">
      <c r="A38" s="54"/>
      <c r="B38" s="12">
        <v>5.1233333333333322</v>
      </c>
      <c r="C38" s="12">
        <v>5.3336290816549004E-2</v>
      </c>
      <c r="D38" s="12">
        <v>2.3189691659369132</v>
      </c>
      <c r="E38" s="12">
        <v>0.15849049857503211</v>
      </c>
      <c r="F38" s="36"/>
      <c r="G38" s="36"/>
    </row>
    <row r="39" spans="1:7" x14ac:dyDescent="0.45">
      <c r="A39" s="55"/>
      <c r="B39" s="12">
        <v>5.669999999999999</v>
      </c>
      <c r="C39" s="12">
        <v>4.3547368650249316E-2</v>
      </c>
      <c r="D39" s="12">
        <v>1.8933638543586659</v>
      </c>
      <c r="E39" s="12">
        <v>0.15864967623837831</v>
      </c>
      <c r="F39" s="36"/>
      <c r="G39" s="36"/>
    </row>
    <row r="40" spans="1:7" x14ac:dyDescent="0.45">
      <c r="A40" s="56">
        <v>0.92700000000000005</v>
      </c>
      <c r="B40" s="12">
        <v>2.4533333333333336</v>
      </c>
      <c r="C40" s="12">
        <v>0.23260278827977307</v>
      </c>
      <c r="D40" s="12">
        <v>10.113164707816221</v>
      </c>
      <c r="E40" s="12">
        <v>0.20398647595108696</v>
      </c>
      <c r="F40" s="36"/>
      <c r="G40" s="36"/>
    </row>
    <row r="41" spans="1:7" x14ac:dyDescent="0.45">
      <c r="A41" s="56"/>
      <c r="B41" s="12">
        <v>2.9</v>
      </c>
      <c r="C41" s="12">
        <v>0.16646848989298454</v>
      </c>
      <c r="D41" s="12">
        <v>7.2377604301297627</v>
      </c>
      <c r="E41" s="12">
        <v>0.20539652532699168</v>
      </c>
      <c r="F41" s="36"/>
      <c r="G41" s="36"/>
    </row>
    <row r="42" spans="1:7" x14ac:dyDescent="0.45">
      <c r="A42" s="56"/>
      <c r="B42" s="12">
        <v>3.36</v>
      </c>
      <c r="C42" s="12">
        <v>0.1240079365079365</v>
      </c>
      <c r="D42" s="12">
        <v>5.3916494133885431</v>
      </c>
      <c r="E42" s="12">
        <v>0.20630182678571429</v>
      </c>
      <c r="F42" s="36"/>
      <c r="G42" s="36"/>
    </row>
    <row r="43" spans="1:7" x14ac:dyDescent="0.45">
      <c r="A43" s="56"/>
      <c r="B43" s="12">
        <v>3.8466666666666662</v>
      </c>
      <c r="C43" s="12">
        <v>9.4614767713236181E-2</v>
      </c>
      <c r="D43" s="12">
        <v>4.1136855527493994</v>
      </c>
      <c r="E43" s="12">
        <v>0.20692851853758609</v>
      </c>
      <c r="F43" s="36"/>
      <c r="G43" s="36"/>
    </row>
    <row r="44" spans="1:7" x14ac:dyDescent="0.45">
      <c r="A44" s="56"/>
      <c r="B44" s="12">
        <v>4.3500000000000005</v>
      </c>
      <c r="C44" s="12">
        <v>7.3985995507993105E-2</v>
      </c>
      <c r="D44" s="12">
        <v>3.2167824133910048</v>
      </c>
      <c r="E44" s="12">
        <v>0.2073683445897741</v>
      </c>
      <c r="F44" s="36"/>
      <c r="G44" s="36"/>
    </row>
    <row r="45" spans="1:7" x14ac:dyDescent="0.45">
      <c r="A45" s="56"/>
      <c r="B45" s="12">
        <v>4.876666666666666</v>
      </c>
      <c r="C45" s="12">
        <v>5.8868354008117296E-2</v>
      </c>
      <c r="D45" s="12">
        <v>2.559493652526839</v>
      </c>
      <c r="E45" s="12">
        <v>0.20769066782419293</v>
      </c>
      <c r="F45" s="36"/>
      <c r="G45" s="36"/>
    </row>
    <row r="46" spans="1:7" x14ac:dyDescent="0.45">
      <c r="A46" s="42"/>
      <c r="B46" s="43"/>
      <c r="C46" s="43"/>
      <c r="D46" s="43"/>
      <c r="E46" s="43"/>
      <c r="F46" s="36"/>
      <c r="G46" s="36"/>
    </row>
    <row r="47" spans="1:7" x14ac:dyDescent="0.45">
      <c r="A47" s="49" t="s">
        <v>66</v>
      </c>
      <c r="B47" s="49"/>
      <c r="C47" s="49"/>
      <c r="D47" s="49"/>
      <c r="E47" s="49"/>
      <c r="F47" s="49"/>
      <c r="G47" s="49"/>
    </row>
    <row r="48" spans="1:7" x14ac:dyDescent="0.45">
      <c r="A48" s="41" t="s">
        <v>51</v>
      </c>
      <c r="B48" s="41">
        <v>1</v>
      </c>
      <c r="C48" s="41">
        <v>2</v>
      </c>
      <c r="D48" s="41">
        <v>3</v>
      </c>
      <c r="E48" s="41">
        <v>4</v>
      </c>
      <c r="F48" s="41">
        <v>5</v>
      </c>
      <c r="G48" s="41">
        <v>6</v>
      </c>
    </row>
    <row r="49" spans="1:7" x14ac:dyDescent="0.45">
      <c r="A49" s="41" t="s">
        <v>64</v>
      </c>
      <c r="B49" s="2">
        <v>7.6999999999999999E-2</v>
      </c>
      <c r="C49" s="2">
        <v>0.10200000000000001</v>
      </c>
      <c r="D49" s="2">
        <v>0.127</v>
      </c>
      <c r="E49" s="2">
        <v>0.152</v>
      </c>
      <c r="F49" s="2">
        <v>0.17699999999999999</v>
      </c>
      <c r="G49" s="2">
        <v>0.20199999999999999</v>
      </c>
    </row>
    <row r="50" spans="1:7" ht="14.65" x14ac:dyDescent="0.45">
      <c r="A50" s="41" t="s">
        <v>70</v>
      </c>
      <c r="B50" s="2">
        <v>5.9290000000000002E-3</v>
      </c>
      <c r="C50" s="2">
        <v>1.0404000000000002E-2</v>
      </c>
      <c r="D50" s="2">
        <v>1.6129000000000001E-2</v>
      </c>
      <c r="E50" s="2">
        <v>2.3104E-2</v>
      </c>
      <c r="F50" s="2">
        <v>3.1328999999999996E-2</v>
      </c>
      <c r="G50" s="2">
        <v>4.0803999999999993E-2</v>
      </c>
    </row>
    <row r="51" spans="1:7" ht="14.65" x14ac:dyDescent="0.45">
      <c r="A51" s="41" t="s">
        <v>71</v>
      </c>
      <c r="B51" s="12">
        <v>1.9423220341030219E-2</v>
      </c>
      <c r="C51" s="12">
        <v>2.7706082865633811E-2</v>
      </c>
      <c r="D51" s="12">
        <v>3.5657330597179605E-2</v>
      </c>
      <c r="E51" s="12">
        <v>4.7911431790691524E-2</v>
      </c>
      <c r="F51" s="12">
        <v>6.2447855217132434E-2</v>
      </c>
      <c r="G51" s="12">
        <v>7.7041709283295262E-2</v>
      </c>
    </row>
  </sheetData>
  <mergeCells count="13">
    <mergeCell ref="A1:G1"/>
    <mergeCell ref="A20:E20"/>
    <mergeCell ref="A47:G47"/>
    <mergeCell ref="B2:G2"/>
    <mergeCell ref="A4:A7"/>
    <mergeCell ref="A8:A11"/>
    <mergeCell ref="A12:A15"/>
    <mergeCell ref="A16:A19"/>
    <mergeCell ref="A22:A27"/>
    <mergeCell ref="A28:A33"/>
    <mergeCell ref="A34:A39"/>
    <mergeCell ref="A40:A45"/>
    <mergeCell ref="A2:A3"/>
  </mergeCells>
  <pageMargins left="0.23622047244094491" right="0.23622047244094491" top="7.874015748031496E-2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Погрешности косвенные (Шаблон)</vt:lpstr>
      <vt:lpstr>МНК (Шаблон)</vt:lpstr>
      <vt:lpstr>предисловие</vt:lpstr>
      <vt:lpstr>Таблица 1</vt:lpstr>
      <vt:lpstr>Таблица 2</vt:lpstr>
      <vt:lpstr>Таблица 3</vt:lpstr>
      <vt:lpstr>График 1</vt:lpstr>
      <vt:lpstr>График 2</vt:lpstr>
      <vt:lpstr>Печать 1</vt:lpstr>
      <vt:lpstr>Печать 2</vt:lpstr>
      <vt:lpstr>Печать 3</vt:lpstr>
      <vt:lpstr>Параметры установки</vt:lpstr>
      <vt:lpstr>Погрешности прямые (t)</vt:lpstr>
      <vt:lpstr>Погрешности прямые (a)</vt:lpstr>
      <vt:lpstr>Погрешности косвенные (a)</vt:lpstr>
      <vt:lpstr>Погрешности прямые (e)</vt:lpstr>
      <vt:lpstr>Погрешности косвенные (e)</vt:lpstr>
      <vt:lpstr>Погрешности прямые (M)</vt:lpstr>
      <vt:lpstr>Погрешности косвенные (M)</vt:lpstr>
      <vt:lpstr>МНК рис.1</vt:lpstr>
      <vt:lpstr>МНК рис.2</vt:lpstr>
      <vt:lpstr>МНК рис.3</vt:lpstr>
      <vt:lpstr>МНК рис.4</vt:lpstr>
      <vt:lpstr>МНК рис.5</vt:lpstr>
      <vt:lpstr>МНК рис.6</vt:lpstr>
      <vt:lpstr>МНК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katya-galak@mail.ru</cp:lastModifiedBy>
  <cp:lastPrinted>2021-10-21T21:58:13Z</cp:lastPrinted>
  <dcterms:created xsi:type="dcterms:W3CDTF">2015-06-05T18:19:34Z</dcterms:created>
  <dcterms:modified xsi:type="dcterms:W3CDTF">2025-09-21T13:07:39Z</dcterms:modified>
</cp:coreProperties>
</file>